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8.bin" ContentType="application/vnd.openxmlformats-officedocument.spreadsheetml.customProperty"/>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customProperty12.bin" ContentType="application/vnd.openxmlformats-officedocument.spreadsheetml.customProperty"/>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customProperty16.bin" ContentType="application/vnd.openxmlformats-officedocument.spreadsheetml.customProperty"/>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comments8.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comments9.xml" ContentType="application/vnd.openxmlformats-officedocument.spreadsheetml.comments+xml"/>
  <Override PartName="/xl/customProperty20.bin" ContentType="application/vnd.openxmlformats-officedocument.spreadsheetml.customProperty"/>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0.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customProperty24.bin" ContentType="application/vnd.openxmlformats-officedocument.spreadsheetml.customProperty"/>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omments12.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customProperty28.bin" ContentType="application/vnd.openxmlformats-officedocument.spreadsheetml.customProperty"/>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comments15.xml" ContentType="application/vnd.openxmlformats-officedocument.spreadsheetml.comments+xml"/>
  <Override PartName="/xl/customProperty32.bin" ContentType="application/vnd.openxmlformats-officedocument.spreadsheetml.customProperty"/>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comments16.xml" ContentType="application/vnd.openxmlformats-officedocument.spreadsheetml.comments+xml"/>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omments17.xml" ContentType="application/vnd.openxmlformats-officedocument.spreadsheetml.comments+xml"/>
  <Override PartName="/xl/customProperty36.bin" ContentType="application/vnd.openxmlformats-officedocument.spreadsheetml.customProperty"/>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omments18.xml" ContentType="application/vnd.openxmlformats-officedocument.spreadsheetml.comments+xml"/>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omments19.xml" ContentType="application/vnd.openxmlformats-officedocument.spreadsheetml.comments+xml"/>
  <Override PartName="/xl/customProperty40.bin" ContentType="application/vnd.openxmlformats-officedocument.spreadsheetml.customProperty"/>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omments20.xml" ContentType="application/vnd.openxmlformats-officedocument.spreadsheetml.comments+xml"/>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omments21.xml" ContentType="application/vnd.openxmlformats-officedocument.spreadsheetml.comments+xml"/>
  <Override PartName="/xl/customProperty44.bin" ContentType="application/vnd.openxmlformats-officedocument.spreadsheetml.customProperty"/>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omments22.xml" ContentType="application/vnd.openxmlformats-officedocument.spreadsheetml.comments+xml"/>
  <Override PartName="/xl/customProperty45.bin" ContentType="application/vnd.openxmlformats-officedocument.spreadsheetml.customProperty"/>
  <Override PartName="/xl/customProperty46.bin" ContentType="application/vnd.openxmlformats-officedocument.spreadsheetml.customProperty"/>
  <Override PartName="/xl/customProperty47.bin" ContentType="application/vnd.openxmlformats-officedocument.spreadsheetml.customProperty"/>
  <Override PartName="/xl/comments23.xml" ContentType="application/vnd.openxmlformats-officedocument.spreadsheetml.comments+xml"/>
  <Override PartName="/xl/customProperty48.bin" ContentType="application/vnd.openxmlformats-officedocument.spreadsheetml.customProperty"/>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omments24.xml" ContentType="application/vnd.openxmlformats-officedocument.spreadsheetml.comments+xml"/>
  <Override PartName="/xl/customProperty49.bin" ContentType="application/vnd.openxmlformats-officedocument.spreadsheetml.customProperty"/>
  <Override PartName="/xl/customProperty50.bin" ContentType="application/vnd.openxmlformats-officedocument.spreadsheetml.customProperty"/>
  <Override PartName="/xl/customProperty51.bin" ContentType="application/vnd.openxmlformats-officedocument.spreadsheetml.customProperty"/>
  <Override PartName="/xl/comments25.xml" ContentType="application/vnd.openxmlformats-officedocument.spreadsheetml.comments+xml"/>
  <Override PartName="/xl/customProperty52.bin" ContentType="application/vnd.openxmlformats-officedocument.spreadsheetml.customProperty"/>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comments26.xml" ContentType="application/vnd.openxmlformats-officedocument.spreadsheetml.comments+xml"/>
  <Override PartName="/xl/customProperty53.bin" ContentType="application/vnd.openxmlformats-officedocument.spreadsheetml.customProperty"/>
  <Override PartName="/xl/customProperty54.bin" ContentType="application/vnd.openxmlformats-officedocument.spreadsheetml.customProperty"/>
  <Override PartName="/xl/customProperty55.bin" ContentType="application/vnd.openxmlformats-officedocument.spreadsheetml.customProperty"/>
  <Override PartName="/xl/comments27.xml" ContentType="application/vnd.openxmlformats-officedocument.spreadsheetml.comments+xml"/>
  <Override PartName="/xl/customProperty56.bin" ContentType="application/vnd.openxmlformats-officedocument.spreadsheetml.customProperty"/>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comments28.xml" ContentType="application/vnd.openxmlformats-officedocument.spreadsheetml.comments+xml"/>
  <Override PartName="/xl/customProperty57.bin" ContentType="application/vnd.openxmlformats-officedocument.spreadsheetml.customProperty"/>
  <Override PartName="/xl/customProperty58.bin" ContentType="application/vnd.openxmlformats-officedocument.spreadsheetml.customProperty"/>
  <Override PartName="/xl/customProperty59.bin" ContentType="application/vnd.openxmlformats-officedocument.spreadsheetml.customProperty"/>
  <Override PartName="/xl/comments29.xml" ContentType="application/vnd.openxmlformats-officedocument.spreadsheetml.comments+xml"/>
  <Override PartName="/xl/customProperty60.bin" ContentType="application/vnd.openxmlformats-officedocument.spreadsheetml.customProperty"/>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omments30.xml" ContentType="application/vnd.openxmlformats-officedocument.spreadsheetml.comments+xml"/>
  <Override PartName="/xl/customProperty61.bin" ContentType="application/vnd.openxmlformats-officedocument.spreadsheetml.customProperty"/>
  <Override PartName="/xl/customProperty62.bin" ContentType="application/vnd.openxmlformats-officedocument.spreadsheetml.customProperty"/>
  <Override PartName="/xl/customProperty63.bin" ContentType="application/vnd.openxmlformats-officedocument.spreadsheetml.customProperty"/>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comments31.xml" ContentType="application/vnd.openxmlformats-officedocument.spreadsheetml.comments+xml"/>
  <Override PartName="/xl/customProperty64.bin" ContentType="application/vnd.openxmlformats-officedocument.spreadsheetml.customProperty"/>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omments32.xml" ContentType="application/vnd.openxmlformats-officedocument.spreadsheetml.comments+xml"/>
  <Override PartName="/xl/customProperty65.bin" ContentType="application/vnd.openxmlformats-officedocument.spreadsheetml.customProperty"/>
  <Override PartName="/xl/customProperty66.bin" ContentType="application/vnd.openxmlformats-officedocument.spreadsheetml.customProperty"/>
  <Override PartName="/xl/customProperty67.bin" ContentType="application/vnd.openxmlformats-officedocument.spreadsheetml.customProperty"/>
  <Override PartName="/xl/comments33.xml" ContentType="application/vnd.openxmlformats-officedocument.spreadsheetml.comments+xml"/>
  <Override PartName="/xl/customProperty68.bin" ContentType="application/vnd.openxmlformats-officedocument.spreadsheetml.customProperty"/>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comments34.xml" ContentType="application/vnd.openxmlformats-officedocument.spreadsheetml.comments+xml"/>
  <Override PartName="/xl/customProperty69.bin" ContentType="application/vnd.openxmlformats-officedocument.spreadsheetml.customProperty"/>
  <Override PartName="/xl/customProperty70.bin" ContentType="application/vnd.openxmlformats-officedocument.spreadsheetml.customProperty"/>
  <Override PartName="/xl/customProperty71.bin" ContentType="application/vnd.openxmlformats-officedocument.spreadsheetml.customProperty"/>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omments35.xml" ContentType="application/vnd.openxmlformats-officedocument.spreadsheetml.comments+xml"/>
  <Override PartName="/xl/customProperty72.bin" ContentType="application/vnd.openxmlformats-officedocument.spreadsheetml.customProperty"/>
  <Override PartName="/xl/drawings/drawing28.xml" ContentType="application/vnd.openxmlformats-officedocument.drawing+xml"/>
  <Override PartName="/xl/activeX/activeX27.xml" ContentType="application/vnd.ms-office.activeX+xml"/>
  <Override PartName="/xl/activeX/activeX27.bin" ContentType="application/vnd.ms-office.activeX"/>
  <Override PartName="/xl/comments36.xml" ContentType="application/vnd.openxmlformats-officedocument.spreadsheetml.comments+xml"/>
  <Override PartName="/xl/customProperty73.bin" ContentType="application/vnd.openxmlformats-officedocument.spreadsheetml.customProperty"/>
  <Override PartName="/xl/customProperty74.bin" ContentType="application/vnd.openxmlformats-officedocument.spreadsheetml.customProperty"/>
  <Override PartName="/xl/customProperty75.bin" ContentType="application/vnd.openxmlformats-officedocument.spreadsheetml.customProperty"/>
  <Override PartName="/xl/comments37.xml" ContentType="application/vnd.openxmlformats-officedocument.spreadsheetml.comments+xml"/>
  <Override PartName="/xl/customProperty76.bin" ContentType="application/vnd.openxmlformats-officedocument.spreadsheetml.customProperty"/>
  <Override PartName="/xl/drawings/drawing29.xml" ContentType="application/vnd.openxmlformats-officedocument.drawing+xml"/>
  <Override PartName="/xl/activeX/activeX28.xml" ContentType="application/vnd.ms-office.activeX+xml"/>
  <Override PartName="/xl/activeX/activeX28.bin" ContentType="application/vnd.ms-office.activeX"/>
  <Override PartName="/xl/comments38.xml" ContentType="application/vnd.openxmlformats-officedocument.spreadsheetml.comments+xml"/>
  <Override PartName="/xl/customProperty77.bin" ContentType="application/vnd.openxmlformats-officedocument.spreadsheetml.customProperty"/>
  <Override PartName="/xl/customProperty78.bin" ContentType="application/vnd.openxmlformats-officedocument.spreadsheetml.customProperty"/>
  <Override PartName="/xl/customProperty79.bin" ContentType="application/vnd.openxmlformats-officedocument.spreadsheetml.customProperty"/>
  <Override PartName="/xl/comments39.xml" ContentType="application/vnd.openxmlformats-officedocument.spreadsheetml.comments+xml"/>
  <Override PartName="/xl/customProperty80.bin" ContentType="application/vnd.openxmlformats-officedocument.spreadsheetml.customProperty"/>
  <Override PartName="/xl/drawings/drawing30.xml" ContentType="application/vnd.openxmlformats-officedocument.drawing+xml"/>
  <Override PartName="/xl/activeX/activeX29.xml" ContentType="application/vnd.ms-office.activeX+xml"/>
  <Override PartName="/xl/activeX/activeX29.bin" ContentType="application/vnd.ms-office.activeX"/>
  <Override PartName="/xl/comments40.xml" ContentType="application/vnd.openxmlformats-officedocument.spreadsheetml.comments+xml"/>
  <Override PartName="/xl/customProperty81.bin" ContentType="application/vnd.openxmlformats-officedocument.spreadsheetml.customProperty"/>
  <Override PartName="/xl/customProperty82.bin" ContentType="application/vnd.openxmlformats-officedocument.spreadsheetml.customProperty"/>
  <Override PartName="/xl/customProperty83.bin" ContentType="application/vnd.openxmlformats-officedocument.spreadsheetml.customProperty"/>
  <Override PartName="/xl/comments41.xml" ContentType="application/vnd.openxmlformats-officedocument.spreadsheetml.comments+xml"/>
  <Override PartName="/xl/customProperty84.bin" ContentType="application/vnd.openxmlformats-officedocument.spreadsheetml.customProperty"/>
  <Override PartName="/xl/drawings/drawing31.xml" ContentType="application/vnd.openxmlformats-officedocument.drawing+xml"/>
  <Override PartName="/xl/activeX/activeX30.xml" ContentType="application/vnd.ms-office.activeX+xml"/>
  <Override PartName="/xl/activeX/activeX30.bin" ContentType="application/vnd.ms-office.activeX"/>
  <Override PartName="/xl/comments42.xml" ContentType="application/vnd.openxmlformats-officedocument.spreadsheetml.comments+xml"/>
  <Override PartName="/xl/customProperty85.bin" ContentType="application/vnd.openxmlformats-officedocument.spreadsheetml.customProperty"/>
  <Override PartName="/xl/customProperty86.bin" ContentType="application/vnd.openxmlformats-officedocument.spreadsheetml.customProperty"/>
  <Override PartName="/xl/customProperty87.bin" ContentType="application/vnd.openxmlformats-officedocument.spreadsheetml.customProperty"/>
  <Override PartName="/xl/drawings/drawing32.xml" ContentType="application/vnd.openxmlformats-officedocument.drawing+xml"/>
  <Override PartName="/xl/activeX/activeX31.xml" ContentType="application/vnd.ms-office.activeX+xml"/>
  <Override PartName="/xl/activeX/activeX31.bin" ContentType="application/vnd.ms-office.activeX"/>
  <Override PartName="/xl/comments43.xml" ContentType="application/vnd.openxmlformats-officedocument.spreadsheetml.comments+xml"/>
  <Override PartName="/xl/customProperty88.bin" ContentType="application/vnd.openxmlformats-officedocument.spreadsheetml.customProperty"/>
  <Override PartName="/xl/drawings/drawing33.xml" ContentType="application/vnd.openxmlformats-officedocument.drawing+xml"/>
  <Override PartName="/xl/activeX/activeX32.xml" ContentType="application/vnd.ms-office.activeX+xml"/>
  <Override PartName="/xl/activeX/activeX32.bin" ContentType="application/vnd.ms-office.activeX"/>
  <Override PartName="/xl/comments44.xml" ContentType="application/vnd.openxmlformats-officedocument.spreadsheetml.comments+xml"/>
  <Override PartName="/xl/customProperty89.bin" ContentType="application/vnd.openxmlformats-officedocument.spreadsheetml.customProperty"/>
  <Override PartName="/xl/customProperty90.bin" ContentType="application/vnd.openxmlformats-officedocument.spreadsheetml.customProperty"/>
  <Override PartName="/xl/customProperty91.bin" ContentType="application/vnd.openxmlformats-officedocument.spreadsheetml.customProperty"/>
  <Override PartName="/xl/drawings/drawing34.xml" ContentType="application/vnd.openxmlformats-officedocument.drawing+xml"/>
  <Override PartName="/xl/activeX/activeX33.xml" ContentType="application/vnd.ms-office.activeX+xml"/>
  <Override PartName="/xl/activeX/activeX33.bin" ContentType="application/vnd.ms-office.activeX"/>
  <Override PartName="/xl/comments45.xml" ContentType="application/vnd.openxmlformats-officedocument.spreadsheetml.comments+xml"/>
  <Override PartName="/xl/customProperty92.bin" ContentType="application/vnd.openxmlformats-officedocument.spreadsheetml.customProperty"/>
  <Override PartName="/xl/drawings/drawing35.xml" ContentType="application/vnd.openxmlformats-officedocument.drawing+xml"/>
  <Override PartName="/xl/activeX/activeX34.xml" ContentType="application/vnd.ms-office.activeX+xml"/>
  <Override PartName="/xl/activeX/activeX34.bin" ContentType="application/vnd.ms-office.activeX"/>
  <Override PartName="/xl/comments46.xml" ContentType="application/vnd.openxmlformats-officedocument.spreadsheetml.comments+xml"/>
  <Override PartName="/xl/customProperty93.bin" ContentType="application/vnd.openxmlformats-officedocument.spreadsheetml.customProperty"/>
  <Override PartName="/xl/customProperty94.bin" ContentType="application/vnd.openxmlformats-officedocument.spreadsheetml.customProperty"/>
  <Override PartName="/xl/customProperty95.bin" ContentType="application/vnd.openxmlformats-officedocument.spreadsheetml.customProperty"/>
  <Override PartName="/xl/drawings/drawing36.xml" ContentType="application/vnd.openxmlformats-officedocument.drawing+xml"/>
  <Override PartName="/xl/activeX/activeX35.xml" ContentType="application/vnd.ms-office.activeX+xml"/>
  <Override PartName="/xl/activeX/activeX35.bin" ContentType="application/vnd.ms-office.activeX"/>
  <Override PartName="/xl/comments47.xml" ContentType="application/vnd.openxmlformats-officedocument.spreadsheetml.comments+xml"/>
  <Override PartName="/xl/customProperty96.bin" ContentType="application/vnd.openxmlformats-officedocument.spreadsheetml.customProperty"/>
  <Override PartName="/xl/drawings/drawing37.xml" ContentType="application/vnd.openxmlformats-officedocument.drawing+xml"/>
  <Override PartName="/xl/activeX/activeX36.xml" ContentType="application/vnd.ms-office.activeX+xml"/>
  <Override PartName="/xl/activeX/activeX36.bin" ContentType="application/vnd.ms-office.activeX"/>
  <Override PartName="/xl/comments48.xml" ContentType="application/vnd.openxmlformats-officedocument.spreadsheetml.comments+xml"/>
  <Override PartName="/xl/customProperty97.bin" ContentType="application/vnd.openxmlformats-officedocument.spreadsheetml.customProperty"/>
  <Override PartName="/xl/customProperty98.bin" ContentType="application/vnd.openxmlformats-officedocument.spreadsheetml.customProperty"/>
  <Override PartName="/xl/customProperty99.bin" ContentType="application/vnd.openxmlformats-officedocument.spreadsheetml.customProperty"/>
  <Override PartName="/xl/drawings/drawing38.xml" ContentType="application/vnd.openxmlformats-officedocument.drawing+xml"/>
  <Override PartName="/xl/activeX/activeX37.xml" ContentType="application/vnd.ms-office.activeX+xml"/>
  <Override PartName="/xl/activeX/activeX37.bin" ContentType="application/vnd.ms-office.activeX"/>
  <Override PartName="/xl/comments49.xml" ContentType="application/vnd.openxmlformats-officedocument.spreadsheetml.comments+xml"/>
  <Override PartName="/xl/customProperty100.bin" ContentType="application/vnd.openxmlformats-officedocument.spreadsheetml.customProperty"/>
  <Override PartName="/xl/drawings/drawing39.xml" ContentType="application/vnd.openxmlformats-officedocument.drawing+xml"/>
  <Override PartName="/xl/activeX/activeX38.xml" ContentType="application/vnd.ms-office.activeX+xml"/>
  <Override PartName="/xl/activeX/activeX38.bin" ContentType="application/vnd.ms-office.activeX"/>
  <Override PartName="/xl/comments50.xml" ContentType="application/vnd.openxmlformats-officedocument.spreadsheetml.comments+xml"/>
  <Override PartName="/xl/customProperty101.bin" ContentType="application/vnd.openxmlformats-officedocument.spreadsheetml.customProperty"/>
  <Override PartName="/xl/customProperty102.bin" ContentType="application/vnd.openxmlformats-officedocument.spreadsheetml.customProperty"/>
  <Override PartName="/xl/customProperty103.bin" ContentType="application/vnd.openxmlformats-officedocument.spreadsheetml.customProperty"/>
  <Override PartName="/xl/drawings/drawing40.xml" ContentType="application/vnd.openxmlformats-officedocument.drawing+xml"/>
  <Override PartName="/xl/activeX/activeX39.xml" ContentType="application/vnd.ms-office.activeX+xml"/>
  <Override PartName="/xl/activeX/activeX39.bin" ContentType="application/vnd.ms-office.activeX"/>
  <Override PartName="/xl/comments51.xml" ContentType="application/vnd.openxmlformats-officedocument.spreadsheetml.comments+xml"/>
  <Override PartName="/xl/customProperty104.bin" ContentType="application/vnd.openxmlformats-officedocument.spreadsheetml.customProperty"/>
  <Override PartName="/xl/drawings/drawing41.xml" ContentType="application/vnd.openxmlformats-officedocument.drawing+xml"/>
  <Override PartName="/xl/activeX/activeX40.xml" ContentType="application/vnd.ms-office.activeX+xml"/>
  <Override PartName="/xl/activeX/activeX40.bin" ContentType="application/vnd.ms-office.activeX"/>
  <Override PartName="/xl/comments52.xml" ContentType="application/vnd.openxmlformats-officedocument.spreadsheetml.comments+xml"/>
  <Override PartName="/xl/customProperty105.bin" ContentType="application/vnd.openxmlformats-officedocument.spreadsheetml.customProperty"/>
  <Override PartName="/xl/customProperty106.bin" ContentType="application/vnd.openxmlformats-officedocument.spreadsheetml.customProperty"/>
  <Override PartName="/xl/customProperty107.bin" ContentType="application/vnd.openxmlformats-officedocument.spreadsheetml.customProperty"/>
  <Override PartName="/xl/drawings/drawing42.xml" ContentType="application/vnd.openxmlformats-officedocument.drawing+xml"/>
  <Override PartName="/xl/activeX/activeX41.xml" ContentType="application/vnd.ms-office.activeX+xml"/>
  <Override PartName="/xl/activeX/activeX41.bin" ContentType="application/vnd.ms-office.activeX"/>
  <Override PartName="/xl/comments53.xml" ContentType="application/vnd.openxmlformats-officedocument.spreadsheetml.comments+xml"/>
  <Override PartName="/xl/customProperty108.bin" ContentType="application/vnd.openxmlformats-officedocument.spreadsheetml.customProperty"/>
  <Override PartName="/xl/drawings/drawing43.xml" ContentType="application/vnd.openxmlformats-officedocument.drawing+xml"/>
  <Override PartName="/xl/activeX/activeX42.xml" ContentType="application/vnd.ms-office.activeX+xml"/>
  <Override PartName="/xl/activeX/activeX42.bin" ContentType="application/vnd.ms-office.activeX"/>
  <Override PartName="/xl/comments54.xml" ContentType="application/vnd.openxmlformats-officedocument.spreadsheetml.comments+xml"/>
  <Override PartName="/xl/customProperty109.bin" ContentType="application/vnd.openxmlformats-officedocument.spreadsheetml.customProperty"/>
  <Override PartName="/xl/customProperty110.bin" ContentType="application/vnd.openxmlformats-officedocument.spreadsheetml.customProperty"/>
  <Override PartName="/xl/customProperty111.bin" ContentType="application/vnd.openxmlformats-officedocument.spreadsheetml.customProperty"/>
  <Override PartName="/xl/drawings/drawing44.xml" ContentType="application/vnd.openxmlformats-officedocument.drawing+xml"/>
  <Override PartName="/xl/activeX/activeX43.xml" ContentType="application/vnd.ms-office.activeX+xml"/>
  <Override PartName="/xl/activeX/activeX43.bin" ContentType="application/vnd.ms-office.activeX"/>
  <Override PartName="/xl/comments55.xml" ContentType="application/vnd.openxmlformats-officedocument.spreadsheetml.comments+xml"/>
  <Override PartName="/xl/customProperty112.bin" ContentType="application/vnd.openxmlformats-officedocument.spreadsheetml.customProperty"/>
  <Override PartName="/xl/drawings/drawing45.xml" ContentType="application/vnd.openxmlformats-officedocument.drawing+xml"/>
  <Override PartName="/xl/activeX/activeX44.xml" ContentType="application/vnd.ms-office.activeX+xml"/>
  <Override PartName="/xl/activeX/activeX44.bin" ContentType="application/vnd.ms-office.activeX"/>
  <Override PartName="/xl/comments56.xml" ContentType="application/vnd.openxmlformats-officedocument.spreadsheetml.comments+xml"/>
  <Override PartName="/xl/customProperty113.bin" ContentType="application/vnd.openxmlformats-officedocument.spreadsheetml.customProperty"/>
  <Override PartName="/xl/customProperty114.bin" ContentType="application/vnd.openxmlformats-officedocument.spreadsheetml.customProperty"/>
  <Override PartName="/xl/customProperty115.bin" ContentType="application/vnd.openxmlformats-officedocument.spreadsheetml.customProperty"/>
  <Override PartName="/xl/drawings/drawing46.xml" ContentType="application/vnd.openxmlformats-officedocument.drawing+xml"/>
  <Override PartName="/xl/activeX/activeX45.xml" ContentType="application/vnd.ms-office.activeX+xml"/>
  <Override PartName="/xl/activeX/activeX45.bin" ContentType="application/vnd.ms-office.activeX"/>
  <Override PartName="/xl/comments57.xml" ContentType="application/vnd.openxmlformats-officedocument.spreadsheetml.comments+xml"/>
  <Override PartName="/xl/customProperty116.bin" ContentType="application/vnd.openxmlformats-officedocument.spreadsheetml.customProperty"/>
  <Override PartName="/xl/drawings/drawing47.xml" ContentType="application/vnd.openxmlformats-officedocument.drawing+xml"/>
  <Override PartName="/xl/activeX/activeX46.xml" ContentType="application/vnd.ms-office.activeX+xml"/>
  <Override PartName="/xl/activeX/activeX46.bin" ContentType="application/vnd.ms-office.activeX"/>
  <Override PartName="/xl/comments58.xml" ContentType="application/vnd.openxmlformats-officedocument.spreadsheetml.comments+xml"/>
  <Override PartName="/xl/customProperty117.bin" ContentType="application/vnd.openxmlformats-officedocument.spreadsheetml.customProperty"/>
  <Override PartName="/xl/customProperty118.bin" ContentType="application/vnd.openxmlformats-officedocument.spreadsheetml.customProperty"/>
  <Override PartName="/xl/customProperty119.bin" ContentType="application/vnd.openxmlformats-officedocument.spreadsheetml.customProperty"/>
  <Override PartName="/xl/drawings/drawing48.xml" ContentType="application/vnd.openxmlformats-officedocument.drawing+xml"/>
  <Override PartName="/xl/activeX/activeX47.xml" ContentType="application/vnd.ms-office.activeX+xml"/>
  <Override PartName="/xl/activeX/activeX47.bin" ContentType="application/vnd.ms-office.activeX"/>
  <Override PartName="/xl/comments59.xml" ContentType="application/vnd.openxmlformats-officedocument.spreadsheetml.comments+xml"/>
  <Override PartName="/xl/customProperty120.bin" ContentType="application/vnd.openxmlformats-officedocument.spreadsheetml.customProperty"/>
  <Override PartName="/xl/drawings/drawing49.xml" ContentType="application/vnd.openxmlformats-officedocument.drawing+xml"/>
  <Override PartName="/xl/activeX/activeX48.xml" ContentType="application/vnd.ms-office.activeX+xml"/>
  <Override PartName="/xl/activeX/activeX48.bin" ContentType="application/vnd.ms-office.activeX"/>
  <Override PartName="/xl/comments60.xml" ContentType="application/vnd.openxmlformats-officedocument.spreadsheetml.comments+xml"/>
  <Override PartName="/xl/customProperty121.bin" ContentType="application/vnd.openxmlformats-officedocument.spreadsheetml.customProperty"/>
  <Override PartName="/xl/customProperty122.bin" ContentType="application/vnd.openxmlformats-officedocument.spreadsheetml.customProperty"/>
  <Override PartName="/xl/customProperty123.bin" ContentType="application/vnd.openxmlformats-officedocument.spreadsheetml.customProperty"/>
  <Override PartName="/xl/drawings/drawing50.xml" ContentType="application/vnd.openxmlformats-officedocument.drawing+xml"/>
  <Override PartName="/xl/activeX/activeX49.xml" ContentType="application/vnd.ms-office.activeX+xml"/>
  <Override PartName="/xl/activeX/activeX49.bin" ContentType="application/vnd.ms-office.activeX"/>
  <Override PartName="/xl/comments61.xml" ContentType="application/vnd.openxmlformats-officedocument.spreadsheetml.comments+xml"/>
  <Override PartName="/xl/customProperty124.bin" ContentType="application/vnd.openxmlformats-officedocument.spreadsheetml.customProperty"/>
  <Override PartName="/xl/drawings/drawing51.xml" ContentType="application/vnd.openxmlformats-officedocument.drawing+xml"/>
  <Override PartName="/xl/activeX/activeX50.xml" ContentType="application/vnd.ms-office.activeX+xml"/>
  <Override PartName="/xl/activeX/activeX50.bin" ContentType="application/vnd.ms-office.activeX"/>
  <Override PartName="/xl/comments62.xml" ContentType="application/vnd.openxmlformats-officedocument.spreadsheetml.comments+xml"/>
  <Override PartName="/xl/customProperty125.bin" ContentType="application/vnd.openxmlformats-officedocument.spreadsheetml.customProperty"/>
  <Override PartName="/xl/customProperty126.bin" ContentType="application/vnd.openxmlformats-officedocument.spreadsheetml.customProperty"/>
  <Override PartName="/xl/customProperty127.bin" ContentType="application/vnd.openxmlformats-officedocument.spreadsheetml.customProperty"/>
  <Override PartName="/xl/comments63.xml" ContentType="application/vnd.openxmlformats-officedocument.spreadsheetml.comments+xml"/>
  <Override PartName="/xl/customProperty128.bin" ContentType="application/vnd.openxmlformats-officedocument.spreadsheetml.customProperty"/>
  <Override PartName="/xl/drawings/drawing52.xml" ContentType="application/vnd.openxmlformats-officedocument.drawing+xml"/>
  <Override PartName="/xl/activeX/activeX51.xml" ContentType="application/vnd.ms-office.activeX+xml"/>
  <Override PartName="/xl/activeX/activeX51.bin" ContentType="application/vnd.ms-office.activeX"/>
  <Override PartName="/xl/comments64.xml" ContentType="application/vnd.openxmlformats-officedocument.spreadsheetml.comments+xml"/>
  <Override PartName="/xl/customProperty129.bin" ContentType="application/vnd.openxmlformats-officedocument.spreadsheetml.customProperty"/>
  <Override PartName="/xl/customProperty130.bin" ContentType="application/vnd.openxmlformats-officedocument.spreadsheetml.customProperty"/>
  <Override PartName="/xl/customProperty131.bin" ContentType="application/vnd.openxmlformats-officedocument.spreadsheetml.customProperty"/>
  <Override PartName="/xl/drawings/drawing53.xml" ContentType="application/vnd.openxmlformats-officedocument.drawing+xml"/>
  <Override PartName="/xl/activeX/activeX52.xml" ContentType="application/vnd.ms-office.activeX+xml"/>
  <Override PartName="/xl/activeX/activeX52.bin" ContentType="application/vnd.ms-office.activeX"/>
  <Override PartName="/xl/comments65.xml" ContentType="application/vnd.openxmlformats-officedocument.spreadsheetml.comments+xml"/>
  <Override PartName="/xl/customProperty132.bin" ContentType="application/vnd.openxmlformats-officedocument.spreadsheetml.customProperty"/>
  <Override PartName="/xl/drawings/drawing54.xml" ContentType="application/vnd.openxmlformats-officedocument.drawing+xml"/>
  <Override PartName="/xl/activeX/activeX53.xml" ContentType="application/vnd.ms-office.activeX+xml"/>
  <Override PartName="/xl/activeX/activeX53.bin" ContentType="application/vnd.ms-office.activeX"/>
  <Override PartName="/xl/comments66.xml" ContentType="application/vnd.openxmlformats-officedocument.spreadsheetml.comments+xml"/>
  <Override PartName="/xl/customProperty133.bin" ContentType="application/vnd.openxmlformats-officedocument.spreadsheetml.customProperty"/>
  <Override PartName="/xl/customProperty134.bin" ContentType="application/vnd.openxmlformats-officedocument.spreadsheetml.customProperty"/>
  <Override PartName="/xl/customProperty135.bin" ContentType="application/vnd.openxmlformats-officedocument.spreadsheetml.customProperty"/>
  <Override PartName="/xl/drawings/drawing55.xml" ContentType="application/vnd.openxmlformats-officedocument.drawing+xml"/>
  <Override PartName="/xl/activeX/activeX54.xml" ContentType="application/vnd.ms-office.activeX+xml"/>
  <Override PartName="/xl/activeX/activeX54.bin" ContentType="application/vnd.ms-office.activeX"/>
  <Override PartName="/xl/comments67.xml" ContentType="application/vnd.openxmlformats-officedocument.spreadsheetml.comments+xml"/>
  <Override PartName="/xl/customProperty136.bin" ContentType="application/vnd.openxmlformats-officedocument.spreadsheetml.customProperty"/>
  <Override PartName="/xl/drawings/drawing56.xml" ContentType="application/vnd.openxmlformats-officedocument.drawing+xml"/>
  <Override PartName="/xl/activeX/activeX55.xml" ContentType="application/vnd.ms-office.activeX+xml"/>
  <Override PartName="/xl/activeX/activeX55.bin" ContentType="application/vnd.ms-office.activeX"/>
  <Override PartName="/xl/comments68.xml" ContentType="application/vnd.openxmlformats-officedocument.spreadsheetml.comments+xml"/>
  <Override PartName="/xl/customProperty137.bin" ContentType="application/vnd.openxmlformats-officedocument.spreadsheetml.customProperty"/>
  <Override PartName="/xl/customProperty138.bin" ContentType="application/vnd.openxmlformats-officedocument.spreadsheetml.customProperty"/>
  <Override PartName="/xl/customProperty139.bin" ContentType="application/vnd.openxmlformats-officedocument.spreadsheetml.customProperty"/>
  <Override PartName="/xl/drawings/drawing57.xml" ContentType="application/vnd.openxmlformats-officedocument.drawing+xml"/>
  <Override PartName="/xl/activeX/activeX56.xml" ContentType="application/vnd.ms-office.activeX+xml"/>
  <Override PartName="/xl/activeX/activeX56.bin" ContentType="application/vnd.ms-office.activeX"/>
  <Override PartName="/xl/comments69.xml" ContentType="application/vnd.openxmlformats-officedocument.spreadsheetml.comments+xml"/>
  <Override PartName="/xl/customProperty140.bin" ContentType="application/vnd.openxmlformats-officedocument.spreadsheetml.customProperty"/>
  <Override PartName="/xl/drawings/drawing58.xml" ContentType="application/vnd.openxmlformats-officedocument.drawing+xml"/>
  <Override PartName="/xl/activeX/activeX57.xml" ContentType="application/vnd.ms-office.activeX+xml"/>
  <Override PartName="/xl/activeX/activeX57.bin" ContentType="application/vnd.ms-office.activeX"/>
  <Override PartName="/xl/comments70.xml" ContentType="application/vnd.openxmlformats-officedocument.spreadsheetml.comments+xml"/>
  <Override PartName="/xl/customProperty141.bin" ContentType="application/vnd.openxmlformats-officedocument.spreadsheetml.customProperty"/>
  <Override PartName="/xl/customProperty142.bin" ContentType="application/vnd.openxmlformats-officedocument.spreadsheetml.customProperty"/>
  <Override PartName="/xl/customProperty143.bin" ContentType="application/vnd.openxmlformats-officedocument.spreadsheetml.customProperty"/>
  <Override PartName="/xl/drawings/drawing59.xml" ContentType="application/vnd.openxmlformats-officedocument.drawing+xml"/>
  <Override PartName="/xl/activeX/activeX58.xml" ContentType="application/vnd.ms-office.activeX+xml"/>
  <Override PartName="/xl/activeX/activeX58.bin" ContentType="application/vnd.ms-office.activeX"/>
  <Override PartName="/xl/comments71.xml" ContentType="application/vnd.openxmlformats-officedocument.spreadsheetml.comments+xml"/>
  <Override PartName="/xl/customProperty144.bin" ContentType="application/vnd.openxmlformats-officedocument.spreadsheetml.customProperty"/>
  <Override PartName="/xl/drawings/drawing60.xml" ContentType="application/vnd.openxmlformats-officedocument.drawing+xml"/>
  <Override PartName="/xl/activeX/activeX59.xml" ContentType="application/vnd.ms-office.activeX+xml"/>
  <Override PartName="/xl/activeX/activeX59.bin" ContentType="application/vnd.ms-office.activeX"/>
  <Override PartName="/xl/comments72.xml" ContentType="application/vnd.openxmlformats-officedocument.spreadsheetml.comments+xml"/>
  <Override PartName="/xl/customProperty145.bin" ContentType="application/vnd.openxmlformats-officedocument.spreadsheetml.customProperty"/>
  <Override PartName="/xl/customProperty146.bin" ContentType="application/vnd.openxmlformats-officedocument.spreadsheetml.customProperty"/>
  <Override PartName="/xl/customProperty147.bin" ContentType="application/vnd.openxmlformats-officedocument.spreadsheetml.customProperty"/>
  <Override PartName="/xl/drawings/drawing61.xml" ContentType="application/vnd.openxmlformats-officedocument.drawing+xml"/>
  <Override PartName="/xl/activeX/activeX60.xml" ContentType="application/vnd.ms-office.activeX+xml"/>
  <Override PartName="/xl/activeX/activeX60.bin" ContentType="application/vnd.ms-office.activeX"/>
  <Override PartName="/xl/comments73.xml" ContentType="application/vnd.openxmlformats-officedocument.spreadsheetml.comments+xml"/>
  <Override PartName="/xl/customProperty148.bin" ContentType="application/vnd.openxmlformats-officedocument.spreadsheetml.customProperty"/>
  <Override PartName="/xl/drawings/drawing62.xml" ContentType="application/vnd.openxmlformats-officedocument.drawing+xml"/>
  <Override PartName="/xl/activeX/activeX61.xml" ContentType="application/vnd.ms-office.activeX+xml"/>
  <Override PartName="/xl/activeX/activeX61.bin" ContentType="application/vnd.ms-office.activeX"/>
  <Override PartName="/xl/comments74.xml" ContentType="application/vnd.openxmlformats-officedocument.spreadsheetml.comments+xml"/>
  <Override PartName="/xl/customProperty149.bin" ContentType="application/vnd.openxmlformats-officedocument.spreadsheetml.customProperty"/>
  <Override PartName="/xl/customProperty150.bin" ContentType="application/vnd.openxmlformats-officedocument.spreadsheetml.customProperty"/>
  <Override PartName="/xl/customProperty151.bin" ContentType="application/vnd.openxmlformats-officedocument.spreadsheetml.customProperty"/>
  <Override PartName="/xl/drawings/drawing63.xml" ContentType="application/vnd.openxmlformats-officedocument.drawing+xml"/>
  <Override PartName="/xl/activeX/activeX62.xml" ContentType="application/vnd.ms-office.activeX+xml"/>
  <Override PartName="/xl/activeX/activeX62.bin" ContentType="application/vnd.ms-office.activeX"/>
  <Override PartName="/xl/comments75.xml" ContentType="application/vnd.openxmlformats-officedocument.spreadsheetml.comments+xml"/>
  <Override PartName="/xl/customProperty152.bin" ContentType="application/vnd.openxmlformats-officedocument.spreadsheetml.customProperty"/>
  <Override PartName="/xl/drawings/drawing64.xml" ContentType="application/vnd.openxmlformats-officedocument.drawing+xml"/>
  <Override PartName="/xl/activeX/activeX63.xml" ContentType="application/vnd.ms-office.activeX+xml"/>
  <Override PartName="/xl/activeX/activeX63.bin" ContentType="application/vnd.ms-office.activeX"/>
  <Override PartName="/xl/comments76.xml" ContentType="application/vnd.openxmlformats-officedocument.spreadsheetml.comments+xml"/>
  <Override PartName="/xl/customProperty153.bin" ContentType="application/vnd.openxmlformats-officedocument.spreadsheetml.customProperty"/>
  <Override PartName="/xl/customProperty154.bin" ContentType="application/vnd.openxmlformats-officedocument.spreadsheetml.customProperty"/>
  <Override PartName="/xl/customProperty155.bin" ContentType="application/vnd.openxmlformats-officedocument.spreadsheetml.customProperty"/>
  <Override PartName="/xl/drawings/drawing65.xml" ContentType="application/vnd.openxmlformats-officedocument.drawing+xml"/>
  <Override PartName="/xl/activeX/activeX64.xml" ContentType="application/vnd.ms-office.activeX+xml"/>
  <Override PartName="/xl/activeX/activeX64.bin" ContentType="application/vnd.ms-office.activeX"/>
  <Override PartName="/xl/comments77.xml" ContentType="application/vnd.openxmlformats-officedocument.spreadsheetml.comments+xml"/>
  <Override PartName="/xl/customProperty156.bin" ContentType="application/vnd.openxmlformats-officedocument.spreadsheetml.customProperty"/>
  <Override PartName="/xl/drawings/drawing66.xml" ContentType="application/vnd.openxmlformats-officedocument.drawing+xml"/>
  <Override PartName="/xl/activeX/activeX65.xml" ContentType="application/vnd.ms-office.activeX+xml"/>
  <Override PartName="/xl/activeX/activeX65.bin" ContentType="application/vnd.ms-office.activeX"/>
  <Override PartName="/xl/comments78.xml" ContentType="application/vnd.openxmlformats-officedocument.spreadsheetml.comments+xml"/>
  <Override PartName="/xl/customProperty157.bin" ContentType="application/vnd.openxmlformats-officedocument.spreadsheetml.customProperty"/>
  <Override PartName="/xl/customProperty158.bin" ContentType="application/vnd.openxmlformats-officedocument.spreadsheetml.customProperty"/>
  <Override PartName="/xl/customProperty159.bin" ContentType="application/vnd.openxmlformats-officedocument.spreadsheetml.customProperty"/>
  <Override PartName="/xl/drawings/drawing67.xml" ContentType="application/vnd.openxmlformats-officedocument.drawing+xml"/>
  <Override PartName="/xl/activeX/activeX66.xml" ContentType="application/vnd.ms-office.activeX+xml"/>
  <Override PartName="/xl/activeX/activeX66.bin" ContentType="application/vnd.ms-office.activeX"/>
  <Override PartName="/xl/comments79.xml" ContentType="application/vnd.openxmlformats-officedocument.spreadsheetml.comments+xml"/>
  <Override PartName="/xl/customProperty160.bin" ContentType="application/vnd.openxmlformats-officedocument.spreadsheetml.customProperty"/>
  <Override PartName="/xl/drawings/drawing68.xml" ContentType="application/vnd.openxmlformats-officedocument.drawing+xml"/>
  <Override PartName="/xl/activeX/activeX67.xml" ContentType="application/vnd.ms-office.activeX+xml"/>
  <Override PartName="/xl/activeX/activeX67.bin" ContentType="application/vnd.ms-office.activeX"/>
  <Override PartName="/xl/comments80.xml" ContentType="application/vnd.openxmlformats-officedocument.spreadsheetml.comments+xml"/>
  <Override PartName="/xl/customProperty161.bin" ContentType="application/vnd.openxmlformats-officedocument.spreadsheetml.customProperty"/>
  <Override PartName="/xl/customProperty162.bin" ContentType="application/vnd.openxmlformats-officedocument.spreadsheetml.customProperty"/>
  <Override PartName="/xl/customProperty163.bin" ContentType="application/vnd.openxmlformats-officedocument.spreadsheetml.customProperty"/>
  <Override PartName="/xl/drawings/drawing69.xml" ContentType="application/vnd.openxmlformats-officedocument.drawing+xml"/>
  <Override PartName="/xl/activeX/activeX68.xml" ContentType="application/vnd.ms-office.activeX+xml"/>
  <Override PartName="/xl/activeX/activeX68.bin" ContentType="application/vnd.ms-office.activeX"/>
  <Override PartName="/xl/comments81.xml" ContentType="application/vnd.openxmlformats-officedocument.spreadsheetml.comments+xml"/>
  <Override PartName="/xl/customProperty164.bin" ContentType="application/vnd.openxmlformats-officedocument.spreadsheetml.customProperty"/>
  <Override PartName="/xl/drawings/drawing70.xml" ContentType="application/vnd.openxmlformats-officedocument.drawing+xml"/>
  <Override PartName="/xl/activeX/activeX69.xml" ContentType="application/vnd.ms-office.activeX+xml"/>
  <Override PartName="/xl/activeX/activeX69.bin" ContentType="application/vnd.ms-office.activeX"/>
  <Override PartName="/xl/comments82.xml" ContentType="application/vnd.openxmlformats-officedocument.spreadsheetml.comments+xml"/>
  <Override PartName="/xl/customProperty165.bin" ContentType="application/vnd.openxmlformats-officedocument.spreadsheetml.customProperty"/>
  <Override PartName="/xl/customProperty166.bin" ContentType="application/vnd.openxmlformats-officedocument.spreadsheetml.customProperty"/>
  <Override PartName="/xl/customProperty167.bin" ContentType="application/vnd.openxmlformats-officedocument.spreadsheetml.customProperty"/>
  <Override PartName="/xl/comments83.xml" ContentType="application/vnd.openxmlformats-officedocument.spreadsheetml.comments+xml"/>
  <Override PartName="/xl/customProperty168.bin" ContentType="application/vnd.openxmlformats-officedocument.spreadsheetml.customProperty"/>
  <Override PartName="/xl/drawings/drawing71.xml" ContentType="application/vnd.openxmlformats-officedocument.drawing+xml"/>
  <Override PartName="/xl/activeX/activeX70.xml" ContentType="application/vnd.ms-office.activeX+xml"/>
  <Override PartName="/xl/activeX/activeX70.bin" ContentType="application/vnd.ms-office.activeX"/>
  <Override PartName="/xl/comments84.xml" ContentType="application/vnd.openxmlformats-officedocument.spreadsheetml.comments+xml"/>
  <Override PartName="/xl/customProperty169.bin" ContentType="application/vnd.openxmlformats-officedocument.spreadsheetml.customProperty"/>
  <Override PartName="/xl/customProperty170.bin" ContentType="application/vnd.openxmlformats-officedocument.spreadsheetml.customProperty"/>
  <Override PartName="/xl/customProperty171.bin" ContentType="application/vnd.openxmlformats-officedocument.spreadsheetml.customProperty"/>
  <Override PartName="/xl/drawings/drawing72.xml" ContentType="application/vnd.openxmlformats-officedocument.drawing+xml"/>
  <Override PartName="/xl/activeX/activeX71.xml" ContentType="application/vnd.ms-office.activeX+xml"/>
  <Override PartName="/xl/activeX/activeX71.bin" ContentType="application/vnd.ms-office.activeX"/>
  <Override PartName="/xl/comments85.xml" ContentType="application/vnd.openxmlformats-officedocument.spreadsheetml.comments+xml"/>
  <Override PartName="/xl/customProperty172.bin" ContentType="application/vnd.openxmlformats-officedocument.spreadsheetml.customProperty"/>
  <Override PartName="/xl/drawings/drawing73.xml" ContentType="application/vnd.openxmlformats-officedocument.drawing+xml"/>
  <Override PartName="/xl/activeX/activeX72.xml" ContentType="application/vnd.ms-office.activeX+xml"/>
  <Override PartName="/xl/activeX/activeX72.bin" ContentType="application/vnd.ms-office.activeX"/>
  <Override PartName="/xl/comments86.xml" ContentType="application/vnd.openxmlformats-officedocument.spreadsheetml.comments+xml"/>
  <Override PartName="/xl/customProperty173.bin" ContentType="application/vnd.openxmlformats-officedocument.spreadsheetml.customProperty"/>
  <Override PartName="/xl/customProperty174.bin" ContentType="application/vnd.openxmlformats-officedocument.spreadsheetml.customProperty"/>
  <Override PartName="/xl/customProperty175.bin" ContentType="application/vnd.openxmlformats-officedocument.spreadsheetml.customProperty"/>
  <Override PartName="/xl/drawings/drawing74.xml" ContentType="application/vnd.openxmlformats-officedocument.drawing+xml"/>
  <Override PartName="/xl/activeX/activeX73.xml" ContentType="application/vnd.ms-office.activeX+xml"/>
  <Override PartName="/xl/activeX/activeX73.bin" ContentType="application/vnd.ms-office.activeX"/>
  <Override PartName="/xl/comments87.xml" ContentType="application/vnd.openxmlformats-officedocument.spreadsheetml.comments+xml"/>
  <Override PartName="/xl/customProperty176.bin" ContentType="application/vnd.openxmlformats-officedocument.spreadsheetml.customProperty"/>
  <Override PartName="/xl/drawings/drawing75.xml" ContentType="application/vnd.openxmlformats-officedocument.drawing+xml"/>
  <Override PartName="/xl/activeX/activeX74.xml" ContentType="application/vnd.ms-office.activeX+xml"/>
  <Override PartName="/xl/activeX/activeX74.bin" ContentType="application/vnd.ms-office.activeX"/>
  <Override PartName="/xl/comments88.xml" ContentType="application/vnd.openxmlformats-officedocument.spreadsheetml.comments+xml"/>
  <Override PartName="/xl/customProperty177.bin" ContentType="application/vnd.openxmlformats-officedocument.spreadsheetml.customProperty"/>
  <Override PartName="/xl/customProperty178.bin" ContentType="application/vnd.openxmlformats-officedocument.spreadsheetml.customProperty"/>
  <Override PartName="/xl/customProperty179.bin" ContentType="application/vnd.openxmlformats-officedocument.spreadsheetml.customProperty"/>
  <Override PartName="/xl/drawings/drawing76.xml" ContentType="application/vnd.openxmlformats-officedocument.drawing+xml"/>
  <Override PartName="/xl/activeX/activeX75.xml" ContentType="application/vnd.ms-office.activeX+xml"/>
  <Override PartName="/xl/activeX/activeX75.bin" ContentType="application/vnd.ms-office.activeX"/>
  <Override PartName="/xl/comments89.xml" ContentType="application/vnd.openxmlformats-officedocument.spreadsheetml.comments+xml"/>
  <Override PartName="/xl/customProperty180.bin" ContentType="application/vnd.openxmlformats-officedocument.spreadsheetml.customProperty"/>
  <Override PartName="/xl/drawings/drawing77.xml" ContentType="application/vnd.openxmlformats-officedocument.drawing+xml"/>
  <Override PartName="/xl/activeX/activeX76.xml" ContentType="application/vnd.ms-office.activeX+xml"/>
  <Override PartName="/xl/activeX/activeX76.bin" ContentType="application/vnd.ms-office.activeX"/>
  <Override PartName="/xl/comments90.xml" ContentType="application/vnd.openxmlformats-officedocument.spreadsheetml.comments+xml"/>
  <Override PartName="/xl/customProperty181.bin" ContentType="application/vnd.openxmlformats-officedocument.spreadsheetml.customProperty"/>
  <Override PartName="/xl/customProperty182.bin" ContentType="application/vnd.openxmlformats-officedocument.spreadsheetml.customProperty"/>
  <Override PartName="/xl/customProperty183.bin" ContentType="application/vnd.openxmlformats-officedocument.spreadsheetml.customProperty"/>
  <Override PartName="/xl/drawings/drawing78.xml" ContentType="application/vnd.openxmlformats-officedocument.drawing+xml"/>
  <Override PartName="/xl/activeX/activeX77.xml" ContentType="application/vnd.ms-office.activeX+xml"/>
  <Override PartName="/xl/activeX/activeX77.bin" ContentType="application/vnd.ms-office.activeX"/>
  <Override PartName="/xl/comments91.xml" ContentType="application/vnd.openxmlformats-officedocument.spreadsheetml.comments+xml"/>
  <Override PartName="/xl/customProperty184.bin" ContentType="application/vnd.openxmlformats-officedocument.spreadsheetml.customProperty"/>
  <Override PartName="/xl/drawings/drawing79.xml" ContentType="application/vnd.openxmlformats-officedocument.drawing+xml"/>
  <Override PartName="/xl/activeX/activeX78.xml" ContentType="application/vnd.ms-office.activeX+xml"/>
  <Override PartName="/xl/activeX/activeX78.bin" ContentType="application/vnd.ms-office.activeX"/>
  <Override PartName="/xl/comments92.xml" ContentType="application/vnd.openxmlformats-officedocument.spreadsheetml.comments+xml"/>
  <Override PartName="/xl/customProperty185.bin" ContentType="application/vnd.openxmlformats-officedocument.spreadsheetml.customProperty"/>
  <Override PartName="/xl/customProperty186.bin" ContentType="application/vnd.openxmlformats-officedocument.spreadsheetml.customProperty"/>
  <Override PartName="/xl/customProperty187.bin" ContentType="application/vnd.openxmlformats-officedocument.spreadsheetml.customProperty"/>
  <Override PartName="/xl/drawings/drawing80.xml" ContentType="application/vnd.openxmlformats-officedocument.drawing+xml"/>
  <Override PartName="/xl/activeX/activeX79.xml" ContentType="application/vnd.ms-office.activeX+xml"/>
  <Override PartName="/xl/activeX/activeX79.bin" ContentType="application/vnd.ms-office.activeX"/>
  <Override PartName="/xl/comments93.xml" ContentType="application/vnd.openxmlformats-officedocument.spreadsheetml.comments+xml"/>
  <Override PartName="/xl/customProperty188.bin" ContentType="application/vnd.openxmlformats-officedocument.spreadsheetml.customProperty"/>
  <Override PartName="/xl/drawings/drawing81.xml" ContentType="application/vnd.openxmlformats-officedocument.drawing+xml"/>
  <Override PartName="/xl/activeX/activeX80.xml" ContentType="application/vnd.ms-office.activeX+xml"/>
  <Override PartName="/xl/activeX/activeX80.bin" ContentType="application/vnd.ms-office.activeX"/>
  <Override PartName="/xl/comments94.xml" ContentType="application/vnd.openxmlformats-officedocument.spreadsheetml.comments+xml"/>
  <Override PartName="/xl/customProperty189.bin" ContentType="application/vnd.openxmlformats-officedocument.spreadsheetml.customProperty"/>
  <Override PartName="/xl/customProperty190.bin" ContentType="application/vnd.openxmlformats-officedocument.spreadsheetml.customProperty"/>
  <Override PartName="/xl/customProperty191.bin" ContentType="application/vnd.openxmlformats-officedocument.spreadsheetml.customProperty"/>
  <Override PartName="/xl/drawings/drawing82.xml" ContentType="application/vnd.openxmlformats-officedocument.drawing+xml"/>
  <Override PartName="/xl/activeX/activeX81.xml" ContentType="application/vnd.ms-office.activeX+xml"/>
  <Override PartName="/xl/activeX/activeX81.bin" ContentType="application/vnd.ms-office.activeX"/>
  <Override PartName="/xl/comments95.xml" ContentType="application/vnd.openxmlformats-officedocument.spreadsheetml.comments+xml"/>
  <Override PartName="/xl/customProperty192.bin" ContentType="application/vnd.openxmlformats-officedocument.spreadsheetml.customProperty"/>
  <Override PartName="/xl/drawings/drawing83.xml" ContentType="application/vnd.openxmlformats-officedocument.drawing+xml"/>
  <Override PartName="/xl/activeX/activeX82.xml" ContentType="application/vnd.ms-office.activeX+xml"/>
  <Override PartName="/xl/activeX/activeX82.bin" ContentType="application/vnd.ms-office.activeX"/>
  <Override PartName="/xl/comments96.xml" ContentType="application/vnd.openxmlformats-officedocument.spreadsheetml.comments+xml"/>
  <Override PartName="/xl/customProperty193.bin" ContentType="application/vnd.openxmlformats-officedocument.spreadsheetml.customProperty"/>
  <Override PartName="/xl/customProperty194.bin" ContentType="application/vnd.openxmlformats-officedocument.spreadsheetml.customProperty"/>
  <Override PartName="/xl/customProperty195.bin" ContentType="application/vnd.openxmlformats-officedocument.spreadsheetml.customProperty"/>
  <Override PartName="/xl/drawings/drawing84.xml" ContentType="application/vnd.openxmlformats-officedocument.drawing+xml"/>
  <Override PartName="/xl/activeX/activeX83.xml" ContentType="application/vnd.ms-office.activeX+xml"/>
  <Override PartName="/xl/activeX/activeX83.bin" ContentType="application/vnd.ms-office.activeX"/>
  <Override PartName="/xl/comments97.xml" ContentType="application/vnd.openxmlformats-officedocument.spreadsheetml.comments+xml"/>
  <Override PartName="/xl/customProperty196.bin" ContentType="application/vnd.openxmlformats-officedocument.spreadsheetml.customProperty"/>
  <Override PartName="/xl/drawings/drawing85.xml" ContentType="application/vnd.openxmlformats-officedocument.drawing+xml"/>
  <Override PartName="/xl/activeX/activeX84.xml" ContentType="application/vnd.ms-office.activeX+xml"/>
  <Override PartName="/xl/activeX/activeX84.bin" ContentType="application/vnd.ms-office.activeX"/>
  <Override PartName="/xl/comments9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defaultThemeVersion="124226"/>
  <mc:AlternateContent xmlns:mc="http://schemas.openxmlformats.org/markup-compatibility/2006">
    <mc:Choice Requires="x15">
      <x15ac:absPath xmlns:x15ac="http://schemas.microsoft.com/office/spreadsheetml/2010/11/ac" url="https://khpcp-my.sharepoint.com/personal/louis_petauton_khpcp_com1/Documents/Documents - KHP Capital Partners Team Site/The Angler's Hotel - Disposition/The Angler's Hotel - Data Room/1 - Financials/Detailed Financials/"/>
    </mc:Choice>
  </mc:AlternateContent>
  <xr:revisionPtr revIDLastSave="0" documentId="13_ncr:1_{8E75251C-237E-421D-A76D-6C85EF24D6D7}" xr6:coauthVersionLast="47" xr6:coauthVersionMax="47" xr10:uidLastSave="{00000000-0000-0000-0000-000000000000}"/>
  <bookViews>
    <workbookView xWindow="28680" yWindow="-45" windowWidth="29040" windowHeight="15720" tabRatio="805" firstSheet="49" activeTab="75" xr2:uid="{00000000-000D-0000-FFFF-FFFF00000000}"/>
  </bookViews>
  <sheets>
    <sheet name="LDXz8fdsAE2Ug4AWCUzTAA==" sheetId="5" state="veryHidden" r:id="rId1"/>
    <sheet name="SetUp" sheetId="71" r:id="rId2"/>
    <sheet name="5BEUb7L8eUmzgq3JSA6eRw==" sheetId="37" state="veryHidden" r:id="rId3"/>
    <sheet name="Summary" sheetId="72" r:id="rId4"/>
    <sheet name="AoaAblQE00GhlY7N8v+qEg==" sheetId="4" state="veryHidden" r:id="rId5"/>
    <sheet name="Rooms" sheetId="73" r:id="rId6"/>
    <sheet name="a+q8tK9WI0eMRZSUkMLVTQ==" sheetId="6" state="veryHidden" r:id="rId7"/>
    <sheet name="MMA" sheetId="74" r:id="rId8"/>
    <sheet name="jhweJqrE+0iz7sclGhWO_g==" sheetId="7" state="veryHidden" r:id="rId9"/>
    <sheet name="Resv" sheetId="75" r:id="rId10"/>
    <sheet name="S8A8meZvq0OzntGi4q71ww==" sheetId="16" state="veryHidden" r:id="rId11"/>
    <sheet name="FB_Cons" sheetId="76" r:id="rId12"/>
    <sheet name="TlUETfS3O0q_qMqyXc31kg==" sheetId="17" state="veryHidden" r:id="rId13"/>
    <sheet name="FB_KPI" sheetId="77" r:id="rId14"/>
    <sheet name="3wuSWMeHY0ScOgohsNW2oA==" sheetId="9" state="veryHidden" r:id="rId15"/>
    <sheet name="Venue1" sheetId="78" r:id="rId16"/>
    <sheet name="hBP4qoENkE6FjOiCOXli+g==" sheetId="39" state="veryHidden" r:id="rId17"/>
    <sheet name="Venue1_KPI" sheetId="79" r:id="rId18"/>
    <sheet name="+dizOA3Sw0KBoxqLoMq_qQ==" sheetId="51" state="veryHidden" r:id="rId19"/>
    <sheet name="Venue2" sheetId="80" r:id="rId20"/>
    <sheet name="aqaGhLEiDU+wymKUzPWuvQ==" sheetId="55" state="veryHidden" r:id="rId21"/>
    <sheet name="Venue2_KPI" sheetId="81" r:id="rId22"/>
    <sheet name="Ur9cICEiX0+v1s7WCqhDjg==" sheetId="52" state="veryHidden" r:id="rId23"/>
    <sheet name="Venue3" sheetId="82" r:id="rId24"/>
    <sheet name="kBaoEHqqKkiQPdikogNI3Q==" sheetId="56" state="veryHidden" r:id="rId25"/>
    <sheet name="Venue3_KPI" sheetId="83" r:id="rId26"/>
    <sheet name="_PPZ4ye_GEGtgi8gkINWpw==" sheetId="53" state="veryHidden" r:id="rId27"/>
    <sheet name="Venue4" sheetId="84" r:id="rId28"/>
    <sheet name="jRxs7R+H60+fLrZ6OuEQNQ==" sheetId="57" state="veryHidden" r:id="rId29"/>
    <sheet name="Venue4_KPI" sheetId="85" r:id="rId30"/>
    <sheet name="ZSriImMDIEKQMZC+g31cpw==" sheetId="61" state="veryHidden" r:id="rId31"/>
    <sheet name="Venue5" sheetId="86" r:id="rId32"/>
    <sheet name="Z7lKZxxBG0O8LPgoY1wOcA==" sheetId="62" state="veryHidden" r:id="rId33"/>
    <sheet name="Venue5_KPI" sheetId="87" r:id="rId34"/>
    <sheet name="vTCkZLqCi06j3ZbWEk8hCQ==" sheetId="63" state="veryHidden" r:id="rId35"/>
    <sheet name="Venue6" sheetId="88" r:id="rId36"/>
    <sheet name="cplIyU1GlUatGZ6NUmFKXQ==" sheetId="64" state="veryHidden" r:id="rId37"/>
    <sheet name="Venue6_KPI" sheetId="89" r:id="rId38"/>
    <sheet name="4KNhtOpAEUypgWAtMC7vgA==" sheetId="54" state="veryHidden" r:id="rId39"/>
    <sheet name="VenueBar" sheetId="90" r:id="rId40"/>
    <sheet name="4O1sRaHPbU2XFIlkHDUfzA==" sheetId="58" state="veryHidden" r:id="rId41"/>
    <sheet name="VenueBar_KPI" sheetId="91" r:id="rId42"/>
    <sheet name="+70DYMA4iE++p_Ewnlu4gQ==" sheetId="11" state="veryHidden" r:id="rId43"/>
    <sheet name="IRD" sheetId="92" r:id="rId44"/>
    <sheet name="ylSALY5JfkayboFK3T1SXA==" sheetId="59" state="veryHidden" r:id="rId45"/>
    <sheet name="IRD_KPI" sheetId="93" r:id="rId46"/>
    <sheet name="3Cd1WciUwUedrWOV02r1iQ==" sheetId="65" state="veryHidden" r:id="rId47"/>
    <sheet name="BCC_CONS" sheetId="94" r:id="rId48"/>
    <sheet name="UzoMkdLmXkC6I2uj6uMUWA==" sheetId="66" state="veryHidden" r:id="rId49"/>
    <sheet name="BCC_CONS_KPI" sheetId="95" r:id="rId50"/>
    <sheet name="AtH6gwKgpES8vnmy9uNDbw==" sheetId="67" state="veryHidden" r:id="rId51"/>
    <sheet name="BCC_Group" sheetId="96" r:id="rId52"/>
    <sheet name="Fb_1MJyuEEeg54ipZ4Ia9w==" sheetId="68" state="veryHidden" r:id="rId53"/>
    <sheet name="BCC_KPI_Group" sheetId="97" r:id="rId54"/>
    <sheet name="oalAD9bahUi2SFIiAutoIA==" sheetId="69" state="veryHidden" r:id="rId55"/>
    <sheet name="BCC_Local" sheetId="98" r:id="rId56"/>
    <sheet name="tz0uD3ekO0CFLD1WvN5pAg==" sheetId="70" state="veryHidden" r:id="rId57"/>
    <sheet name="BCC_KPI_Local" sheetId="99" r:id="rId58"/>
    <sheet name="+HUbGMsjJ0aDnEGeAJqrrg==" sheetId="15" state="veryHidden" r:id="rId59"/>
    <sheet name="Mini_Bar" sheetId="100" r:id="rId60"/>
    <sheet name="JPnNwqMTXEyH_mmA380DEA==" sheetId="24" state="veryHidden" r:id="rId61"/>
    <sheet name="OTH_OP" sheetId="101" r:id="rId62"/>
    <sheet name="C3CYt_UoBEqC0yvQdQ2EtA==" sheetId="18" state="veryHidden" r:id="rId63"/>
    <sheet name="Telcom_Legacy" sheetId="102" r:id="rId64"/>
    <sheet name="SCQiqgj4rEqJsJ1npJmqlw==" sheetId="19" state="veryHidden" r:id="rId65"/>
    <sheet name="HC_SPA" sheetId="103" r:id="rId66"/>
    <sheet name="oaRiL1UCr0a5ZeGaGEWMJg==" sheetId="20" state="veryHidden" r:id="rId67"/>
    <sheet name="Parking" sheetId="104" r:id="rId68"/>
    <sheet name="CZIX+apNZUGQ6OLbpMew3Q==" sheetId="21" state="veryHidden" r:id="rId69"/>
    <sheet name="Retail" sheetId="105" r:id="rId70"/>
    <sheet name="g+9rvlKZZ0mqyaK54TM35Q==" sheetId="22" state="veryHidden" r:id="rId71"/>
    <sheet name="FB_Retail" sheetId="106" r:id="rId72"/>
    <sheet name="f_zLUiAjjUWjv52jXIyB4g==" sheetId="23" state="veryHidden" r:id="rId73"/>
    <sheet name="Minor_Op" sheetId="107" r:id="rId74"/>
    <sheet name="WhM2P_lzeUa8sP3Hx+iKZw==" sheetId="25" state="veryHidden" r:id="rId75"/>
    <sheet name="MISC_INC" sheetId="108" r:id="rId76"/>
    <sheet name="TpphQxJNZEmJduT7LzZLEw==" sheetId="26" state="veryHidden" r:id="rId77"/>
    <sheet name="AG" sheetId="109" r:id="rId78"/>
    <sheet name="oB3_qp7Q1EWfxIflYQb7dw==" sheetId="27" state="veryHidden" r:id="rId79"/>
    <sheet name="HR_Detail" sheetId="110" r:id="rId80"/>
    <sheet name="nVYoVvGMSEqa5lkNmggkEw==" sheetId="28" state="veryHidden" r:id="rId81"/>
    <sheet name="IT" sheetId="111" r:id="rId82"/>
    <sheet name="ueh+PghI5ECtfEC5O_dLlQ==" sheetId="29" state="veryHidden" r:id="rId83"/>
    <sheet name="SM" sheetId="112" r:id="rId84"/>
    <sheet name="HEtSVi0IeEeMBYoiN0+iUA==" sheetId="30" state="veryHidden" r:id="rId85"/>
    <sheet name="POM" sheetId="113" r:id="rId86"/>
    <sheet name="Szg3J+icpU6JjBGixxqYxg==" sheetId="31" state="veryHidden" r:id="rId87"/>
    <sheet name="EC" sheetId="114" r:id="rId88"/>
    <sheet name="o9Ownswb+0e_twQv_qepqQ==" sheetId="32" state="veryHidden" r:id="rId89"/>
    <sheet name="Mgt_Fees" sheetId="115" r:id="rId90"/>
    <sheet name="Kf0bn1dzE0+hVBbxZg5v1g==" sheetId="33" state="veryHidden" r:id="rId91"/>
    <sheet name="Non_Op" sheetId="116" r:id="rId92"/>
    <sheet name="vCBzv+YkaESObdTy7YiXoA==" sheetId="34" state="veryHidden" r:id="rId93"/>
    <sheet name="Laundry" sheetId="117" r:id="rId94"/>
    <sheet name="bt6PClBoWESBtl1xy7bBrw==" sheetId="35" state="veryHidden" r:id="rId95"/>
    <sheet name="Dining" sheetId="118" r:id="rId96"/>
    <sheet name="vXGDvSyazEWVpBlSxcaY1Q==" sheetId="36" state="veryHidden" r:id="rId97"/>
    <sheet name="PR_Related" sheetId="119" r:id="rId98"/>
  </sheets>
  <definedNames>
    <definedName name="_EPMOffline" localSheetId="26">"'Venue4"</definedName>
    <definedName name="_EPMOffline" localSheetId="42">"'IRD"</definedName>
    <definedName name="_EPMOffline" localSheetId="18">"'Venue2"</definedName>
    <definedName name="_EPMOffline" localSheetId="58">"'Mini_Bar"</definedName>
    <definedName name="_EPMOffline" localSheetId="46">"'BCC_CONS"</definedName>
    <definedName name="_EPMOffline" localSheetId="14">"'Venue1"</definedName>
    <definedName name="_EPMOffline" localSheetId="38">"'VenueBar"</definedName>
    <definedName name="_EPMOffline" localSheetId="40">"'VenueBar_KPI"</definedName>
    <definedName name="_EPMOffline" localSheetId="2">"'Summary"</definedName>
    <definedName name="_EPMOffline" localSheetId="6">"'MMA"</definedName>
    <definedName name="_EPMOffline" localSheetId="4">"'Rooms"</definedName>
    <definedName name="_EPMOffline" localSheetId="20">"'Venue2_KPI"</definedName>
    <definedName name="_EPMOffline" localSheetId="50">"'BCC_Group"</definedName>
    <definedName name="_EPMOffline" localSheetId="94">"'Dining"</definedName>
    <definedName name="_EPMOffline" localSheetId="62">"'Telcom_Legacy"</definedName>
    <definedName name="_EPMOffline" localSheetId="36">"'Venue6_KPI"</definedName>
    <definedName name="_EPMOffline" localSheetId="68">"'Retail"</definedName>
    <definedName name="_EPMOffline" localSheetId="72">"'Minor_Op"</definedName>
    <definedName name="_EPMOffline" localSheetId="52">"'BCC_KPI_Group"</definedName>
    <definedName name="_EPMOffline" localSheetId="70">"'FB_Retail"</definedName>
    <definedName name="_EPMOffline" localSheetId="16">"'Venue1_KPI"</definedName>
    <definedName name="_EPMOffline" localSheetId="84">"'POM"</definedName>
    <definedName name="_EPMOffline" localSheetId="8">"'Resv"</definedName>
    <definedName name="_EPMOffline" localSheetId="60">"'OTH_OP"</definedName>
    <definedName name="_EPMOffline" localSheetId="28">"'Venue4_KPI"</definedName>
    <definedName name="_EPMOffline" localSheetId="24">"'Venue3_KPI"</definedName>
    <definedName name="_EPMOffline" localSheetId="90">"'Non_Op"</definedName>
    <definedName name="_EPMOffline" localSheetId="0">"'SetUp"</definedName>
    <definedName name="_EPMOffline" localSheetId="80">"'IT"</definedName>
    <definedName name="_EPMOffline" localSheetId="88">"'Mgt_Fees"</definedName>
    <definedName name="_EPMOffline" localSheetId="54">"'BCC_Local"</definedName>
    <definedName name="_EPMOffline" localSheetId="66">"'Parking"</definedName>
    <definedName name="_EPMOffline" localSheetId="78">"'HR_Detail"</definedName>
    <definedName name="_EPMOffline" localSheetId="10">"'FB_Cons"</definedName>
    <definedName name="_EPMOffline" localSheetId="64">"'HC_SPA"</definedName>
    <definedName name="_EPMOffline" localSheetId="86">"'EC"</definedName>
    <definedName name="_EPMOffline" localSheetId="12">"'FB_KPI"</definedName>
    <definedName name="_EPMOffline" localSheetId="76">"'AG"</definedName>
    <definedName name="_EPMOffline" localSheetId="56">"'BCC_KPI_Local"</definedName>
    <definedName name="_EPMOffline" localSheetId="82">"'SM"</definedName>
    <definedName name="_EPMOffline" localSheetId="22">"'Venue3"</definedName>
    <definedName name="_EPMOffline" localSheetId="48">"'BCC_CONS_KPI"</definedName>
    <definedName name="_EPMOffline" localSheetId="92">"'Laundry"</definedName>
    <definedName name="_EPMOffline" localSheetId="34">"'Venue6"</definedName>
    <definedName name="_EPMOffline" localSheetId="96">"'PR_Related"</definedName>
    <definedName name="_EPMOffline" localSheetId="74">"'MISC_INC"</definedName>
    <definedName name="_EPMOffline" localSheetId="44">"'IRD_KPI"</definedName>
    <definedName name="_EPMOffline" localSheetId="32">"'Venue5_KPI"</definedName>
    <definedName name="_EPMOffline" localSheetId="30">"'Venue5"</definedName>
    <definedName name="_epmOfflineCondition_" localSheetId="26" hidden="1">1</definedName>
    <definedName name="_epmOfflineCondition_" localSheetId="42" hidden="1">1</definedName>
    <definedName name="_epmOfflineCondition_" localSheetId="18" hidden="1">1</definedName>
    <definedName name="_epmOfflineCondition_" localSheetId="58" hidden="1">1</definedName>
    <definedName name="_epmOfflineCondition_" localSheetId="46" hidden="1">1</definedName>
    <definedName name="_epmOfflineCondition_" localSheetId="14" hidden="1">1</definedName>
    <definedName name="_epmOfflineCondition_" localSheetId="38" hidden="1">1</definedName>
    <definedName name="_epmOfflineCondition_" localSheetId="40" hidden="1">1</definedName>
    <definedName name="_epmOfflineCondition_" localSheetId="2" hidden="1">1</definedName>
    <definedName name="_epmOfflineCondition_" localSheetId="6" hidden="1">1</definedName>
    <definedName name="_epmOfflineCondition_" localSheetId="77" hidden="1">1</definedName>
    <definedName name="_epmOfflineCondition_" localSheetId="4" hidden="1">1</definedName>
    <definedName name="_epmOfflineCondition_" localSheetId="20" hidden="1">1</definedName>
    <definedName name="_epmOfflineCondition_" localSheetId="50" hidden="1">1</definedName>
    <definedName name="_epmOfflineCondition_" localSheetId="47" hidden="1">1</definedName>
    <definedName name="_epmOfflineCondition_" localSheetId="49" hidden="1">1</definedName>
    <definedName name="_epmOfflineCondition_" localSheetId="51" hidden="1">1</definedName>
    <definedName name="_epmOfflineCondition_" localSheetId="53" hidden="1">1</definedName>
    <definedName name="_epmOfflineCondition_" localSheetId="57" hidden="1">1</definedName>
    <definedName name="_epmOfflineCondition_" localSheetId="55" hidden="1">1</definedName>
    <definedName name="_epmOfflineCondition_" localSheetId="94" hidden="1">1</definedName>
    <definedName name="_epmOfflineCondition_" localSheetId="62" hidden="1">1</definedName>
    <definedName name="_epmOfflineCondition_" localSheetId="36" hidden="1">1</definedName>
    <definedName name="_epmOfflineCondition_" localSheetId="68" hidden="1">1</definedName>
    <definedName name="_epmOfflineCondition_" localSheetId="95" hidden="1">1</definedName>
    <definedName name="_epmOfflineCondition_" localSheetId="87" hidden="1">1</definedName>
    <definedName name="_epmOfflineCondition_" localSheetId="72" hidden="1">1</definedName>
    <definedName name="_epmOfflineCondition_" localSheetId="52" hidden="1">1</definedName>
    <definedName name="_epmOfflineCondition_" localSheetId="11" hidden="1">1</definedName>
    <definedName name="_epmOfflineCondition_" localSheetId="13" hidden="1">1</definedName>
    <definedName name="_epmOfflineCondition_" localSheetId="71" hidden="1">1</definedName>
    <definedName name="_epmOfflineCondition_" localSheetId="70" hidden="1">1</definedName>
    <definedName name="_epmOfflineCondition_" localSheetId="16" hidden="1">1</definedName>
    <definedName name="_epmOfflineCondition_" localSheetId="65" hidden="1">1</definedName>
    <definedName name="_epmOfflineCondition_" localSheetId="84" hidden="1">1</definedName>
    <definedName name="_epmOfflineCondition_" localSheetId="79" hidden="1">1</definedName>
    <definedName name="_epmOfflineCondition_" localSheetId="43" hidden="1">1</definedName>
    <definedName name="_epmOfflineCondition_" localSheetId="45" hidden="1">1</definedName>
    <definedName name="_epmOfflineCondition_" localSheetId="81" hidden="1">1</definedName>
    <definedName name="_epmOfflineCondition_" localSheetId="8" hidden="1">1</definedName>
    <definedName name="_epmOfflineCondition_" localSheetId="60" hidden="1">1</definedName>
    <definedName name="_epmOfflineCondition_" localSheetId="28" hidden="1">1</definedName>
    <definedName name="_epmOfflineCondition_" localSheetId="24" hidden="1">1</definedName>
    <definedName name="_epmOfflineCondition_" localSheetId="90" hidden="1">1</definedName>
    <definedName name="_epmOfflineCondition_" localSheetId="93" hidden="1">1</definedName>
    <definedName name="_epmOfflineCondition_" localSheetId="0" hidden="1">1</definedName>
    <definedName name="_epmOfflineCondition_" localSheetId="89" hidden="1">1</definedName>
    <definedName name="_epmOfflineCondition_" localSheetId="59" hidden="1">1</definedName>
    <definedName name="_epmOfflineCondition_" localSheetId="73" hidden="1">1</definedName>
    <definedName name="_epmOfflineCondition_" localSheetId="75" hidden="1">1</definedName>
    <definedName name="_epmOfflineCondition_" localSheetId="7" hidden="1">1</definedName>
    <definedName name="_epmOfflineCondition_" localSheetId="91" hidden="1">1</definedName>
    <definedName name="_epmOfflineCondition_" localSheetId="80" hidden="1">1</definedName>
    <definedName name="_epmOfflineCondition_" localSheetId="88" hidden="1">1</definedName>
    <definedName name="_epmOfflineCondition_" localSheetId="54" hidden="1">1</definedName>
    <definedName name="_epmOfflineCondition_" localSheetId="66" hidden="1">1</definedName>
    <definedName name="_epmOfflineCondition_" localSheetId="78" hidden="1">1</definedName>
    <definedName name="_epmOfflineCondition_" localSheetId="61" hidden="1">1</definedName>
    <definedName name="_epmOfflineCondition_" localSheetId="67" hidden="1">1</definedName>
    <definedName name="_epmOfflineCondition_" localSheetId="85" hidden="1">1</definedName>
    <definedName name="_epmOfflineCondition_" localSheetId="97" hidden="1">1</definedName>
    <definedName name="_epmOfflineCondition_" localSheetId="9" hidden="1">1</definedName>
    <definedName name="_epmOfflineCondition_" localSheetId="69" hidden="1">1</definedName>
    <definedName name="_epmOfflineCondition_" localSheetId="5" hidden="1">1</definedName>
    <definedName name="_epmOfflineCondition_" localSheetId="10" hidden="1">1</definedName>
    <definedName name="_epmOfflineCondition_" localSheetId="64" hidden="1">1</definedName>
    <definedName name="_epmOfflineCondition_" localSheetId="1" hidden="1">1</definedName>
    <definedName name="_epmOfflineCondition_" localSheetId="83" hidden="1">1</definedName>
    <definedName name="_epmOfflineCondition_" localSheetId="3" hidden="1">1</definedName>
    <definedName name="_epmOfflineCondition_" localSheetId="86" hidden="1">1</definedName>
    <definedName name="_epmOfflineCondition_" localSheetId="63" hidden="1">1</definedName>
    <definedName name="_epmOfflineCondition_" localSheetId="12" hidden="1">1</definedName>
    <definedName name="_epmOfflineCondition_" localSheetId="76" hidden="1">1</definedName>
    <definedName name="_epmOfflineCondition_" localSheetId="56" hidden="1">1</definedName>
    <definedName name="_epmOfflineCondition_" localSheetId="82" hidden="1">1</definedName>
    <definedName name="_epmOfflineCondition_" localSheetId="22" hidden="1">1</definedName>
    <definedName name="_epmOfflineCondition_" localSheetId="48" hidden="1">1</definedName>
    <definedName name="_epmOfflineCondition_" localSheetId="92" hidden="1">1</definedName>
    <definedName name="_epmOfflineCondition_" localSheetId="15" hidden="1">1</definedName>
    <definedName name="_epmOfflineCondition_" localSheetId="17" hidden="1">1</definedName>
    <definedName name="_epmOfflineCondition_" localSheetId="19" hidden="1">1</definedName>
    <definedName name="_epmOfflineCondition_" localSheetId="21" hidden="1">1</definedName>
    <definedName name="_epmOfflineCondition_" localSheetId="23" hidden="1">1</definedName>
    <definedName name="_epmOfflineCondition_" localSheetId="25" hidden="1">1</definedName>
    <definedName name="_epmOfflineCondition_" localSheetId="27" hidden="1">1</definedName>
    <definedName name="_epmOfflineCondition_" localSheetId="29" hidden="1">1</definedName>
    <definedName name="_epmOfflineCondition_" localSheetId="31" hidden="1">1</definedName>
    <definedName name="_epmOfflineCondition_" localSheetId="33" hidden="1">1</definedName>
    <definedName name="_epmOfflineCondition_" localSheetId="35" hidden="1">1</definedName>
    <definedName name="_epmOfflineCondition_" localSheetId="37" hidden="1">1</definedName>
    <definedName name="_epmOfflineCondition_" localSheetId="39" hidden="1">1</definedName>
    <definedName name="_epmOfflineCondition_" localSheetId="41" hidden="1">1</definedName>
    <definedName name="_epmOfflineCondition_" localSheetId="34" hidden="1">1</definedName>
    <definedName name="_epmOfflineCondition_" localSheetId="96" hidden="1">1</definedName>
    <definedName name="_epmOfflineCondition_" localSheetId="74" hidden="1">1</definedName>
    <definedName name="_epmOfflineCondition_" localSheetId="44" hidden="1">1</definedName>
    <definedName name="_epmOfflineCondition_" localSheetId="32" hidden="1">1</definedName>
    <definedName name="_epmOfflineCondition_" localSheetId="30"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26" hidden="1">"Application:FINANCE|Application:FINANCE|Account:GOI|Category:ACTUAL_CON|Datasrc:TOTALADJ|Department:D_REST_OUTLET|Intco:All_InterCo|Rptcurrency:LC|Time:2015.TOTAL|Measures:PERIODIC"</definedName>
    <definedName name="Ev__LimitedCV" localSheetId="42" hidden="1">"Application:FINANCE|Application:FINANCE|Account:GOI|Category:ACTUAL_CON|Datasrc:TOTALADJ|Department:D_RS_CON|Intco:All_InterCo|Rptcurrency:LC|Time:2015.TOTAL|Measures:PERIODIC"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58" hidden="1">"Application:FINANCE|Application:FINANCE|Account:GOI|Category:ACTUAL_CON|Datasrc:TOTALADJ|Department:D1149|Intco:All_InterCo|Rptcurrency:LC|Time:2015.TOTAL|Measures:PERIODIC"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38" hidden="1">"Application:FINANCE|Application:FINANCE|Account:GOI|Category:ACTUAL_CON|Datasrc:TOTALADJ|Department:D_REST_OUTLET|Intco:All_InterCo|Rptcurrency:LC|Time:2015.TOTAL|Measures:PERIODIC"</definedName>
    <definedName name="Ev__LimitedCV" localSheetId="40" hidden="1">"Application:FINANCE|Application:FINANCE|Account:GOI|Category:ACTUAL_CON|Datasrc:TOTALADJ|Department:D_REST_OUTLET|Intco:All_InterCo|Rptcurrency:LC|Time:2015.TOTAL|Measures:PERIODIC"</definedName>
    <definedName name="Ev__LimitedCV" localSheetId="2" hidden="1">"Application:FINANCE|Application:FINANCE|Account:GOI|Category:ACTUAL_CON|Datasrc:TOTALADJ|Department:D_CON|Intco:All_InterCo|Rptcurrency:LC|Time:2015.TOTAL|Measures:PERIODIC"</definedName>
    <definedName name="Ev__LimitedCV" localSheetId="6" hidden="1">"Application:FINANCE|Application:FINANCE|Account:GOI|Category:ACTUAL_CON|Datasrc:TOTALADJ|Department:D_ROOMS_CON|Intco:All_InterCo|Rptcurrency:LC|Time:2015.TOTAL|Measures:PERIODIC"</definedName>
    <definedName name="Ev__LimitedCV" localSheetId="77" hidden="1">"Application:FINANCE|Application:FINANCE|Account:GOI|Category:ACTUAL_CON|Datasrc:TOTALADJ|Department:D_AG_CON|Intco:All_InterCo|Rptcurrency:LC|Time:2015.TOTAL|Measures:PERIODIC"</definedName>
    <definedName name="Ev__LimitedCV" localSheetId="4" hidden="1">"Application:FINANCE|Application:FINANCE|Account:GOI|Category:ACTUAL_CON|Datasrc:TOTALADJ|Department:D_ROOMS_CON|Intco:All_InterCo|Rptcurrency:LC|Time:2015.TOTAL|Measures:PERIODIC"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imitedCV" localSheetId="50" hidden="1">"Application:FINANCE|Application:FINANCE|Account:GOI|Category:ACTUAL_CON|Datasrc:TOTALADJ|Department:D_BCC_CON|Intco:All_InterCo|Rptcurrency:LC|Time:2015.TOTAL|Measures:PERIODIC"</definedName>
    <definedName name="Ev__LimitedCV" localSheetId="49" hidden="1">"Application:FINANCE|Application:FINANCE|Account:GOI|Category:ACTUAL_CON|Datasrc:TOTALADJ|Department:D_REST_OUTLET|Intco:All_InterCo|Rptcurrency:LC|Time:2015.TOTAL|Measures:PERIODIC"</definedName>
    <definedName name="Ev__LimitedCV" localSheetId="51" hidden="1">"Application:FINANCE|Application:FINANCE|Account:GOI|Category:ACTUAL_CON|Datasrc:TOTALADJ|Department:D_BCC_CON|Intco:All_InterCo|Rptcurrency:LC|Time:2015.TOTAL|Measures:PERIODIC"</definedName>
    <definedName name="Ev__LimitedCV" localSheetId="53" hidden="1">"Application:FINANCE|Application:FINANCE|Account:GOI|Category:ACTUAL_CON|Datasrc:TOTALADJ|Department:D_REST_OUTLET|Intco:All_InterCo|Rptcurrency:LC|Time:2015.TOTAL|Measures:PERIODIC"</definedName>
    <definedName name="Ev__LimitedCV" localSheetId="57" hidden="1">"Application:FINANCE|Application:FINANCE|Account:GOI|Category:ACTUAL_CON|Datasrc:TOTALADJ|Department:D_REST_OUTLET|Intco:All_InterCo|Rptcurrency:LC|Time:2015.TOTAL|Measures:PERIODIC"</definedName>
    <definedName name="Ev__LimitedCV" localSheetId="55" hidden="1">"Application:FINANCE|Application:FINANCE|Account:GOI|Category:ACTUAL_CON|Datasrc:TOTALADJ|Department:D_BCC_CON|Intco:All_InterCo|Rptcurrency:LC|Time:2015.TOTAL|Measures:PERIODIC"</definedName>
    <definedName name="Ev__LimitedCV" localSheetId="94" hidden="1">"Application:FINANCE|Application:FINANCE|Account:GOI|Category:ACTUAL_CON|Datasrc:TOTALADJ|Department:D2259|Intco:All_InterCo|Rptcurrency:LC|Time:2015.TOTAL|Measures:PERIODIC"</definedName>
    <definedName name="Ev__LimitedCV" localSheetId="62" hidden="1">"Application:FINANCE|Application:FINANCE|Account:GOI|Category:ACTUAL_CON|Datasrc:TOTALADJ|Department:D_TELCOM|Intco:All_InterCo|Rptcurrency:LC|Time:2015.TOTAL|Measures:PERIODIC"</definedName>
    <definedName name="Ev__LimitedCV" localSheetId="36" hidden="1">"Application:FINANCE|Application:FINANCE|Account:GOI|Category:ACTUAL_CON|Datasrc:TOTALADJ|Department:D_REST_OUTLET|Intco:All_InterCo|Rptcurrency:LC|Time:2015.TOTAL|Measures:PERIODIC"</definedName>
    <definedName name="Ev__LimitedCV" localSheetId="68" hidden="1">"Application:FINANCE|Application:FINANCE|Account:GOI|Category:ACTUAL_CON|Datasrc:TOTALADJ|Department:D1136|Intco:All_InterCo|Rptcurrency:LC|Time:2015.TOTAL|Measures:PERIODIC"</definedName>
    <definedName name="Ev__LimitedCV" localSheetId="95" hidden="1">"Application:FINANCE|Application:FINANCE|Account:GOI|Category:ACTUAL_CON|Datasrc:TOTALADJ|Department:D2259|Intco:All_InterCo|Rptcurrency:LC|Time:2015.TOTAL|Measures:PERIODIC"</definedName>
    <definedName name="Ev__LimitedCV" localSheetId="87" hidden="1">"Application:FINANCE|Application:FINANCE|Account:GOI|Category:ACTUAL_CON|Datasrc:TOTALADJ|Department:D_EC_CON|Intco:All_InterCo|Rptcurrency:LC|Time:2015.TOTAL|Measures:PERIODIC"</definedName>
    <definedName name="Ev__LimitedCV" localSheetId="72" hidden="1">"Application:FINANCE|Application:FINANCE|Account:GOI|Category:ACTUAL_CON|Datasrc:TOTALADJ|Department:D1138|Intco:All_InterCo|Rptcurrency:LC|Time:2015.TOTAL|Measures:PERIODIC"</definedName>
    <definedName name="Ev__LimitedCV" localSheetId="52" hidden="1">"Application:FINANCE|Application:FINANCE|Account:GOI|Category:ACTUAL_CON|Datasrc:TOTALADJ|Department:D_REST_OUTLET|Intco:All_InterCo|Rptcurrency:LC|Time:2015.TOTAL|Measures:PERIODIC"</definedName>
    <definedName name="Ev__LimitedCV" localSheetId="11" hidden="1">"Application:FINANCE|Application:FINANCE|Account:GOI|Category:ACTUAL_CON|Datasrc:TOTALADJ|Department:D_REST_CON|Intco:All_InterCo|Rptcurrency:LC|Time:2015.TOTAL|Measures:PERIODIC"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71" hidden="1">"Application:FINANCE|Application:FINANCE|Account:GOI|Category:ACTUAL_CON|Datasrc:TOTALADJ|Department:D2149|Intco:All_InterCo|Rptcurrency:LC|Time:2015.TOTAL|Measures:PERIODIC"</definedName>
    <definedName name="Ev__LimitedCV" localSheetId="70" hidden="1">"Application:FINANCE|Application:FINANCE|Account:GOI|Category:ACTUAL_CON|Datasrc:TOTALADJ|Department:D2149|Intco:All_InterCo|Rptcurrency:LC|Time:2015.TOTAL|Measures:PERIODIC"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65" hidden="1">"Application:FINANCE|Application:FINANCE|Account:GOI|Category:ACTUAL_CON|Datasrc:TOTALADJ|Department:D1132|Intco:All_InterCo|Rptcurrency:LC|Time:2015.TOTAL|Measures:PERIODIC"</definedName>
    <definedName name="Ev__LimitedCV" localSheetId="84" hidden="1">"Application:FINANCE|Application:FINANCE|Account:GOI|Category:ACTUAL_CON|Datasrc:TOTALADJ|Department:D_PM_CON|Intco:All_InterCo|Rptcurrency:LC|Time:2015.TOTAL|Measures:PERIODIC"</definedName>
    <definedName name="Ev__LimitedCV" localSheetId="79" hidden="1">"Application:FINANCE|Application:FINANCE|Account:GOI|Category:ACTUAL_CON|Datasrc:TOTALADJ|Department:D_AGHR|Intco:All_InterCo|Rptcurrency:LC|Time:2015.TOTAL|Measures:PERIODIC"</definedName>
    <definedName name="Ev__LimitedCV" localSheetId="43" hidden="1">"Application:FINANCE|Application:FINANCE|Account:GOI|Category:ACTUAL_CON|Datasrc:TOTALADJ|Department:D_RS_CON|Intco:All_InterCo|Rptcurrency:LC|Time:2015.TOTAL|Measures:PERIODIC"</definedName>
    <definedName name="Ev__LimitedCV" localSheetId="45" hidden="1">"Application:FINANCE|Application:FINANCE|Account:GOI|Category:ACTUAL_CON|Datasrc:TOTALADJ|Department:D_REST_OUTLET|Intco:All_InterCo|Rptcurrency:LC|Time:2015.TOTAL|Measures:PERIODIC"</definedName>
    <definedName name="Ev__LimitedCV" localSheetId="81" hidden="1">"Application:FINANCE|Application:FINANCE|Account:GOI|Category:ACTUAL_CON|Datasrc:TOTALADJ|Department:D_IT_CON|Intco:All_InterCo|Rptcurrency:LC|Time:2015.TOTAL|Measures:PERIODIC"</definedName>
    <definedName name="Ev__LimitedCV" localSheetId="8" hidden="1">"Application:FINANCE|Application:FINANCE|Account:GOI|Category:ACTUAL_CON|Datasrc:TOTALADJ|Department:D_RESV_CON|Intco:All_InterCo|Rptcurrency:LC|Time:2015.TOTAL|Measures:PERIODIC"</definedName>
    <definedName name="Ev__LimitedCV" localSheetId="60" hidden="1">"Application:FINANCE|Application:FINANCE|Account:GOI|Category:ACTUAL_CON|Datasrc:TOTALADJ|Department:D_OTHER_CON|Intco:All_InterCo|Rptcurrency:LC|Time:2015.TOTAL|Measures:PERIODIC"</definedName>
    <definedName name="Ev__LimitedCV" localSheetId="28" hidden="1">"Application:FINANCE|Application:FINANCE|Account:GOI|Category:ACTUAL_CON|Datasrc:TOTALADJ|Department:D_REST_OUTLET|Intco:All_InterCo|Rptcurrency:LC|Time:2015.TOTAL|Measures:PERIODIC"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90" hidden="1">"Application:FINANCE|Application:FINANCE|Account:GOI|Category:ACTUAL_CON|Datasrc:TOTALADJ|Department:D_FIXED|Intco:All_InterCo|Rptcurrency:LC|Time:2015.TOTAL|Measures:PERIODIC"</definedName>
    <definedName name="Ev__LimitedCV" localSheetId="93" hidden="1">"Application:FINANCE|Application:FINANCE|Account:GOI|Category:ACTUAL_CON|Datasrc:TOTALADJ|Department:D1228|Intco:All_InterCo|Rptcurrency:LC|Time:2015.TOTAL|Measures:PERIODIC"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89" hidden="1">"Application:FINANCE|Application:FINANCE|Account:GOI|Category:ACTUAL_CON|Datasrc:TOTALADJ|Department:D_MGMT_CON|Intco:All_InterCo|Rptcurrency:LC|Time:2015.TOTAL|Measures:PERIODIC"</definedName>
    <definedName name="Ev__LimitedCV" localSheetId="59" hidden="1">"Application:FINANCE|Application:FINANCE|Account:GOI|Category:ACTUAL_CON|Datasrc:TOTALADJ|Department:D1149|Intco:All_InterCo|Rptcurrency:LC|Time:2015.TOTAL|Measures:PERIODIC"</definedName>
    <definedName name="Ev__LimitedCV" localSheetId="73" hidden="1">"Application:FINANCE|Application:FINANCE|Account:GOI|Category:ACTUAL_CON|Datasrc:TOTALADJ|Department:D1138|Intco:All_InterCo|Rptcurrency:LC|Time:2015.TOTAL|Measures:PERIODIC"</definedName>
    <definedName name="Ev__LimitedCV" localSheetId="75" hidden="1">"Application:FINANCE|Application:FINANCE|Account:GOI|Category:ACTUAL_CON|Datasrc:TOTALADJ|Department:D_ROI_CON|Intco:All_InterCo|Rptcurrency:LC|Time:2015.TOTAL|Measures:PERIODIC"</definedName>
    <definedName name="Ev__LimitedCV" localSheetId="7" hidden="1">"Application:FINANCE|Application:FINANCE|Account:GOI|Category:ACTUAL_CON|Datasrc:TOTALADJ|Department:D_ROOMS_CON|Intco:All_InterCo|Rptcurrency:LC|Time:2015.TOTAL|Measures:PERIODIC"</definedName>
    <definedName name="Ev__LimitedCV" localSheetId="91" hidden="1">"Application:FINANCE|Application:FINANCE|Account:GOI|Category:ACTUAL_CON|Datasrc:TOTALADJ|Department:D_FIXED|Intco:All_InterCo|Rptcurrency:LC|Time:2015.TOTAL|Measures:PERIODIC"</definedName>
    <definedName name="Ev__LimitedCV" localSheetId="80" hidden="1">"Application:FINANCE|Application:FINANCE|Account:GOI|Category:ACTUAL_CON|Datasrc:TOTALADJ|Department:D_IT_CON|Intco:All_InterCo|Rptcurrency:LC|Time:2015.TOTAL|Measures:PERIODIC"</definedName>
    <definedName name="Ev__LimitedCV" localSheetId="88" hidden="1">"Application:FINANCE|Application:FINANCE|Account:GOI|Category:ACTUAL_CON|Datasrc:TOTALADJ|Department:D_MGMT_CON|Intco:All_InterCo|Rptcurrency:LC|Time:2015.TOTAL|Measures:PERIODIC"</definedName>
    <definedName name="Ev__LimitedCV" localSheetId="54" hidden="1">"Application:FINANCE|Application:FINANCE|Account:GOI|Category:ACTUAL_CON|Datasrc:TOTALADJ|Department:D_BCC_CON|Intco:All_InterCo|Rptcurrency:LC|Time:2015.TOTAL|Measures:PERIODIC"</definedName>
    <definedName name="Ev__LimitedCV" localSheetId="66" hidden="1">"Application:FINANCE|Application:FINANCE|Account:GOI|Category:ACTUAL_CON|Datasrc:TOTALADJ|Department:D1133|Intco:All_InterCo|Rptcurrency:LC|Time:2015.TOTAL|Measures:PERIODIC"</definedName>
    <definedName name="Ev__LimitedCV" localSheetId="78" hidden="1">"Application:FINANCE|Application:FINANCE|Account:GOI|Category:ACTUAL_CON|Datasrc:TOTALADJ|Department:D_AGHR|Intco:All_InterCo|Rptcurrency:LC|Time:2015.TOTAL|Measures:PERIODIC"</definedName>
    <definedName name="Ev__LimitedCV" localSheetId="61" hidden="1">"Application:FINANCE|Application:FINANCE|Account:GOI|Category:ACTUAL_CON|Datasrc:TOTALADJ|Department:D_OTHER_CON|Intco:All_InterCo|Rptcurrency:LC|Time:2015.TOTAL|Measures:PERIODIC"</definedName>
    <definedName name="Ev__LimitedCV" localSheetId="67" hidden="1">"Application:FINANCE|Application:FINANCE|Account:GOI|Category:ACTUAL_CON|Datasrc:TOTALADJ|Department:D1133|Intco:All_InterCo|Rptcurrency:LC|Time:2015.TOTAL|Measures:PERIODIC"</definedName>
    <definedName name="Ev__LimitedCV" localSheetId="85" hidden="1">"Application:FINANCE|Application:FINANCE|Account:GOI|Category:ACTUAL_CON|Datasrc:TOTALADJ|Department:D_PM_CON|Intco:All_InterCo|Rptcurrency:LC|Time:2015.TOTAL|Measures:PERIODIC"</definedName>
    <definedName name="Ev__LimitedCV" localSheetId="97" hidden="1">"Application:FINANCE|Application:FINANCE|Account:GOI|Category:ACTUAL_CON|Datasrc:TOTALADJ|Department:D_CON|Intco:All_InterCo|Rptcurrency:LC|Time:2015.TOTAL|Measures:PERIODIC"</definedName>
    <definedName name="Ev__LimitedCV" localSheetId="9" hidden="1">"Application:FINANCE|Application:FINANCE|Account:GOI|Category:ACTUAL_CON|Datasrc:TOTALADJ|Department:D_RESV_CON|Intco:All_InterCo|Rptcurrency:LC|Time:2015.TOTAL|Measures:PERIODIC"</definedName>
    <definedName name="Ev__LimitedCV" localSheetId="69" hidden="1">"Application:FINANCE|Application:FINANCE|Account:GOI|Category:ACTUAL_CON|Datasrc:TOTALADJ|Department:D1136|Intco:All_InterCo|Rptcurrency:LC|Time:2015.TOTAL|Measures:PERIODIC"</definedName>
    <definedName name="Ev__LimitedCV" localSheetId="5" hidden="1">"Application:FINANCE|Application:FINANCE|Account:GOI|Category:ACTUAL_CON|Datasrc:TOTALADJ|Department:D_ROOMS_CON|Intco:All_InterCo|Rptcurrency:LC|Time:2015.TOTAL|Measures:PERIODIC"</definedName>
    <definedName name="Ev__LimitedCV" localSheetId="10" hidden="1">"Application:FINANCE|Application:FINANCE|Account:GOI|Category:ACTUAL_CON|Datasrc:TOTALADJ|Department:D_REST_CON|Intco:All_InterCo|Rptcurrency:LC|Time:2015.TOTAL|Measures:PERIODIC"</definedName>
    <definedName name="Ev__LimitedCV" localSheetId="64" hidden="1">"Application:FINANCE|Application:FINANCE|Account:GOI|Category:ACTUAL_CON|Datasrc:TOTALADJ|Department:D1132|Intco:All_InterCo|Rptcurrency:LC|Time:2015.TOTAL|Measures:PERIODIC"</definedName>
    <definedName name="Ev__LimitedCV" localSheetId="1" hidden="1">"Application:FINANCE|Application:FINANCE|Account:GOI|Category:CURRENT|Datasrc:TOTALADJ|Department:D_CON|Intco:All_InterCo|Time:2015.TOTAL|Measures:PERIODIC"</definedName>
    <definedName name="Ev__LimitedCV" localSheetId="83" hidden="1">"Application:FINANCE|Application:FINANCE|Account:GOI|Category:ACTUAL_CON|Datasrc:TOTALADJ|Department:D_SM_CON|Intco:All_InterCo|Rptcurrency:LC|Time:2015.TOTAL|Measures:PERIODIC"</definedName>
    <definedName name="Ev__LimitedCV" localSheetId="3" hidden="1">"Application:FINANCE|Application:FINANCE|Account:GOI|Category:ACTUAL_CON|Datasrc:TOTALADJ|Department:D_CON|Intco:All_InterCo|Rptcurrency:LC|Time:2015.TOTAL|Measures:PERIODIC"</definedName>
    <definedName name="Ev__LimitedCV" localSheetId="86" hidden="1">"Application:FINANCE|Application:FINANCE|Account:GOI|Category:ACTUAL_CON|Datasrc:TOTALADJ|Department:D_EC_CON|Intco:All_InterCo|Rptcurrency:LC|Time:2015.TOTAL|Measures:PERIODIC"</definedName>
    <definedName name="Ev__LimitedCV" localSheetId="63" hidden="1">"Application:FINANCE|Application:FINANCE|Account:GOI|Category:ACTUAL_CON|Datasrc:TOTALADJ|Department:D_TELCOM|Intco:All_InterCo|Rptcurrency:LC|Time:2015.TOTAL|Measures:PERIODIC"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imitedCV" localSheetId="76" hidden="1">"Application:FINANCE|Application:FINANCE|Account:GOI|Category:ACTUAL_CON|Datasrc:TOTALADJ|Department:D_AG_CON|Intco:All_InterCo|Rptcurrency:LC|Time:2015.TOTAL|Measures:PERIODIC"</definedName>
    <definedName name="Ev__LimitedCV" localSheetId="56" hidden="1">"Application:FINANCE|Application:FINANCE|Account:GOI|Category:ACTUAL_CON|Datasrc:TOTALADJ|Department:D_REST_OUTLET|Intco:All_InterCo|Rptcurrency:LC|Time:2015.TOTAL|Measures:PERIODIC"</definedName>
    <definedName name="Ev__LimitedCV" localSheetId="82" hidden="1">"Application:FINANCE|Application:FINANCE|Account:GOI|Category:ACTUAL_CON|Datasrc:TOTALADJ|Department:D_SM_CON|Intco:All_InterCo|Rptcurrency:LC|Time:2015.TOTAL|Measures:PERIODIC"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48" hidden="1">"Application:FINANCE|Application:FINANCE|Account:GOI|Category:ACTUAL_CON|Datasrc:TOTALADJ|Department:D_REST_OUTLET|Intco:All_InterCo|Rptcurrency:LC|Time:2015.TOTAL|Measures:PERIODIC"</definedName>
    <definedName name="Ev__LimitedCV" localSheetId="92" hidden="1">"Application:FINANCE|Application:FINANCE|Account:GOI|Category:ACTUAL_CON|Datasrc:TOTALADJ|Department:D1228|Intco:All_InterCo|Rptcurrency:LC|Time:2015.TOTAL|Measures:PERIODIC"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21" hidden="1">"Application:FINANCE|Application:FINANCE|Account:GOI|Category:ACTUAL_CON|Datasrc:TOTALADJ|Department:D_REST_OUTLET|Intco:All_InterCo|Rptcurrency:LC|Time:2015.TOTAL|Measures:PERIODIC"</definedName>
    <definedName name="Ev__LimitedCV" localSheetId="23" hidden="1">"Application:FINANCE|Application:FINANCE|Account:GOI|Category:ACTUAL_CON|Datasrc:TOTALADJ|Department:D_REST_OUTLET|Intco:All_InterCo|Rptcurrency:LC|Time:2015.TOTAL|Measures:PERIODIC"</definedName>
    <definedName name="Ev__LimitedCV" localSheetId="25" hidden="1">"Application:FINANCE|Application:FINANCE|Account:GOI|Category:ACTUAL_CON|Datasrc:TOTALADJ|Department:D_REST_OUTLET|Intco:All_InterCo|Rptcurrency:LC|Time:2015.TOTAL|Measures:PERIODIC"</definedName>
    <definedName name="Ev__LimitedCV" localSheetId="27" hidden="1">"Application:FINANCE|Application:FINANCE|Account:GOI|Category:ACTUAL_CON|Datasrc:TOTALADJ|Department:D_REST_OUTLET|Intco:All_InterCo|Rptcurrency:LC|Time:2015.TOTAL|Measures:PERIODIC"</definedName>
    <definedName name="Ev__LimitedCV" localSheetId="29" hidden="1">"Application:FINANCE|Application:FINANCE|Account:GOI|Category:ACTUAL_CON|Datasrc:TOTALADJ|Department:D_REST_OUTLET|Intco:All_InterCo|Rptcurrency:LC|Time:2015.TOTAL|Measures:PERIODIC"</definedName>
    <definedName name="Ev__LimitedCV" localSheetId="31" hidden="1">"Application:FINANCE|Application:FINANCE|Account:GOI|Category:ACTUAL_CON|Datasrc:TOTALADJ|Department:D_REST_OUTLET|Intco:All_InterCo|Rptcurrency:LC|Time:2015.TOTAL|Measures:PERIODIC"</definedName>
    <definedName name="Ev__LimitedCV" localSheetId="33" hidden="1">"Application:FINANCE|Application:FINANCE|Account:GOI|Category:ACTUAL_CON|Datasrc:TOTALADJ|Department:D_REST_OUTLET|Intco:All_InterCo|Rptcurrency:LC|Time:2015.TOTAL|Measures:PERIODIC"</definedName>
    <definedName name="Ev__LimitedCV" localSheetId="35" hidden="1">"Application:FINANCE|Application:FINANCE|Account:GOI|Category:ACTUAL_CON|Datasrc:TOTALADJ|Department:D_REST_OUTLET|Intco:All_InterCo|Rptcurrency:LC|Time:2015.TOTAL|Measures:PERIODIC"</definedName>
    <definedName name="Ev__LimitedCV" localSheetId="37" hidden="1">"Application:FINANCE|Application:FINANCE|Account:GOI|Category:ACTUAL_CON|Datasrc:TOTALADJ|Department:D_REST_OUTLET|Intco:All_InterCo|Rptcurrency:LC|Time:2015.TOTAL|Measures:PERIODIC"</definedName>
    <definedName name="Ev__LimitedCV" localSheetId="39" hidden="1">"Application:FINANCE|Application:FINANCE|Account:GOI|Category:ACTUAL_CON|Datasrc:TOTALADJ|Department:D_REST_OUTLET|Intco:All_InterCo|Rptcurrency:LC|Time:2015.TOTAL|Measures:PERIODIC"</definedName>
    <definedName name="Ev__LimitedCV" localSheetId="41" hidden="1">"Application:FINANCE|Application:FINANCE|Account:GOI|Category:ACTUAL_CON|Datasrc:TOTALADJ|Department:D_REST_OUTLET|Intco:All_InterCo|Rptcurrency:LC|Time:2015.TOTAL|Measures:PERIODIC"</definedName>
    <definedName name="Ev__LimitedCV" localSheetId="34" hidden="1">"Application:FINANCE|Application:FINANCE|Account:GOI|Category:ACTUAL_CON|Datasrc:TOTALADJ|Department:D_REST_OUTLET|Intco:All_InterCo|Rptcurrency:LC|Time:2015.TOTAL|Measures:PERIODIC"</definedName>
    <definedName name="Ev__LimitedCV" localSheetId="96" hidden="1">"Application:FINANCE|Application:FINANCE|Account:GOI|Category:ACTUAL_CON|Datasrc:TOTALADJ|Department:D_CON|Intco:All_InterCo|Rptcurrency:LC|Time:2015.TOTAL|Measures:PERIODIC"</definedName>
    <definedName name="Ev__LimitedCV" localSheetId="74" hidden="1">"Application:FINANCE|Application:FINANCE|Account:GOI|Category:ACTUAL_CON|Datasrc:TOTALADJ|Department:D_ROI_CON|Intco:All_InterCo|Rptcurrency:LC|Time:2015.TOTAL|Measures:PERIODIC"</definedName>
    <definedName name="Ev__LimitedCV" localSheetId="44" hidden="1">"Application:FINANCE|Application:FINANCE|Account:GOI|Category:ACTUAL_CON|Datasrc:TOTALADJ|Department:D_REST_OUTLET|Intco:All_InterCo|Rptcurrency:LC|Time:2015.TOTAL|Measures:PERIODIC"</definedName>
    <definedName name="Ev__LimitedCV" localSheetId="32" hidden="1">"Application:FINANCE|Application:FINANCE|Account:GOI|Category:ACTUAL_CON|Datasrc:TOTALADJ|Department:D_REST_OUTLET|Intco:All_InterCo|Rptcurrency:LC|Time:2015.TOTAL|Measures:PERIODIC"</definedName>
    <definedName name="Ev__LimitedCV" localSheetId="30" hidden="1">"Application:FINANCE|Application:FINANCE|Account:GOI|Category:ACTUAL_CON|Datasrc:TOTALADJ|Department:D_REST_OUTLET|Intco:All_InterCo|Rptcurrency:LC|Time:2015.TOTAL|Measures:PERIODIC"</definedName>
    <definedName name="EV__LOCKEDCVW__Finance" hidden="1">"BalanceSheet,BU1334,CURRENT,TOTALADJ,D50,All_InterCo,LC,2019.JAN,Periodic"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26">'_PPZ4ye_GEGtgi8gkINWpw=='!$N$25:$AI$88</definedName>
    <definedName name="_xlnm.Print_Area" localSheetId="42">'+70DYMA4iE++p_Ewnlu4gQ=='!$N$25:$AI$79</definedName>
    <definedName name="_xlnm.Print_Area" localSheetId="18">'+dizOA3Sw0KBoxqLoMq_qQ=='!$N$25:$AI$99</definedName>
    <definedName name="_xlnm.Print_Area" localSheetId="58">'+HUbGMsjJ0aDnEGeAJqrrg=='!$N$25:$AI$67</definedName>
    <definedName name="_xlnm.Print_Area" localSheetId="46">'3Cd1WciUwUedrWOV02r1iQ=='!$A$1:$AI$105</definedName>
    <definedName name="_xlnm.Print_Area" localSheetId="14">'3wuSWMeHY0ScOgohsNW2oA=='!$N$25:$AI$122</definedName>
    <definedName name="_xlnm.Print_Area" localSheetId="38">'4KNhtOpAEUypgWAtMC7vgA=='!$N$25:$AI$105</definedName>
    <definedName name="_xlnm.Print_Area" localSheetId="40">'4O1sRaHPbU2XFIlkHDUfzA=='!$N$25:$AI$141</definedName>
    <definedName name="_xlnm.Print_Area" localSheetId="2">'5BEUb7L8eUmzgq3JSA6eRw=='!$M$25:$AH$113</definedName>
    <definedName name="_xlnm.Print_Area" localSheetId="6">'a+q8tK9WI0eMRZSUkMLVTQ=='!$N$25:$AI$152</definedName>
    <definedName name="_xlnm.Print_Area" localSheetId="77">AG!$N$25:$AI$71</definedName>
    <definedName name="_xlnm.Print_Area" localSheetId="4">'AoaAblQE00GhlY7N8v+qEg=='!$N$25:$AI$97</definedName>
    <definedName name="_xlnm.Print_Area" localSheetId="20">'aqaGhLEiDU+wymKUzPWuvQ=='!$N$25:$AI$141</definedName>
    <definedName name="_xlnm.Print_Area" localSheetId="50">'AtH6gwKgpES8vnmy9uNDbw=='!$N$25:$AI$57</definedName>
    <definedName name="_xlnm.Print_Area" localSheetId="47">BCC_CONS!$A$1:$AI$105</definedName>
    <definedName name="_xlnm.Print_Area" localSheetId="49">BCC_CONS_KPI!$N$25:$AI$137</definedName>
    <definedName name="_xlnm.Print_Area" localSheetId="51">BCC_Group!$N$25:$AI$57</definedName>
    <definedName name="_xlnm.Print_Area" localSheetId="53">BCC_KPI_Group!$N$25:$AI$117</definedName>
    <definedName name="_xlnm.Print_Area" localSheetId="57">BCC_KPI_Local!$N$25:$AI$114</definedName>
    <definedName name="_xlnm.Print_Area" localSheetId="55">BCC_Local!$N$25:$AI$56</definedName>
    <definedName name="_xlnm.Print_Area" localSheetId="94">'bt6PClBoWESBtl1xy7bBrw=='!$N$25:$AI$59</definedName>
    <definedName name="_xlnm.Print_Area" localSheetId="62">'C3CYt_UoBEqC0yvQdQ2EtA=='!$N$25:$AI$64</definedName>
    <definedName name="_xlnm.Print_Area" localSheetId="36">'cplIyU1GlUatGZ6NUmFKXQ=='!$N$25:$AI$141</definedName>
    <definedName name="_xlnm.Print_Area" localSheetId="68">'CZIX+apNZUGQ6OLbpMew3Q=='!$N$25:$AI$74</definedName>
    <definedName name="_xlnm.Print_Area" localSheetId="95">Dining!$N$25:$AI$59</definedName>
    <definedName name="_xlnm.Print_Area" localSheetId="87">EC!$N$25:$AI$37</definedName>
    <definedName name="_xlnm.Print_Area" localSheetId="72">'f_zLUiAjjUWjv52jXIyB4g=='!$N$25:$AI$98</definedName>
    <definedName name="_xlnm.Print_Area" localSheetId="52">'Fb_1MJyuEEeg54ipZ4Ia9w=='!$N$25:$AI$117</definedName>
    <definedName name="_xlnm.Print_Area" localSheetId="11">FB_Cons!$N$25:$AI$122</definedName>
    <definedName name="_xlnm.Print_Area" localSheetId="13">FB_KPI!$N$25:$AI$171</definedName>
    <definedName name="_xlnm.Print_Area" localSheetId="71">FB_Retail!$N$25:$AI$72</definedName>
    <definedName name="_xlnm.Print_Area" localSheetId="70">'g+9rvlKZZ0mqyaK54TM35Q=='!$N$25:$AI$72</definedName>
    <definedName name="_xlnm.Print_Area" localSheetId="16">'hBP4qoENkE6FjOiCOXli+g=='!$N$25:$AI$141</definedName>
    <definedName name="_xlnm.Print_Area" localSheetId="65">HC_SPA!$N$25:$AI$67</definedName>
    <definedName name="_xlnm.Print_Area" localSheetId="84">'HEtSVi0IeEeMBYoiN0+iUA=='!$N$25:$AI$75</definedName>
    <definedName name="_xlnm.Print_Area" localSheetId="79">HR_Detail!$N$25:$AI$44</definedName>
    <definedName name="_xlnm.Print_Area" localSheetId="43">IRD!$N$25:$AI$79</definedName>
    <definedName name="_xlnm.Print_Area" localSheetId="45">IRD_KPI!$N$25:$AI$141</definedName>
    <definedName name="_xlnm.Print_Area" localSheetId="81">IT!$N$25:$AI$62</definedName>
    <definedName name="_xlnm.Print_Area" localSheetId="8">'jhweJqrE+0iz7sclGhWO_g=='!$N$25:$AI$74</definedName>
    <definedName name="_xlnm.Print_Area" localSheetId="60">'JPnNwqMTXEyH_mmA380DEA=='!$M$25:$AH$60</definedName>
    <definedName name="_xlnm.Print_Area" localSheetId="28">'jRxs7R+H60+fLrZ6OuEQNQ=='!$N$25:$AI$141</definedName>
    <definedName name="_xlnm.Print_Area" localSheetId="24">'kBaoEHqqKkiQPdikogNI3Q=='!$N$25:$AI$141</definedName>
    <definedName name="_xlnm.Print_Area" localSheetId="90">'Kf0bn1dzE0+hVBbxZg5v1g=='!$N$25:$AI$68</definedName>
    <definedName name="_xlnm.Print_Area" localSheetId="93">Laundry!$N$25:$AI$60</definedName>
    <definedName name="_xlnm.Print_Area" localSheetId="89">Mgt_Fees!$N$25:$AI$36</definedName>
    <definedName name="_xlnm.Print_Area" localSheetId="59">Mini_Bar!$N$25:$AI$67</definedName>
    <definedName name="_xlnm.Print_Area" localSheetId="73">Minor_Op!$N$25:$AI$98</definedName>
    <definedName name="_xlnm.Print_Area" localSheetId="75">MISC_INC!$N$25:$AI$52</definedName>
    <definedName name="_xlnm.Print_Area" localSheetId="7">MMA!$N$25:$AI$152</definedName>
    <definedName name="_xlnm.Print_Area" localSheetId="91">Non_Op!$N$25:$AI$68</definedName>
    <definedName name="_xlnm.Print_Area" localSheetId="80">'nVYoVvGMSEqa5lkNmggkEw=='!$N$25:$AI$62</definedName>
    <definedName name="_xlnm.Print_Area" localSheetId="88">'o9Ownswb+0e_twQv_qepqQ=='!$N$25:$AI$36</definedName>
    <definedName name="_xlnm.Print_Area" localSheetId="54">'oalAD9bahUi2SFIiAutoIA=='!$N$25:$AI$56</definedName>
    <definedName name="_xlnm.Print_Area" localSheetId="66">'oaRiL1UCr0a5ZeGaGEWMJg=='!$N$25:$AI$60</definedName>
    <definedName name="_xlnm.Print_Area" localSheetId="78">'oB3_qp7Q1EWfxIflYQb7dw=='!$N$25:$AI$44</definedName>
    <definedName name="_xlnm.Print_Area" localSheetId="61">OTH_OP!$M$25:$AH$60</definedName>
    <definedName name="_xlnm.Print_Area" localSheetId="67">Parking!$N$25:$AI$60</definedName>
    <definedName name="_xlnm.Print_Area" localSheetId="85">POM!$N$25:$AI$75</definedName>
    <definedName name="_xlnm.Print_Area" localSheetId="97">PR_Related!$N$25:$AI$63</definedName>
    <definedName name="_xlnm.Print_Area" localSheetId="9">Resv!$N$25:$AI$74</definedName>
    <definedName name="_xlnm.Print_Area" localSheetId="69">Retail!$N$25:$AI$74</definedName>
    <definedName name="_xlnm.Print_Area" localSheetId="5">Rooms!$N$25:$AI$97</definedName>
    <definedName name="_xlnm.Print_Area" localSheetId="10">'S8A8meZvq0OzntGi4q71ww=='!$N$25:$AI$122</definedName>
    <definedName name="_xlnm.Print_Area" localSheetId="64">'SCQiqgj4rEqJsJ1npJmqlw=='!$N$25:$AI$67</definedName>
    <definedName name="_xlnm.Print_Area" localSheetId="83">SM!$N$25:$AI$76</definedName>
    <definedName name="_xlnm.Print_Area" localSheetId="3">Summary!$M$25:$AH$113</definedName>
    <definedName name="_xlnm.Print_Area" localSheetId="86">'Szg3J+icpU6JjBGixxqYxg=='!$N$25:$AI$37</definedName>
    <definedName name="_xlnm.Print_Area" localSheetId="63">Telcom_Legacy!$N$25:$AI$64</definedName>
    <definedName name="_xlnm.Print_Area" localSheetId="12">'TlUETfS3O0q_qMqyXc31kg=='!$N$25:$AI$171</definedName>
    <definedName name="_xlnm.Print_Area" localSheetId="76">'TpphQxJNZEmJduT7LzZLEw=='!$N$25:$AI$71</definedName>
    <definedName name="_xlnm.Print_Area" localSheetId="56">'tz0uD3ekO0CFLD1WvN5pAg=='!$N$25:$AI$114</definedName>
    <definedName name="_xlnm.Print_Area" localSheetId="82">'ueh+PghI5ECtfEC5O_dLlQ=='!$N$25:$AI$76</definedName>
    <definedName name="_xlnm.Print_Area" localSheetId="22">'Ur9cICEiX0+v1s7WCqhDjg=='!$N$25:$AI$88</definedName>
    <definedName name="_xlnm.Print_Area" localSheetId="48">'UzoMkdLmXkC6I2uj6uMUWA=='!$N$25:$AI$137</definedName>
    <definedName name="_xlnm.Print_Area" localSheetId="92">'vCBzv+YkaESObdTy7YiXoA=='!$N$25:$AI$60</definedName>
    <definedName name="_xlnm.Print_Area" localSheetId="15">Venue1!$N$25:$AI$122</definedName>
    <definedName name="_xlnm.Print_Area" localSheetId="17">Venue1_KPI!$N$25:$AI$141</definedName>
    <definedName name="_xlnm.Print_Area" localSheetId="19">Venue2!$N$25:$AI$99</definedName>
    <definedName name="_xlnm.Print_Area" localSheetId="21">Venue2_KPI!$N$25:$AI$141</definedName>
    <definedName name="_xlnm.Print_Area" localSheetId="23">Venue3!$N$25:$AI$88</definedName>
    <definedName name="_xlnm.Print_Area" localSheetId="25">Venue3_KPI!$N$25:$AI$141</definedName>
    <definedName name="_xlnm.Print_Area" localSheetId="27">Venue4!$N$25:$AI$88</definedName>
    <definedName name="_xlnm.Print_Area" localSheetId="29">Venue4_KPI!$N$25:$AI$141</definedName>
    <definedName name="_xlnm.Print_Area" localSheetId="31">Venue5!$N$25:$AI$88</definedName>
    <definedName name="_xlnm.Print_Area" localSheetId="33">Venue5_KPI!$N$25:$AI$141</definedName>
    <definedName name="_xlnm.Print_Area" localSheetId="35">Venue6!$N$25:$AI$88</definedName>
    <definedName name="_xlnm.Print_Area" localSheetId="37">Venue6_KPI!$N$25:$AI$141</definedName>
    <definedName name="_xlnm.Print_Area" localSheetId="39">VenueBar!$N$25:$AI$105</definedName>
    <definedName name="_xlnm.Print_Area" localSheetId="41">VenueBar_KPI!$N$25:$AI$141</definedName>
    <definedName name="_xlnm.Print_Area" localSheetId="34">'vTCkZLqCi06j3ZbWEk8hCQ=='!$N$25:$AI$88</definedName>
    <definedName name="_xlnm.Print_Area" localSheetId="96">'vXGDvSyazEWVpBlSxcaY1Q=='!$N$25:$AI$63</definedName>
    <definedName name="_xlnm.Print_Area" localSheetId="74">'WhM2P_lzeUa8sP3Hx+iKZw=='!$N$25:$AI$52</definedName>
    <definedName name="_xlnm.Print_Area" localSheetId="44">'ylSALY5JfkayboFK3T1SXA=='!$N$25:$AI$141</definedName>
    <definedName name="_xlnm.Print_Area" localSheetId="32">'Z7lKZxxBG0O8LPgoY1wOcA=='!$N$25:$AI$141</definedName>
    <definedName name="_xlnm.Print_Area" localSheetId="30">'ZSriImMDIEKQMZC+g31cpw=='!$N$25:$AI$88</definedName>
    <definedName name="_xlnm.Print_Titles" localSheetId="26">'_PPZ4ye_GEGtgi8gkINWpw=='!$25:$32</definedName>
    <definedName name="_xlnm.Print_Titles" localSheetId="42">'+70DYMA4iE++p_Ewnlu4gQ=='!$25:$32</definedName>
    <definedName name="_xlnm.Print_Titles" localSheetId="18">'+dizOA3Sw0KBoxqLoMq_qQ=='!$25:$32</definedName>
    <definedName name="_xlnm.Print_Titles" localSheetId="58">'+HUbGMsjJ0aDnEGeAJqrrg=='!$25:$32</definedName>
    <definedName name="_xlnm.Print_Titles" localSheetId="14">'3wuSWMeHY0ScOgohsNW2oA=='!$25:$32</definedName>
    <definedName name="_xlnm.Print_Titles" localSheetId="38">'4KNhtOpAEUypgWAtMC7vgA=='!$25:$32</definedName>
    <definedName name="_xlnm.Print_Titles" localSheetId="40">'4O1sRaHPbU2XFIlkHDUfzA=='!$25:$32</definedName>
    <definedName name="_xlnm.Print_Titles" localSheetId="2">'5BEUb7L8eUmzgq3JSA6eRw=='!$25:$32</definedName>
    <definedName name="_xlnm.Print_Titles" localSheetId="6">'a+q8tK9WI0eMRZSUkMLVTQ=='!$25:$32</definedName>
    <definedName name="_xlnm.Print_Titles" localSheetId="77">AG!$25:$32</definedName>
    <definedName name="_xlnm.Print_Titles" localSheetId="4">'AoaAblQE00GhlY7N8v+qEg=='!$25:$32</definedName>
    <definedName name="_xlnm.Print_Titles" localSheetId="20">'aqaGhLEiDU+wymKUzPWuvQ=='!$25:$32</definedName>
    <definedName name="_xlnm.Print_Titles" localSheetId="50">'AtH6gwKgpES8vnmy9uNDbw=='!$25:$32</definedName>
    <definedName name="_xlnm.Print_Titles" localSheetId="49">BCC_CONS_KPI!$25:$32</definedName>
    <definedName name="_xlnm.Print_Titles" localSheetId="51">BCC_Group!$25:$32</definedName>
    <definedName name="_xlnm.Print_Titles" localSheetId="53">BCC_KPI_Group!$25:$32</definedName>
    <definedName name="_xlnm.Print_Titles" localSheetId="57">BCC_KPI_Local!$25:$32</definedName>
    <definedName name="_xlnm.Print_Titles" localSheetId="55">BCC_Local!$25:$32</definedName>
    <definedName name="_xlnm.Print_Titles" localSheetId="94">'bt6PClBoWESBtl1xy7bBrw=='!$25:$32</definedName>
    <definedName name="_xlnm.Print_Titles" localSheetId="62">'C3CYt_UoBEqC0yvQdQ2EtA=='!$25:$32</definedName>
    <definedName name="_xlnm.Print_Titles" localSheetId="36">'cplIyU1GlUatGZ6NUmFKXQ=='!$25:$32</definedName>
    <definedName name="_xlnm.Print_Titles" localSheetId="68">'CZIX+apNZUGQ6OLbpMew3Q=='!$25:$32</definedName>
    <definedName name="_xlnm.Print_Titles" localSheetId="95">Dining!$25:$32</definedName>
    <definedName name="_xlnm.Print_Titles" localSheetId="87">EC!$25:$32</definedName>
    <definedName name="_xlnm.Print_Titles" localSheetId="72">'f_zLUiAjjUWjv52jXIyB4g=='!$25:$32</definedName>
    <definedName name="_xlnm.Print_Titles" localSheetId="52">'Fb_1MJyuEEeg54ipZ4Ia9w=='!$25:$32</definedName>
    <definedName name="_xlnm.Print_Titles" localSheetId="11">FB_Cons!$25:$32</definedName>
    <definedName name="_xlnm.Print_Titles" localSheetId="13">FB_KPI!$25:$32</definedName>
    <definedName name="_xlnm.Print_Titles" localSheetId="71">FB_Retail!$25:$32</definedName>
    <definedName name="_xlnm.Print_Titles" localSheetId="70">'g+9rvlKZZ0mqyaK54TM35Q=='!$25:$32</definedName>
    <definedName name="_xlnm.Print_Titles" localSheetId="16">'hBP4qoENkE6FjOiCOXli+g=='!$25:$32</definedName>
    <definedName name="_xlnm.Print_Titles" localSheetId="65">HC_SPA!$25:$32</definedName>
    <definedName name="_xlnm.Print_Titles" localSheetId="84">'HEtSVi0IeEeMBYoiN0+iUA=='!$25:$32</definedName>
    <definedName name="_xlnm.Print_Titles" localSheetId="79">HR_Detail!$25:$32</definedName>
    <definedName name="_xlnm.Print_Titles" localSheetId="43">IRD!$25:$32</definedName>
    <definedName name="_xlnm.Print_Titles" localSheetId="45">IRD_KPI!$25:$32</definedName>
    <definedName name="_xlnm.Print_Titles" localSheetId="81">IT!$25:$32</definedName>
    <definedName name="_xlnm.Print_Titles" localSheetId="8">'jhweJqrE+0iz7sclGhWO_g=='!$25:$32</definedName>
    <definedName name="_xlnm.Print_Titles" localSheetId="60">'JPnNwqMTXEyH_mmA380DEA=='!$25:$32</definedName>
    <definedName name="_xlnm.Print_Titles" localSheetId="28">'jRxs7R+H60+fLrZ6OuEQNQ=='!$25:$32</definedName>
    <definedName name="_xlnm.Print_Titles" localSheetId="24">'kBaoEHqqKkiQPdikogNI3Q=='!$25:$32</definedName>
    <definedName name="_xlnm.Print_Titles" localSheetId="90">'Kf0bn1dzE0+hVBbxZg5v1g=='!$25:$32</definedName>
    <definedName name="_xlnm.Print_Titles" localSheetId="93">Laundry!$25:$32</definedName>
    <definedName name="_xlnm.Print_Titles" localSheetId="89">Mgt_Fees!$25:$32</definedName>
    <definedName name="_xlnm.Print_Titles" localSheetId="59">Mini_Bar!$25:$32</definedName>
    <definedName name="_xlnm.Print_Titles" localSheetId="73">Minor_Op!$25:$32</definedName>
    <definedName name="_xlnm.Print_Titles" localSheetId="75">MISC_INC!$25:$32</definedName>
    <definedName name="_xlnm.Print_Titles" localSheetId="7">MMA!$25:$32</definedName>
    <definedName name="_xlnm.Print_Titles" localSheetId="91">Non_Op!$25:$32</definedName>
    <definedName name="_xlnm.Print_Titles" localSheetId="80">'nVYoVvGMSEqa5lkNmggkEw=='!$25:$32</definedName>
    <definedName name="_xlnm.Print_Titles" localSheetId="88">'o9Ownswb+0e_twQv_qepqQ=='!$25:$32</definedName>
    <definedName name="_xlnm.Print_Titles" localSheetId="54">'oalAD9bahUi2SFIiAutoIA=='!$25:$32</definedName>
    <definedName name="_xlnm.Print_Titles" localSheetId="66">'oaRiL1UCr0a5ZeGaGEWMJg=='!$25:$32</definedName>
    <definedName name="_xlnm.Print_Titles" localSheetId="78">'oB3_qp7Q1EWfxIflYQb7dw=='!$25:$32</definedName>
    <definedName name="_xlnm.Print_Titles" localSheetId="61">OTH_OP!$25:$32</definedName>
    <definedName name="_xlnm.Print_Titles" localSheetId="67">Parking!$25:$32</definedName>
    <definedName name="_xlnm.Print_Titles" localSheetId="85">POM!$25:$32</definedName>
    <definedName name="_xlnm.Print_Titles" localSheetId="97">PR_Related!$25:$32</definedName>
    <definedName name="_xlnm.Print_Titles" localSheetId="9">Resv!$25:$32</definedName>
    <definedName name="_xlnm.Print_Titles" localSheetId="69">Retail!$25:$32</definedName>
    <definedName name="_xlnm.Print_Titles" localSheetId="5">Rooms!$25:$32</definedName>
    <definedName name="_xlnm.Print_Titles" localSheetId="10">'S8A8meZvq0OzntGi4q71ww=='!$25:$32</definedName>
    <definedName name="_xlnm.Print_Titles" localSheetId="64">'SCQiqgj4rEqJsJ1npJmqlw=='!$25:$32</definedName>
    <definedName name="_xlnm.Print_Titles" localSheetId="83">SM!$25:$32</definedName>
    <definedName name="_xlnm.Print_Titles" localSheetId="3">Summary!$25:$32</definedName>
    <definedName name="_xlnm.Print_Titles" localSheetId="86">'Szg3J+icpU6JjBGixxqYxg=='!$25:$32</definedName>
    <definedName name="_xlnm.Print_Titles" localSheetId="63">Telcom_Legacy!$25:$32</definedName>
    <definedName name="_xlnm.Print_Titles" localSheetId="12">'TlUETfS3O0q_qMqyXc31kg=='!$25:$32</definedName>
    <definedName name="_xlnm.Print_Titles" localSheetId="76">'TpphQxJNZEmJduT7LzZLEw=='!$25:$32</definedName>
    <definedName name="_xlnm.Print_Titles" localSheetId="56">'tz0uD3ekO0CFLD1WvN5pAg=='!$25:$32</definedName>
    <definedName name="_xlnm.Print_Titles" localSheetId="82">'ueh+PghI5ECtfEC5O_dLlQ=='!$25:$32</definedName>
    <definedName name="_xlnm.Print_Titles" localSheetId="22">'Ur9cICEiX0+v1s7WCqhDjg=='!$25:$32</definedName>
    <definedName name="_xlnm.Print_Titles" localSheetId="48">'UzoMkdLmXkC6I2uj6uMUWA=='!$25:$32</definedName>
    <definedName name="_xlnm.Print_Titles" localSheetId="92">'vCBzv+YkaESObdTy7YiXoA=='!$25:$32</definedName>
    <definedName name="_xlnm.Print_Titles" localSheetId="15">Venue1!$25:$32</definedName>
    <definedName name="_xlnm.Print_Titles" localSheetId="17">Venue1_KPI!$25:$32</definedName>
    <definedName name="_xlnm.Print_Titles" localSheetId="19">Venue2!$25:$32</definedName>
    <definedName name="_xlnm.Print_Titles" localSheetId="21">Venue2_KPI!$25:$32</definedName>
    <definedName name="_xlnm.Print_Titles" localSheetId="23">Venue3!$25:$32</definedName>
    <definedName name="_xlnm.Print_Titles" localSheetId="25">Venue3_KPI!$25:$32</definedName>
    <definedName name="_xlnm.Print_Titles" localSheetId="27">Venue4!$25:$32</definedName>
    <definedName name="_xlnm.Print_Titles" localSheetId="29">Venue4_KPI!$25:$32</definedName>
    <definedName name="_xlnm.Print_Titles" localSheetId="31">Venue5!$25:$32</definedName>
    <definedName name="_xlnm.Print_Titles" localSheetId="33">Venue5_KPI!$25:$32</definedName>
    <definedName name="_xlnm.Print_Titles" localSheetId="35">Venue6!$25:$32</definedName>
    <definedName name="_xlnm.Print_Titles" localSheetId="37">Venue6_KPI!$25:$32</definedName>
    <definedName name="_xlnm.Print_Titles" localSheetId="39">VenueBar!$25:$32</definedName>
    <definedName name="_xlnm.Print_Titles" localSheetId="41">VenueBar_KPI!$25:$32</definedName>
    <definedName name="_xlnm.Print_Titles" localSheetId="34">'vTCkZLqCi06j3ZbWEk8hCQ=='!$25:$32</definedName>
    <definedName name="_xlnm.Print_Titles" localSheetId="96">'vXGDvSyazEWVpBlSxcaY1Q=='!$25:$32</definedName>
    <definedName name="_xlnm.Print_Titles" localSheetId="74">'WhM2P_lzeUa8sP3Hx+iKZw=='!$25:$32</definedName>
    <definedName name="_xlnm.Print_Titles" localSheetId="44">'ylSALY5JfkayboFK3T1SXA=='!$25:$32</definedName>
    <definedName name="_xlnm.Print_Titles" localSheetId="32">'Z7lKZxxBG0O8LPgoY1wOcA=='!$25:$32</definedName>
    <definedName name="_xlnm.Print_Titles" localSheetId="30">'ZSriImMDIEKQMZC+g31cpw=='!$25:$32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6" i="119" l="1"/>
  <c r="AD66" i="119"/>
  <c r="N66" i="119"/>
  <c r="O66" i="119"/>
  <c r="P66" i="119"/>
  <c r="Q66" i="119"/>
  <c r="R66" i="119"/>
  <c r="S66" i="119"/>
  <c r="T66" i="119"/>
  <c r="U66" i="119"/>
  <c r="V66" i="119"/>
  <c r="W66" i="119"/>
  <c r="X66" i="119"/>
  <c r="Y66" i="119"/>
  <c r="Z66" i="119"/>
  <c r="AH63" i="119"/>
  <c r="AK63" i="119"/>
  <c r="AL63" i="119"/>
  <c r="AH64" i="119"/>
  <c r="AK64" i="119"/>
  <c r="AL64" i="119"/>
  <c r="AE63" i="119"/>
  <c r="AE64" i="119"/>
  <c r="AA63" i="119"/>
  <c r="AA64" i="119"/>
  <c r="AI64" i="119" s="1"/>
  <c r="AH52" i="119"/>
  <c r="AK52" i="119"/>
  <c r="AL52" i="119"/>
  <c r="AH53" i="119"/>
  <c r="AI53" i="119"/>
  <c r="AK53" i="119"/>
  <c r="AL53" i="119"/>
  <c r="AH54" i="119"/>
  <c r="AK54" i="119"/>
  <c r="AL54" i="119"/>
  <c r="AH55" i="119"/>
  <c r="AK55" i="119"/>
  <c r="AL55" i="119"/>
  <c r="AH56" i="119"/>
  <c r="AK56" i="119"/>
  <c r="AL56" i="119"/>
  <c r="AH57" i="119"/>
  <c r="AK57" i="119"/>
  <c r="AL57" i="119"/>
  <c r="AH58" i="119"/>
  <c r="AK58" i="119"/>
  <c r="AL58" i="119"/>
  <c r="AH59" i="119"/>
  <c r="AK59" i="119"/>
  <c r="AL59" i="119"/>
  <c r="AH60" i="119"/>
  <c r="AK60" i="119"/>
  <c r="AL60" i="119"/>
  <c r="AH61" i="119"/>
  <c r="AK61" i="119"/>
  <c r="AL61" i="119"/>
  <c r="AE52" i="119"/>
  <c r="AE53" i="119"/>
  <c r="AE54" i="119"/>
  <c r="AE55" i="119"/>
  <c r="AF55" i="119"/>
  <c r="AE56" i="119"/>
  <c r="AE57" i="119"/>
  <c r="AE58" i="119"/>
  <c r="AE59" i="119"/>
  <c r="AF59" i="119"/>
  <c r="AE60" i="119"/>
  <c r="AE61" i="119"/>
  <c r="AA52" i="119"/>
  <c r="AJ52" i="119" s="1"/>
  <c r="AA53" i="119"/>
  <c r="AA54" i="119"/>
  <c r="AF54" i="119" s="1"/>
  <c r="AA55" i="119"/>
  <c r="AI55" i="119" s="1"/>
  <c r="AA56" i="119"/>
  <c r="AA57" i="119"/>
  <c r="AA58" i="119"/>
  <c r="AI58" i="119" s="1"/>
  <c r="AA59" i="119"/>
  <c r="AI59" i="119" s="1"/>
  <c r="AA60" i="119"/>
  <c r="AA61" i="119"/>
  <c r="AB61" i="119" s="1"/>
  <c r="AM61" i="119" s="1"/>
  <c r="K52" i="119"/>
  <c r="K53" i="119"/>
  <c r="K54" i="119"/>
  <c r="K55" i="119"/>
  <c r="K56" i="119"/>
  <c r="K57" i="119"/>
  <c r="K58" i="119"/>
  <c r="K59" i="119"/>
  <c r="K60" i="119"/>
  <c r="K61" i="119"/>
  <c r="AH43" i="119"/>
  <c r="AK43" i="119"/>
  <c r="AL43" i="119"/>
  <c r="AH44" i="119"/>
  <c r="AI44" i="119"/>
  <c r="AK44" i="119"/>
  <c r="AL44" i="119"/>
  <c r="AH45" i="119"/>
  <c r="AK45" i="119"/>
  <c r="AL45" i="119"/>
  <c r="AH46" i="119"/>
  <c r="AK46" i="119"/>
  <c r="AL46" i="119"/>
  <c r="AH47" i="119"/>
  <c r="AI47" i="119"/>
  <c r="AK47" i="119"/>
  <c r="AL47" i="119"/>
  <c r="AH48" i="119"/>
  <c r="AK48" i="119"/>
  <c r="AL48" i="119"/>
  <c r="AH49" i="119"/>
  <c r="AK49" i="119"/>
  <c r="AL49" i="119"/>
  <c r="AE43" i="119"/>
  <c r="AE44" i="119"/>
  <c r="AF44" i="119"/>
  <c r="AE45" i="119"/>
  <c r="AE46" i="119"/>
  <c r="AE47" i="119"/>
  <c r="AE48" i="119"/>
  <c r="AE49" i="119"/>
  <c r="AF49" i="119"/>
  <c r="AA43" i="119"/>
  <c r="AA44" i="119"/>
  <c r="AA45" i="119"/>
  <c r="AA46" i="119"/>
  <c r="AA47" i="119"/>
  <c r="AF47" i="119" s="1"/>
  <c r="AA48" i="119"/>
  <c r="AA49" i="119"/>
  <c r="AI49" i="119" s="1"/>
  <c r="K43" i="119"/>
  <c r="K44" i="119"/>
  <c r="K45" i="119"/>
  <c r="K46" i="119"/>
  <c r="K47" i="119"/>
  <c r="K48" i="119"/>
  <c r="K49" i="119"/>
  <c r="AH35" i="119"/>
  <c r="AK35" i="119"/>
  <c r="AL35" i="119"/>
  <c r="AH36" i="119"/>
  <c r="AJ36" i="119"/>
  <c r="AK36" i="119"/>
  <c r="AL36" i="119"/>
  <c r="AH37" i="119"/>
  <c r="AK37" i="119"/>
  <c r="AL37" i="119"/>
  <c r="AH38" i="119"/>
  <c r="AK38" i="119"/>
  <c r="AL38" i="119"/>
  <c r="AH39" i="119"/>
  <c r="AK39" i="119"/>
  <c r="AL39" i="119"/>
  <c r="AH40" i="119"/>
  <c r="AK40" i="119"/>
  <c r="AL40" i="119"/>
  <c r="AE35" i="119"/>
  <c r="AE36" i="119"/>
  <c r="AE37" i="119"/>
  <c r="AE38" i="119"/>
  <c r="AE39" i="119"/>
  <c r="AF39" i="119"/>
  <c r="AE40" i="119"/>
  <c r="AA35" i="119"/>
  <c r="AI35" i="119" s="1"/>
  <c r="AA36" i="119"/>
  <c r="AA37" i="119"/>
  <c r="AI37" i="119" s="1"/>
  <c r="AA38" i="119"/>
  <c r="AI38" i="119" s="1"/>
  <c r="AA39" i="119"/>
  <c r="AA40" i="119"/>
  <c r="K35" i="119"/>
  <c r="K36" i="119"/>
  <c r="K37" i="119"/>
  <c r="K38" i="119"/>
  <c r="K39" i="119"/>
  <c r="K40" i="119"/>
  <c r="AJ32" i="119"/>
  <c r="AK32" i="119"/>
  <c r="AL32" i="119"/>
  <c r="AM31" i="119"/>
  <c r="AN31" i="119"/>
  <c r="AA31" i="119"/>
  <c r="AG17" i="119"/>
  <c r="AG18" i="119" s="1"/>
  <c r="AD16" i="119"/>
  <c r="AD17" i="119"/>
  <c r="AD18" i="119" s="1"/>
  <c r="AA19" i="119"/>
  <c r="AA20" i="119"/>
  <c r="Z16" i="119"/>
  <c r="AA16" i="119"/>
  <c r="M11" i="119"/>
  <c r="B10" i="119"/>
  <c r="B9" i="119"/>
  <c r="B4" i="119"/>
  <c r="AA62" i="118"/>
  <c r="AD57" i="118"/>
  <c r="AK57" i="118" s="1"/>
  <c r="AE57" i="118"/>
  <c r="AG57" i="118"/>
  <c r="AL57" i="118" s="1"/>
  <c r="AH57" i="118"/>
  <c r="O57" i="118"/>
  <c r="P57" i="118"/>
  <c r="Q57" i="118"/>
  <c r="R57" i="118"/>
  <c r="S57" i="118"/>
  <c r="T57" i="118"/>
  <c r="U57" i="118"/>
  <c r="V57" i="118"/>
  <c r="W57" i="118"/>
  <c r="X57" i="118"/>
  <c r="Y57" i="118"/>
  <c r="Z57" i="118"/>
  <c r="AH55" i="118"/>
  <c r="AK55" i="118"/>
  <c r="AL55" i="118"/>
  <c r="AH56" i="118"/>
  <c r="AK56" i="118"/>
  <c r="AL56" i="118"/>
  <c r="AE55" i="118"/>
  <c r="AE56" i="118"/>
  <c r="AA55" i="118"/>
  <c r="AF55" i="118" s="1"/>
  <c r="AB55" i="118"/>
  <c r="AA56" i="118"/>
  <c r="V52" i="118"/>
  <c r="V59" i="118" s="1"/>
  <c r="AE50" i="118"/>
  <c r="AH50" i="118"/>
  <c r="AK50" i="118"/>
  <c r="AL50" i="118"/>
  <c r="K50" i="118"/>
  <c r="AA50" i="118"/>
  <c r="Q48" i="118"/>
  <c r="Q52" i="118" s="1"/>
  <c r="Q59" i="118" s="1"/>
  <c r="Y48" i="118"/>
  <c r="Y52" i="118" s="1"/>
  <c r="AD46" i="118"/>
  <c r="AE46" i="118"/>
  <c r="AG46" i="118"/>
  <c r="AG48" i="118" s="1"/>
  <c r="AH46" i="118"/>
  <c r="O46" i="118"/>
  <c r="O48" i="118" s="1"/>
  <c r="P46" i="118"/>
  <c r="P48" i="118" s="1"/>
  <c r="P52" i="118" s="1"/>
  <c r="Q46" i="118"/>
  <c r="R46" i="118"/>
  <c r="R48" i="118" s="1"/>
  <c r="R52" i="118" s="1"/>
  <c r="R59" i="118" s="1"/>
  <c r="S46" i="118"/>
  <c r="S48" i="118" s="1"/>
  <c r="S52" i="118" s="1"/>
  <c r="S59" i="118" s="1"/>
  <c r="T46" i="118"/>
  <c r="T48" i="118" s="1"/>
  <c r="T52" i="118" s="1"/>
  <c r="T59" i="118" s="1"/>
  <c r="U46" i="118"/>
  <c r="U48" i="118" s="1"/>
  <c r="U52" i="118" s="1"/>
  <c r="U59" i="118" s="1"/>
  <c r="V46" i="118"/>
  <c r="V48" i="118" s="1"/>
  <c r="W46" i="118"/>
  <c r="W48" i="118" s="1"/>
  <c r="W52" i="118" s="1"/>
  <c r="W59" i="118" s="1"/>
  <c r="X46" i="118"/>
  <c r="X48" i="118" s="1"/>
  <c r="X52" i="118" s="1"/>
  <c r="Y46" i="118"/>
  <c r="Z46" i="118"/>
  <c r="Z48" i="118" s="1"/>
  <c r="Z52" i="118" s="1"/>
  <c r="Z59" i="118" s="1"/>
  <c r="AH44" i="118"/>
  <c r="AK44" i="118"/>
  <c r="AL44" i="118"/>
  <c r="AH45" i="118"/>
  <c r="AK45" i="118"/>
  <c r="AL45" i="118"/>
  <c r="AE44" i="118"/>
  <c r="AE45" i="118"/>
  <c r="AA44" i="118"/>
  <c r="AA45" i="118"/>
  <c r="AI45" i="118" s="1"/>
  <c r="K44" i="118"/>
  <c r="K45" i="118"/>
  <c r="AH38" i="118"/>
  <c r="AK38" i="118"/>
  <c r="AL38" i="118"/>
  <c r="AH39" i="118"/>
  <c r="AK39" i="118"/>
  <c r="AL39" i="118"/>
  <c r="AH40" i="118"/>
  <c r="AK40" i="118"/>
  <c r="AL40" i="118"/>
  <c r="AN40" i="118"/>
  <c r="AH41" i="118"/>
  <c r="AK41" i="118"/>
  <c r="AL41" i="118"/>
  <c r="AE38" i="118"/>
  <c r="AE39" i="118"/>
  <c r="AE40" i="118"/>
  <c r="AE41" i="118"/>
  <c r="AF41" i="118"/>
  <c r="AA38" i="118"/>
  <c r="AI38" i="118" s="1"/>
  <c r="AA39" i="118"/>
  <c r="AI39" i="118" s="1"/>
  <c r="AA40" i="118"/>
  <c r="AF40" i="118" s="1"/>
  <c r="AB40" i="118"/>
  <c r="AM40" i="118" s="1"/>
  <c r="AA41" i="118"/>
  <c r="AI41" i="118" s="1"/>
  <c r="K38" i="118"/>
  <c r="K39" i="118"/>
  <c r="K40" i="118"/>
  <c r="K41" i="118"/>
  <c r="AH34" i="118"/>
  <c r="AK34" i="118"/>
  <c r="AL34" i="118"/>
  <c r="AH35" i="118"/>
  <c r="AK35" i="118"/>
  <c r="AL35" i="118"/>
  <c r="AE34" i="118"/>
  <c r="AE35" i="118"/>
  <c r="AA34" i="118"/>
  <c r="AI34" i="118" s="1"/>
  <c r="AB34" i="118"/>
  <c r="AA35" i="118"/>
  <c r="AI35" i="118" s="1"/>
  <c r="K34" i="118"/>
  <c r="K35" i="118"/>
  <c r="AJ32" i="118"/>
  <c r="AK32" i="118"/>
  <c r="AL32" i="118"/>
  <c r="AM31" i="118"/>
  <c r="AN31" i="118"/>
  <c r="AA31" i="118"/>
  <c r="AG17" i="118"/>
  <c r="AG18" i="118" s="1"/>
  <c r="AD16" i="118"/>
  <c r="AD17" i="118"/>
  <c r="AD18" i="118" s="1"/>
  <c r="AA19" i="118"/>
  <c r="AA20" i="118"/>
  <c r="Z16" i="118"/>
  <c r="AA16" i="118"/>
  <c r="M11" i="118"/>
  <c r="B10" i="118"/>
  <c r="B9" i="118"/>
  <c r="B4" i="118"/>
  <c r="AA63" i="117"/>
  <c r="AD58" i="117"/>
  <c r="AK58" i="117" s="1"/>
  <c r="AE58" i="117"/>
  <c r="AG58" i="117"/>
  <c r="O58" i="117"/>
  <c r="P58" i="117"/>
  <c r="Q58" i="117"/>
  <c r="R58" i="117"/>
  <c r="S58" i="117"/>
  <c r="T58" i="117"/>
  <c r="U58" i="117"/>
  <c r="V58" i="117"/>
  <c r="W58" i="117"/>
  <c r="X58" i="117"/>
  <c r="Y58" i="117"/>
  <c r="Z58" i="117"/>
  <c r="AH56" i="117"/>
  <c r="AK56" i="117"/>
  <c r="AL56" i="117"/>
  <c r="AH57" i="117"/>
  <c r="AI57" i="117"/>
  <c r="AK57" i="117"/>
  <c r="AL57" i="117"/>
  <c r="AE56" i="117"/>
  <c r="AE57" i="117"/>
  <c r="AF57" i="117"/>
  <c r="AA56" i="117"/>
  <c r="AA57" i="117"/>
  <c r="AB57" i="117"/>
  <c r="AM57" i="117" s="1"/>
  <c r="AD51" i="117"/>
  <c r="AG51" i="117"/>
  <c r="O51" i="117"/>
  <c r="P51" i="117"/>
  <c r="Q51" i="117"/>
  <c r="R51" i="117"/>
  <c r="S51" i="117"/>
  <c r="T51" i="117"/>
  <c r="U51" i="117"/>
  <c r="V51" i="117"/>
  <c r="W51" i="117"/>
  <c r="X51" i="117"/>
  <c r="Y51" i="117"/>
  <c r="Z51" i="117"/>
  <c r="AH49" i="117"/>
  <c r="AK49" i="117"/>
  <c r="AL49" i="117"/>
  <c r="AH50" i="117"/>
  <c r="AK50" i="117"/>
  <c r="AL50" i="117"/>
  <c r="AE49" i="117"/>
  <c r="AE50" i="117"/>
  <c r="AA49" i="117"/>
  <c r="AA50" i="117"/>
  <c r="AF50" i="117" s="1"/>
  <c r="K49" i="117"/>
  <c r="AG46" i="117"/>
  <c r="O46" i="117"/>
  <c r="P46" i="117"/>
  <c r="P53" i="117" s="1"/>
  <c r="P60" i="117" s="1"/>
  <c r="R46" i="117"/>
  <c r="W46" i="117"/>
  <c r="W53" i="117" s="1"/>
  <c r="AD44" i="117"/>
  <c r="AD46" i="117" s="1"/>
  <c r="AG44" i="117"/>
  <c r="AL44" i="117" s="1"/>
  <c r="AK44" i="117"/>
  <c r="O44" i="117"/>
  <c r="P44" i="117"/>
  <c r="Q44" i="117"/>
  <c r="Q46" i="117" s="1"/>
  <c r="R44" i="117"/>
  <c r="S44" i="117"/>
  <c r="S46" i="117" s="1"/>
  <c r="S53" i="117" s="1"/>
  <c r="S60" i="117" s="1"/>
  <c r="T44" i="117"/>
  <c r="T46" i="117" s="1"/>
  <c r="T53" i="117" s="1"/>
  <c r="T60" i="117" s="1"/>
  <c r="U44" i="117"/>
  <c r="U46" i="117" s="1"/>
  <c r="U53" i="117" s="1"/>
  <c r="U60" i="117" s="1"/>
  <c r="V44" i="117"/>
  <c r="V46" i="117" s="1"/>
  <c r="V53" i="117" s="1"/>
  <c r="V60" i="117" s="1"/>
  <c r="W44" i="117"/>
  <c r="X44" i="117"/>
  <c r="X46" i="117" s="1"/>
  <c r="X53" i="117" s="1"/>
  <c r="X60" i="117" s="1"/>
  <c r="Y44" i="117"/>
  <c r="Y46" i="117" s="1"/>
  <c r="Z44" i="117"/>
  <c r="Z46" i="117" s="1"/>
  <c r="Z53" i="117" s="1"/>
  <c r="AH42" i="117"/>
  <c r="AI42" i="117"/>
  <c r="AK42" i="117"/>
  <c r="AL42" i="117"/>
  <c r="AH43" i="117"/>
  <c r="AK43" i="117"/>
  <c r="AL43" i="117"/>
  <c r="AE42" i="117"/>
  <c r="AE43" i="117"/>
  <c r="AF43" i="117"/>
  <c r="AA42" i="117"/>
  <c r="AF42" i="117" s="1"/>
  <c r="AA43" i="117"/>
  <c r="AB43" i="117" s="1"/>
  <c r="K42" i="117"/>
  <c r="K43" i="117"/>
  <c r="AH35" i="117"/>
  <c r="AI35" i="117"/>
  <c r="AK35" i="117"/>
  <c r="AL35" i="117"/>
  <c r="AH36" i="117"/>
  <c r="AI36" i="117"/>
  <c r="AK36" i="117"/>
  <c r="AL36" i="117"/>
  <c r="AH37" i="117"/>
  <c r="AK37" i="117"/>
  <c r="AL37" i="117"/>
  <c r="AH38" i="117"/>
  <c r="AK38" i="117"/>
  <c r="AL38" i="117"/>
  <c r="AH39" i="117"/>
  <c r="AK39" i="117"/>
  <c r="AL39" i="117"/>
  <c r="AE35" i="117"/>
  <c r="AF35" i="117"/>
  <c r="AE36" i="117"/>
  <c r="AE37" i="117"/>
  <c r="AE38" i="117"/>
  <c r="AE39" i="117"/>
  <c r="AA35" i="117"/>
  <c r="AB35" i="117"/>
  <c r="AA36" i="117"/>
  <c r="AF36" i="117" s="1"/>
  <c r="AA37" i="117"/>
  <c r="AA38" i="117"/>
  <c r="AA39" i="117"/>
  <c r="K35" i="117"/>
  <c r="K36" i="117"/>
  <c r="K37" i="117"/>
  <c r="K38" i="117"/>
  <c r="K39" i="117"/>
  <c r="AJ32" i="117"/>
  <c r="AK32" i="117"/>
  <c r="AL32" i="117"/>
  <c r="AM31" i="117"/>
  <c r="AN31" i="117"/>
  <c r="AA31" i="117"/>
  <c r="AG17" i="117"/>
  <c r="AG18" i="117" s="1"/>
  <c r="AD16" i="117"/>
  <c r="AD17" i="117"/>
  <c r="AD18" i="117"/>
  <c r="AA19" i="117"/>
  <c r="AA20" i="117"/>
  <c r="AJ57" i="117" s="1"/>
  <c r="Z16" i="117"/>
  <c r="AA16" i="117"/>
  <c r="M11" i="117"/>
  <c r="B10" i="117"/>
  <c r="B9" i="117"/>
  <c r="B4" i="117"/>
  <c r="AD66" i="116"/>
  <c r="AE66" i="116"/>
  <c r="AG66" i="116"/>
  <c r="AG68" i="116" s="1"/>
  <c r="AH66" i="116"/>
  <c r="O66" i="116"/>
  <c r="P66" i="116"/>
  <c r="P67" i="116" s="1"/>
  <c r="Q66" i="116"/>
  <c r="R66" i="116"/>
  <c r="S66" i="116"/>
  <c r="S68" i="116" s="1"/>
  <c r="T66" i="116"/>
  <c r="T68" i="116" s="1"/>
  <c r="U66" i="116"/>
  <c r="U68" i="116" s="1"/>
  <c r="V66" i="116"/>
  <c r="V68" i="116" s="1"/>
  <c r="W66" i="116"/>
  <c r="X66" i="116"/>
  <c r="X67" i="116" s="1"/>
  <c r="Y66" i="116"/>
  <c r="Z66" i="116"/>
  <c r="U67" i="116"/>
  <c r="N66" i="116"/>
  <c r="AH34" i="116"/>
  <c r="AK34" i="116"/>
  <c r="AL34" i="116"/>
  <c r="AH35" i="116"/>
  <c r="AK35" i="116"/>
  <c r="AL35" i="116"/>
  <c r="AH36" i="116"/>
  <c r="AK36" i="116"/>
  <c r="AL36" i="116"/>
  <c r="AH37" i="116"/>
  <c r="AK37" i="116"/>
  <c r="AL37" i="116"/>
  <c r="AH38" i="116"/>
  <c r="AK38" i="116"/>
  <c r="AL38" i="116"/>
  <c r="AH39" i="116"/>
  <c r="AK39" i="116"/>
  <c r="AL39" i="116"/>
  <c r="AH40" i="116"/>
  <c r="AK40" i="116"/>
  <c r="AL40" i="116"/>
  <c r="AH41" i="116"/>
  <c r="AK41" i="116"/>
  <c r="AL41" i="116"/>
  <c r="AH42" i="116"/>
  <c r="AK42" i="116"/>
  <c r="AL42" i="116"/>
  <c r="AH43" i="116"/>
  <c r="AK43" i="116"/>
  <c r="AL43" i="116"/>
  <c r="AH44" i="116"/>
  <c r="AK44" i="116"/>
  <c r="AL44" i="116"/>
  <c r="AH45" i="116"/>
  <c r="AK45" i="116"/>
  <c r="AL45" i="116"/>
  <c r="AH46" i="116"/>
  <c r="AK46" i="116"/>
  <c r="AL46" i="116"/>
  <c r="AH47" i="116"/>
  <c r="AK47" i="116"/>
  <c r="AL47" i="116"/>
  <c r="AH48" i="116"/>
  <c r="AK48" i="116"/>
  <c r="AL48" i="116"/>
  <c r="AH49" i="116"/>
  <c r="AK49" i="116"/>
  <c r="AL49" i="116"/>
  <c r="AH50" i="116"/>
  <c r="AK50" i="116"/>
  <c r="AL50" i="116"/>
  <c r="AH51" i="116"/>
  <c r="AK51" i="116"/>
  <c r="AL51" i="116"/>
  <c r="AH52" i="116"/>
  <c r="AK52" i="116"/>
  <c r="AL52" i="116"/>
  <c r="AH53" i="116"/>
  <c r="AK53" i="116"/>
  <c r="AL53" i="116"/>
  <c r="AH54" i="116"/>
  <c r="AK54" i="116"/>
  <c r="AL54" i="116"/>
  <c r="AH55" i="116"/>
  <c r="AK55" i="116"/>
  <c r="AL55" i="116"/>
  <c r="AH56" i="116"/>
  <c r="AK56" i="116"/>
  <c r="AL56" i="116"/>
  <c r="AH57" i="116"/>
  <c r="AK57" i="116"/>
  <c r="AL57" i="116"/>
  <c r="AH58" i="116"/>
  <c r="AK58" i="116"/>
  <c r="AL58" i="116"/>
  <c r="AH59" i="116"/>
  <c r="AK59" i="116"/>
  <c r="AL59" i="116"/>
  <c r="AH60" i="116"/>
  <c r="AK60" i="116"/>
  <c r="AL60" i="116"/>
  <c r="AH61" i="116"/>
  <c r="AJ61" i="116"/>
  <c r="AK61" i="116"/>
  <c r="AL61" i="116"/>
  <c r="AH62" i="116"/>
  <c r="AK62" i="116"/>
  <c r="AL62" i="116"/>
  <c r="AH63" i="116"/>
  <c r="AK63" i="116"/>
  <c r="AL63" i="116"/>
  <c r="AH64" i="116"/>
  <c r="AK64" i="116"/>
  <c r="AL64" i="116"/>
  <c r="AH65" i="116"/>
  <c r="AK65" i="116"/>
  <c r="AL65" i="116"/>
  <c r="AE34" i="116"/>
  <c r="AF34" i="116"/>
  <c r="AE35" i="116"/>
  <c r="AE36" i="116"/>
  <c r="AF36" i="116"/>
  <c r="AE37" i="116"/>
  <c r="AF37" i="116"/>
  <c r="AE38" i="116"/>
  <c r="AE39" i="116"/>
  <c r="AE40" i="116"/>
  <c r="AE41" i="116"/>
  <c r="AE42" i="116"/>
  <c r="AE43" i="116"/>
  <c r="AE44" i="116"/>
  <c r="AF44" i="116"/>
  <c r="AE45" i="116"/>
  <c r="AF45" i="116"/>
  <c r="AE46" i="116"/>
  <c r="AE47" i="116"/>
  <c r="AE48" i="116"/>
  <c r="AF48" i="116"/>
  <c r="AE49" i="116"/>
  <c r="AF49" i="116"/>
  <c r="AE50" i="116"/>
  <c r="AE51" i="116"/>
  <c r="AE52" i="116"/>
  <c r="AE53" i="116"/>
  <c r="AF53" i="116"/>
  <c r="AE54" i="116"/>
  <c r="AF54" i="116"/>
  <c r="AE55" i="116"/>
  <c r="AE56" i="116"/>
  <c r="AE57" i="116"/>
  <c r="AF57" i="116"/>
  <c r="AE58" i="116"/>
  <c r="AE59" i="116"/>
  <c r="AE60" i="116"/>
  <c r="AF60" i="116"/>
  <c r="AE61" i="116"/>
  <c r="AE62" i="116"/>
  <c r="AE63" i="116"/>
  <c r="AE64" i="116"/>
  <c r="AE65" i="116"/>
  <c r="AA34" i="116"/>
  <c r="AB34" i="116"/>
  <c r="AA35" i="116"/>
  <c r="AF35" i="116" s="1"/>
  <c r="AA36" i="116"/>
  <c r="AB36" i="116"/>
  <c r="AA37" i="116"/>
  <c r="AA38" i="116"/>
  <c r="AI38" i="116" s="1"/>
  <c r="AA39" i="116"/>
  <c r="AF39" i="116" s="1"/>
  <c r="AA40" i="116"/>
  <c r="AF40" i="116" s="1"/>
  <c r="AA41" i="116"/>
  <c r="AA42" i="116"/>
  <c r="AF42" i="116" s="1"/>
  <c r="AA43" i="116"/>
  <c r="AF43" i="116" s="1"/>
  <c r="AA44" i="116"/>
  <c r="AA45" i="116"/>
  <c r="AJ45" i="116" s="1"/>
  <c r="AA46" i="116"/>
  <c r="AB46" i="116"/>
  <c r="AA47" i="116"/>
  <c r="AF47" i="116" s="1"/>
  <c r="AA48" i="116"/>
  <c r="AA49" i="116"/>
  <c r="AA50" i="116"/>
  <c r="AF50" i="116" s="1"/>
  <c r="AA51" i="116"/>
  <c r="AF51" i="116" s="1"/>
  <c r="AA52" i="116"/>
  <c r="AF52" i="116" s="1"/>
  <c r="AA53" i="116"/>
  <c r="AJ53" i="116" s="1"/>
  <c r="AB53" i="116"/>
  <c r="AA54" i="116"/>
  <c r="AI54" i="116" s="1"/>
  <c r="AA55" i="116"/>
  <c r="AF55" i="116" s="1"/>
  <c r="AA56" i="116"/>
  <c r="AF56" i="116" s="1"/>
  <c r="AA57" i="116"/>
  <c r="AB57" i="116"/>
  <c r="AA58" i="116"/>
  <c r="AA59" i="116"/>
  <c r="AF59" i="116" s="1"/>
  <c r="AA60" i="116"/>
  <c r="AI60" i="116" s="1"/>
  <c r="AB60" i="116"/>
  <c r="AA61" i="116"/>
  <c r="AI61" i="116" s="1"/>
  <c r="AA62" i="116"/>
  <c r="AA63" i="116"/>
  <c r="AF63" i="116" s="1"/>
  <c r="AA64" i="116"/>
  <c r="AA65" i="116"/>
  <c r="AI65" i="116" s="1"/>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AJ32" i="116"/>
  <c r="AK32" i="116"/>
  <c r="AL32" i="116"/>
  <c r="AM31" i="116"/>
  <c r="AN31" i="116"/>
  <c r="AA31" i="116"/>
  <c r="AG17" i="116"/>
  <c r="AG18" i="116" s="1"/>
  <c r="AD16" i="116"/>
  <c r="AD17" i="116"/>
  <c r="AD18" i="116"/>
  <c r="AA19" i="116"/>
  <c r="AB38" i="116" s="1"/>
  <c r="AA20" i="116"/>
  <c r="AA21" i="116"/>
  <c r="Z16" i="116"/>
  <c r="AA16" i="116"/>
  <c r="M11" i="116"/>
  <c r="B10" i="116"/>
  <c r="B9" i="116"/>
  <c r="B4" i="116"/>
  <c r="N38" i="115"/>
  <c r="AA38" i="115"/>
  <c r="AD36" i="115"/>
  <c r="AK36" i="115" s="1"/>
  <c r="AG36" i="115"/>
  <c r="AH36" i="115"/>
  <c r="AL36" i="115"/>
  <c r="O36" i="115"/>
  <c r="P36" i="115"/>
  <c r="Q36" i="115"/>
  <c r="R36" i="115"/>
  <c r="S36" i="115"/>
  <c r="T36" i="115"/>
  <c r="U36" i="115"/>
  <c r="V36" i="115"/>
  <c r="W36" i="115"/>
  <c r="X36" i="115"/>
  <c r="Y36" i="115"/>
  <c r="Z36" i="115"/>
  <c r="AH34" i="115"/>
  <c r="AK34" i="115"/>
  <c r="AL34" i="115"/>
  <c r="AH35" i="115"/>
  <c r="AK35" i="115"/>
  <c r="AL35" i="115"/>
  <c r="AE34" i="115"/>
  <c r="AE35" i="115"/>
  <c r="AA34" i="115"/>
  <c r="AA35" i="115"/>
  <c r="K34" i="115"/>
  <c r="K35" i="115"/>
  <c r="AJ32" i="115"/>
  <c r="AK32" i="115"/>
  <c r="AL32" i="115"/>
  <c r="AM31" i="115"/>
  <c r="AN31" i="115"/>
  <c r="AA31" i="115"/>
  <c r="AG17" i="115"/>
  <c r="AG18" i="115"/>
  <c r="AD16" i="115"/>
  <c r="AD17" i="115"/>
  <c r="AD18" i="115" s="1"/>
  <c r="AA19" i="115"/>
  <c r="AA20" i="115"/>
  <c r="Z16" i="115"/>
  <c r="AA16" i="115"/>
  <c r="M11" i="115"/>
  <c r="B10" i="115"/>
  <c r="B9" i="115"/>
  <c r="B4" i="115"/>
  <c r="N39" i="114"/>
  <c r="AA39" i="114"/>
  <c r="AD37" i="114"/>
  <c r="AG37" i="114"/>
  <c r="O37" i="114"/>
  <c r="P37" i="114"/>
  <c r="Q37" i="114"/>
  <c r="R37" i="114"/>
  <c r="S37" i="114"/>
  <c r="T37" i="114"/>
  <c r="U37" i="114"/>
  <c r="V37" i="114"/>
  <c r="W37" i="114"/>
  <c r="X37" i="114"/>
  <c r="Y37" i="114"/>
  <c r="Z37" i="114"/>
  <c r="AH34" i="114"/>
  <c r="AK34" i="114"/>
  <c r="AL34" i="114"/>
  <c r="AH35" i="114"/>
  <c r="AK35" i="114"/>
  <c r="AL35" i="114"/>
  <c r="AH36" i="114"/>
  <c r="AK36" i="114"/>
  <c r="AL36" i="114"/>
  <c r="AE34" i="114"/>
  <c r="AE35" i="114"/>
  <c r="AE36" i="114"/>
  <c r="AF36" i="114"/>
  <c r="AA34" i="114"/>
  <c r="AI34" i="114" s="1"/>
  <c r="AA35" i="114"/>
  <c r="AA36" i="114"/>
  <c r="AI36" i="114" s="1"/>
  <c r="K34" i="114"/>
  <c r="K35" i="114"/>
  <c r="K36" i="114"/>
  <c r="AJ32" i="114"/>
  <c r="AK32" i="114"/>
  <c r="AL32" i="114"/>
  <c r="AM31" i="114"/>
  <c r="AN31" i="114"/>
  <c r="AA31" i="114"/>
  <c r="AG17" i="114"/>
  <c r="AG18" i="114" s="1"/>
  <c r="AD16" i="114"/>
  <c r="AD17" i="114"/>
  <c r="AD18" i="114" s="1"/>
  <c r="AA19" i="114"/>
  <c r="AB34" i="114" s="1"/>
  <c r="AA20" i="114"/>
  <c r="Z16" i="114"/>
  <c r="AA16" i="114"/>
  <c r="M11" i="114"/>
  <c r="B10" i="114"/>
  <c r="B9" i="114"/>
  <c r="B4" i="114"/>
  <c r="AG77" i="113"/>
  <c r="AG78" i="113"/>
  <c r="AD77" i="113"/>
  <c r="AD78" i="113"/>
  <c r="N77" i="113"/>
  <c r="O77" i="113"/>
  <c r="P77" i="113"/>
  <c r="Q77" i="113"/>
  <c r="R77" i="113"/>
  <c r="S77" i="113"/>
  <c r="T77" i="113"/>
  <c r="U77" i="113"/>
  <c r="V77" i="113"/>
  <c r="W77" i="113"/>
  <c r="X77" i="113"/>
  <c r="Y77" i="113"/>
  <c r="Z77" i="113"/>
  <c r="N78" i="113"/>
  <c r="O78" i="113"/>
  <c r="P78" i="113"/>
  <c r="Q78" i="113"/>
  <c r="R78" i="113"/>
  <c r="S78" i="113"/>
  <c r="T78" i="113"/>
  <c r="U78" i="113"/>
  <c r="V78" i="113"/>
  <c r="W78" i="113"/>
  <c r="X78" i="113"/>
  <c r="Y78" i="113"/>
  <c r="Z78" i="113"/>
  <c r="AH74" i="113"/>
  <c r="AK74" i="113"/>
  <c r="AL74" i="113"/>
  <c r="AH75" i="113"/>
  <c r="AK75" i="113"/>
  <c r="AL75" i="113"/>
  <c r="AE74" i="113"/>
  <c r="AE75" i="113"/>
  <c r="AF75" i="113"/>
  <c r="AA74" i="113"/>
  <c r="AA78" i="113" s="1"/>
  <c r="AA75" i="113"/>
  <c r="AI75" i="113" s="1"/>
  <c r="AH50" i="113"/>
  <c r="AK50" i="113"/>
  <c r="AL50" i="113"/>
  <c r="AH51" i="113"/>
  <c r="AK51" i="113"/>
  <c r="AL51" i="113"/>
  <c r="AH52" i="113"/>
  <c r="AK52" i="113"/>
  <c r="AL52" i="113"/>
  <c r="AH53" i="113"/>
  <c r="AK53" i="113"/>
  <c r="AL53" i="113"/>
  <c r="AH54" i="113"/>
  <c r="AK54" i="113"/>
  <c r="AL54" i="113"/>
  <c r="AH55" i="113"/>
  <c r="AK55" i="113"/>
  <c r="AL55" i="113"/>
  <c r="AH56" i="113"/>
  <c r="AK56" i="113"/>
  <c r="AL56" i="113"/>
  <c r="AH57" i="113"/>
  <c r="AK57" i="113"/>
  <c r="AL57" i="113"/>
  <c r="AH58" i="113"/>
  <c r="AK58" i="113"/>
  <c r="AL58" i="113"/>
  <c r="AH59" i="113"/>
  <c r="AK59" i="113"/>
  <c r="AL59" i="113"/>
  <c r="AH60" i="113"/>
  <c r="AK60" i="113"/>
  <c r="AL60" i="113"/>
  <c r="AH61" i="113"/>
  <c r="AK61" i="113"/>
  <c r="AL61" i="113"/>
  <c r="AH62" i="113"/>
  <c r="AI62" i="113"/>
  <c r="AK62" i="113"/>
  <c r="AL62" i="113"/>
  <c r="AH63" i="113"/>
  <c r="AI63" i="113"/>
  <c r="AK63" i="113"/>
  <c r="AL63" i="113"/>
  <c r="AH64" i="113"/>
  <c r="AK64" i="113"/>
  <c r="AL64" i="113"/>
  <c r="AH65" i="113"/>
  <c r="AK65" i="113"/>
  <c r="AL65" i="113"/>
  <c r="AH66" i="113"/>
  <c r="AK66" i="113"/>
  <c r="AL66" i="113"/>
  <c r="AH67" i="113"/>
  <c r="AK67" i="113"/>
  <c r="AL67" i="113"/>
  <c r="AH68" i="113"/>
  <c r="AK68" i="113"/>
  <c r="AL68" i="113"/>
  <c r="AH69" i="113"/>
  <c r="AK69" i="113"/>
  <c r="AL69" i="113"/>
  <c r="AH70" i="113"/>
  <c r="AK70" i="113"/>
  <c r="AL70" i="113"/>
  <c r="AH71" i="113"/>
  <c r="AI71" i="113"/>
  <c r="AK71" i="113"/>
  <c r="AL71" i="113"/>
  <c r="AH72" i="113"/>
  <c r="AK72" i="113"/>
  <c r="AL72" i="113"/>
  <c r="AE50" i="113"/>
  <c r="AF50" i="113"/>
  <c r="AE51" i="113"/>
  <c r="AF51" i="113"/>
  <c r="AE52" i="113"/>
  <c r="AE53" i="113"/>
  <c r="AE54" i="113"/>
  <c r="AE55" i="113"/>
  <c r="AF55" i="113"/>
  <c r="AE56" i="113"/>
  <c r="AE57" i="113"/>
  <c r="AE58" i="113"/>
  <c r="AE59" i="113"/>
  <c r="AE60" i="113"/>
  <c r="AE61" i="113"/>
  <c r="AE62" i="113"/>
  <c r="AF62" i="113"/>
  <c r="AE63" i="113"/>
  <c r="AE64" i="113"/>
  <c r="AE65" i="113"/>
  <c r="AE66" i="113"/>
  <c r="AE67" i="113"/>
  <c r="AE68" i="113"/>
  <c r="AE69" i="113"/>
  <c r="AE70" i="113"/>
  <c r="AF70" i="113"/>
  <c r="AE71" i="113"/>
  <c r="AF71" i="113"/>
  <c r="AE72" i="113"/>
  <c r="AA50" i="113"/>
  <c r="AI50" i="113" s="1"/>
  <c r="AA51" i="113"/>
  <c r="AI51" i="113" s="1"/>
  <c r="AA52" i="113"/>
  <c r="AF52" i="113" s="1"/>
  <c r="AB52" i="113"/>
  <c r="AA53" i="113"/>
  <c r="AA54" i="113"/>
  <c r="AA55" i="113"/>
  <c r="AA56" i="113"/>
  <c r="AF56" i="113" s="1"/>
  <c r="AB56" i="113"/>
  <c r="AM56" i="113" s="1"/>
  <c r="AA57" i="113"/>
  <c r="AA58" i="113"/>
  <c r="AI58" i="113" s="1"/>
  <c r="AA59" i="113"/>
  <c r="AA60" i="113"/>
  <c r="AF60" i="113" s="1"/>
  <c r="AB60" i="113"/>
  <c r="AM60" i="113" s="1"/>
  <c r="AA61" i="113"/>
  <c r="AA62" i="113"/>
  <c r="AA63" i="113"/>
  <c r="AA64" i="113"/>
  <c r="AF64" i="113" s="1"/>
  <c r="AA65" i="113"/>
  <c r="AA66" i="113"/>
  <c r="AA67" i="113"/>
  <c r="AA68" i="113"/>
  <c r="AA69" i="113"/>
  <c r="AA70" i="113"/>
  <c r="AA71" i="113"/>
  <c r="AA72" i="113"/>
  <c r="K50" i="113"/>
  <c r="K51" i="113"/>
  <c r="K52" i="113"/>
  <c r="K53" i="113"/>
  <c r="K54" i="113"/>
  <c r="K55" i="113"/>
  <c r="K56" i="113"/>
  <c r="K57" i="113"/>
  <c r="K58" i="113"/>
  <c r="K59" i="113"/>
  <c r="K60" i="113"/>
  <c r="K61" i="113"/>
  <c r="K62" i="113"/>
  <c r="K63" i="113"/>
  <c r="K64" i="113"/>
  <c r="K65" i="113"/>
  <c r="K66" i="113"/>
  <c r="K67" i="113"/>
  <c r="K68" i="113"/>
  <c r="K69" i="113"/>
  <c r="K70" i="113"/>
  <c r="K71" i="113"/>
  <c r="AH35" i="113"/>
  <c r="AI35" i="113"/>
  <c r="AJ35" i="113"/>
  <c r="AK35" i="113"/>
  <c r="AL35" i="113"/>
  <c r="AH36" i="113"/>
  <c r="AK36" i="113"/>
  <c r="AL36" i="113"/>
  <c r="AH37" i="113"/>
  <c r="AK37" i="113"/>
  <c r="AL37" i="113"/>
  <c r="AH38" i="113"/>
  <c r="AI38" i="113"/>
  <c r="AK38" i="113"/>
  <c r="AL38" i="113"/>
  <c r="AH39" i="113"/>
  <c r="AK39" i="113"/>
  <c r="AL39" i="113"/>
  <c r="AH40" i="113"/>
  <c r="AK40" i="113"/>
  <c r="AL40" i="113"/>
  <c r="AH41" i="113"/>
  <c r="AK41" i="113"/>
  <c r="AL41" i="113"/>
  <c r="AH42" i="113"/>
  <c r="AI42" i="113"/>
  <c r="AK42" i="113"/>
  <c r="AL42" i="113"/>
  <c r="AH43" i="113"/>
  <c r="AI43" i="113"/>
  <c r="AK43" i="113"/>
  <c r="AL43" i="113"/>
  <c r="AH44" i="113"/>
  <c r="AK44" i="113"/>
  <c r="AL44" i="113"/>
  <c r="AH45" i="113"/>
  <c r="AK45" i="113"/>
  <c r="AL45" i="113"/>
  <c r="AH46" i="113"/>
  <c r="AK46" i="113"/>
  <c r="AL46" i="113"/>
  <c r="AH47" i="113"/>
  <c r="AK47" i="113"/>
  <c r="AL47" i="113"/>
  <c r="AE35" i="113"/>
  <c r="AE36" i="113"/>
  <c r="AE37" i="113"/>
  <c r="AE38" i="113"/>
  <c r="AE39" i="113"/>
  <c r="AE40" i="113"/>
  <c r="AE41" i="113"/>
  <c r="AE42" i="113"/>
  <c r="AF42" i="113"/>
  <c r="AE43" i="113"/>
  <c r="AE44" i="113"/>
  <c r="AE45" i="113"/>
  <c r="AE46" i="113"/>
  <c r="AE47" i="113"/>
  <c r="AA35" i="113"/>
  <c r="AF35" i="113" s="1"/>
  <c r="AA36" i="113"/>
  <c r="AA37" i="113"/>
  <c r="AI37" i="113" s="1"/>
  <c r="AA38" i="113"/>
  <c r="AA39" i="113"/>
  <c r="AF39" i="113" s="1"/>
  <c r="AA40" i="113"/>
  <c r="AI40" i="113" s="1"/>
  <c r="AA41" i="113"/>
  <c r="AI41" i="113" s="1"/>
  <c r="AB41" i="113"/>
  <c r="AA42" i="113"/>
  <c r="AA43" i="113"/>
  <c r="AF43" i="113" s="1"/>
  <c r="AA44" i="113"/>
  <c r="AF44" i="113" s="1"/>
  <c r="AA45" i="113"/>
  <c r="AI45" i="113" s="1"/>
  <c r="AA46" i="113"/>
  <c r="AF46" i="113" s="1"/>
  <c r="AA47" i="113"/>
  <c r="AF47" i="113" s="1"/>
  <c r="K35" i="113"/>
  <c r="K36" i="113"/>
  <c r="K37" i="113"/>
  <c r="K38" i="113"/>
  <c r="K39" i="113"/>
  <c r="K40" i="113"/>
  <c r="K41" i="113"/>
  <c r="K42" i="113"/>
  <c r="K43" i="113"/>
  <c r="K44" i="113"/>
  <c r="K45" i="113"/>
  <c r="K46" i="113"/>
  <c r="K47" i="113"/>
  <c r="AJ32" i="113"/>
  <c r="AK32" i="113"/>
  <c r="AL32" i="113"/>
  <c r="AM31" i="113"/>
  <c r="AN31" i="113"/>
  <c r="AA31" i="113"/>
  <c r="AG17" i="113"/>
  <c r="AG18" i="113" s="1"/>
  <c r="AD16" i="113"/>
  <c r="AD17" i="113"/>
  <c r="AD18" i="113" s="1"/>
  <c r="AA19" i="113"/>
  <c r="AA20" i="113"/>
  <c r="Z16" i="113"/>
  <c r="AA16" i="113"/>
  <c r="M11" i="113"/>
  <c r="B10" i="113"/>
  <c r="B9" i="113"/>
  <c r="B4" i="113"/>
  <c r="AG78" i="112"/>
  <c r="AG79" i="112"/>
  <c r="AD78" i="112"/>
  <c r="AD79" i="112"/>
  <c r="N78" i="112"/>
  <c r="O78" i="112"/>
  <c r="P78" i="112"/>
  <c r="Q78" i="112"/>
  <c r="R78" i="112"/>
  <c r="S78" i="112"/>
  <c r="T78" i="112"/>
  <c r="U78" i="112"/>
  <c r="V78" i="112"/>
  <c r="W78" i="112"/>
  <c r="X78" i="112"/>
  <c r="Y78" i="112"/>
  <c r="Z78" i="112"/>
  <c r="N79" i="112"/>
  <c r="O79" i="112"/>
  <c r="P79" i="112"/>
  <c r="Q79" i="112"/>
  <c r="R79" i="112"/>
  <c r="S79" i="112"/>
  <c r="T79" i="112"/>
  <c r="U79" i="112"/>
  <c r="V79" i="112"/>
  <c r="W79" i="112"/>
  <c r="X79" i="112"/>
  <c r="Y79" i="112"/>
  <c r="Z79" i="112"/>
  <c r="AH75" i="112"/>
  <c r="AK75" i="112"/>
  <c r="AL75" i="112"/>
  <c r="AH76" i="112"/>
  <c r="AK76" i="112"/>
  <c r="AL76" i="112"/>
  <c r="AE75" i="112"/>
  <c r="AE76" i="112"/>
  <c r="AA75" i="112"/>
  <c r="AB75" i="112"/>
  <c r="AA76" i="112"/>
  <c r="AH50" i="112"/>
  <c r="AK50" i="112"/>
  <c r="AL50" i="112"/>
  <c r="AH51" i="112"/>
  <c r="AK51" i="112"/>
  <c r="AL51" i="112"/>
  <c r="AH52" i="112"/>
  <c r="AK52" i="112"/>
  <c r="AL52" i="112"/>
  <c r="AH53" i="112"/>
  <c r="AK53" i="112"/>
  <c r="AL53" i="112"/>
  <c r="AH54" i="112"/>
  <c r="AK54" i="112"/>
  <c r="AL54" i="112"/>
  <c r="AH55" i="112"/>
  <c r="AK55" i="112"/>
  <c r="AL55" i="112"/>
  <c r="AH56" i="112"/>
  <c r="AK56" i="112"/>
  <c r="AL56" i="112"/>
  <c r="AH57" i="112"/>
  <c r="AK57" i="112"/>
  <c r="AL57" i="112"/>
  <c r="AH58" i="112"/>
  <c r="AJ58" i="112"/>
  <c r="AK58" i="112"/>
  <c r="AL58" i="112"/>
  <c r="AH59" i="112"/>
  <c r="AK59" i="112"/>
  <c r="AL59" i="112"/>
  <c r="AH60" i="112"/>
  <c r="AK60" i="112"/>
  <c r="AL60" i="112"/>
  <c r="AH61" i="112"/>
  <c r="AK61" i="112"/>
  <c r="AL61" i="112"/>
  <c r="AH62" i="112"/>
  <c r="AI62" i="112"/>
  <c r="AK62" i="112"/>
  <c r="AL62" i="112"/>
  <c r="AH63" i="112"/>
  <c r="AJ63" i="112"/>
  <c r="AK63" i="112"/>
  <c r="AL63" i="112"/>
  <c r="AH64" i="112"/>
  <c r="AK64" i="112"/>
  <c r="AL64" i="112"/>
  <c r="AH65" i="112"/>
  <c r="AI65" i="112"/>
  <c r="AK65" i="112"/>
  <c r="AL65" i="112"/>
  <c r="AH66" i="112"/>
  <c r="AK66" i="112"/>
  <c r="AL66" i="112"/>
  <c r="AH67" i="112"/>
  <c r="AK67" i="112"/>
  <c r="AL67" i="112"/>
  <c r="AH68" i="112"/>
  <c r="AK68" i="112"/>
  <c r="AL68" i="112"/>
  <c r="AH69" i="112"/>
  <c r="AK69" i="112"/>
  <c r="AL69" i="112"/>
  <c r="AH70" i="112"/>
  <c r="AK70" i="112"/>
  <c r="AL70" i="112"/>
  <c r="AH71" i="112"/>
  <c r="AK71" i="112"/>
  <c r="AL71" i="112"/>
  <c r="AH72" i="112"/>
  <c r="AK72" i="112"/>
  <c r="AL72" i="112"/>
  <c r="AH73" i="112"/>
  <c r="AI73" i="112"/>
  <c r="AK73" i="112"/>
  <c r="AL73" i="112"/>
  <c r="AE50" i="112"/>
  <c r="AE51" i="112"/>
  <c r="AE52" i="112"/>
  <c r="AF52" i="112"/>
  <c r="AE53" i="112"/>
  <c r="AE54" i="112"/>
  <c r="AE55" i="112"/>
  <c r="AE56" i="112"/>
  <c r="AE57" i="112"/>
  <c r="AF57" i="112"/>
  <c r="AE58" i="112"/>
  <c r="AE59" i="112"/>
  <c r="AE60" i="112"/>
  <c r="AE61" i="112"/>
  <c r="AE62" i="112"/>
  <c r="AE63" i="112"/>
  <c r="AE64" i="112"/>
  <c r="AE65" i="112"/>
  <c r="AE66" i="112"/>
  <c r="AE67" i="112"/>
  <c r="AE68" i="112"/>
  <c r="AF68" i="112"/>
  <c r="AE69" i="112"/>
  <c r="AE70" i="112"/>
  <c r="AE71" i="112"/>
  <c r="AE72" i="112"/>
  <c r="AF72" i="112"/>
  <c r="AE73" i="112"/>
  <c r="AF73" i="112"/>
  <c r="AA50" i="112"/>
  <c r="AA51" i="112"/>
  <c r="AA52" i="112"/>
  <c r="AB52" i="112"/>
  <c r="AA53" i="112"/>
  <c r="AI53" i="112" s="1"/>
  <c r="AB53" i="112"/>
  <c r="AA54" i="112"/>
  <c r="AI54" i="112" s="1"/>
  <c r="AA55" i="112"/>
  <c r="AI55" i="112" s="1"/>
  <c r="AA56" i="112"/>
  <c r="AF56" i="112" s="1"/>
  <c r="AA57" i="112"/>
  <c r="AI57" i="112" s="1"/>
  <c r="AB57" i="112"/>
  <c r="AM57" i="112" s="1"/>
  <c r="AA58" i="112"/>
  <c r="AA59" i="112"/>
  <c r="AA60" i="112"/>
  <c r="AB60" i="112" s="1"/>
  <c r="AA61" i="112"/>
  <c r="AA62" i="112"/>
  <c r="AA63" i="112"/>
  <c r="AI63" i="112" s="1"/>
  <c r="AA64" i="112"/>
  <c r="AA65" i="112"/>
  <c r="AJ65" i="112" s="1"/>
  <c r="AA66" i="112"/>
  <c r="AA67" i="112"/>
  <c r="AA68" i="112"/>
  <c r="AA69" i="112"/>
  <c r="AA70" i="112"/>
  <c r="AI70" i="112" s="1"/>
  <c r="AA71" i="112"/>
  <c r="AI71" i="112" s="1"/>
  <c r="AA72" i="112"/>
  <c r="AI72" i="112" s="1"/>
  <c r="AA73" i="112"/>
  <c r="K50" i="112"/>
  <c r="K51" i="112"/>
  <c r="K52" i="112"/>
  <c r="K53" i="112"/>
  <c r="K54" i="112"/>
  <c r="K55" i="112"/>
  <c r="K56" i="112"/>
  <c r="K57" i="112"/>
  <c r="K58" i="112"/>
  <c r="K59" i="112"/>
  <c r="K60" i="112"/>
  <c r="K61" i="112"/>
  <c r="K62" i="112"/>
  <c r="K63" i="112"/>
  <c r="K64" i="112"/>
  <c r="K65" i="112"/>
  <c r="K66" i="112"/>
  <c r="K67" i="112"/>
  <c r="K68" i="112"/>
  <c r="K69" i="112"/>
  <c r="K70" i="112"/>
  <c r="K71" i="112"/>
  <c r="K72" i="112"/>
  <c r="AH35" i="112"/>
  <c r="AK35" i="112"/>
  <c r="AL35" i="112"/>
  <c r="AH36" i="112"/>
  <c r="AI36" i="112"/>
  <c r="AJ36" i="112"/>
  <c r="AK36" i="112"/>
  <c r="AL36" i="112"/>
  <c r="AH37" i="112"/>
  <c r="AK37" i="112"/>
  <c r="AL37" i="112"/>
  <c r="AH38" i="112"/>
  <c r="AK38" i="112"/>
  <c r="AL38" i="112"/>
  <c r="AH39" i="112"/>
  <c r="AK39" i="112"/>
  <c r="AL39" i="112"/>
  <c r="AH40" i="112"/>
  <c r="AK40" i="112"/>
  <c r="AL40" i="112"/>
  <c r="AH41" i="112"/>
  <c r="AI41" i="112"/>
  <c r="AK41" i="112"/>
  <c r="AL41" i="112"/>
  <c r="AH42" i="112"/>
  <c r="AJ42" i="112"/>
  <c r="AK42" i="112"/>
  <c r="AL42" i="112"/>
  <c r="AH43" i="112"/>
  <c r="AK43" i="112"/>
  <c r="AL43" i="112"/>
  <c r="AH44" i="112"/>
  <c r="AI44" i="112"/>
  <c r="AK44" i="112"/>
  <c r="AL44" i="112"/>
  <c r="AH45" i="112"/>
  <c r="AK45" i="112"/>
  <c r="AL45" i="112"/>
  <c r="AH46" i="112"/>
  <c r="AI46" i="112"/>
  <c r="AK46" i="112"/>
  <c r="AL46" i="112"/>
  <c r="AH47" i="112"/>
  <c r="AK47" i="112"/>
  <c r="AL47" i="112"/>
  <c r="AE35" i="112"/>
  <c r="AE36" i="112"/>
  <c r="AF36" i="112"/>
  <c r="AE37" i="112"/>
  <c r="AF37" i="112"/>
  <c r="AE38" i="112"/>
  <c r="AE39" i="112"/>
  <c r="AE40" i="112"/>
  <c r="AE41" i="112"/>
  <c r="AE42" i="112"/>
  <c r="AF42" i="112"/>
  <c r="AE43" i="112"/>
  <c r="AE44" i="112"/>
  <c r="AE45" i="112"/>
  <c r="AE46" i="112"/>
  <c r="AF46" i="112"/>
  <c r="AE47" i="112"/>
  <c r="AA35" i="112"/>
  <c r="AB35" i="112" s="1"/>
  <c r="AM35" i="112" s="1"/>
  <c r="AA36" i="112"/>
  <c r="AB36" i="112"/>
  <c r="AA37" i="112"/>
  <c r="AA38" i="112"/>
  <c r="AA39" i="112"/>
  <c r="AF39" i="112" s="1"/>
  <c r="AA40" i="112"/>
  <c r="AB40" i="112"/>
  <c r="AM40" i="112" s="1"/>
  <c r="AA41" i="112"/>
  <c r="AA42" i="112"/>
  <c r="AA43" i="112"/>
  <c r="AA44" i="112"/>
  <c r="AF44" i="112" s="1"/>
  <c r="AB44" i="112"/>
  <c r="AM44" i="112" s="1"/>
  <c r="AA45" i="112"/>
  <c r="AI45" i="112" s="1"/>
  <c r="AA46" i="112"/>
  <c r="AA47" i="112"/>
  <c r="K35" i="112"/>
  <c r="K36" i="112"/>
  <c r="K37" i="112"/>
  <c r="K38" i="112"/>
  <c r="K39" i="112"/>
  <c r="K40" i="112"/>
  <c r="K41" i="112"/>
  <c r="K42" i="112"/>
  <c r="K43" i="112"/>
  <c r="K44" i="112"/>
  <c r="K45" i="112"/>
  <c r="K46" i="112"/>
  <c r="K47" i="112"/>
  <c r="AJ32" i="112"/>
  <c r="AK32" i="112"/>
  <c r="AL32" i="112"/>
  <c r="AM31" i="112"/>
  <c r="AN31" i="112"/>
  <c r="AA31" i="112"/>
  <c r="AG17" i="112"/>
  <c r="AG18" i="112" s="1"/>
  <c r="AD16" i="112"/>
  <c r="AD17" i="112"/>
  <c r="AD18" i="112" s="1"/>
  <c r="AA19" i="112"/>
  <c r="AA20" i="112"/>
  <c r="Z16" i="112"/>
  <c r="AA16" i="112"/>
  <c r="M11" i="112"/>
  <c r="B10" i="112"/>
  <c r="B9" i="112"/>
  <c r="B4" i="112"/>
  <c r="AG65" i="111"/>
  <c r="AD65" i="111"/>
  <c r="N64" i="111"/>
  <c r="X64" i="111"/>
  <c r="N65" i="111"/>
  <c r="O65" i="111"/>
  <c r="P65" i="111"/>
  <c r="Q65" i="111"/>
  <c r="R65" i="111"/>
  <c r="S65" i="111"/>
  <c r="T65" i="111"/>
  <c r="U65" i="111"/>
  <c r="V65" i="111"/>
  <c r="W65" i="111"/>
  <c r="X65" i="111"/>
  <c r="Y65" i="111"/>
  <c r="Z65" i="111"/>
  <c r="AH61" i="111"/>
  <c r="AK61" i="111"/>
  <c r="AL61" i="111"/>
  <c r="AH62" i="111"/>
  <c r="AK62" i="111"/>
  <c r="AL62" i="111"/>
  <c r="AE61" i="111"/>
  <c r="AE62" i="111"/>
  <c r="AA61" i="111"/>
  <c r="AA65" i="111" s="1"/>
  <c r="AA62" i="111"/>
  <c r="AI62" i="111" s="1"/>
  <c r="AD59" i="111"/>
  <c r="AG59" i="111"/>
  <c r="AL59" i="111" s="1"/>
  <c r="AH59" i="111"/>
  <c r="O59" i="111"/>
  <c r="P59" i="111"/>
  <c r="AA59" i="111" s="1"/>
  <c r="Q59" i="111"/>
  <c r="R59" i="111"/>
  <c r="S59" i="111"/>
  <c r="T59" i="111"/>
  <c r="U59" i="111"/>
  <c r="V59" i="111"/>
  <c r="W59" i="111"/>
  <c r="X59" i="111"/>
  <c r="Y59" i="111"/>
  <c r="Z59" i="111"/>
  <c r="AH56" i="111"/>
  <c r="AK56" i="111"/>
  <c r="AL56" i="111"/>
  <c r="AH57" i="111"/>
  <c r="AK57" i="111"/>
  <c r="AL57" i="111"/>
  <c r="AH58" i="111"/>
  <c r="AK58" i="111"/>
  <c r="AL58" i="111"/>
  <c r="AE56" i="111"/>
  <c r="AE57" i="111"/>
  <c r="AE58" i="111"/>
  <c r="AA56" i="111"/>
  <c r="AI56" i="111" s="1"/>
  <c r="AA57" i="111"/>
  <c r="AA58" i="111"/>
  <c r="AI58" i="111" s="1"/>
  <c r="K56" i="111"/>
  <c r="K57" i="111"/>
  <c r="K58" i="111"/>
  <c r="AD53" i="111"/>
  <c r="AE53" i="111"/>
  <c r="AG53" i="111"/>
  <c r="AH53" i="111" s="1"/>
  <c r="AK53" i="111"/>
  <c r="O53" i="111"/>
  <c r="P53" i="111"/>
  <c r="Q53" i="111"/>
  <c r="R53" i="111"/>
  <c r="S53" i="111"/>
  <c r="T53" i="111"/>
  <c r="U53" i="111"/>
  <c r="V53" i="111"/>
  <c r="V64" i="111" s="1"/>
  <c r="W53" i="111"/>
  <c r="X53" i="111"/>
  <c r="Y53" i="111"/>
  <c r="Z53" i="111"/>
  <c r="AH47" i="111"/>
  <c r="AK47" i="111"/>
  <c r="AL47" i="111"/>
  <c r="AH48" i="111"/>
  <c r="AK48" i="111"/>
  <c r="AL48" i="111"/>
  <c r="AH49" i="111"/>
  <c r="AK49" i="111"/>
  <c r="AL49" i="111"/>
  <c r="AH50" i="111"/>
  <c r="AI50" i="111"/>
  <c r="AK50" i="111"/>
  <c r="AL50" i="111"/>
  <c r="AH51" i="111"/>
  <c r="AK51" i="111"/>
  <c r="AL51" i="111"/>
  <c r="AH52" i="111"/>
  <c r="AK52" i="111"/>
  <c r="AL52" i="111"/>
  <c r="AE47" i="111"/>
  <c r="AE48" i="111"/>
  <c r="AE49" i="111"/>
  <c r="AE50" i="111"/>
  <c r="AF50" i="111"/>
  <c r="AE51" i="111"/>
  <c r="AE52" i="111"/>
  <c r="AA47" i="111"/>
  <c r="AF47" i="111" s="1"/>
  <c r="AA48" i="111"/>
  <c r="AF48" i="111" s="1"/>
  <c r="AA49" i="111"/>
  <c r="AA50" i="111"/>
  <c r="AA51" i="111"/>
  <c r="AF51" i="111" s="1"/>
  <c r="AA52" i="111"/>
  <c r="K47" i="111"/>
  <c r="K48" i="111"/>
  <c r="K49" i="111"/>
  <c r="K50" i="111"/>
  <c r="K51" i="111"/>
  <c r="K52" i="111"/>
  <c r="AD44" i="111"/>
  <c r="AE44" i="111"/>
  <c r="AG44" i="111"/>
  <c r="AH44" i="111"/>
  <c r="AL44" i="111"/>
  <c r="O44" i="111"/>
  <c r="P44" i="111"/>
  <c r="Q44" i="111"/>
  <c r="R44" i="111"/>
  <c r="S44" i="111"/>
  <c r="T44" i="111"/>
  <c r="U44" i="111"/>
  <c r="V44" i="111"/>
  <c r="W44" i="111"/>
  <c r="W64" i="111" s="1"/>
  <c r="X44" i="111"/>
  <c r="Y44" i="111"/>
  <c r="Z44" i="111"/>
  <c r="AH39" i="111"/>
  <c r="AK39" i="111"/>
  <c r="AL39" i="111"/>
  <c r="AH40" i="111"/>
  <c r="AI40" i="111"/>
  <c r="AK40" i="111"/>
  <c r="AL40" i="111"/>
  <c r="AH41" i="111"/>
  <c r="AK41" i="111"/>
  <c r="AL41" i="111"/>
  <c r="AH42" i="111"/>
  <c r="AK42" i="111"/>
  <c r="AL42" i="111"/>
  <c r="AH43" i="111"/>
  <c r="AK43" i="111"/>
  <c r="AL43" i="111"/>
  <c r="AE39" i="111"/>
  <c r="AE40" i="111"/>
  <c r="AE41" i="111"/>
  <c r="AF41" i="111"/>
  <c r="AE42" i="111"/>
  <c r="AE43" i="111"/>
  <c r="AA39" i="111"/>
  <c r="AF39" i="111" s="1"/>
  <c r="AA40" i="111"/>
  <c r="AA41" i="111"/>
  <c r="AA42" i="111"/>
  <c r="AA43" i="111"/>
  <c r="AF43" i="111" s="1"/>
  <c r="K39" i="111"/>
  <c r="K40" i="111"/>
  <c r="K41" i="111"/>
  <c r="K42" i="111"/>
  <c r="K43" i="111"/>
  <c r="AH35" i="111"/>
  <c r="AK35" i="111"/>
  <c r="AL35" i="111"/>
  <c r="AH36" i="111"/>
  <c r="AK36" i="111"/>
  <c r="AL36" i="111"/>
  <c r="AE35" i="111"/>
  <c r="AE36" i="111"/>
  <c r="AA35" i="111"/>
  <c r="AF35" i="111" s="1"/>
  <c r="AA36" i="111"/>
  <c r="K35" i="111"/>
  <c r="K36" i="111"/>
  <c r="AJ32" i="111"/>
  <c r="AK32" i="111"/>
  <c r="AL32" i="111"/>
  <c r="AM31" i="111"/>
  <c r="AN31" i="111"/>
  <c r="AA31" i="111"/>
  <c r="AG17" i="111"/>
  <c r="AG18" i="111" s="1"/>
  <c r="AD16" i="111"/>
  <c r="AD17" i="111"/>
  <c r="AD18" i="111" s="1"/>
  <c r="AA19" i="111"/>
  <c r="AB62" i="111" s="1"/>
  <c r="AA20" i="111"/>
  <c r="AJ49" i="111" s="1"/>
  <c r="Z16" i="111"/>
  <c r="AA16" i="111"/>
  <c r="M11" i="111"/>
  <c r="B10" i="111"/>
  <c r="B9" i="111"/>
  <c r="B4" i="111"/>
  <c r="AG46" i="110"/>
  <c r="AD46" i="110"/>
  <c r="N46" i="110"/>
  <c r="T46" i="110"/>
  <c r="AD44" i="110"/>
  <c r="AK44" i="110" s="1"/>
  <c r="AG44" i="110"/>
  <c r="AH44" i="110" s="1"/>
  <c r="AL44" i="110"/>
  <c r="O44" i="110"/>
  <c r="O46" i="110" s="1"/>
  <c r="P44" i="110"/>
  <c r="P46" i="110" s="1"/>
  <c r="Q44" i="110"/>
  <c r="Q46" i="110" s="1"/>
  <c r="R44" i="110"/>
  <c r="R46" i="110" s="1"/>
  <c r="S44" i="110"/>
  <c r="S46" i="110" s="1"/>
  <c r="T44" i="110"/>
  <c r="U44" i="110"/>
  <c r="U46" i="110" s="1"/>
  <c r="V44" i="110"/>
  <c r="V46" i="110" s="1"/>
  <c r="W44" i="110"/>
  <c r="W46" i="110" s="1"/>
  <c r="X44" i="110"/>
  <c r="X46" i="110" s="1"/>
  <c r="Y44" i="110"/>
  <c r="Y46" i="110" s="1"/>
  <c r="Z44" i="110"/>
  <c r="Z46" i="110" s="1"/>
  <c r="AH34" i="110"/>
  <c r="AK34" i="110"/>
  <c r="AL34" i="110"/>
  <c r="AH35" i="110"/>
  <c r="AI35" i="110"/>
  <c r="AK35" i="110"/>
  <c r="AL35" i="110"/>
  <c r="AH36" i="110"/>
  <c r="AJ36" i="110"/>
  <c r="AK36" i="110"/>
  <c r="AL36" i="110"/>
  <c r="AH37" i="110"/>
  <c r="AK37" i="110"/>
  <c r="AL37" i="110"/>
  <c r="AH38" i="110"/>
  <c r="AK38" i="110"/>
  <c r="AL38" i="110"/>
  <c r="AH39" i="110"/>
  <c r="AK39" i="110"/>
  <c r="AL39" i="110"/>
  <c r="AH40" i="110"/>
  <c r="AK40" i="110"/>
  <c r="AL40" i="110"/>
  <c r="AH41" i="110"/>
  <c r="AK41" i="110"/>
  <c r="AL41" i="110"/>
  <c r="AH42" i="110"/>
  <c r="AK42" i="110"/>
  <c r="AL42" i="110"/>
  <c r="AH43" i="110"/>
  <c r="AI43" i="110"/>
  <c r="AK43" i="110"/>
  <c r="AL43" i="110"/>
  <c r="AE34" i="110"/>
  <c r="AF34" i="110"/>
  <c r="AE35" i="110"/>
  <c r="AF35" i="110"/>
  <c r="AE36" i="110"/>
  <c r="AE37" i="110"/>
  <c r="AE38" i="110"/>
  <c r="AE39" i="110"/>
  <c r="AF39" i="110"/>
  <c r="AE40" i="110"/>
  <c r="AE41" i="110"/>
  <c r="AE42" i="110"/>
  <c r="AF42" i="110"/>
  <c r="AE43" i="110"/>
  <c r="AA34" i="110"/>
  <c r="AA35" i="110"/>
  <c r="AA36" i="110"/>
  <c r="AA37" i="110"/>
  <c r="AA38" i="110"/>
  <c r="AA39" i="110"/>
  <c r="AI39" i="110" s="1"/>
  <c r="AA40" i="110"/>
  <c r="AA41" i="110"/>
  <c r="AA42" i="110"/>
  <c r="AA43" i="110"/>
  <c r="AF43" i="110" s="1"/>
  <c r="K34" i="110"/>
  <c r="K35" i="110"/>
  <c r="K36" i="110"/>
  <c r="K37" i="110"/>
  <c r="K38" i="110"/>
  <c r="K39" i="110"/>
  <c r="K40" i="110"/>
  <c r="K41" i="110"/>
  <c r="K42" i="110"/>
  <c r="K43" i="110"/>
  <c r="AJ32" i="110"/>
  <c r="AK32" i="110"/>
  <c r="AL32" i="110"/>
  <c r="AM31" i="110"/>
  <c r="AN31" i="110"/>
  <c r="AA31" i="110"/>
  <c r="AG17" i="110"/>
  <c r="AG18" i="110"/>
  <c r="AD16" i="110"/>
  <c r="AD17" i="110"/>
  <c r="AD18" i="110" s="1"/>
  <c r="AA19" i="110"/>
  <c r="AB39" i="110" s="1"/>
  <c r="AA20" i="110"/>
  <c r="AJ39" i="110" s="1"/>
  <c r="Z16" i="110"/>
  <c r="AA16" i="110"/>
  <c r="M11" i="110"/>
  <c r="B10" i="110"/>
  <c r="B9" i="110"/>
  <c r="B4" i="110"/>
  <c r="AG73" i="109"/>
  <c r="AG74" i="109"/>
  <c r="AD73" i="109"/>
  <c r="AD74" i="109"/>
  <c r="N73" i="109"/>
  <c r="O73" i="109"/>
  <c r="P73" i="109"/>
  <c r="Q73" i="109"/>
  <c r="R73" i="109"/>
  <c r="S73" i="109"/>
  <c r="T73" i="109"/>
  <c r="U73" i="109"/>
  <c r="V73" i="109"/>
  <c r="W73" i="109"/>
  <c r="X73" i="109"/>
  <c r="Y73" i="109"/>
  <c r="Z73" i="109"/>
  <c r="N74" i="109"/>
  <c r="O74" i="109"/>
  <c r="P74" i="109"/>
  <c r="Q74" i="109"/>
  <c r="R74" i="109"/>
  <c r="S74" i="109"/>
  <c r="T74" i="109"/>
  <c r="U74" i="109"/>
  <c r="V74" i="109"/>
  <c r="W74" i="109"/>
  <c r="X74" i="109"/>
  <c r="Y74" i="109"/>
  <c r="Z74" i="109"/>
  <c r="AH70" i="109"/>
  <c r="AK70" i="109"/>
  <c r="AL70" i="109"/>
  <c r="AH71" i="109"/>
  <c r="AK71" i="109"/>
  <c r="AL71" i="109"/>
  <c r="AE70" i="109"/>
  <c r="AE71" i="109"/>
  <c r="AA70" i="109"/>
  <c r="AI70" i="109" s="1"/>
  <c r="AA71" i="109"/>
  <c r="AH50" i="109"/>
  <c r="AI50" i="109"/>
  <c r="AJ50" i="109"/>
  <c r="AK50" i="109"/>
  <c r="AL50" i="109"/>
  <c r="AH51" i="109"/>
  <c r="AK51" i="109"/>
  <c r="AL51" i="109"/>
  <c r="AH52" i="109"/>
  <c r="AK52" i="109"/>
  <c r="AL52" i="109"/>
  <c r="AH53" i="109"/>
  <c r="AI53" i="109"/>
  <c r="AK53" i="109"/>
  <c r="AL53" i="109"/>
  <c r="AH54" i="109"/>
  <c r="AJ54" i="109"/>
  <c r="AK54" i="109"/>
  <c r="AL54" i="109"/>
  <c r="AH55" i="109"/>
  <c r="AK55" i="109"/>
  <c r="AL55" i="109"/>
  <c r="AH56" i="109"/>
  <c r="AK56" i="109"/>
  <c r="AL56" i="109"/>
  <c r="AH57" i="109"/>
  <c r="AK57" i="109"/>
  <c r="AL57" i="109"/>
  <c r="AH58" i="109"/>
  <c r="AI58" i="109"/>
  <c r="AK58" i="109"/>
  <c r="AL58" i="109"/>
  <c r="AH59" i="109"/>
  <c r="AK59" i="109"/>
  <c r="AL59" i="109"/>
  <c r="AH60" i="109"/>
  <c r="AK60" i="109"/>
  <c r="AL60" i="109"/>
  <c r="AH61" i="109"/>
  <c r="AJ61" i="109"/>
  <c r="AK61" i="109"/>
  <c r="AL61" i="109"/>
  <c r="AH62" i="109"/>
  <c r="AK62" i="109"/>
  <c r="AL62" i="109"/>
  <c r="AH63" i="109"/>
  <c r="AI63" i="109"/>
  <c r="AK63" i="109"/>
  <c r="AL63" i="109"/>
  <c r="AH64" i="109"/>
  <c r="AK64" i="109"/>
  <c r="AL64" i="109"/>
  <c r="AH65" i="109"/>
  <c r="AK65" i="109"/>
  <c r="AL65" i="109"/>
  <c r="AH66" i="109"/>
  <c r="AK66" i="109"/>
  <c r="AL66" i="109"/>
  <c r="AH67" i="109"/>
  <c r="AI67" i="109"/>
  <c r="AJ67" i="109"/>
  <c r="AK67" i="109"/>
  <c r="AL67" i="109"/>
  <c r="AH68" i="109"/>
  <c r="AK68" i="109"/>
  <c r="AL68" i="109"/>
  <c r="AE50" i="109"/>
  <c r="AF50" i="109"/>
  <c r="AE51" i="109"/>
  <c r="AF51" i="109"/>
  <c r="AE52" i="109"/>
  <c r="AE53" i="109"/>
  <c r="AE54" i="109"/>
  <c r="AE55" i="109"/>
  <c r="AF55" i="109"/>
  <c r="AE56" i="109"/>
  <c r="AE57" i="109"/>
  <c r="AE58" i="109"/>
  <c r="AE59" i="109"/>
  <c r="AE60" i="109"/>
  <c r="AE61" i="109"/>
  <c r="AE62" i="109"/>
  <c r="AE63" i="109"/>
  <c r="AE64" i="109"/>
  <c r="AE65" i="109"/>
  <c r="AE66" i="109"/>
  <c r="AF66" i="109"/>
  <c r="AE67" i="109"/>
  <c r="AF67" i="109"/>
  <c r="AE68" i="109"/>
  <c r="AA50" i="109"/>
  <c r="AA51" i="109"/>
  <c r="AA52" i="109"/>
  <c r="AA53" i="109"/>
  <c r="AA54" i="109"/>
  <c r="AA55" i="109"/>
  <c r="AI55" i="109" s="1"/>
  <c r="AA56" i="109"/>
  <c r="AA57" i="109"/>
  <c r="AA58" i="109"/>
  <c r="AF58" i="109" s="1"/>
  <c r="AA59" i="109"/>
  <c r="AA60" i="109"/>
  <c r="AF60" i="109" s="1"/>
  <c r="AA61" i="109"/>
  <c r="AA62" i="109"/>
  <c r="AA63" i="109"/>
  <c r="AB63" i="109"/>
  <c r="AN63" i="109" s="1"/>
  <c r="AA64" i="109"/>
  <c r="AA65" i="109"/>
  <c r="AI65" i="109" s="1"/>
  <c r="AB65" i="109"/>
  <c r="AM65" i="109" s="1"/>
  <c r="AA66" i="109"/>
  <c r="AI66" i="109" s="1"/>
  <c r="AA67" i="109"/>
  <c r="AA68" i="109"/>
  <c r="AF68" i="109" s="1"/>
  <c r="K50" i="109"/>
  <c r="K51" i="109"/>
  <c r="K52" i="109"/>
  <c r="K53" i="109"/>
  <c r="K54" i="109"/>
  <c r="K55" i="109"/>
  <c r="K56" i="109"/>
  <c r="K57" i="109"/>
  <c r="K58" i="109"/>
  <c r="K59" i="109"/>
  <c r="K60" i="109"/>
  <c r="K61" i="109"/>
  <c r="K62" i="109"/>
  <c r="K63" i="109"/>
  <c r="K64" i="109"/>
  <c r="K65" i="109"/>
  <c r="K66" i="109"/>
  <c r="AH38" i="109"/>
  <c r="AK38" i="109"/>
  <c r="AL38" i="109"/>
  <c r="AH39" i="109"/>
  <c r="AK39" i="109"/>
  <c r="AL39" i="109"/>
  <c r="AH40" i="109"/>
  <c r="AK40" i="109"/>
  <c r="AL40" i="109"/>
  <c r="AH41" i="109"/>
  <c r="AK41" i="109"/>
  <c r="AL41" i="109"/>
  <c r="AH42" i="109"/>
  <c r="AI42" i="109"/>
  <c r="AK42" i="109"/>
  <c r="AL42" i="109"/>
  <c r="AH43" i="109"/>
  <c r="AI43" i="109"/>
  <c r="AJ43" i="109"/>
  <c r="AK43" i="109"/>
  <c r="AL43" i="109"/>
  <c r="AH44" i="109"/>
  <c r="AK44" i="109"/>
  <c r="AL44" i="109"/>
  <c r="AH45" i="109"/>
  <c r="AK45" i="109"/>
  <c r="AL45" i="109"/>
  <c r="AH46" i="109"/>
  <c r="AK46" i="109"/>
  <c r="AL46" i="109"/>
  <c r="AH47" i="109"/>
  <c r="AK47" i="109"/>
  <c r="AL47" i="109"/>
  <c r="AE38" i="109"/>
  <c r="AF38" i="109"/>
  <c r="AE39" i="109"/>
  <c r="AE40" i="109"/>
  <c r="AE41" i="109"/>
  <c r="AE42" i="109"/>
  <c r="AF42" i="109"/>
  <c r="AE43" i="109"/>
  <c r="AE44" i="109"/>
  <c r="AE45" i="109"/>
  <c r="AF45" i="109"/>
  <c r="AE46" i="109"/>
  <c r="AE47" i="109"/>
  <c r="AA38" i="109"/>
  <c r="AI38" i="109" s="1"/>
  <c r="AA39" i="109"/>
  <c r="AB39" i="109"/>
  <c r="AM39" i="109" s="1"/>
  <c r="AA40" i="109"/>
  <c r="AA41" i="109"/>
  <c r="AA42" i="109"/>
  <c r="AA43" i="109"/>
  <c r="AF43" i="109" s="1"/>
  <c r="AA44" i="109"/>
  <c r="AA45" i="109"/>
  <c r="AA46" i="109"/>
  <c r="AA47" i="109"/>
  <c r="AA35" i="109"/>
  <c r="AA36" i="109"/>
  <c r="AF36" i="109" s="1"/>
  <c r="AA37" i="109"/>
  <c r="AK35" i="109"/>
  <c r="AL35" i="109"/>
  <c r="AJ36" i="109"/>
  <c r="AK36" i="109"/>
  <c r="AL36" i="109"/>
  <c r="AJ37" i="109"/>
  <c r="AK37" i="109"/>
  <c r="AL37" i="109"/>
  <c r="AM37" i="109"/>
  <c r="AN37" i="109"/>
  <c r="AH35" i="109"/>
  <c r="AH36" i="109"/>
  <c r="AI36" i="109"/>
  <c r="AE35" i="109"/>
  <c r="AE36" i="109"/>
  <c r="K35" i="109"/>
  <c r="K36" i="109"/>
  <c r="K37" i="109"/>
  <c r="K38" i="109"/>
  <c r="K39" i="109"/>
  <c r="K40" i="109"/>
  <c r="K41" i="109"/>
  <c r="K42" i="109"/>
  <c r="K43" i="109"/>
  <c r="K44" i="109"/>
  <c r="K45" i="109"/>
  <c r="K46" i="109"/>
  <c r="K47" i="109"/>
  <c r="AJ32" i="109"/>
  <c r="AK32" i="109"/>
  <c r="AL32" i="109"/>
  <c r="AM31" i="109"/>
  <c r="AN31" i="109"/>
  <c r="AA31" i="109"/>
  <c r="AG17" i="109"/>
  <c r="AG18" i="109" s="1"/>
  <c r="AD16" i="109"/>
  <c r="AD17" i="109"/>
  <c r="AD18" i="109" s="1"/>
  <c r="AA19" i="109"/>
  <c r="AA20" i="109"/>
  <c r="Z16" i="109"/>
  <c r="AA16" i="109"/>
  <c r="M11" i="109"/>
  <c r="B10" i="109"/>
  <c r="B9" i="109"/>
  <c r="B4" i="109"/>
  <c r="AG54" i="108"/>
  <c r="AD54" i="108"/>
  <c r="N54" i="108"/>
  <c r="O54" i="108"/>
  <c r="P54" i="108"/>
  <c r="Q54" i="108"/>
  <c r="R54" i="108"/>
  <c r="S54" i="108"/>
  <c r="T54" i="108"/>
  <c r="U54" i="108"/>
  <c r="V54" i="108"/>
  <c r="W54" i="108"/>
  <c r="X54" i="108"/>
  <c r="Y54" i="108"/>
  <c r="Z54" i="108"/>
  <c r="AE52" i="108"/>
  <c r="AH52" i="108"/>
  <c r="AK52" i="108"/>
  <c r="AL52" i="108"/>
  <c r="AA52" i="108"/>
  <c r="AA54" i="108" s="1"/>
  <c r="AH34" i="108"/>
  <c r="AI34" i="108"/>
  <c r="AK34" i="108"/>
  <c r="AL34" i="108"/>
  <c r="AH35" i="108"/>
  <c r="AI35" i="108"/>
  <c r="AK35" i="108"/>
  <c r="AL35" i="108"/>
  <c r="AH36" i="108"/>
  <c r="AI36" i="108"/>
  <c r="AK36" i="108"/>
  <c r="AL36" i="108"/>
  <c r="AH37" i="108"/>
  <c r="AK37" i="108"/>
  <c r="AL37" i="108"/>
  <c r="AH38" i="108"/>
  <c r="AK38" i="108"/>
  <c r="AL38" i="108"/>
  <c r="AH39" i="108"/>
  <c r="AK39" i="108"/>
  <c r="AL39" i="108"/>
  <c r="AH40" i="108"/>
  <c r="AK40" i="108"/>
  <c r="AL40" i="108"/>
  <c r="AH41" i="108"/>
  <c r="AK41" i="108"/>
  <c r="AL41" i="108"/>
  <c r="AH42" i="108"/>
  <c r="AI42" i="108"/>
  <c r="AK42" i="108"/>
  <c r="AL42" i="108"/>
  <c r="AH43" i="108"/>
  <c r="AK43" i="108"/>
  <c r="AL43" i="108"/>
  <c r="AH44" i="108"/>
  <c r="AK44" i="108"/>
  <c r="AL44" i="108"/>
  <c r="AH45" i="108"/>
  <c r="AK45" i="108"/>
  <c r="AL45" i="108"/>
  <c r="AH46" i="108"/>
  <c r="AK46" i="108"/>
  <c r="AL46" i="108"/>
  <c r="AH47" i="108"/>
  <c r="AK47" i="108"/>
  <c r="AL47" i="108"/>
  <c r="AH48" i="108"/>
  <c r="AK48" i="108"/>
  <c r="AL48" i="108"/>
  <c r="AH49" i="108"/>
  <c r="AI49" i="108"/>
  <c r="AK49" i="108"/>
  <c r="AL49" i="108"/>
  <c r="AH50" i="108"/>
  <c r="AK50" i="108"/>
  <c r="AL50" i="108"/>
  <c r="AE34" i="108"/>
  <c r="AF34" i="108"/>
  <c r="AE35" i="108"/>
  <c r="AE36" i="108"/>
  <c r="AE37" i="108"/>
  <c r="AE38" i="108"/>
  <c r="AE39" i="108"/>
  <c r="AE40" i="108"/>
  <c r="AE41" i="108"/>
  <c r="AE42" i="108"/>
  <c r="AE43" i="108"/>
  <c r="AE44" i="108"/>
  <c r="AE45" i="108"/>
  <c r="AE46" i="108"/>
  <c r="AE47" i="108"/>
  <c r="AE48" i="108"/>
  <c r="AE49" i="108"/>
  <c r="AE50" i="108"/>
  <c r="AF50" i="108"/>
  <c r="AA34" i="108"/>
  <c r="AB34" i="108" s="1"/>
  <c r="AA35" i="108"/>
  <c r="AA36" i="108"/>
  <c r="AA37" i="108"/>
  <c r="AA38" i="108"/>
  <c r="AA39" i="108"/>
  <c r="AF39" i="108" s="1"/>
  <c r="AA40" i="108"/>
  <c r="AI40" i="108" s="1"/>
  <c r="AA41" i="108"/>
  <c r="AF41" i="108" s="1"/>
  <c r="AA42" i="108"/>
  <c r="AA43" i="108"/>
  <c r="AA44" i="108"/>
  <c r="AF44" i="108" s="1"/>
  <c r="AA45" i="108"/>
  <c r="AB45" i="108" s="1"/>
  <c r="AM45" i="108" s="1"/>
  <c r="AA46" i="108"/>
  <c r="AA47" i="108"/>
  <c r="AA48" i="108"/>
  <c r="AI48" i="108" s="1"/>
  <c r="AA49" i="108"/>
  <c r="AF49" i="108" s="1"/>
  <c r="AA50" i="108"/>
  <c r="AI50" i="108" s="1"/>
  <c r="K34" i="108"/>
  <c r="K35" i="108"/>
  <c r="K36" i="108"/>
  <c r="K37" i="108"/>
  <c r="K38" i="108"/>
  <c r="K39" i="108"/>
  <c r="K40" i="108"/>
  <c r="K41" i="108"/>
  <c r="K42" i="108"/>
  <c r="K43" i="108"/>
  <c r="K44" i="108"/>
  <c r="K45" i="108"/>
  <c r="K46" i="108"/>
  <c r="K47" i="108"/>
  <c r="K48" i="108"/>
  <c r="K49" i="108"/>
  <c r="K50" i="108"/>
  <c r="AJ32" i="108"/>
  <c r="AK32" i="108"/>
  <c r="AL32" i="108"/>
  <c r="AM31" i="108"/>
  <c r="AN31" i="108"/>
  <c r="AA31" i="108"/>
  <c r="B29" i="108"/>
  <c r="AG17" i="108"/>
  <c r="AG18" i="108" s="1"/>
  <c r="AD16" i="108"/>
  <c r="AD17" i="108"/>
  <c r="AD18" i="108" s="1"/>
  <c r="AA19" i="108"/>
  <c r="AB52" i="108" s="1"/>
  <c r="AA20" i="108"/>
  <c r="AJ34" i="108" s="1"/>
  <c r="G19" i="108"/>
  <c r="Z16" i="108"/>
  <c r="AA16" i="108"/>
  <c r="M11" i="108"/>
  <c r="B10" i="108"/>
  <c r="B9" i="108"/>
  <c r="B4" i="108"/>
  <c r="N100" i="107"/>
  <c r="AH98" i="107"/>
  <c r="AK98" i="107"/>
  <c r="AL98" i="107"/>
  <c r="AE98" i="107"/>
  <c r="AA98" i="107"/>
  <c r="AA95" i="107"/>
  <c r="N77" i="107"/>
  <c r="N78" i="107"/>
  <c r="N79" i="107"/>
  <c r="N80" i="107"/>
  <c r="N81" i="107"/>
  <c r="N82" i="107"/>
  <c r="N83" i="107"/>
  <c r="N84" i="107"/>
  <c r="N85" i="107"/>
  <c r="N86" i="107"/>
  <c r="N87" i="107"/>
  <c r="N88" i="107"/>
  <c r="N89" i="107"/>
  <c r="N90" i="107"/>
  <c r="N91" i="107"/>
  <c r="N92" i="107"/>
  <c r="N93" i="107"/>
  <c r="N94" i="107"/>
  <c r="AL80" i="107"/>
  <c r="AL84" i="107"/>
  <c r="AL88" i="107"/>
  <c r="AK95" i="107"/>
  <c r="AL95" i="107"/>
  <c r="AM95" i="107"/>
  <c r="AN95" i="107"/>
  <c r="AG77" i="107"/>
  <c r="AG78" i="107"/>
  <c r="AL78" i="107" s="1"/>
  <c r="AG79" i="107"/>
  <c r="AG80" i="107"/>
  <c r="AH80" i="107" s="1"/>
  <c r="AG81" i="107"/>
  <c r="AL81" i="107" s="1"/>
  <c r="AG82" i="107"/>
  <c r="AL82" i="107" s="1"/>
  <c r="AG83" i="107"/>
  <c r="AG84" i="107"/>
  <c r="AH84" i="107" s="1"/>
  <c r="AG85" i="107"/>
  <c r="AL85" i="107" s="1"/>
  <c r="AG86" i="107"/>
  <c r="AL86" i="107" s="1"/>
  <c r="AG87" i="107"/>
  <c r="AG88" i="107"/>
  <c r="AH88" i="107" s="1"/>
  <c r="AG89" i="107"/>
  <c r="AL89" i="107" s="1"/>
  <c r="AG90" i="107"/>
  <c r="AL90" i="107" s="1"/>
  <c r="AG91" i="107"/>
  <c r="AG92" i="107"/>
  <c r="AG93" i="107"/>
  <c r="AL93" i="107" s="1"/>
  <c r="AG94" i="107"/>
  <c r="AL94" i="107" s="1"/>
  <c r="AD77" i="107"/>
  <c r="AD78" i="107"/>
  <c r="AK78" i="107" s="1"/>
  <c r="AD79" i="107"/>
  <c r="AD80" i="107"/>
  <c r="AK80" i="107" s="1"/>
  <c r="AD81" i="107"/>
  <c r="AD82" i="107"/>
  <c r="AK82" i="107" s="1"/>
  <c r="AD83" i="107"/>
  <c r="AD84" i="107"/>
  <c r="AK84" i="107" s="1"/>
  <c r="AD85" i="107"/>
  <c r="AD86" i="107"/>
  <c r="AK86" i="107" s="1"/>
  <c r="AD87" i="107"/>
  <c r="AD88" i="107"/>
  <c r="AK88" i="107" s="1"/>
  <c r="AD89" i="107"/>
  <c r="AD90" i="107"/>
  <c r="AK90" i="107" s="1"/>
  <c r="AD91" i="107"/>
  <c r="AE91" i="107" s="1"/>
  <c r="AD92" i="107"/>
  <c r="AK92" i="107" s="1"/>
  <c r="AD93" i="107"/>
  <c r="AD94" i="107"/>
  <c r="AK94" i="107" s="1"/>
  <c r="O77" i="107"/>
  <c r="P77" i="107"/>
  <c r="Q77" i="107"/>
  <c r="R77" i="107"/>
  <c r="S77" i="107"/>
  <c r="T77" i="107"/>
  <c r="U77" i="107"/>
  <c r="V77" i="107"/>
  <c r="W77" i="107"/>
  <c r="X77" i="107"/>
  <c r="Y77" i="107"/>
  <c r="Z77" i="107"/>
  <c r="O78" i="107"/>
  <c r="P78" i="107"/>
  <c r="Q78" i="107"/>
  <c r="R78" i="107"/>
  <c r="S78" i="107"/>
  <c r="T78" i="107"/>
  <c r="U78" i="107"/>
  <c r="V78" i="107"/>
  <c r="W78" i="107"/>
  <c r="X78" i="107"/>
  <c r="Y78" i="107"/>
  <c r="Z78" i="107"/>
  <c r="O79" i="107"/>
  <c r="P79" i="107"/>
  <c r="Q79" i="107"/>
  <c r="R79" i="107"/>
  <c r="S79" i="107"/>
  <c r="T79" i="107"/>
  <c r="U79" i="107"/>
  <c r="V79" i="107"/>
  <c r="W79" i="107"/>
  <c r="X79" i="107"/>
  <c r="Y79" i="107"/>
  <c r="Z79" i="107"/>
  <c r="O80" i="107"/>
  <c r="P80" i="107"/>
  <c r="Q80" i="107"/>
  <c r="R80" i="107"/>
  <c r="S80" i="107"/>
  <c r="T80" i="107"/>
  <c r="U80" i="107"/>
  <c r="V80" i="107"/>
  <c r="W80" i="107"/>
  <c r="X80" i="107"/>
  <c r="Y80" i="107"/>
  <c r="Z80" i="107"/>
  <c r="O81" i="107"/>
  <c r="P81" i="107"/>
  <c r="Q81" i="107"/>
  <c r="R81" i="107"/>
  <c r="S81" i="107"/>
  <c r="T81" i="107"/>
  <c r="U81" i="107"/>
  <c r="V81" i="107"/>
  <c r="W81" i="107"/>
  <c r="X81" i="107"/>
  <c r="Y81" i="107"/>
  <c r="Z81" i="107"/>
  <c r="O82" i="107"/>
  <c r="P82" i="107"/>
  <c r="Q82" i="107"/>
  <c r="R82" i="107"/>
  <c r="S82" i="107"/>
  <c r="T82" i="107"/>
  <c r="U82" i="107"/>
  <c r="V82" i="107"/>
  <c r="W82" i="107"/>
  <c r="X82" i="107"/>
  <c r="Y82" i="107"/>
  <c r="Z82" i="107"/>
  <c r="O83" i="107"/>
  <c r="P83" i="107"/>
  <c r="Q83" i="107"/>
  <c r="R83" i="107"/>
  <c r="S83" i="107"/>
  <c r="T83" i="107"/>
  <c r="U83" i="107"/>
  <c r="V83" i="107"/>
  <c r="W83" i="107"/>
  <c r="X83" i="107"/>
  <c r="Y83" i="107"/>
  <c r="Z83" i="107"/>
  <c r="O84" i="107"/>
  <c r="P84" i="107"/>
  <c r="Q84" i="107"/>
  <c r="R84" i="107"/>
  <c r="S84" i="107"/>
  <c r="T84" i="107"/>
  <c r="U84" i="107"/>
  <c r="V84" i="107"/>
  <c r="W84" i="107"/>
  <c r="X84" i="107"/>
  <c r="Y84" i="107"/>
  <c r="Z84" i="107"/>
  <c r="O85" i="107"/>
  <c r="P85" i="107"/>
  <c r="Q85" i="107"/>
  <c r="R85" i="107"/>
  <c r="S85" i="107"/>
  <c r="T85" i="107"/>
  <c r="U85" i="107"/>
  <c r="V85" i="107"/>
  <c r="W85" i="107"/>
  <c r="X85" i="107"/>
  <c r="Y85" i="107"/>
  <c r="Z85" i="107"/>
  <c r="O86" i="107"/>
  <c r="P86" i="107"/>
  <c r="Q86" i="107"/>
  <c r="R86" i="107"/>
  <c r="S86" i="107"/>
  <c r="T86" i="107"/>
  <c r="U86" i="107"/>
  <c r="V86" i="107"/>
  <c r="W86" i="107"/>
  <c r="X86" i="107"/>
  <c r="Y86" i="107"/>
  <c r="Z86" i="107"/>
  <c r="O87" i="107"/>
  <c r="P87" i="107"/>
  <c r="Q87" i="107"/>
  <c r="R87" i="107"/>
  <c r="S87" i="107"/>
  <c r="T87" i="107"/>
  <c r="U87" i="107"/>
  <c r="V87" i="107"/>
  <c r="W87" i="107"/>
  <c r="X87" i="107"/>
  <c r="Y87" i="107"/>
  <c r="Z87" i="107"/>
  <c r="O88" i="107"/>
  <c r="P88" i="107"/>
  <c r="Q88" i="107"/>
  <c r="R88" i="107"/>
  <c r="S88" i="107"/>
  <c r="T88" i="107"/>
  <c r="U88" i="107"/>
  <c r="V88" i="107"/>
  <c r="W88" i="107"/>
  <c r="X88" i="107"/>
  <c r="Y88" i="107"/>
  <c r="Z88" i="107"/>
  <c r="O89" i="107"/>
  <c r="P89" i="107"/>
  <c r="Q89" i="107"/>
  <c r="R89" i="107"/>
  <c r="S89" i="107"/>
  <c r="T89" i="107"/>
  <c r="U89" i="107"/>
  <c r="V89" i="107"/>
  <c r="W89" i="107"/>
  <c r="X89" i="107"/>
  <c r="Y89" i="107"/>
  <c r="Z89" i="107"/>
  <c r="O90" i="107"/>
  <c r="P90" i="107"/>
  <c r="Q90" i="107"/>
  <c r="R90" i="107"/>
  <c r="S90" i="107"/>
  <c r="T90" i="107"/>
  <c r="U90" i="107"/>
  <c r="V90" i="107"/>
  <c r="W90" i="107"/>
  <c r="X90" i="107"/>
  <c r="Y90" i="107"/>
  <c r="Z90" i="107"/>
  <c r="O91" i="107"/>
  <c r="P91" i="107"/>
  <c r="Q91" i="107"/>
  <c r="R91" i="107"/>
  <c r="S91" i="107"/>
  <c r="T91" i="107"/>
  <c r="U91" i="107"/>
  <c r="V91" i="107"/>
  <c r="W91" i="107"/>
  <c r="X91" i="107"/>
  <c r="Y91" i="107"/>
  <c r="Z91" i="107"/>
  <c r="O92" i="107"/>
  <c r="P92" i="107"/>
  <c r="Q92" i="107"/>
  <c r="R92" i="107"/>
  <c r="S92" i="107"/>
  <c r="T92" i="107"/>
  <c r="U92" i="107"/>
  <c r="V92" i="107"/>
  <c r="W92" i="107"/>
  <c r="X92" i="107"/>
  <c r="Y92" i="107"/>
  <c r="Z92" i="107"/>
  <c r="O93" i="107"/>
  <c r="P93" i="107"/>
  <c r="Q93" i="107"/>
  <c r="R93" i="107"/>
  <c r="S93" i="107"/>
  <c r="T93" i="107"/>
  <c r="U93" i="107"/>
  <c r="V93" i="107"/>
  <c r="W93" i="107"/>
  <c r="X93" i="107"/>
  <c r="Y93" i="107"/>
  <c r="Z93" i="107"/>
  <c r="O94" i="107"/>
  <c r="P94" i="107"/>
  <c r="Q94" i="107"/>
  <c r="R94" i="107"/>
  <c r="S94" i="107"/>
  <c r="T94" i="107"/>
  <c r="U94" i="107"/>
  <c r="V94" i="107"/>
  <c r="W94" i="107"/>
  <c r="X94" i="107"/>
  <c r="Y94" i="107"/>
  <c r="Z94" i="107"/>
  <c r="AK56" i="107"/>
  <c r="AL56" i="107"/>
  <c r="AM56" i="107"/>
  <c r="AN56" i="107"/>
  <c r="AK57" i="107"/>
  <c r="AL57" i="107"/>
  <c r="AM57" i="107"/>
  <c r="AN57" i="107"/>
  <c r="AK58" i="107"/>
  <c r="AL58" i="107"/>
  <c r="AM58" i="107"/>
  <c r="AN58" i="107"/>
  <c r="AI59" i="107"/>
  <c r="AK59" i="107"/>
  <c r="AL59" i="107"/>
  <c r="AM59" i="107"/>
  <c r="AN59" i="107"/>
  <c r="AK60" i="107"/>
  <c r="AL60" i="107"/>
  <c r="AM60" i="107"/>
  <c r="AN60" i="107"/>
  <c r="AK61" i="107"/>
  <c r="AL61" i="107"/>
  <c r="AM61" i="107"/>
  <c r="AN61" i="107"/>
  <c r="AI62" i="107"/>
  <c r="AK62" i="107"/>
  <c r="AL62" i="107"/>
  <c r="AM62" i="107"/>
  <c r="AN62" i="107"/>
  <c r="AK63" i="107"/>
  <c r="AL63" i="107"/>
  <c r="AM63" i="107"/>
  <c r="AN63" i="107"/>
  <c r="AK64" i="107"/>
  <c r="AL64" i="107"/>
  <c r="AM64" i="107"/>
  <c r="AN64" i="107"/>
  <c r="AK65" i="107"/>
  <c r="AL65" i="107"/>
  <c r="AM65" i="107"/>
  <c r="AN65" i="107"/>
  <c r="AK66" i="107"/>
  <c r="AL66" i="107"/>
  <c r="AM66" i="107"/>
  <c r="AN66" i="107"/>
  <c r="AI67" i="107"/>
  <c r="AK67" i="107"/>
  <c r="AL67" i="107"/>
  <c r="AM67" i="107"/>
  <c r="AN67" i="107"/>
  <c r="AK68" i="107"/>
  <c r="AL68" i="107"/>
  <c r="AM68" i="107"/>
  <c r="AN68" i="107"/>
  <c r="AK69" i="107"/>
  <c r="AL69" i="107"/>
  <c r="AM69" i="107"/>
  <c r="AN69" i="107"/>
  <c r="AK70" i="107"/>
  <c r="AL70" i="107"/>
  <c r="AM70" i="107"/>
  <c r="AN70" i="107"/>
  <c r="AK71" i="107"/>
  <c r="AL71" i="107"/>
  <c r="AM71" i="107"/>
  <c r="AN71" i="107"/>
  <c r="AK72" i="107"/>
  <c r="AL72" i="107"/>
  <c r="AM72" i="107"/>
  <c r="AN72" i="107"/>
  <c r="AK73" i="107"/>
  <c r="AL73" i="107"/>
  <c r="AM73" i="107"/>
  <c r="AN73" i="107"/>
  <c r="AK74" i="107"/>
  <c r="AL74" i="107"/>
  <c r="AM74" i="107"/>
  <c r="AN74" i="107"/>
  <c r="AF65" i="107"/>
  <c r="AF67" i="107"/>
  <c r="AF72" i="107"/>
  <c r="AA56" i="107"/>
  <c r="AF56" i="107" s="1"/>
  <c r="AA57" i="107"/>
  <c r="AI57" i="107" s="1"/>
  <c r="AA58" i="107"/>
  <c r="AF58" i="107" s="1"/>
  <c r="AA59" i="107"/>
  <c r="AF59" i="107" s="1"/>
  <c r="AA60" i="107"/>
  <c r="AF60" i="107" s="1"/>
  <c r="AA61" i="107"/>
  <c r="AA62" i="107"/>
  <c r="AF62" i="107" s="1"/>
  <c r="AA63" i="107"/>
  <c r="AA64" i="107"/>
  <c r="AF64" i="107" s="1"/>
  <c r="AA65" i="107"/>
  <c r="AI65" i="107" s="1"/>
  <c r="AA66" i="107"/>
  <c r="AA67" i="107"/>
  <c r="AA68" i="107"/>
  <c r="AA69" i="107"/>
  <c r="AA70" i="107"/>
  <c r="AF70" i="107" s="1"/>
  <c r="AA71" i="107"/>
  <c r="AA72" i="107"/>
  <c r="AA73" i="107"/>
  <c r="AI73" i="107" s="1"/>
  <c r="AA74" i="107"/>
  <c r="K56" i="107"/>
  <c r="K57" i="107"/>
  <c r="K58" i="107"/>
  <c r="K59" i="107"/>
  <c r="K60" i="107"/>
  <c r="K61" i="107"/>
  <c r="K62" i="107"/>
  <c r="K63" i="107"/>
  <c r="K64" i="107"/>
  <c r="K65" i="107"/>
  <c r="K66" i="107"/>
  <c r="K67" i="107"/>
  <c r="K68" i="107"/>
  <c r="K69" i="107"/>
  <c r="K70" i="107"/>
  <c r="K71" i="107"/>
  <c r="K72" i="107"/>
  <c r="K73" i="107"/>
  <c r="K74" i="107"/>
  <c r="B51" i="107"/>
  <c r="AH34" i="107"/>
  <c r="AI34" i="107"/>
  <c r="AK34" i="107"/>
  <c r="AL34" i="107"/>
  <c r="AH35" i="107"/>
  <c r="AI35" i="107"/>
  <c r="AK35" i="107"/>
  <c r="AL35" i="107"/>
  <c r="AH36" i="107"/>
  <c r="AK36" i="107"/>
  <c r="AL36" i="107"/>
  <c r="AH37" i="107"/>
  <c r="AI37" i="107"/>
  <c r="AK37" i="107"/>
  <c r="AL37" i="107"/>
  <c r="AH38" i="107"/>
  <c r="AJ38" i="107"/>
  <c r="AK38" i="107"/>
  <c r="AL38" i="107"/>
  <c r="AH39" i="107"/>
  <c r="AK39" i="107"/>
  <c r="AL39" i="107"/>
  <c r="AH40" i="107"/>
  <c r="AK40" i="107"/>
  <c r="AL40" i="107"/>
  <c r="AH41" i="107"/>
  <c r="AK41" i="107"/>
  <c r="AL41" i="107"/>
  <c r="AH42" i="107"/>
  <c r="AK42" i="107"/>
  <c r="AL42" i="107"/>
  <c r="AH43" i="107"/>
  <c r="AK43" i="107"/>
  <c r="AL43" i="107"/>
  <c r="AH44" i="107"/>
  <c r="AJ44" i="107"/>
  <c r="AK44" i="107"/>
  <c r="AL44" i="107"/>
  <c r="AH45" i="107"/>
  <c r="AK45" i="107"/>
  <c r="AL45" i="107"/>
  <c r="AH46" i="107"/>
  <c r="AK46" i="107"/>
  <c r="AL46" i="107"/>
  <c r="AH47" i="107"/>
  <c r="AK47" i="107"/>
  <c r="AL47" i="107"/>
  <c r="AH48" i="107"/>
  <c r="AJ48" i="107"/>
  <c r="AK48" i="107"/>
  <c r="AL48" i="107"/>
  <c r="AH49" i="107"/>
  <c r="AK49" i="107"/>
  <c r="AL49" i="107"/>
  <c r="AH50" i="107"/>
  <c r="AI50" i="107"/>
  <c r="AK50" i="107"/>
  <c r="AL50" i="107"/>
  <c r="AH51" i="107"/>
  <c r="AK51" i="107"/>
  <c r="AL51" i="107"/>
  <c r="AH52" i="107"/>
  <c r="AK52" i="107"/>
  <c r="AL52" i="107"/>
  <c r="AH53" i="107"/>
  <c r="AI53" i="107"/>
  <c r="AK53" i="107"/>
  <c r="AL53" i="107"/>
  <c r="AE34" i="107"/>
  <c r="AE35" i="107"/>
  <c r="AE36" i="107"/>
  <c r="AE37" i="107"/>
  <c r="AE38" i="107"/>
  <c r="AE39" i="107"/>
  <c r="AE40" i="107"/>
  <c r="AF40" i="107"/>
  <c r="AE41" i="107"/>
  <c r="AE42" i="107"/>
  <c r="AE43" i="107"/>
  <c r="AE44" i="107"/>
  <c r="AF44" i="107"/>
  <c r="AE45" i="107"/>
  <c r="AE46" i="107"/>
  <c r="AE47" i="107"/>
  <c r="AE48" i="107"/>
  <c r="AE49" i="107"/>
  <c r="AE50" i="107"/>
  <c r="AE51" i="107"/>
  <c r="AE52" i="107"/>
  <c r="AE53" i="107"/>
  <c r="AA34" i="107"/>
  <c r="AA35" i="107"/>
  <c r="AA36" i="107"/>
  <c r="AF36" i="107" s="1"/>
  <c r="AA37" i="107"/>
  <c r="AF37" i="107" s="1"/>
  <c r="AA38" i="107"/>
  <c r="AA39" i="107"/>
  <c r="AA40" i="107"/>
  <c r="AI40" i="107" s="1"/>
  <c r="AB40" i="107"/>
  <c r="AM40" i="107" s="1"/>
  <c r="AA41" i="107"/>
  <c r="AI41" i="107" s="1"/>
  <c r="AA42" i="107"/>
  <c r="AA43" i="107"/>
  <c r="AI43" i="107" s="1"/>
  <c r="AA44" i="107"/>
  <c r="AA45" i="107"/>
  <c r="AA46" i="107"/>
  <c r="AA47" i="107"/>
  <c r="AA48" i="107"/>
  <c r="AI48" i="107" s="1"/>
  <c r="AA49" i="107"/>
  <c r="AI49" i="107" s="1"/>
  <c r="AA50" i="107"/>
  <c r="AB50" i="107" s="1"/>
  <c r="AA51" i="107"/>
  <c r="AI51" i="107" s="1"/>
  <c r="AB51" i="107"/>
  <c r="AA52" i="107"/>
  <c r="AA53" i="107"/>
  <c r="AF53" i="107" s="1"/>
  <c r="K34" i="107"/>
  <c r="K35" i="107"/>
  <c r="K36" i="107"/>
  <c r="K37" i="107"/>
  <c r="K38" i="107"/>
  <c r="K39" i="107"/>
  <c r="K40" i="107"/>
  <c r="K41" i="107"/>
  <c r="K42" i="107"/>
  <c r="K43" i="107"/>
  <c r="K44" i="107"/>
  <c r="K45" i="107"/>
  <c r="K46" i="107"/>
  <c r="K47" i="107"/>
  <c r="K48" i="107"/>
  <c r="K49" i="107"/>
  <c r="K50" i="107"/>
  <c r="K51" i="107"/>
  <c r="K52" i="107"/>
  <c r="K53" i="107"/>
  <c r="AJ32" i="107"/>
  <c r="AK32" i="107"/>
  <c r="AL32" i="107"/>
  <c r="AM31" i="107"/>
  <c r="AN31" i="107"/>
  <c r="AA31" i="107"/>
  <c r="B29" i="107"/>
  <c r="AG17" i="107"/>
  <c r="AG18" i="107"/>
  <c r="AD16" i="107"/>
  <c r="AD17" i="107"/>
  <c r="AD18" i="107" s="1"/>
  <c r="AA19" i="107"/>
  <c r="AA20" i="107"/>
  <c r="G19" i="107"/>
  <c r="AA18" i="107"/>
  <c r="Z16" i="107"/>
  <c r="AA16" i="107"/>
  <c r="M11" i="107"/>
  <c r="B10" i="107"/>
  <c r="B9" i="107"/>
  <c r="B4" i="107"/>
  <c r="AG74" i="106"/>
  <c r="AD74" i="106"/>
  <c r="AD75" i="106"/>
  <c r="N74" i="106"/>
  <c r="O74" i="106"/>
  <c r="P74" i="106"/>
  <c r="Q74" i="106"/>
  <c r="R74" i="106"/>
  <c r="S74" i="106"/>
  <c r="T74" i="106"/>
  <c r="U74" i="106"/>
  <c r="V74" i="106"/>
  <c r="W74" i="106"/>
  <c r="X74" i="106"/>
  <c r="Y74" i="106"/>
  <c r="Z74" i="106"/>
  <c r="N75" i="106"/>
  <c r="O75" i="106"/>
  <c r="W75" i="106"/>
  <c r="AH71" i="106"/>
  <c r="AK71" i="106"/>
  <c r="AL71" i="106"/>
  <c r="AH72" i="106"/>
  <c r="AK72" i="106"/>
  <c r="AL72" i="106"/>
  <c r="AE71" i="106"/>
  <c r="AE72" i="106"/>
  <c r="AA71" i="106"/>
  <c r="AF71" i="106" s="1"/>
  <c r="AB71" i="106"/>
  <c r="AA72" i="106"/>
  <c r="AH67" i="106"/>
  <c r="AK67" i="106"/>
  <c r="AL67" i="106"/>
  <c r="AH68" i="106"/>
  <c r="AK68" i="106"/>
  <c r="AL68" i="106"/>
  <c r="AH69" i="106"/>
  <c r="AK69" i="106"/>
  <c r="AL69" i="106"/>
  <c r="AE67" i="106"/>
  <c r="AF67" i="106"/>
  <c r="AE68" i="106"/>
  <c r="AE69" i="106"/>
  <c r="AA67" i="106"/>
  <c r="AA68" i="106"/>
  <c r="AI68" i="106" s="1"/>
  <c r="AA69" i="106"/>
  <c r="AI69" i="106" s="1"/>
  <c r="K67" i="106"/>
  <c r="K68" i="106"/>
  <c r="AH60" i="106"/>
  <c r="AK60" i="106"/>
  <c r="AL60" i="106"/>
  <c r="AH61" i="106"/>
  <c r="AJ61" i="106"/>
  <c r="AK61" i="106"/>
  <c r="AL61" i="106"/>
  <c r="AH62" i="106"/>
  <c r="AK62" i="106"/>
  <c r="AL62" i="106"/>
  <c r="AH63" i="106"/>
  <c r="AK63" i="106"/>
  <c r="AL63" i="106"/>
  <c r="AH64" i="106"/>
  <c r="AK64" i="106"/>
  <c r="AL64" i="106"/>
  <c r="AE60" i="106"/>
  <c r="AE61" i="106"/>
  <c r="AE62" i="106"/>
  <c r="AE63" i="106"/>
  <c r="AF63" i="106"/>
  <c r="AE64" i="106"/>
  <c r="AF64" i="106"/>
  <c r="AA60" i="106"/>
  <c r="AJ60" i="106" s="1"/>
  <c r="AA61" i="106"/>
  <c r="AF61" i="106" s="1"/>
  <c r="AA62" i="106"/>
  <c r="AI62" i="106" s="1"/>
  <c r="AA63" i="106"/>
  <c r="AI63" i="106" s="1"/>
  <c r="AB63" i="106"/>
  <c r="AA64" i="106"/>
  <c r="AI64" i="106" s="1"/>
  <c r="AB64" i="106"/>
  <c r="AM64" i="106" s="1"/>
  <c r="K60" i="106"/>
  <c r="K61" i="106"/>
  <c r="K62" i="106"/>
  <c r="K63" i="106"/>
  <c r="K64" i="106"/>
  <c r="B58" i="106"/>
  <c r="AD56" i="106"/>
  <c r="AE56" i="106"/>
  <c r="AG56" i="106"/>
  <c r="AK56" i="106"/>
  <c r="O56" i="106"/>
  <c r="P56" i="106"/>
  <c r="Q56" i="106"/>
  <c r="Q75" i="106" s="1"/>
  <c r="R56" i="106"/>
  <c r="R75" i="106" s="1"/>
  <c r="S56" i="106"/>
  <c r="S75" i="106" s="1"/>
  <c r="T56" i="106"/>
  <c r="T75" i="106" s="1"/>
  <c r="U56" i="106"/>
  <c r="U75" i="106" s="1"/>
  <c r="V56" i="106"/>
  <c r="V75" i="106" s="1"/>
  <c r="W56" i="106"/>
  <c r="X56" i="106"/>
  <c r="X75" i="106" s="1"/>
  <c r="Y56" i="106"/>
  <c r="Y75" i="106" s="1"/>
  <c r="Z56" i="106"/>
  <c r="Z75" i="106" s="1"/>
  <c r="K55" i="106"/>
  <c r="K56" i="106"/>
  <c r="AA46" i="106"/>
  <c r="AA47" i="106"/>
  <c r="AF47" i="106" s="1"/>
  <c r="AA48" i="106"/>
  <c r="AI48" i="106" s="1"/>
  <c r="AA49" i="106"/>
  <c r="AA50" i="106"/>
  <c r="AF50" i="106" s="1"/>
  <c r="AA51" i="106"/>
  <c r="AA52" i="106"/>
  <c r="AI52" i="106" s="1"/>
  <c r="AA53" i="106"/>
  <c r="AA54" i="106"/>
  <c r="AI46" i="106"/>
  <c r="AK46" i="106"/>
  <c r="AL46" i="106"/>
  <c r="AM46" i="106"/>
  <c r="AN46" i="106"/>
  <c r="AK47" i="106"/>
  <c r="AL47" i="106"/>
  <c r="AM47" i="106"/>
  <c r="AN47" i="106"/>
  <c r="AK48" i="106"/>
  <c r="AL48" i="106"/>
  <c r="AM48" i="106"/>
  <c r="AN48" i="106"/>
  <c r="AI49" i="106"/>
  <c r="AJ49" i="106"/>
  <c r="AK49" i="106"/>
  <c r="AL49" i="106"/>
  <c r="AM49" i="106"/>
  <c r="AN49" i="106"/>
  <c r="AI50" i="106"/>
  <c r="AK50" i="106"/>
  <c r="AL50" i="106"/>
  <c r="AM50" i="106"/>
  <c r="AN50" i="106"/>
  <c r="AK51" i="106"/>
  <c r="AL51" i="106"/>
  <c r="AM51" i="106"/>
  <c r="AN51" i="106"/>
  <c r="AK52" i="106"/>
  <c r="AL52" i="106"/>
  <c r="AM52" i="106"/>
  <c r="AN52" i="106"/>
  <c r="AK53" i="106"/>
  <c r="AL53" i="106"/>
  <c r="AM53" i="106"/>
  <c r="AN53" i="106"/>
  <c r="AK54" i="106"/>
  <c r="AL54" i="106"/>
  <c r="AM54" i="106"/>
  <c r="AN54" i="106"/>
  <c r="AI55" i="106"/>
  <c r="AJ55" i="106"/>
  <c r="AK55" i="106"/>
  <c r="AL55" i="106"/>
  <c r="AM55" i="106"/>
  <c r="AN55" i="106"/>
  <c r="AF49" i="106"/>
  <c r="AF51" i="106"/>
  <c r="AF52" i="106"/>
  <c r="AF55" i="106"/>
  <c r="K46" i="106"/>
  <c r="K47" i="106"/>
  <c r="K48" i="106"/>
  <c r="K49" i="106"/>
  <c r="K50" i="106"/>
  <c r="K51" i="106"/>
  <c r="K52" i="106"/>
  <c r="K53" i="106"/>
  <c r="K54" i="106"/>
  <c r="AH34" i="106"/>
  <c r="AK34" i="106"/>
  <c r="AL34" i="106"/>
  <c r="AH35" i="106"/>
  <c r="AK35" i="106"/>
  <c r="AL35" i="106"/>
  <c r="AH36" i="106"/>
  <c r="AJ36" i="106"/>
  <c r="AK36" i="106"/>
  <c r="AL36" i="106"/>
  <c r="AH37" i="106"/>
  <c r="AK37" i="106"/>
  <c r="AL37" i="106"/>
  <c r="AH38" i="106"/>
  <c r="AK38" i="106"/>
  <c r="AL38" i="106"/>
  <c r="AH39" i="106"/>
  <c r="AK39" i="106"/>
  <c r="AL39" i="106"/>
  <c r="AH40" i="106"/>
  <c r="AJ40" i="106"/>
  <c r="AK40" i="106"/>
  <c r="AL40" i="106"/>
  <c r="AH41" i="106"/>
  <c r="AK41" i="106"/>
  <c r="AL41" i="106"/>
  <c r="AH42" i="106"/>
  <c r="AK42" i="106"/>
  <c r="AL42" i="106"/>
  <c r="AH43" i="106"/>
  <c r="AK43" i="106"/>
  <c r="AL43" i="106"/>
  <c r="AE34" i="106"/>
  <c r="AE35" i="106"/>
  <c r="AE36" i="106"/>
  <c r="AE37" i="106"/>
  <c r="AE38" i="106"/>
  <c r="AE39" i="106"/>
  <c r="AF39" i="106"/>
  <c r="AE40" i="106"/>
  <c r="AF40" i="106"/>
  <c r="AE41" i="106"/>
  <c r="AE42" i="106"/>
  <c r="AE43" i="106"/>
  <c r="AA34" i="106"/>
  <c r="AF34" i="106" s="1"/>
  <c r="AA35" i="106"/>
  <c r="AA36" i="106"/>
  <c r="AA37" i="106"/>
  <c r="AA38" i="106"/>
  <c r="AI38" i="106" s="1"/>
  <c r="AA39" i="106"/>
  <c r="AI39" i="106" s="1"/>
  <c r="AA40" i="106"/>
  <c r="AI40" i="106" s="1"/>
  <c r="AB40" i="106"/>
  <c r="AM40" i="106" s="1"/>
  <c r="AA41" i="106"/>
  <c r="AA42" i="106"/>
  <c r="AF42" i="106" s="1"/>
  <c r="AA43" i="106"/>
  <c r="K34" i="106"/>
  <c r="K35" i="106"/>
  <c r="K36" i="106"/>
  <c r="K37" i="106"/>
  <c r="K38" i="106"/>
  <c r="K39" i="106"/>
  <c r="K40" i="106"/>
  <c r="K41" i="106"/>
  <c r="K42" i="106"/>
  <c r="K43" i="106"/>
  <c r="AJ32" i="106"/>
  <c r="AK32" i="106"/>
  <c r="AL32" i="106"/>
  <c r="AM31" i="106"/>
  <c r="AN31" i="106"/>
  <c r="AA31" i="106"/>
  <c r="B29" i="106"/>
  <c r="AG17" i="106"/>
  <c r="AG18" i="106" s="1"/>
  <c r="AD16" i="106"/>
  <c r="AD17" i="106"/>
  <c r="AD18" i="106" s="1"/>
  <c r="AA19" i="106"/>
  <c r="AB62" i="106" s="1"/>
  <c r="AA20" i="106"/>
  <c r="AJ64" i="106" s="1"/>
  <c r="G19" i="106"/>
  <c r="Z16" i="106"/>
  <c r="AA16" i="106"/>
  <c r="AA17" i="106"/>
  <c r="AA11" i="106"/>
  <c r="M11" i="106"/>
  <c r="B10" i="106"/>
  <c r="B9" i="106"/>
  <c r="B4" i="106"/>
  <c r="AG76" i="105"/>
  <c r="AD76" i="105"/>
  <c r="N76" i="105"/>
  <c r="O76" i="105"/>
  <c r="P76" i="105"/>
  <c r="Q76" i="105"/>
  <c r="R76" i="105"/>
  <c r="S76" i="105"/>
  <c r="T76" i="105"/>
  <c r="U76" i="105"/>
  <c r="V76" i="105"/>
  <c r="W76" i="105"/>
  <c r="X76" i="105"/>
  <c r="Y76" i="105"/>
  <c r="Z76" i="105"/>
  <c r="N77" i="105"/>
  <c r="O77" i="105"/>
  <c r="AH73" i="105"/>
  <c r="AK73" i="105"/>
  <c r="AL73" i="105"/>
  <c r="AH74" i="105"/>
  <c r="AK74" i="105"/>
  <c r="AL74" i="105"/>
  <c r="AE73" i="105"/>
  <c r="AE74" i="105"/>
  <c r="AA73" i="105"/>
  <c r="AF73" i="105" s="1"/>
  <c r="AA74" i="105"/>
  <c r="AF74" i="105" s="1"/>
  <c r="AH69" i="105"/>
  <c r="AK69" i="105"/>
  <c r="AL69" i="105"/>
  <c r="AH70" i="105"/>
  <c r="AK70" i="105"/>
  <c r="AL70" i="105"/>
  <c r="AH71" i="105"/>
  <c r="AI71" i="105"/>
  <c r="AK71" i="105"/>
  <c r="AL71" i="105"/>
  <c r="AE69" i="105"/>
  <c r="AE70" i="105"/>
  <c r="AE71" i="105"/>
  <c r="AA69" i="105"/>
  <c r="AI69" i="105" s="1"/>
  <c r="AA70" i="105"/>
  <c r="AI70" i="105" s="1"/>
  <c r="AA71" i="105"/>
  <c r="K69" i="105"/>
  <c r="K70" i="105"/>
  <c r="AH62" i="105"/>
  <c r="AJ62" i="105"/>
  <c r="AK62" i="105"/>
  <c r="AL62" i="105"/>
  <c r="AH63" i="105"/>
  <c r="AK63" i="105"/>
  <c r="AL63" i="105"/>
  <c r="AH64" i="105"/>
  <c r="AK64" i="105"/>
  <c r="AL64" i="105"/>
  <c r="AH65" i="105"/>
  <c r="AK65" i="105"/>
  <c r="AL65" i="105"/>
  <c r="AH66" i="105"/>
  <c r="AK66" i="105"/>
  <c r="AL66" i="105"/>
  <c r="AE62" i="105"/>
  <c r="AE63" i="105"/>
  <c r="AE64" i="105"/>
  <c r="AE65" i="105"/>
  <c r="AF65" i="105"/>
  <c r="AE66" i="105"/>
  <c r="AA62" i="105"/>
  <c r="AA63" i="105"/>
  <c r="AF63" i="105" s="1"/>
  <c r="AA64" i="105"/>
  <c r="AI64" i="105" s="1"/>
  <c r="AA65" i="105"/>
  <c r="AI65" i="105" s="1"/>
  <c r="AB65" i="105"/>
  <c r="AA66" i="105"/>
  <c r="AI66" i="105" s="1"/>
  <c r="AB66" i="105"/>
  <c r="K62" i="105"/>
  <c r="K63" i="105"/>
  <c r="K64" i="105"/>
  <c r="K65" i="105"/>
  <c r="K66" i="105"/>
  <c r="AD58" i="105"/>
  <c r="AG58" i="105"/>
  <c r="AG77" i="105" s="1"/>
  <c r="AL58" i="105"/>
  <c r="O58" i="105"/>
  <c r="P58" i="105"/>
  <c r="P77" i="105" s="1"/>
  <c r="Q58" i="105"/>
  <c r="Q77" i="105" s="1"/>
  <c r="R58" i="105"/>
  <c r="R77" i="105" s="1"/>
  <c r="S58" i="105"/>
  <c r="S77" i="105" s="1"/>
  <c r="T58" i="105"/>
  <c r="T77" i="105" s="1"/>
  <c r="U58" i="105"/>
  <c r="U77" i="105" s="1"/>
  <c r="V58" i="105"/>
  <c r="V77" i="105" s="1"/>
  <c r="W58" i="105"/>
  <c r="W77" i="105" s="1"/>
  <c r="X58" i="105"/>
  <c r="X77" i="105" s="1"/>
  <c r="Y58" i="105"/>
  <c r="Y77" i="105" s="1"/>
  <c r="Z58" i="105"/>
  <c r="Z77" i="105" s="1"/>
  <c r="AI57" i="105"/>
  <c r="K57" i="105"/>
  <c r="K58" i="105"/>
  <c r="B57" i="105"/>
  <c r="AA47" i="105"/>
  <c r="AJ47" i="105" s="1"/>
  <c r="AA48" i="105"/>
  <c r="AF48" i="105" s="1"/>
  <c r="AA49" i="105"/>
  <c r="AA50" i="105"/>
  <c r="AA51" i="105"/>
  <c r="AA52" i="105"/>
  <c r="AA53" i="105"/>
  <c r="AA54" i="105"/>
  <c r="AI54" i="105" s="1"/>
  <c r="AA55" i="105"/>
  <c r="AJ55" i="105" s="1"/>
  <c r="AA56" i="105"/>
  <c r="AF56" i="105" s="1"/>
  <c r="AK47" i="105"/>
  <c r="AL47" i="105"/>
  <c r="AM47" i="105"/>
  <c r="AN47" i="105"/>
  <c r="AK48" i="105"/>
  <c r="AL48" i="105"/>
  <c r="AM48" i="105"/>
  <c r="AN48" i="105"/>
  <c r="AI49" i="105"/>
  <c r="AJ49" i="105"/>
  <c r="AK49" i="105"/>
  <c r="AL49" i="105"/>
  <c r="AM49" i="105"/>
  <c r="AN49" i="105"/>
  <c r="AK50" i="105"/>
  <c r="AL50" i="105"/>
  <c r="AM50" i="105"/>
  <c r="AN50" i="105"/>
  <c r="AI51" i="105"/>
  <c r="AJ51" i="105"/>
  <c r="AK51" i="105"/>
  <c r="AL51" i="105"/>
  <c r="AM51" i="105"/>
  <c r="AN51" i="105"/>
  <c r="AK52" i="105"/>
  <c r="AL52" i="105"/>
  <c r="AM52" i="105"/>
  <c r="AN52" i="105"/>
  <c r="AK53" i="105"/>
  <c r="AL53" i="105"/>
  <c r="AM53" i="105"/>
  <c r="AN53" i="105"/>
  <c r="AK54" i="105"/>
  <c r="AL54" i="105"/>
  <c r="AM54" i="105"/>
  <c r="AN54" i="105"/>
  <c r="AK55" i="105"/>
  <c r="AL55" i="105"/>
  <c r="AM55" i="105"/>
  <c r="AN55" i="105"/>
  <c r="AI56" i="105"/>
  <c r="AK56" i="105"/>
  <c r="AL56" i="105"/>
  <c r="AM56" i="105"/>
  <c r="AN56" i="105"/>
  <c r="AF49" i="105"/>
  <c r="AF50" i="105"/>
  <c r="AF51" i="105"/>
  <c r="AF57" i="105"/>
  <c r="K47" i="105"/>
  <c r="K48" i="105"/>
  <c r="K49" i="105"/>
  <c r="K50" i="105"/>
  <c r="K51" i="105"/>
  <c r="K52" i="105"/>
  <c r="K53" i="105"/>
  <c r="K54" i="105"/>
  <c r="K55" i="105"/>
  <c r="K56" i="105"/>
  <c r="AH34" i="105"/>
  <c r="AK34" i="105"/>
  <c r="AL34" i="105"/>
  <c r="AH35" i="105"/>
  <c r="AI35" i="105"/>
  <c r="AK35" i="105"/>
  <c r="AL35" i="105"/>
  <c r="AH36" i="105"/>
  <c r="AK36" i="105"/>
  <c r="AL36" i="105"/>
  <c r="AH37" i="105"/>
  <c r="AI37" i="105"/>
  <c r="AK37" i="105"/>
  <c r="AL37" i="105"/>
  <c r="AH38" i="105"/>
  <c r="AK38" i="105"/>
  <c r="AL38" i="105"/>
  <c r="AH39" i="105"/>
  <c r="AK39" i="105"/>
  <c r="AL39" i="105"/>
  <c r="AH40" i="105"/>
  <c r="AK40" i="105"/>
  <c r="AL40" i="105"/>
  <c r="AH41" i="105"/>
  <c r="AJ41" i="105"/>
  <c r="AK41" i="105"/>
  <c r="AL41" i="105"/>
  <c r="AH42" i="105"/>
  <c r="AK42" i="105"/>
  <c r="AL42" i="105"/>
  <c r="AH43" i="105"/>
  <c r="AK43" i="105"/>
  <c r="AL43" i="105"/>
  <c r="AH44" i="105"/>
  <c r="AK44" i="105"/>
  <c r="AL44" i="105"/>
  <c r="AE34" i="105"/>
  <c r="AF34" i="105"/>
  <c r="AE35" i="105"/>
  <c r="AE36" i="105"/>
  <c r="AE37" i="105"/>
  <c r="AE38" i="105"/>
  <c r="AF38" i="105"/>
  <c r="AE39" i="105"/>
  <c r="AE40" i="105"/>
  <c r="AE41" i="105"/>
  <c r="AF41" i="105"/>
  <c r="AE42" i="105"/>
  <c r="AE43" i="105"/>
  <c r="AF43" i="105"/>
  <c r="AE44" i="105"/>
  <c r="AA34" i="105"/>
  <c r="AI34" i="105" s="1"/>
  <c r="AA35" i="105"/>
  <c r="AJ35" i="105" s="1"/>
  <c r="AA36" i="105"/>
  <c r="AA37" i="105"/>
  <c r="AB37" i="105" s="1"/>
  <c r="AA38" i="105"/>
  <c r="AB38" i="105" s="1"/>
  <c r="AA39" i="105"/>
  <c r="AI39" i="105" s="1"/>
  <c r="AA40" i="105"/>
  <c r="AF40" i="105" s="1"/>
  <c r="AB40" i="105"/>
  <c r="AM40" i="105" s="1"/>
  <c r="AA41" i="105"/>
  <c r="AI41" i="105" s="1"/>
  <c r="AA42" i="105"/>
  <c r="AA43" i="105"/>
  <c r="AB43" i="105"/>
  <c r="AA44" i="105"/>
  <c r="K34" i="105"/>
  <c r="K35" i="105"/>
  <c r="K36" i="105"/>
  <c r="K37" i="105"/>
  <c r="K38" i="105"/>
  <c r="K39" i="105"/>
  <c r="K40" i="105"/>
  <c r="K41" i="105"/>
  <c r="K42" i="105"/>
  <c r="K43" i="105"/>
  <c r="K44" i="105"/>
  <c r="AJ32" i="105"/>
  <c r="AK32" i="105"/>
  <c r="AL32" i="105"/>
  <c r="AM31" i="105"/>
  <c r="AN31" i="105"/>
  <c r="AA31" i="105"/>
  <c r="B29" i="105"/>
  <c r="AG17" i="105"/>
  <c r="AG18" i="105" s="1"/>
  <c r="AD16" i="105"/>
  <c r="AD17" i="105"/>
  <c r="AD18" i="105" s="1"/>
  <c r="AA19" i="105"/>
  <c r="AA20" i="105"/>
  <c r="G19" i="105"/>
  <c r="Z16" i="105"/>
  <c r="AA16" i="105"/>
  <c r="AA17" i="105"/>
  <c r="AA11" i="105" s="1"/>
  <c r="M11" i="105"/>
  <c r="B10" i="105"/>
  <c r="B9" i="105"/>
  <c r="B4" i="105"/>
  <c r="AG62" i="104"/>
  <c r="AD62" i="104"/>
  <c r="N62" i="104"/>
  <c r="O62" i="104"/>
  <c r="P62" i="104"/>
  <c r="Q62" i="104"/>
  <c r="R62" i="104"/>
  <c r="S62" i="104"/>
  <c r="T62" i="104"/>
  <c r="U62" i="104"/>
  <c r="V62" i="104"/>
  <c r="W62" i="104"/>
  <c r="X62" i="104"/>
  <c r="Y62" i="104"/>
  <c r="Z62" i="104"/>
  <c r="N63" i="104"/>
  <c r="O63" i="104"/>
  <c r="Q63" i="104"/>
  <c r="T63" i="104"/>
  <c r="AH59" i="104"/>
  <c r="AK59" i="104"/>
  <c r="AL59" i="104"/>
  <c r="AH60" i="104"/>
  <c r="AK60" i="104"/>
  <c r="AL60" i="104"/>
  <c r="AE59" i="104"/>
  <c r="AE60" i="104"/>
  <c r="AA59" i="104"/>
  <c r="AB59" i="104" s="1"/>
  <c r="AA60" i="104"/>
  <c r="AI60" i="104" s="1"/>
  <c r="AB60" i="104"/>
  <c r="B58" i="104"/>
  <c r="AH55" i="104"/>
  <c r="AK55" i="104"/>
  <c r="AL55" i="104"/>
  <c r="AH56" i="104"/>
  <c r="AI56" i="104"/>
  <c r="AK56" i="104"/>
  <c r="AL56" i="104"/>
  <c r="AH57" i="104"/>
  <c r="AK57" i="104"/>
  <c r="AL57" i="104"/>
  <c r="AE55" i="104"/>
  <c r="AF55" i="104"/>
  <c r="AE56" i="104"/>
  <c r="AF56" i="104"/>
  <c r="AE57" i="104"/>
  <c r="AA55" i="104"/>
  <c r="AI55" i="104" s="1"/>
  <c r="AB55" i="104"/>
  <c r="AM55" i="104" s="1"/>
  <c r="AA56" i="104"/>
  <c r="AA57" i="104"/>
  <c r="K55" i="104"/>
  <c r="K56" i="104"/>
  <c r="AH48" i="104"/>
  <c r="AI48" i="104"/>
  <c r="AK48" i="104"/>
  <c r="AL48" i="104"/>
  <c r="AH49" i="104"/>
  <c r="AK49" i="104"/>
  <c r="AL49" i="104"/>
  <c r="AH50" i="104"/>
  <c r="AK50" i="104"/>
  <c r="AL50" i="104"/>
  <c r="AH51" i="104"/>
  <c r="AK51" i="104"/>
  <c r="AL51" i="104"/>
  <c r="AH52" i="104"/>
  <c r="AK52" i="104"/>
  <c r="AL52" i="104"/>
  <c r="AE48" i="104"/>
  <c r="AE49" i="104"/>
  <c r="AE50" i="104"/>
  <c r="AE51" i="104"/>
  <c r="AE52" i="104"/>
  <c r="AA48" i="104"/>
  <c r="AF48" i="104" s="1"/>
  <c r="AB48" i="104"/>
  <c r="AA49" i="104"/>
  <c r="AI49" i="104" s="1"/>
  <c r="AA50" i="104"/>
  <c r="AA51" i="104"/>
  <c r="AI51" i="104" s="1"/>
  <c r="AA52" i="104"/>
  <c r="AF52" i="104" s="1"/>
  <c r="AB52" i="104"/>
  <c r="AN52" i="104" s="1"/>
  <c r="K48" i="104"/>
  <c r="K49" i="104"/>
  <c r="K50" i="104"/>
  <c r="K51" i="104"/>
  <c r="K52" i="104"/>
  <c r="AD44" i="104"/>
  <c r="AG44" i="104"/>
  <c r="AH44" i="104" s="1"/>
  <c r="AK44" i="104"/>
  <c r="O44" i="104"/>
  <c r="P44" i="104"/>
  <c r="P63" i="104" s="1"/>
  <c r="Q44" i="104"/>
  <c r="R44" i="104"/>
  <c r="R63" i="104" s="1"/>
  <c r="S44" i="104"/>
  <c r="S63" i="104" s="1"/>
  <c r="T44" i="104"/>
  <c r="U44" i="104"/>
  <c r="U63" i="104" s="1"/>
  <c r="V44" i="104"/>
  <c r="V63" i="104" s="1"/>
  <c r="W44" i="104"/>
  <c r="W63" i="104" s="1"/>
  <c r="X44" i="104"/>
  <c r="X63" i="104" s="1"/>
  <c r="Y44" i="104"/>
  <c r="Y63" i="104" s="1"/>
  <c r="Z44" i="104"/>
  <c r="Z63" i="104" s="1"/>
  <c r="K43" i="104"/>
  <c r="K44" i="104"/>
  <c r="AJ41" i="104"/>
  <c r="AK41" i="104"/>
  <c r="AL41" i="104"/>
  <c r="AM41" i="104"/>
  <c r="AN41" i="104"/>
  <c r="AK42" i="104"/>
  <c r="AL42" i="104"/>
  <c r="AM42" i="104"/>
  <c r="AN42" i="104"/>
  <c r="AI43" i="104"/>
  <c r="AK43" i="104"/>
  <c r="AL43" i="104"/>
  <c r="AM43" i="104"/>
  <c r="AN43" i="104"/>
  <c r="AF43" i="104"/>
  <c r="AA41" i="104"/>
  <c r="AI41" i="104" s="1"/>
  <c r="AA42" i="104"/>
  <c r="AI42" i="104" s="1"/>
  <c r="K41" i="104"/>
  <c r="K42" i="104"/>
  <c r="AH34" i="104"/>
  <c r="AK34" i="104"/>
  <c r="AL34" i="104"/>
  <c r="AH35" i="104"/>
  <c r="AK35" i="104"/>
  <c r="AL35" i="104"/>
  <c r="AH36" i="104"/>
  <c r="AJ36" i="104"/>
  <c r="AK36" i="104"/>
  <c r="AL36" i="104"/>
  <c r="AH37" i="104"/>
  <c r="AK37" i="104"/>
  <c r="AL37" i="104"/>
  <c r="AH38" i="104"/>
  <c r="AK38" i="104"/>
  <c r="AL38" i="104"/>
  <c r="AE34" i="104"/>
  <c r="AF34" i="104"/>
  <c r="AE35" i="104"/>
  <c r="AE36" i="104"/>
  <c r="AE37" i="104"/>
  <c r="AE38" i="104"/>
  <c r="AF38" i="104"/>
  <c r="AA34" i="104"/>
  <c r="AI34" i="104" s="1"/>
  <c r="AA35" i="104"/>
  <c r="AI35" i="104" s="1"/>
  <c r="AA36" i="104"/>
  <c r="AB36" i="104" s="1"/>
  <c r="AA37" i="104"/>
  <c r="AA38" i="104"/>
  <c r="AI38" i="104" s="1"/>
  <c r="AB38" i="104"/>
  <c r="AN38" i="104" s="1"/>
  <c r="K34" i="104"/>
  <c r="K35" i="104"/>
  <c r="K36" i="104"/>
  <c r="K37" i="104"/>
  <c r="K38" i="104"/>
  <c r="AJ32" i="104"/>
  <c r="AK32" i="104"/>
  <c r="AL32" i="104"/>
  <c r="AM31" i="104"/>
  <c r="AN31" i="104"/>
  <c r="AA31" i="104"/>
  <c r="B29" i="104"/>
  <c r="AG17" i="104"/>
  <c r="AG18" i="104" s="1"/>
  <c r="AD16" i="104"/>
  <c r="AD17" i="104"/>
  <c r="AD18" i="104" s="1"/>
  <c r="AA19" i="104"/>
  <c r="AA20" i="104"/>
  <c r="AJ42" i="104" s="1"/>
  <c r="G19" i="104"/>
  <c r="Z16" i="104"/>
  <c r="AA16" i="104"/>
  <c r="AA17" i="104"/>
  <c r="AA11" i="104" s="1"/>
  <c r="M11" i="104"/>
  <c r="B10" i="104"/>
  <c r="B9" i="104"/>
  <c r="B4" i="104"/>
  <c r="AG69" i="103"/>
  <c r="AD69" i="103"/>
  <c r="N69" i="103"/>
  <c r="O69" i="103"/>
  <c r="P69" i="103"/>
  <c r="Q69" i="103"/>
  <c r="R69" i="103"/>
  <c r="S69" i="103"/>
  <c r="T69" i="103"/>
  <c r="U69" i="103"/>
  <c r="V69" i="103"/>
  <c r="W69" i="103"/>
  <c r="X69" i="103"/>
  <c r="Y69" i="103"/>
  <c r="Z69" i="103"/>
  <c r="N70" i="103"/>
  <c r="U70" i="103"/>
  <c r="AH66" i="103"/>
  <c r="AK66" i="103"/>
  <c r="AL66" i="103"/>
  <c r="AH67" i="103"/>
  <c r="AK67" i="103"/>
  <c r="AL67" i="103"/>
  <c r="AE66" i="103"/>
  <c r="AE67" i="103"/>
  <c r="AF67" i="103"/>
  <c r="AA66" i="103"/>
  <c r="AF66" i="103" s="1"/>
  <c r="AA67" i="103"/>
  <c r="AI67" i="103" s="1"/>
  <c r="AB67" i="103"/>
  <c r="AN67" i="103" s="1"/>
  <c r="AH62" i="103"/>
  <c r="AK62" i="103"/>
  <c r="AL62" i="103"/>
  <c r="AH63" i="103"/>
  <c r="AK63" i="103"/>
  <c r="AL63" i="103"/>
  <c r="AH64" i="103"/>
  <c r="AK64" i="103"/>
  <c r="AL64" i="103"/>
  <c r="AE62" i="103"/>
  <c r="AE63" i="103"/>
  <c r="AE64" i="103"/>
  <c r="AA62" i="103"/>
  <c r="AA63" i="103"/>
  <c r="AI63" i="103" s="1"/>
  <c r="AA64" i="103"/>
  <c r="AI64" i="103" s="1"/>
  <c r="K62" i="103"/>
  <c r="K63" i="103"/>
  <c r="B58" i="103"/>
  <c r="AH55" i="103"/>
  <c r="AI55" i="103"/>
  <c r="AK55" i="103"/>
  <c r="AL55" i="103"/>
  <c r="AH56" i="103"/>
  <c r="AK56" i="103"/>
  <c r="AL56" i="103"/>
  <c r="AH57" i="103"/>
  <c r="AI57" i="103"/>
  <c r="AK57" i="103"/>
  <c r="AL57" i="103"/>
  <c r="AH58" i="103"/>
  <c r="AK58" i="103"/>
  <c r="AL58" i="103"/>
  <c r="AH59" i="103"/>
  <c r="AK59" i="103"/>
  <c r="AL59" i="103"/>
  <c r="AE55" i="103"/>
  <c r="AF55" i="103"/>
  <c r="AE56" i="103"/>
  <c r="AE57" i="103"/>
  <c r="AE58" i="103"/>
  <c r="AE59" i="103"/>
  <c r="AF59" i="103"/>
  <c r="AA55" i="103"/>
  <c r="AB55" i="103"/>
  <c r="AM55" i="103" s="1"/>
  <c r="AA56" i="103"/>
  <c r="AA57" i="103"/>
  <c r="AA58" i="103"/>
  <c r="AB58" i="103" s="1"/>
  <c r="AA59" i="103"/>
  <c r="AI59" i="103" s="1"/>
  <c r="AB59" i="103"/>
  <c r="AN59" i="103" s="1"/>
  <c r="K55" i="103"/>
  <c r="K56" i="103"/>
  <c r="K57" i="103"/>
  <c r="K58" i="103"/>
  <c r="K59" i="103"/>
  <c r="AD51" i="103"/>
  <c r="AG51" i="103"/>
  <c r="AL51" i="103" s="1"/>
  <c r="AH51" i="103"/>
  <c r="O51" i="103"/>
  <c r="O70" i="103" s="1"/>
  <c r="P51" i="103"/>
  <c r="P70" i="103" s="1"/>
  <c r="Q51" i="103"/>
  <c r="R51" i="103"/>
  <c r="R70" i="103" s="1"/>
  <c r="S51" i="103"/>
  <c r="S70" i="103" s="1"/>
  <c r="T51" i="103"/>
  <c r="T70" i="103" s="1"/>
  <c r="U51" i="103"/>
  <c r="V51" i="103"/>
  <c r="V70" i="103" s="1"/>
  <c r="W51" i="103"/>
  <c r="W70" i="103" s="1"/>
  <c r="X51" i="103"/>
  <c r="X70" i="103" s="1"/>
  <c r="Y51" i="103"/>
  <c r="Y70" i="103" s="1"/>
  <c r="Z51" i="103"/>
  <c r="Z70" i="103" s="1"/>
  <c r="K50" i="103"/>
  <c r="K51" i="103"/>
  <c r="AK47" i="103"/>
  <c r="AL47" i="103"/>
  <c r="AM47" i="103"/>
  <c r="AN47" i="103"/>
  <c r="AK48" i="103"/>
  <c r="AL48" i="103"/>
  <c r="AM48" i="103"/>
  <c r="AN48" i="103"/>
  <c r="AK49" i="103"/>
  <c r="AL49" i="103"/>
  <c r="AM49" i="103"/>
  <c r="AN49" i="103"/>
  <c r="AK50" i="103"/>
  <c r="AL50" i="103"/>
  <c r="AM50" i="103"/>
  <c r="AN50" i="103"/>
  <c r="AF48" i="103"/>
  <c r="AF49" i="103"/>
  <c r="AA47" i="103"/>
  <c r="AI47" i="103" s="1"/>
  <c r="AA48" i="103"/>
  <c r="AI48" i="103" s="1"/>
  <c r="AA49" i="103"/>
  <c r="AI49" i="103" s="1"/>
  <c r="AA50" i="103"/>
  <c r="K47" i="103"/>
  <c r="K48" i="103"/>
  <c r="K49" i="103"/>
  <c r="AH34" i="103"/>
  <c r="AI34" i="103"/>
  <c r="AK34" i="103"/>
  <c r="AL34" i="103"/>
  <c r="AN34" i="103"/>
  <c r="AH35" i="103"/>
  <c r="AK35" i="103"/>
  <c r="AL35" i="103"/>
  <c r="AH36" i="103"/>
  <c r="AK36" i="103"/>
  <c r="AL36" i="103"/>
  <c r="AH37" i="103"/>
  <c r="AK37" i="103"/>
  <c r="AL37" i="103"/>
  <c r="AH38" i="103"/>
  <c r="AK38" i="103"/>
  <c r="AL38" i="103"/>
  <c r="AH39" i="103"/>
  <c r="AK39" i="103"/>
  <c r="AL39" i="103"/>
  <c r="AH40" i="103"/>
  <c r="AK40" i="103"/>
  <c r="AL40" i="103"/>
  <c r="AH41" i="103"/>
  <c r="AK41" i="103"/>
  <c r="AL41" i="103"/>
  <c r="AH42" i="103"/>
  <c r="AK42" i="103"/>
  <c r="AL42" i="103"/>
  <c r="AH43" i="103"/>
  <c r="AK43" i="103"/>
  <c r="AL43" i="103"/>
  <c r="AH44" i="103"/>
  <c r="AK44" i="103"/>
  <c r="AL44" i="103"/>
  <c r="AE34" i="103"/>
  <c r="AF34" i="103"/>
  <c r="AE35" i="103"/>
  <c r="AE36" i="103"/>
  <c r="AE37" i="103"/>
  <c r="AE38" i="103"/>
  <c r="AE39" i="103"/>
  <c r="AE40" i="103"/>
  <c r="AE41" i="103"/>
  <c r="AE42" i="103"/>
  <c r="AE43" i="103"/>
  <c r="AE44" i="103"/>
  <c r="AA34" i="103"/>
  <c r="AB34" i="103"/>
  <c r="AA35" i="103"/>
  <c r="AI35" i="103" s="1"/>
  <c r="AB35" i="103"/>
  <c r="AA36" i="103"/>
  <c r="AF36" i="103" s="1"/>
  <c r="AA37" i="103"/>
  <c r="AB37" i="103" s="1"/>
  <c r="AA38" i="103"/>
  <c r="AA39" i="103"/>
  <c r="AI39" i="103" s="1"/>
  <c r="AB39" i="103"/>
  <c r="AA40" i="103"/>
  <c r="AF40" i="103" s="1"/>
  <c r="AA41" i="103"/>
  <c r="AI41" i="103" s="1"/>
  <c r="AA42" i="103"/>
  <c r="AA43" i="103"/>
  <c r="AA44" i="103"/>
  <c r="AF44" i="103" s="1"/>
  <c r="K34" i="103"/>
  <c r="K35" i="103"/>
  <c r="K36" i="103"/>
  <c r="K37" i="103"/>
  <c r="K38" i="103"/>
  <c r="K39" i="103"/>
  <c r="K40" i="103"/>
  <c r="K41" i="103"/>
  <c r="K42" i="103"/>
  <c r="K43" i="103"/>
  <c r="K44" i="103"/>
  <c r="AJ32" i="103"/>
  <c r="AK32" i="103"/>
  <c r="AL32" i="103"/>
  <c r="AM31" i="103"/>
  <c r="AN31" i="103"/>
  <c r="AA31" i="103"/>
  <c r="B29" i="103"/>
  <c r="AG17" i="103"/>
  <c r="AG18" i="103"/>
  <c r="AD16" i="103"/>
  <c r="AD17" i="103"/>
  <c r="AD18" i="103" s="1"/>
  <c r="AA19" i="103"/>
  <c r="AA20" i="103"/>
  <c r="AJ35" i="103" s="1"/>
  <c r="G19" i="103"/>
  <c r="Z16" i="103"/>
  <c r="AA16" i="103"/>
  <c r="AA17" i="103"/>
  <c r="AA11" i="103" s="1"/>
  <c r="M11" i="103"/>
  <c r="B10" i="103"/>
  <c r="B9" i="103"/>
  <c r="B4" i="103"/>
  <c r="AG66" i="102"/>
  <c r="AD66" i="102"/>
  <c r="AD67" i="102"/>
  <c r="N66" i="102"/>
  <c r="O66" i="102"/>
  <c r="P66" i="102"/>
  <c r="Q66" i="102"/>
  <c r="R66" i="102"/>
  <c r="S66" i="102"/>
  <c r="T66" i="102"/>
  <c r="U66" i="102"/>
  <c r="V66" i="102"/>
  <c r="W66" i="102"/>
  <c r="X66" i="102"/>
  <c r="Y66" i="102"/>
  <c r="Z66" i="102"/>
  <c r="N67" i="102"/>
  <c r="V67" i="102"/>
  <c r="AH63" i="102"/>
  <c r="AH64" i="102"/>
  <c r="AE63" i="102"/>
  <c r="AE64" i="102"/>
  <c r="AA63" i="102"/>
  <c r="AI63" i="102" s="1"/>
  <c r="AA64" i="102"/>
  <c r="AH59" i="102"/>
  <c r="AH60" i="102"/>
  <c r="AH61" i="102"/>
  <c r="AE59" i="102"/>
  <c r="AE60" i="102"/>
  <c r="AE61" i="102"/>
  <c r="AA59" i="102"/>
  <c r="AA60" i="102"/>
  <c r="AI60" i="102" s="1"/>
  <c r="AB60" i="102"/>
  <c r="AA61" i="102"/>
  <c r="AF61" i="102" s="1"/>
  <c r="K59" i="102"/>
  <c r="K60" i="102"/>
  <c r="B58" i="102"/>
  <c r="AH52" i="102"/>
  <c r="AH53" i="102"/>
  <c r="AI53" i="102"/>
  <c r="AH54" i="102"/>
  <c r="AH55" i="102"/>
  <c r="AH56" i="102"/>
  <c r="AE52" i="102"/>
  <c r="AE53" i="102"/>
  <c r="AE54" i="102"/>
  <c r="AE55" i="102"/>
  <c r="AE56" i="102"/>
  <c r="AA52" i="102"/>
  <c r="AF52" i="102" s="1"/>
  <c r="AB52" i="102"/>
  <c r="AA53" i="102"/>
  <c r="AF53" i="102" s="1"/>
  <c r="AB53" i="102"/>
  <c r="AA54" i="102"/>
  <c r="AF54" i="102" s="1"/>
  <c r="AB54" i="102"/>
  <c r="AA55" i="102"/>
  <c r="AI55" i="102" s="1"/>
  <c r="AB55" i="102"/>
  <c r="AA56" i="102"/>
  <c r="AB56" i="102"/>
  <c r="K52" i="102"/>
  <c r="K53" i="102"/>
  <c r="K54" i="102"/>
  <c r="K55" i="102"/>
  <c r="K56" i="102"/>
  <c r="AD48" i="102"/>
  <c r="AE48" i="102" s="1"/>
  <c r="AG48" i="102"/>
  <c r="O48" i="102"/>
  <c r="P48" i="102"/>
  <c r="P67" i="102" s="1"/>
  <c r="Q48" i="102"/>
  <c r="Q67" i="102" s="1"/>
  <c r="R48" i="102"/>
  <c r="R67" i="102" s="1"/>
  <c r="S48" i="102"/>
  <c r="S67" i="102" s="1"/>
  <c r="T48" i="102"/>
  <c r="T67" i="102" s="1"/>
  <c r="U48" i="102"/>
  <c r="U67" i="102" s="1"/>
  <c r="V48" i="102"/>
  <c r="W48" i="102"/>
  <c r="W67" i="102" s="1"/>
  <c r="X48" i="102"/>
  <c r="X67" i="102" s="1"/>
  <c r="Y48" i="102"/>
  <c r="Y67" i="102" s="1"/>
  <c r="Z48" i="102"/>
  <c r="Z67" i="102" s="1"/>
  <c r="K47" i="102"/>
  <c r="K48" i="102"/>
  <c r="AA42" i="102"/>
  <c r="AI42" i="102" s="1"/>
  <c r="AA43" i="102"/>
  <c r="AA44" i="102"/>
  <c r="AF44" i="102" s="1"/>
  <c r="AA45" i="102"/>
  <c r="AA46" i="102"/>
  <c r="AI45" i="102"/>
  <c r="AI47" i="102"/>
  <c r="AF45" i="102"/>
  <c r="AF47" i="102"/>
  <c r="K42" i="102"/>
  <c r="K43" i="102"/>
  <c r="K44" i="102"/>
  <c r="K45" i="102"/>
  <c r="K46" i="102"/>
  <c r="AH34" i="102"/>
  <c r="AH35" i="102"/>
  <c r="AI35" i="102"/>
  <c r="AH36" i="102"/>
  <c r="AH37" i="102"/>
  <c r="AH38" i="102"/>
  <c r="AH39" i="102"/>
  <c r="AI39" i="102"/>
  <c r="AE34" i="102"/>
  <c r="AE35" i="102"/>
  <c r="AE36" i="102"/>
  <c r="AE37" i="102"/>
  <c r="AE38" i="102"/>
  <c r="AE39" i="102"/>
  <c r="AA34" i="102"/>
  <c r="AI34" i="102" s="1"/>
  <c r="AA35" i="102"/>
  <c r="AF35" i="102" s="1"/>
  <c r="AB35" i="102"/>
  <c r="AA36" i="102"/>
  <c r="AF36" i="102" s="1"/>
  <c r="AA37" i="102"/>
  <c r="AA38" i="102"/>
  <c r="AI38" i="102" s="1"/>
  <c r="AA39" i="102"/>
  <c r="AF39" i="102" s="1"/>
  <c r="AB39" i="102"/>
  <c r="K34" i="102"/>
  <c r="K35" i="102"/>
  <c r="K36" i="102"/>
  <c r="K37" i="102"/>
  <c r="K38" i="102"/>
  <c r="K39" i="102"/>
  <c r="AA31" i="102"/>
  <c r="B29" i="102"/>
  <c r="AG17" i="102"/>
  <c r="AG18" i="102" s="1"/>
  <c r="AD16" i="102"/>
  <c r="AD17" i="102"/>
  <c r="AD18" i="102" s="1"/>
  <c r="AA19" i="102"/>
  <c r="G19" i="102"/>
  <c r="Z16" i="102"/>
  <c r="AA16" i="102"/>
  <c r="AA17" i="102"/>
  <c r="AA11" i="102" s="1"/>
  <c r="M11" i="102"/>
  <c r="B10" i="102"/>
  <c r="B9" i="102"/>
  <c r="B4" i="102"/>
  <c r="M62" i="101"/>
  <c r="S62" i="101"/>
  <c r="AD60" i="101"/>
  <c r="AG60" i="101"/>
  <c r="AJ60" i="101"/>
  <c r="AK60" i="101"/>
  <c r="Z60" i="101"/>
  <c r="AC52" i="101"/>
  <c r="AF52" i="101"/>
  <c r="AK52" i="101" s="1"/>
  <c r="AG52" i="101"/>
  <c r="AC53" i="101"/>
  <c r="AD53" i="101"/>
  <c r="AF53" i="101"/>
  <c r="AK53" i="101" s="1"/>
  <c r="AJ53" i="101"/>
  <c r="AC54" i="101"/>
  <c r="AD54" i="101" s="1"/>
  <c r="AF54" i="101"/>
  <c r="AC55" i="101"/>
  <c r="AD55" i="101" s="1"/>
  <c r="AF55" i="101"/>
  <c r="AC56" i="101"/>
  <c r="AJ56" i="101" s="1"/>
  <c r="AD56" i="101"/>
  <c r="AF56" i="101"/>
  <c r="AK56" i="101" s="1"/>
  <c r="AG56" i="101"/>
  <c r="AC57" i="101"/>
  <c r="AF57" i="101"/>
  <c r="AG57" i="101" s="1"/>
  <c r="N52" i="101"/>
  <c r="O52" i="101"/>
  <c r="P52" i="101"/>
  <c r="Q52" i="101"/>
  <c r="R52" i="101"/>
  <c r="S52" i="101"/>
  <c r="T52" i="101"/>
  <c r="U52" i="101"/>
  <c r="V52" i="101"/>
  <c r="W52" i="101"/>
  <c r="X52" i="101"/>
  <c r="Y52" i="101"/>
  <c r="N53" i="101"/>
  <c r="O53" i="101"/>
  <c r="P53" i="101"/>
  <c r="Q53" i="101"/>
  <c r="R53" i="101"/>
  <c r="S53" i="101"/>
  <c r="T53" i="101"/>
  <c r="U53" i="101"/>
  <c r="V53" i="101"/>
  <c r="W53" i="101"/>
  <c r="X53" i="101"/>
  <c r="Y53" i="101"/>
  <c r="N54" i="101"/>
  <c r="O54" i="101"/>
  <c r="P54" i="101"/>
  <c r="Q54" i="101"/>
  <c r="R54" i="101"/>
  <c r="S54" i="101"/>
  <c r="T54" i="101"/>
  <c r="U54" i="101"/>
  <c r="V54" i="101"/>
  <c r="W54" i="101"/>
  <c r="X54" i="101"/>
  <c r="Y54" i="101"/>
  <c r="N55" i="101"/>
  <c r="O55" i="101"/>
  <c r="P55" i="101"/>
  <c r="Q55" i="101"/>
  <c r="R55" i="101"/>
  <c r="S55" i="101"/>
  <c r="T55" i="101"/>
  <c r="U55" i="101"/>
  <c r="V55" i="101"/>
  <c r="W55" i="101"/>
  <c r="X55" i="101"/>
  <c r="Y55" i="101"/>
  <c r="N56" i="101"/>
  <c r="O56" i="101"/>
  <c r="P56" i="101"/>
  <c r="Q56" i="101"/>
  <c r="R56" i="101"/>
  <c r="S56" i="101"/>
  <c r="T56" i="101"/>
  <c r="U56" i="101"/>
  <c r="V56" i="101"/>
  <c r="W56" i="101"/>
  <c r="X56" i="101"/>
  <c r="Y56" i="101"/>
  <c r="N57" i="101"/>
  <c r="O57" i="101"/>
  <c r="P57" i="101"/>
  <c r="Q57" i="101"/>
  <c r="R57" i="101"/>
  <c r="S57" i="101"/>
  <c r="T57" i="101"/>
  <c r="U57" i="101"/>
  <c r="V57" i="101"/>
  <c r="W57" i="101"/>
  <c r="X57" i="101"/>
  <c r="Y57" i="101"/>
  <c r="R58" i="101"/>
  <c r="AC49" i="101"/>
  <c r="AF49" i="101"/>
  <c r="N49" i="101"/>
  <c r="N62" i="101" s="1"/>
  <c r="O49" i="101"/>
  <c r="P49" i="101"/>
  <c r="Q49" i="101"/>
  <c r="R49" i="101"/>
  <c r="S49" i="101"/>
  <c r="T49" i="101"/>
  <c r="T62" i="101" s="1"/>
  <c r="U49" i="101"/>
  <c r="V49" i="101"/>
  <c r="W49" i="101"/>
  <c r="X49" i="101"/>
  <c r="Y49" i="101"/>
  <c r="AG43" i="101"/>
  <c r="AJ43" i="101"/>
  <c r="AK43" i="101"/>
  <c r="AG44" i="101"/>
  <c r="AJ44" i="101"/>
  <c r="AK44" i="101"/>
  <c r="AG45" i="101"/>
  <c r="AJ45" i="101"/>
  <c r="AK45" i="101"/>
  <c r="AG46" i="101"/>
  <c r="AJ46" i="101"/>
  <c r="AK46" i="101"/>
  <c r="AG47" i="101"/>
  <c r="AJ47" i="101"/>
  <c r="AK47" i="101"/>
  <c r="AG48" i="101"/>
  <c r="AJ48" i="101"/>
  <c r="AK48" i="101"/>
  <c r="AD43" i="101"/>
  <c r="AD44" i="101"/>
  <c r="AD45" i="101"/>
  <c r="AD46" i="101"/>
  <c r="AD47" i="101"/>
  <c r="AD48" i="101"/>
  <c r="Z43" i="101"/>
  <c r="AH43" i="101" s="1"/>
  <c r="Z44" i="101"/>
  <c r="Z45" i="101"/>
  <c r="AA45" i="101" s="1"/>
  <c r="Z46" i="101"/>
  <c r="AE46" i="101" s="1"/>
  <c r="AA46" i="101"/>
  <c r="Z47" i="101"/>
  <c r="Z48" i="101"/>
  <c r="AC40" i="101"/>
  <c r="AJ40" i="101" s="1"/>
  <c r="AF40" i="101"/>
  <c r="AK40" i="101" s="1"/>
  <c r="N40" i="101"/>
  <c r="O40" i="101"/>
  <c r="O62" i="101" s="1"/>
  <c r="P40" i="101"/>
  <c r="Q40" i="101"/>
  <c r="R40" i="101"/>
  <c r="R62" i="101" s="1"/>
  <c r="S40" i="101"/>
  <c r="T40" i="101"/>
  <c r="U40" i="101"/>
  <c r="U62" i="101" s="1"/>
  <c r="V40" i="101"/>
  <c r="W40" i="101"/>
  <c r="W62" i="101" s="1"/>
  <c r="X40" i="101"/>
  <c r="Y40" i="101"/>
  <c r="AG34" i="101"/>
  <c r="AH34" i="101"/>
  <c r="AJ34" i="101"/>
  <c r="AK34" i="101"/>
  <c r="AG35" i="101"/>
  <c r="AJ35" i="101"/>
  <c r="AK35" i="101"/>
  <c r="AG36" i="101"/>
  <c r="AJ36" i="101"/>
  <c r="AK36" i="101"/>
  <c r="AG37" i="101"/>
  <c r="AJ37" i="101"/>
  <c r="AK37" i="101"/>
  <c r="AG38" i="101"/>
  <c r="AJ38" i="101"/>
  <c r="AK38" i="101"/>
  <c r="AG39" i="101"/>
  <c r="AI39" i="101"/>
  <c r="AJ39" i="101"/>
  <c r="AK39" i="101"/>
  <c r="AD34" i="101"/>
  <c r="AL34" i="101" s="1"/>
  <c r="AE34" i="101"/>
  <c r="AD35" i="101"/>
  <c r="AD36" i="101"/>
  <c r="AD37" i="101"/>
  <c r="AE37" i="101"/>
  <c r="AD38" i="101"/>
  <c r="AD39" i="101"/>
  <c r="AE39" i="101"/>
  <c r="Z34" i="101"/>
  <c r="AA34" i="101"/>
  <c r="Z35" i="101"/>
  <c r="AA35" i="101"/>
  <c r="Z36" i="101"/>
  <c r="AH36" i="101" s="1"/>
  <c r="Z37" i="101"/>
  <c r="Z38" i="101"/>
  <c r="Z39" i="101"/>
  <c r="AH39" i="101" s="1"/>
  <c r="AA39" i="101"/>
  <c r="AL39" i="101" s="1"/>
  <c r="K34" i="101"/>
  <c r="K35" i="101"/>
  <c r="K36" i="101"/>
  <c r="K37" i="101"/>
  <c r="K38" i="101"/>
  <c r="K39" i="101"/>
  <c r="AI32" i="101"/>
  <c r="AJ32" i="101"/>
  <c r="AK32" i="101"/>
  <c r="AL31" i="101"/>
  <c r="AM31" i="101"/>
  <c r="Z31" i="101"/>
  <c r="AF17" i="101"/>
  <c r="AF18" i="101" s="1"/>
  <c r="AC16" i="101"/>
  <c r="AC17" i="101"/>
  <c r="AC18" i="101"/>
  <c r="Z19" i="101"/>
  <c r="Z20" i="101"/>
  <c r="AI34" i="101" s="1"/>
  <c r="G19" i="101"/>
  <c r="Y16" i="101"/>
  <c r="Z16" i="101"/>
  <c r="L11" i="101"/>
  <c r="B10" i="101"/>
  <c r="B9" i="101"/>
  <c r="B4" i="101"/>
  <c r="AG69" i="100"/>
  <c r="AD69" i="100"/>
  <c r="N69" i="100"/>
  <c r="O69" i="100"/>
  <c r="P69" i="100"/>
  <c r="Q69" i="100"/>
  <c r="R69" i="100"/>
  <c r="S69" i="100"/>
  <c r="T69" i="100"/>
  <c r="U69" i="100"/>
  <c r="V69" i="100"/>
  <c r="W69" i="100"/>
  <c r="X69" i="100"/>
  <c r="Y69" i="100"/>
  <c r="Z69" i="100"/>
  <c r="N70" i="100"/>
  <c r="U70" i="100"/>
  <c r="AH66" i="100"/>
  <c r="AI66" i="100"/>
  <c r="AK66" i="100"/>
  <c r="AL66" i="100"/>
  <c r="AH67" i="100"/>
  <c r="AK67" i="100"/>
  <c r="AL67" i="100"/>
  <c r="AE66" i="100"/>
  <c r="AF66" i="100"/>
  <c r="AE67" i="100"/>
  <c r="AF67" i="100"/>
  <c r="AA66" i="100"/>
  <c r="AA67" i="100"/>
  <c r="AI67" i="100" s="1"/>
  <c r="AH62" i="100"/>
  <c r="AK62" i="100"/>
  <c r="AL62" i="100"/>
  <c r="AH63" i="100"/>
  <c r="AK63" i="100"/>
  <c r="AL63" i="100"/>
  <c r="AH64" i="100"/>
  <c r="AK64" i="100"/>
  <c r="AL64" i="100"/>
  <c r="AE62" i="100"/>
  <c r="AE63" i="100"/>
  <c r="AE64" i="100"/>
  <c r="AA62" i="100"/>
  <c r="AA63" i="100"/>
  <c r="AA64" i="100"/>
  <c r="AF64" i="100" s="1"/>
  <c r="K62" i="100"/>
  <c r="K63" i="100"/>
  <c r="B61" i="100"/>
  <c r="AH55" i="100"/>
  <c r="AK55" i="100"/>
  <c r="AL55" i="100"/>
  <c r="AH56" i="100"/>
  <c r="AK56" i="100"/>
  <c r="AL56" i="100"/>
  <c r="AH57" i="100"/>
  <c r="AI57" i="100"/>
  <c r="AK57" i="100"/>
  <c r="AL57" i="100"/>
  <c r="AH58" i="100"/>
  <c r="AK58" i="100"/>
  <c r="AL58" i="100"/>
  <c r="AH59" i="100"/>
  <c r="AK59" i="100"/>
  <c r="AL59" i="100"/>
  <c r="AE55" i="100"/>
  <c r="AF55" i="100"/>
  <c r="AE56" i="100"/>
  <c r="AE57" i="100"/>
  <c r="AE58" i="100"/>
  <c r="AE59" i="100"/>
  <c r="AF59" i="100"/>
  <c r="AA55" i="100"/>
  <c r="AI55" i="100" s="1"/>
  <c r="AA56" i="100"/>
  <c r="AA57" i="100"/>
  <c r="AF57" i="100" s="1"/>
  <c r="AA58" i="100"/>
  <c r="AB58" i="100" s="1"/>
  <c r="AM58" i="100" s="1"/>
  <c r="AA59" i="100"/>
  <c r="AI59" i="100" s="1"/>
  <c r="K55" i="100"/>
  <c r="K56" i="100"/>
  <c r="K57" i="100"/>
  <c r="K58" i="100"/>
  <c r="K59" i="100"/>
  <c r="AD51" i="100"/>
  <c r="AK51" i="100" s="1"/>
  <c r="AG51" i="100"/>
  <c r="AH51" i="100" s="1"/>
  <c r="AL51" i="100"/>
  <c r="O51" i="100"/>
  <c r="O70" i="100" s="1"/>
  <c r="P51" i="100"/>
  <c r="P70" i="100" s="1"/>
  <c r="Q51" i="100"/>
  <c r="Q70" i="100" s="1"/>
  <c r="R51" i="100"/>
  <c r="R70" i="100" s="1"/>
  <c r="S51" i="100"/>
  <c r="S70" i="100" s="1"/>
  <c r="T51" i="100"/>
  <c r="T70" i="100" s="1"/>
  <c r="U51" i="100"/>
  <c r="V51" i="100"/>
  <c r="V70" i="100" s="1"/>
  <c r="W51" i="100"/>
  <c r="W70" i="100" s="1"/>
  <c r="X51" i="100"/>
  <c r="X70" i="100" s="1"/>
  <c r="Y51" i="100"/>
  <c r="Y70" i="100" s="1"/>
  <c r="Z51" i="100"/>
  <c r="Z70" i="100" s="1"/>
  <c r="K50" i="100"/>
  <c r="K51" i="100"/>
  <c r="AA45" i="100"/>
  <c r="AI45" i="100" s="1"/>
  <c r="AA46" i="100"/>
  <c r="AF46" i="100" s="1"/>
  <c r="AA47" i="100"/>
  <c r="AA48" i="100"/>
  <c r="AA49" i="100"/>
  <c r="AJ49" i="100" s="1"/>
  <c r="AK45" i="100"/>
  <c r="AL45" i="100"/>
  <c r="AM45" i="100"/>
  <c r="AN45" i="100"/>
  <c r="AK46" i="100"/>
  <c r="AL46" i="100"/>
  <c r="AM46" i="100"/>
  <c r="AN46" i="100"/>
  <c r="AK47" i="100"/>
  <c r="AL47" i="100"/>
  <c r="AM47" i="100"/>
  <c r="AN47" i="100"/>
  <c r="AI48" i="100"/>
  <c r="AK48" i="100"/>
  <c r="AL48" i="100"/>
  <c r="AM48" i="100"/>
  <c r="AN48" i="100"/>
  <c r="AK49" i="100"/>
  <c r="AL49" i="100"/>
  <c r="AM49" i="100"/>
  <c r="AN49" i="100"/>
  <c r="AI50" i="100"/>
  <c r="AK50" i="100"/>
  <c r="AL50" i="100"/>
  <c r="AM50" i="100"/>
  <c r="AN50" i="100"/>
  <c r="AF48" i="100"/>
  <c r="AF50" i="100"/>
  <c r="K45" i="100"/>
  <c r="K46" i="100"/>
  <c r="K47" i="100"/>
  <c r="K48" i="100"/>
  <c r="K49" i="100"/>
  <c r="AH35" i="100"/>
  <c r="AI35" i="100"/>
  <c r="AK35" i="100"/>
  <c r="AL35" i="100"/>
  <c r="AH36" i="100"/>
  <c r="AK36" i="100"/>
  <c r="AL36" i="100"/>
  <c r="AH37" i="100"/>
  <c r="AK37" i="100"/>
  <c r="AL37" i="100"/>
  <c r="AH38" i="100"/>
  <c r="AK38" i="100"/>
  <c r="AL38" i="100"/>
  <c r="AH39" i="100"/>
  <c r="AK39" i="100"/>
  <c r="AL39" i="100"/>
  <c r="AH40" i="100"/>
  <c r="AI40" i="100"/>
  <c r="AK40" i="100"/>
  <c r="AL40" i="100"/>
  <c r="AH41" i="100"/>
  <c r="AJ41" i="100"/>
  <c r="AK41" i="100"/>
  <c r="AL41" i="100"/>
  <c r="AE35" i="100"/>
  <c r="AE36" i="100"/>
  <c r="AE37" i="100"/>
  <c r="AE38" i="100"/>
  <c r="AE39" i="100"/>
  <c r="AE40" i="100"/>
  <c r="AE41" i="100"/>
  <c r="AA35" i="100"/>
  <c r="AF35" i="100" s="1"/>
  <c r="AA36" i="100"/>
  <c r="AA37" i="100"/>
  <c r="AF37" i="100" s="1"/>
  <c r="AA38" i="100"/>
  <c r="AI38" i="100" s="1"/>
  <c r="AA39" i="100"/>
  <c r="AF39" i="100" s="1"/>
  <c r="AA40" i="100"/>
  <c r="AA41" i="100"/>
  <c r="AF41" i="100" s="1"/>
  <c r="K35" i="100"/>
  <c r="K36" i="100"/>
  <c r="K37" i="100"/>
  <c r="K38" i="100"/>
  <c r="K39" i="100"/>
  <c r="K40" i="100"/>
  <c r="K41" i="100"/>
  <c r="AJ32" i="100"/>
  <c r="AK32" i="100"/>
  <c r="AL32" i="100"/>
  <c r="AM31" i="100"/>
  <c r="AN31" i="100"/>
  <c r="AA31" i="100"/>
  <c r="B29" i="100"/>
  <c r="AG17" i="100"/>
  <c r="AG18" i="100"/>
  <c r="AD16" i="100"/>
  <c r="AD17" i="100"/>
  <c r="AD18" i="100" s="1"/>
  <c r="AA19" i="100"/>
  <c r="AB67" i="100" s="1"/>
  <c r="AA20" i="100"/>
  <c r="AJ50" i="100" s="1"/>
  <c r="G19" i="100"/>
  <c r="Z16" i="100"/>
  <c r="AA16" i="100"/>
  <c r="AA17" i="100"/>
  <c r="AA11" i="100" s="1"/>
  <c r="M11" i="100"/>
  <c r="B10" i="100"/>
  <c r="B9" i="100"/>
  <c r="B4" i="100"/>
  <c r="AG116" i="99"/>
  <c r="AG117" i="99"/>
  <c r="AG118" i="99"/>
  <c r="AD116" i="99"/>
  <c r="AD117" i="99"/>
  <c r="AD118" i="99"/>
  <c r="N116" i="99"/>
  <c r="O116" i="99"/>
  <c r="P116" i="99"/>
  <c r="Q116" i="99"/>
  <c r="R116" i="99"/>
  <c r="S116" i="99"/>
  <c r="T116" i="99"/>
  <c r="U116" i="99"/>
  <c r="V116" i="99"/>
  <c r="W116" i="99"/>
  <c r="X116" i="99"/>
  <c r="Y116" i="99"/>
  <c r="Z116" i="99"/>
  <c r="N117" i="99"/>
  <c r="O117" i="99"/>
  <c r="P117" i="99"/>
  <c r="Q117" i="99"/>
  <c r="R117" i="99"/>
  <c r="S117" i="99"/>
  <c r="T117" i="99"/>
  <c r="U117" i="99"/>
  <c r="V117" i="99"/>
  <c r="W117" i="99"/>
  <c r="X117" i="99"/>
  <c r="Y117" i="99"/>
  <c r="Z117" i="99"/>
  <c r="N118" i="99"/>
  <c r="O118" i="99"/>
  <c r="P118" i="99"/>
  <c r="Q118" i="99"/>
  <c r="R118" i="99"/>
  <c r="S118" i="99"/>
  <c r="T118" i="99"/>
  <c r="U118" i="99"/>
  <c r="V118" i="99"/>
  <c r="W118" i="99"/>
  <c r="X118" i="99"/>
  <c r="Y118" i="99"/>
  <c r="Z118" i="99"/>
  <c r="AG108" i="99"/>
  <c r="AG109" i="99"/>
  <c r="AH109" i="99" s="1"/>
  <c r="AG110" i="99"/>
  <c r="AG111" i="99"/>
  <c r="AD108" i="99"/>
  <c r="AD109" i="99"/>
  <c r="AE109" i="99" s="1"/>
  <c r="AD110" i="99"/>
  <c r="AE110" i="99" s="1"/>
  <c r="AD111" i="99"/>
  <c r="AH110" i="99"/>
  <c r="AH111" i="99"/>
  <c r="AE111" i="99"/>
  <c r="O108" i="99"/>
  <c r="P108" i="99"/>
  <c r="Q108" i="99"/>
  <c r="R108" i="99"/>
  <c r="S108" i="99"/>
  <c r="S112" i="99" s="1"/>
  <c r="S113" i="99" s="1"/>
  <c r="T108" i="99"/>
  <c r="U108" i="99"/>
  <c r="V108" i="99"/>
  <c r="W108" i="99"/>
  <c r="X108" i="99"/>
  <c r="Y108" i="99"/>
  <c r="Z108" i="99"/>
  <c r="O109" i="99"/>
  <c r="P109" i="99"/>
  <c r="Q109" i="99"/>
  <c r="R109" i="99"/>
  <c r="S109" i="99"/>
  <c r="T109" i="99"/>
  <c r="U109" i="99"/>
  <c r="V109" i="99"/>
  <c r="W109" i="99"/>
  <c r="X109" i="99"/>
  <c r="X112" i="99" s="1"/>
  <c r="X113" i="99" s="1"/>
  <c r="Y109" i="99"/>
  <c r="Z109" i="99"/>
  <c r="O110" i="99"/>
  <c r="P110" i="99"/>
  <c r="Q110" i="99"/>
  <c r="R110" i="99"/>
  <c r="S110" i="99"/>
  <c r="T110" i="99"/>
  <c r="U110" i="99"/>
  <c r="V110" i="99"/>
  <c r="W110" i="99"/>
  <c r="X110" i="99"/>
  <c r="Y110" i="99"/>
  <c r="Y112" i="99" s="1"/>
  <c r="Y113" i="99" s="1"/>
  <c r="Z110" i="99"/>
  <c r="O111" i="99"/>
  <c r="P111" i="99"/>
  <c r="Q111" i="99"/>
  <c r="R111" i="99"/>
  <c r="S111" i="99"/>
  <c r="T111" i="99"/>
  <c r="U111" i="99"/>
  <c r="V111" i="99"/>
  <c r="W111" i="99"/>
  <c r="X111" i="99"/>
  <c r="Y111" i="99"/>
  <c r="Z111" i="99"/>
  <c r="AH102" i="99"/>
  <c r="AH103" i="99"/>
  <c r="AH104" i="99"/>
  <c r="AI104" i="99"/>
  <c r="AH105" i="99"/>
  <c r="AH106" i="99"/>
  <c r="AE102" i="99"/>
  <c r="AF102" i="99"/>
  <c r="AE103" i="99"/>
  <c r="AE104" i="99"/>
  <c r="AE105" i="99"/>
  <c r="AE106" i="99"/>
  <c r="AA102" i="99"/>
  <c r="AA103" i="99"/>
  <c r="AA104" i="99"/>
  <c r="AF104" i="99" s="1"/>
  <c r="AA105" i="99"/>
  <c r="AB105" i="99" s="1"/>
  <c r="AA106" i="99"/>
  <c r="AF106" i="99" s="1"/>
  <c r="AH95" i="99"/>
  <c r="AH96" i="99"/>
  <c r="AH97" i="99"/>
  <c r="AH98" i="99"/>
  <c r="AI98" i="99"/>
  <c r="AH99" i="99"/>
  <c r="AE95" i="99"/>
  <c r="AE96" i="99"/>
  <c r="AF96" i="99"/>
  <c r="AE97" i="99"/>
  <c r="AE98" i="99"/>
  <c r="AE99" i="99"/>
  <c r="AA95" i="99"/>
  <c r="AB95" i="99" s="1"/>
  <c r="AA96" i="99"/>
  <c r="AA97" i="99"/>
  <c r="AI97" i="99" s="1"/>
  <c r="AA98" i="99"/>
  <c r="AF98" i="99" s="1"/>
  <c r="AA99" i="99"/>
  <c r="AH88" i="99"/>
  <c r="AH89" i="99"/>
  <c r="AH90" i="99"/>
  <c r="AH91" i="99"/>
  <c r="AI91" i="99"/>
  <c r="AH92" i="99"/>
  <c r="AI92" i="99"/>
  <c r="AE88" i="99"/>
  <c r="AE89" i="99"/>
  <c r="AE90" i="99"/>
  <c r="AE91" i="99"/>
  <c r="AE92" i="99"/>
  <c r="AA88" i="99"/>
  <c r="AA89" i="99"/>
  <c r="AB89" i="99"/>
  <c r="AA90" i="99"/>
  <c r="AF90" i="99" s="1"/>
  <c r="AA91" i="99"/>
  <c r="AA92" i="99"/>
  <c r="AF92" i="99" s="1"/>
  <c r="AI82" i="99"/>
  <c r="AI83" i="99"/>
  <c r="AF82" i="99"/>
  <c r="AF83" i="99"/>
  <c r="AA82" i="99"/>
  <c r="AA83" i="99"/>
  <c r="AA84" i="99"/>
  <c r="AF84" i="99" s="1"/>
  <c r="AH82" i="99"/>
  <c r="AH83" i="99"/>
  <c r="AE82" i="99"/>
  <c r="AE83" i="99"/>
  <c r="AH80" i="99"/>
  <c r="AE80" i="99"/>
  <c r="AA80" i="99"/>
  <c r="AG78" i="99"/>
  <c r="AH79" i="99" s="1"/>
  <c r="AD78" i="99"/>
  <c r="AE79" i="99" s="1"/>
  <c r="O78" i="99"/>
  <c r="O79" i="99" s="1"/>
  <c r="P78" i="99"/>
  <c r="Q78" i="99"/>
  <c r="R78" i="99"/>
  <c r="R79" i="99" s="1"/>
  <c r="S78" i="99"/>
  <c r="S79" i="99" s="1"/>
  <c r="T78" i="99"/>
  <c r="U78" i="99"/>
  <c r="U79" i="99" s="1"/>
  <c r="V78" i="99"/>
  <c r="V79" i="99" s="1"/>
  <c r="W78" i="99"/>
  <c r="W79" i="99" s="1"/>
  <c r="X78" i="99"/>
  <c r="Y78" i="99"/>
  <c r="Z78" i="99"/>
  <c r="P79" i="99"/>
  <c r="Q79" i="99"/>
  <c r="T79" i="99"/>
  <c r="X79" i="99"/>
  <c r="Y79" i="99"/>
  <c r="Z79" i="99"/>
  <c r="AF75" i="99"/>
  <c r="AF76" i="99"/>
  <c r="AA35" i="99"/>
  <c r="AB35" i="99" s="1"/>
  <c r="AA36" i="99"/>
  <c r="AF36" i="99" s="1"/>
  <c r="AA37" i="99"/>
  <c r="AA38" i="99"/>
  <c r="AA39" i="99"/>
  <c r="AA40" i="99"/>
  <c r="AI40" i="99" s="1"/>
  <c r="AA41" i="99"/>
  <c r="AA45" i="99"/>
  <c r="AI45" i="99" s="1"/>
  <c r="AA46" i="99"/>
  <c r="AB46" i="99" s="1"/>
  <c r="AA47" i="99"/>
  <c r="AB47" i="99" s="1"/>
  <c r="AA48" i="99"/>
  <c r="AA49" i="99"/>
  <c r="AI49" i="99" s="1"/>
  <c r="AA50" i="99"/>
  <c r="AA51" i="99"/>
  <c r="AA55" i="99"/>
  <c r="AA56" i="99"/>
  <c r="AI56" i="99" s="1"/>
  <c r="AA57" i="99"/>
  <c r="AB57" i="99" s="1"/>
  <c r="AA58" i="99"/>
  <c r="AI58" i="99" s="1"/>
  <c r="AA59" i="99"/>
  <c r="AA60" i="99"/>
  <c r="AF60" i="99" s="1"/>
  <c r="AA61" i="99"/>
  <c r="AF61" i="99" s="1"/>
  <c r="AA63" i="99"/>
  <c r="AA65" i="99"/>
  <c r="AI65" i="99" s="1"/>
  <c r="AA66" i="99"/>
  <c r="AF66" i="99" s="1"/>
  <c r="AA67" i="99"/>
  <c r="AI67" i="99" s="1"/>
  <c r="AA68" i="99"/>
  <c r="AA69" i="99"/>
  <c r="AA70" i="99"/>
  <c r="AA71" i="99"/>
  <c r="AA74" i="99"/>
  <c r="AB74" i="99" s="1"/>
  <c r="AA75" i="99"/>
  <c r="AA76" i="99"/>
  <c r="AI76" i="99" s="1"/>
  <c r="AH74" i="99"/>
  <c r="AH75" i="99"/>
  <c r="AH76" i="99"/>
  <c r="AE74" i="99"/>
  <c r="AE75" i="99"/>
  <c r="AE76" i="99"/>
  <c r="AB75" i="99"/>
  <c r="AB76" i="99"/>
  <c r="AG72" i="99"/>
  <c r="AH73" i="99" s="1"/>
  <c r="AD72" i="99"/>
  <c r="AE73" i="99" s="1"/>
  <c r="O72" i="99"/>
  <c r="P72" i="99"/>
  <c r="P73" i="99" s="1"/>
  <c r="Q72" i="99"/>
  <c r="Q73" i="99" s="1"/>
  <c r="R72" i="99"/>
  <c r="S72" i="99"/>
  <c r="S73" i="99" s="1"/>
  <c r="T72" i="99"/>
  <c r="T73" i="99" s="1"/>
  <c r="U72" i="99"/>
  <c r="U73" i="99" s="1"/>
  <c r="V72" i="99"/>
  <c r="V73" i="99" s="1"/>
  <c r="W72" i="99"/>
  <c r="W73" i="99" s="1"/>
  <c r="X72" i="99"/>
  <c r="Y72" i="99"/>
  <c r="Y73" i="99" s="1"/>
  <c r="Z72" i="99"/>
  <c r="Z73" i="99" s="1"/>
  <c r="O73" i="99"/>
  <c r="R73" i="99"/>
  <c r="X73" i="99"/>
  <c r="AI66" i="99"/>
  <c r="AI68" i="99"/>
  <c r="AI69" i="99"/>
  <c r="AI70" i="99"/>
  <c r="AF67" i="99"/>
  <c r="AF68" i="99"/>
  <c r="AF69" i="99"/>
  <c r="AH65" i="99"/>
  <c r="AH66" i="99"/>
  <c r="AH67" i="99"/>
  <c r="AH68" i="99"/>
  <c r="AH69" i="99"/>
  <c r="AH70" i="99"/>
  <c r="AE65" i="99"/>
  <c r="AE66" i="99"/>
  <c r="AE67" i="99"/>
  <c r="AE68" i="99"/>
  <c r="AE69" i="99"/>
  <c r="AE70" i="99"/>
  <c r="AB68" i="99"/>
  <c r="AG63" i="99"/>
  <c r="AH64" i="99" s="1"/>
  <c r="AD63" i="99"/>
  <c r="AE64" i="99" s="1"/>
  <c r="O63" i="99"/>
  <c r="O64" i="99" s="1"/>
  <c r="P63" i="99"/>
  <c r="P64" i="99" s="1"/>
  <c r="Q63" i="99"/>
  <c r="Q64" i="99" s="1"/>
  <c r="R63" i="99"/>
  <c r="R64" i="99" s="1"/>
  <c r="S63" i="99"/>
  <c r="T63" i="99"/>
  <c r="T64" i="99" s="1"/>
  <c r="U63" i="99"/>
  <c r="U64" i="99" s="1"/>
  <c r="V63" i="99"/>
  <c r="V64" i="99" s="1"/>
  <c r="W63" i="99"/>
  <c r="W64" i="99" s="1"/>
  <c r="X63" i="99"/>
  <c r="X64" i="99" s="1"/>
  <c r="Y63" i="99"/>
  <c r="Y64" i="99" s="1"/>
  <c r="Z63" i="99"/>
  <c r="S64" i="99"/>
  <c r="Z64" i="99"/>
  <c r="AI55" i="99"/>
  <c r="AI59" i="99"/>
  <c r="AI60" i="99"/>
  <c r="AI61" i="99"/>
  <c r="AF55" i="99"/>
  <c r="AF58" i="99"/>
  <c r="AF59" i="99"/>
  <c r="AH61" i="99"/>
  <c r="AE61" i="99"/>
  <c r="AB61" i="99"/>
  <c r="AH55" i="99"/>
  <c r="AH56" i="99"/>
  <c r="AH57" i="99"/>
  <c r="AH58" i="99"/>
  <c r="AH59" i="99"/>
  <c r="AE55" i="99"/>
  <c r="AE56" i="99"/>
  <c r="AE57" i="99"/>
  <c r="AE58" i="99"/>
  <c r="AE59" i="99"/>
  <c r="AG53" i="99"/>
  <c r="AH54" i="99" s="1"/>
  <c r="AD53" i="99"/>
  <c r="AE54" i="99" s="1"/>
  <c r="O53" i="99"/>
  <c r="O54" i="99" s="1"/>
  <c r="P53" i="99"/>
  <c r="P54" i="99" s="1"/>
  <c r="Q53" i="99"/>
  <c r="R53" i="99"/>
  <c r="R54" i="99" s="1"/>
  <c r="S53" i="99"/>
  <c r="S54" i="99" s="1"/>
  <c r="T53" i="99"/>
  <c r="T54" i="99" s="1"/>
  <c r="U53" i="99"/>
  <c r="U54" i="99" s="1"/>
  <c r="V53" i="99"/>
  <c r="V54" i="99" s="1"/>
  <c r="W53" i="99"/>
  <c r="W54" i="99" s="1"/>
  <c r="X53" i="99"/>
  <c r="X54" i="99" s="1"/>
  <c r="Y53" i="99"/>
  <c r="Z53" i="99"/>
  <c r="Z54" i="99" s="1"/>
  <c r="Q54" i="99"/>
  <c r="Y54" i="99"/>
  <c r="AI46" i="99"/>
  <c r="AI48" i="99"/>
  <c r="AI51" i="99"/>
  <c r="AF45" i="99"/>
  <c r="AF48" i="99"/>
  <c r="AF49" i="99"/>
  <c r="AH51" i="99"/>
  <c r="AE51" i="99"/>
  <c r="AH45" i="99"/>
  <c r="AH46" i="99"/>
  <c r="AH47" i="99"/>
  <c r="AH48" i="99"/>
  <c r="AH49" i="99"/>
  <c r="AE45" i="99"/>
  <c r="AE46" i="99"/>
  <c r="AE47" i="99"/>
  <c r="AE48" i="99"/>
  <c r="AE49" i="99"/>
  <c r="AB45" i="99"/>
  <c r="AB48" i="99"/>
  <c r="AB49" i="99"/>
  <c r="AG43" i="99"/>
  <c r="AH44" i="99" s="1"/>
  <c r="AD43" i="99"/>
  <c r="AE44" i="99" s="1"/>
  <c r="O43" i="99"/>
  <c r="O44" i="99" s="1"/>
  <c r="P43" i="99"/>
  <c r="P44" i="99" s="1"/>
  <c r="Q43" i="99"/>
  <c r="Q44" i="99" s="1"/>
  <c r="R43" i="99"/>
  <c r="S43" i="99"/>
  <c r="T43" i="99"/>
  <c r="T44" i="99" s="1"/>
  <c r="U43" i="99"/>
  <c r="V43" i="99"/>
  <c r="V44" i="99" s="1"/>
  <c r="W43" i="99"/>
  <c r="W44" i="99" s="1"/>
  <c r="X43" i="99"/>
  <c r="X44" i="99" s="1"/>
  <c r="Y43" i="99"/>
  <c r="Y44" i="99" s="1"/>
  <c r="Z43" i="99"/>
  <c r="R44" i="99"/>
  <c r="S44" i="99"/>
  <c r="U44" i="99"/>
  <c r="Z44" i="99"/>
  <c r="AI36" i="99"/>
  <c r="AI38" i="99"/>
  <c r="AI39" i="99"/>
  <c r="AI41" i="99"/>
  <c r="AF38" i="99"/>
  <c r="AF39" i="99"/>
  <c r="AH41" i="99"/>
  <c r="AE41" i="99"/>
  <c r="AB41" i="99"/>
  <c r="AH35" i="99"/>
  <c r="AH36" i="99"/>
  <c r="AH37" i="99"/>
  <c r="AH38" i="99"/>
  <c r="AH39" i="99"/>
  <c r="AE35" i="99"/>
  <c r="AE36" i="99"/>
  <c r="AE37" i="99"/>
  <c r="AE38" i="99"/>
  <c r="AE39" i="99"/>
  <c r="AB36" i="99"/>
  <c r="AB38" i="99"/>
  <c r="AA31" i="99"/>
  <c r="AG17" i="99"/>
  <c r="AG18" i="99"/>
  <c r="AD16" i="99"/>
  <c r="AD17" i="99"/>
  <c r="AD18" i="99" s="1"/>
  <c r="G19" i="99"/>
  <c r="G20" i="99"/>
  <c r="AA19" i="99"/>
  <c r="AA20" i="99"/>
  <c r="AB83" i="99" s="1"/>
  <c r="AA16" i="99"/>
  <c r="AA17" i="99"/>
  <c r="Z16" i="99"/>
  <c r="AA11" i="99"/>
  <c r="AA18" i="99" s="1"/>
  <c r="M11" i="99"/>
  <c r="B10" i="99"/>
  <c r="B9" i="99"/>
  <c r="B4" i="99"/>
  <c r="B62" i="98"/>
  <c r="AH35" i="98"/>
  <c r="AK35" i="98"/>
  <c r="AL35" i="98"/>
  <c r="AH36" i="98"/>
  <c r="AK36" i="98"/>
  <c r="AL36" i="98"/>
  <c r="AH37" i="98"/>
  <c r="AK37" i="98"/>
  <c r="AL37" i="98"/>
  <c r="AH38" i="98"/>
  <c r="AK38" i="98"/>
  <c r="AL38" i="98"/>
  <c r="AH39" i="98"/>
  <c r="AK39" i="98"/>
  <c r="AL39" i="98"/>
  <c r="AH40" i="98"/>
  <c r="AK40" i="98"/>
  <c r="AL40" i="98"/>
  <c r="AH41" i="98"/>
  <c r="AK41" i="98"/>
  <c r="AL41" i="98"/>
  <c r="AH42" i="98"/>
  <c r="AK42" i="98"/>
  <c r="AL42" i="98"/>
  <c r="AH43" i="98"/>
  <c r="AJ43" i="98"/>
  <c r="AK43" i="98"/>
  <c r="AL43" i="98"/>
  <c r="AH44" i="98"/>
  <c r="AK44" i="98"/>
  <c r="AL44" i="98"/>
  <c r="AH45" i="98"/>
  <c r="AK45" i="98"/>
  <c r="AL45" i="98"/>
  <c r="AH46" i="98"/>
  <c r="AK46" i="98"/>
  <c r="AL46" i="98"/>
  <c r="AH47" i="98"/>
  <c r="AK47" i="98"/>
  <c r="AL47" i="98"/>
  <c r="AH48" i="98"/>
  <c r="AI48" i="98"/>
  <c r="AK48" i="98"/>
  <c r="AL48" i="98"/>
  <c r="AH49" i="98"/>
  <c r="AK49" i="98"/>
  <c r="AL49" i="98"/>
  <c r="AH50" i="98"/>
  <c r="AK50" i="98"/>
  <c r="AL50" i="98"/>
  <c r="AH51" i="98"/>
  <c r="AI51" i="98"/>
  <c r="AK51" i="98"/>
  <c r="AL51" i="98"/>
  <c r="AH52" i="98"/>
  <c r="AK52" i="98"/>
  <c r="AL52" i="98"/>
  <c r="AH53" i="98"/>
  <c r="AK53" i="98"/>
  <c r="AL53" i="98"/>
  <c r="AH54" i="98"/>
  <c r="AK54" i="98"/>
  <c r="AL54" i="98"/>
  <c r="AH55" i="98"/>
  <c r="AK55" i="98"/>
  <c r="AL55" i="98"/>
  <c r="AH56" i="98"/>
  <c r="AI56" i="98"/>
  <c r="AK56" i="98"/>
  <c r="AL56" i="98"/>
  <c r="AE35" i="98"/>
  <c r="AE36" i="98"/>
  <c r="AE37" i="98"/>
  <c r="AE38" i="98"/>
  <c r="AE39" i="98"/>
  <c r="AE40" i="98"/>
  <c r="AE41" i="98"/>
  <c r="AE42" i="98"/>
  <c r="AE43" i="98"/>
  <c r="AF43" i="98"/>
  <c r="AE44" i="98"/>
  <c r="AE45" i="98"/>
  <c r="AE46" i="98"/>
  <c r="AE47" i="98"/>
  <c r="AE48" i="98"/>
  <c r="AE49" i="98"/>
  <c r="AE50" i="98"/>
  <c r="AE51" i="98"/>
  <c r="AF51" i="98"/>
  <c r="AE52" i="98"/>
  <c r="AE53" i="98"/>
  <c r="AE54" i="98"/>
  <c r="AE55" i="98"/>
  <c r="AE56" i="98"/>
  <c r="AA35" i="98"/>
  <c r="AA36" i="98"/>
  <c r="AF36" i="98" s="1"/>
  <c r="AA37" i="98"/>
  <c r="AI37" i="98" s="1"/>
  <c r="AA38" i="98"/>
  <c r="AB38" i="98" s="1"/>
  <c r="AA39" i="98"/>
  <c r="AA40" i="98"/>
  <c r="AA41" i="98"/>
  <c r="AA42" i="98"/>
  <c r="AB42" i="98" s="1"/>
  <c r="AA43" i="98"/>
  <c r="AB43" i="98" s="1"/>
  <c r="AA44" i="98"/>
  <c r="AB44" i="98"/>
  <c r="AN44" i="98" s="1"/>
  <c r="AA45" i="98"/>
  <c r="AI45" i="98" s="1"/>
  <c r="AA46" i="98"/>
  <c r="AB46" i="98" s="1"/>
  <c r="AA47" i="98"/>
  <c r="AA48" i="98"/>
  <c r="AA49" i="98"/>
  <c r="AB49" i="98" s="1"/>
  <c r="AM49" i="98" s="1"/>
  <c r="AA50" i="98"/>
  <c r="AA51" i="98"/>
  <c r="AA52" i="98"/>
  <c r="AB52" i="98"/>
  <c r="AN52" i="98" s="1"/>
  <c r="AA53" i="98"/>
  <c r="AI53" i="98" s="1"/>
  <c r="AA54" i="98"/>
  <c r="AB54" i="98" s="1"/>
  <c r="AA55" i="98"/>
  <c r="AI55" i="98" s="1"/>
  <c r="AA56" i="98"/>
  <c r="AB56" i="98"/>
  <c r="AM56" i="98" s="1"/>
  <c r="K35" i="98"/>
  <c r="K36" i="98"/>
  <c r="K37" i="98"/>
  <c r="K38" i="98"/>
  <c r="K39" i="98"/>
  <c r="K40" i="98"/>
  <c r="K41" i="98"/>
  <c r="K42" i="98"/>
  <c r="K43" i="98"/>
  <c r="K44" i="98"/>
  <c r="K45" i="98"/>
  <c r="K46" i="98"/>
  <c r="K47" i="98"/>
  <c r="K48" i="98"/>
  <c r="K49" i="98"/>
  <c r="K50" i="98"/>
  <c r="K51" i="98"/>
  <c r="K52" i="98"/>
  <c r="K53" i="98"/>
  <c r="K54" i="98"/>
  <c r="K55" i="98"/>
  <c r="K56" i="98"/>
  <c r="AJ32" i="98"/>
  <c r="AK32" i="98"/>
  <c r="AL32" i="98"/>
  <c r="AM31" i="98"/>
  <c r="AN31" i="98"/>
  <c r="AA31" i="98"/>
  <c r="B29" i="98"/>
  <c r="AG17" i="98"/>
  <c r="AG18" i="98" s="1"/>
  <c r="AD16" i="98"/>
  <c r="AD17" i="98"/>
  <c r="AD18" i="98" s="1"/>
  <c r="G19" i="98"/>
  <c r="G20" i="98"/>
  <c r="AA19" i="98"/>
  <c r="AB40" i="98" s="1"/>
  <c r="AM40" i="98" s="1"/>
  <c r="AA20" i="98"/>
  <c r="Z16" i="98"/>
  <c r="AA16" i="98"/>
  <c r="AA17" i="98"/>
  <c r="AA11" i="98" s="1"/>
  <c r="M11" i="98"/>
  <c r="B10" i="98"/>
  <c r="B9" i="98"/>
  <c r="B4" i="98"/>
  <c r="AG118" i="97"/>
  <c r="AG119" i="97"/>
  <c r="AG120" i="97"/>
  <c r="AD118" i="97"/>
  <c r="AD119" i="97"/>
  <c r="AD120" i="97"/>
  <c r="N118" i="97"/>
  <c r="O118" i="97"/>
  <c r="P118" i="97"/>
  <c r="Q118" i="97"/>
  <c r="R118" i="97"/>
  <c r="S118" i="97"/>
  <c r="T118" i="97"/>
  <c r="U118" i="97"/>
  <c r="V118" i="97"/>
  <c r="W118" i="97"/>
  <c r="X118" i="97"/>
  <c r="Y118" i="97"/>
  <c r="Z118" i="97"/>
  <c r="N119" i="97"/>
  <c r="O119" i="97"/>
  <c r="P119" i="97"/>
  <c r="Q119" i="97"/>
  <c r="R119" i="97"/>
  <c r="S119" i="97"/>
  <c r="T119" i="97"/>
  <c r="U119" i="97"/>
  <c r="V119" i="97"/>
  <c r="W119" i="97"/>
  <c r="X119" i="97"/>
  <c r="Y119" i="97"/>
  <c r="Z119" i="97"/>
  <c r="N120" i="97"/>
  <c r="O120" i="97"/>
  <c r="P120" i="97"/>
  <c r="Q120" i="97"/>
  <c r="R120" i="97"/>
  <c r="S120" i="97"/>
  <c r="T120" i="97"/>
  <c r="U120" i="97"/>
  <c r="V120" i="97"/>
  <c r="W120" i="97"/>
  <c r="X120" i="97"/>
  <c r="Y120" i="97"/>
  <c r="Z120" i="97"/>
  <c r="AI115" i="97"/>
  <c r="AF115" i="97"/>
  <c r="AG115" i="97"/>
  <c r="AD115" i="97"/>
  <c r="O115" i="97"/>
  <c r="P115" i="97"/>
  <c r="Q115" i="97"/>
  <c r="R115" i="97"/>
  <c r="S115" i="97"/>
  <c r="T115" i="97"/>
  <c r="U115" i="97"/>
  <c r="V115" i="97"/>
  <c r="W115" i="97"/>
  <c r="X115" i="97"/>
  <c r="Y115" i="97"/>
  <c r="Z115" i="97"/>
  <c r="AG108" i="97"/>
  <c r="AG109" i="97"/>
  <c r="AH109" i="97" s="1"/>
  <c r="AG110" i="97"/>
  <c r="AH110" i="97" s="1"/>
  <c r="AG111" i="97"/>
  <c r="AH111" i="97" s="1"/>
  <c r="AD108" i="97"/>
  <c r="AD109" i="97"/>
  <c r="AE109" i="97" s="1"/>
  <c r="AD110" i="97"/>
  <c r="AE110" i="97" s="1"/>
  <c r="AD111" i="97"/>
  <c r="AH108" i="97"/>
  <c r="AE111" i="97"/>
  <c r="O108" i="97"/>
  <c r="P108" i="97"/>
  <c r="Q108" i="97"/>
  <c r="R108" i="97"/>
  <c r="S108" i="97"/>
  <c r="T108" i="97"/>
  <c r="U108" i="97"/>
  <c r="V108" i="97"/>
  <c r="W108" i="97"/>
  <c r="X108" i="97"/>
  <c r="Y108" i="97"/>
  <c r="Z108" i="97"/>
  <c r="O109" i="97"/>
  <c r="P109" i="97"/>
  <c r="Q109" i="97"/>
  <c r="R109" i="97"/>
  <c r="S109" i="97"/>
  <c r="T109" i="97"/>
  <c r="U109" i="97"/>
  <c r="V109" i="97"/>
  <c r="W109" i="97"/>
  <c r="X109" i="97"/>
  <c r="Y109" i="97"/>
  <c r="Z109" i="97"/>
  <c r="O110" i="97"/>
  <c r="P110" i="97"/>
  <c r="Q110" i="97"/>
  <c r="R110" i="97"/>
  <c r="S110" i="97"/>
  <c r="T110" i="97"/>
  <c r="U110" i="97"/>
  <c r="V110" i="97"/>
  <c r="W110" i="97"/>
  <c r="X110" i="97"/>
  <c r="Y110" i="97"/>
  <c r="Z110" i="97"/>
  <c r="O111" i="97"/>
  <c r="P111" i="97"/>
  <c r="Q111" i="97"/>
  <c r="R111" i="97"/>
  <c r="S111" i="97"/>
  <c r="S112" i="97" s="1"/>
  <c r="S113" i="97" s="1"/>
  <c r="T111" i="97"/>
  <c r="U111" i="97"/>
  <c r="V111" i="97"/>
  <c r="W111" i="97"/>
  <c r="X111" i="97"/>
  <c r="Y111" i="97"/>
  <c r="Z111" i="97"/>
  <c r="U112" i="97"/>
  <c r="U113" i="97" s="1"/>
  <c r="AH102" i="97"/>
  <c r="AH103" i="97"/>
  <c r="AH104" i="97"/>
  <c r="AH105" i="97"/>
  <c r="AI105" i="97"/>
  <c r="AH106" i="97"/>
  <c r="AE102" i="97"/>
  <c r="AE103" i="97"/>
  <c r="AE104" i="97"/>
  <c r="AE105" i="97"/>
  <c r="AE106" i="97"/>
  <c r="AA102" i="97"/>
  <c r="AI102" i="97" s="1"/>
  <c r="AA103" i="97"/>
  <c r="AI103" i="97" s="1"/>
  <c r="AA104" i="97"/>
  <c r="AA105" i="97"/>
  <c r="AF105" i="97" s="1"/>
  <c r="AA106" i="97"/>
  <c r="AI106" i="97" s="1"/>
  <c r="AH95" i="97"/>
  <c r="AH96" i="97"/>
  <c r="AH97" i="97"/>
  <c r="AH98" i="97"/>
  <c r="AH99" i="97"/>
  <c r="AE95" i="97"/>
  <c r="AE96" i="97"/>
  <c r="AE97" i="97"/>
  <c r="AE98" i="97"/>
  <c r="AE99" i="97"/>
  <c r="AA95" i="97"/>
  <c r="AA96" i="97"/>
  <c r="AI96" i="97" s="1"/>
  <c r="AA97" i="97"/>
  <c r="AI97" i="97" s="1"/>
  <c r="AA98" i="97"/>
  <c r="AA99" i="97"/>
  <c r="AH88" i="97"/>
  <c r="AH89" i="97"/>
  <c r="AI89" i="97"/>
  <c r="AH90" i="97"/>
  <c r="AH91" i="97"/>
  <c r="AH92" i="97"/>
  <c r="AE88" i="97"/>
  <c r="AE89" i="97"/>
  <c r="AE90" i="97"/>
  <c r="AE91" i="97"/>
  <c r="AE92" i="97"/>
  <c r="AA88" i="97"/>
  <c r="AB88" i="97" s="1"/>
  <c r="AA89" i="97"/>
  <c r="AF89" i="97" s="1"/>
  <c r="AA90" i="97"/>
  <c r="AI90" i="97" s="1"/>
  <c r="AA91" i="97"/>
  <c r="AI91" i="97" s="1"/>
  <c r="AA92" i="97"/>
  <c r="AA82" i="97"/>
  <c r="AI82" i="97" s="1"/>
  <c r="AA83" i="97"/>
  <c r="AH82" i="97"/>
  <c r="AE82" i="97"/>
  <c r="AH80" i="97"/>
  <c r="AE80" i="97"/>
  <c r="AA80" i="97"/>
  <c r="AI80" i="97" s="1"/>
  <c r="AB80" i="97"/>
  <c r="AH79" i="97"/>
  <c r="AE79" i="97"/>
  <c r="AG78" i="97"/>
  <c r="AD78" i="97"/>
  <c r="O78" i="97"/>
  <c r="O79" i="97" s="1"/>
  <c r="P78" i="97"/>
  <c r="P79" i="97" s="1"/>
  <c r="Q78" i="97"/>
  <c r="Q79" i="97" s="1"/>
  <c r="R78" i="97"/>
  <c r="R79" i="97" s="1"/>
  <c r="S78" i="97"/>
  <c r="S79" i="97" s="1"/>
  <c r="T78" i="97"/>
  <c r="U78" i="97"/>
  <c r="V78" i="97"/>
  <c r="W78" i="97"/>
  <c r="W79" i="97" s="1"/>
  <c r="X78" i="97"/>
  <c r="X79" i="97" s="1"/>
  <c r="Y78" i="97"/>
  <c r="Y79" i="97" s="1"/>
  <c r="Z78" i="97"/>
  <c r="Z79" i="97" s="1"/>
  <c r="AA78" i="97"/>
  <c r="T79" i="97"/>
  <c r="U79" i="97"/>
  <c r="V79" i="97"/>
  <c r="AI74" i="97"/>
  <c r="AA35" i="97"/>
  <c r="AB35" i="97" s="1"/>
  <c r="AA36" i="97"/>
  <c r="AI36" i="97" s="1"/>
  <c r="AA37" i="97"/>
  <c r="AB37" i="97" s="1"/>
  <c r="AA38" i="97"/>
  <c r="AA39" i="97"/>
  <c r="AA40" i="97"/>
  <c r="AA41" i="97"/>
  <c r="AA43" i="97" s="1"/>
  <c r="AA45" i="97"/>
  <c r="AA46" i="97"/>
  <c r="AA47" i="97"/>
  <c r="AA48" i="97"/>
  <c r="AF48" i="97" s="1"/>
  <c r="AA49" i="97"/>
  <c r="AA50" i="97"/>
  <c r="AA51" i="97"/>
  <c r="AI51" i="97" s="1"/>
  <c r="AA55" i="97"/>
  <c r="AA56" i="97"/>
  <c r="AA57" i="97"/>
  <c r="AI57" i="97" s="1"/>
  <c r="AA58" i="97"/>
  <c r="AA59" i="97"/>
  <c r="AA60" i="97"/>
  <c r="AI60" i="97" s="1"/>
  <c r="AA61" i="97"/>
  <c r="AI61" i="97" s="1"/>
  <c r="AA65" i="97"/>
  <c r="AA66" i="97"/>
  <c r="AA67" i="97"/>
  <c r="AI67" i="97" s="1"/>
  <c r="AA68" i="97"/>
  <c r="AF68" i="97" s="1"/>
  <c r="AA69" i="97"/>
  <c r="AA71" i="97" s="1"/>
  <c r="AA70" i="97"/>
  <c r="AA74" i="97"/>
  <c r="AA75" i="97"/>
  <c r="AA76" i="97"/>
  <c r="AH74" i="97"/>
  <c r="AH75" i="97"/>
  <c r="AH76" i="97"/>
  <c r="AE74" i="97"/>
  <c r="AE75" i="97"/>
  <c r="AE76" i="97"/>
  <c r="AG72" i="97"/>
  <c r="AH73" i="97" s="1"/>
  <c r="AD72" i="97"/>
  <c r="AE73" i="97" s="1"/>
  <c r="O72" i="97"/>
  <c r="O73" i="97" s="1"/>
  <c r="P72" i="97"/>
  <c r="P73" i="97" s="1"/>
  <c r="Q72" i="97"/>
  <c r="R72" i="97"/>
  <c r="S72" i="97"/>
  <c r="S73" i="97" s="1"/>
  <c r="T72" i="97"/>
  <c r="T73" i="97" s="1"/>
  <c r="U72" i="97"/>
  <c r="U73" i="97" s="1"/>
  <c r="V72" i="97"/>
  <c r="V73" i="97" s="1"/>
  <c r="W72" i="97"/>
  <c r="W73" i="97" s="1"/>
  <c r="X72" i="97"/>
  <c r="X73" i="97" s="1"/>
  <c r="Y72" i="97"/>
  <c r="Y73" i="97" s="1"/>
  <c r="Z72" i="97"/>
  <c r="Q73" i="97"/>
  <c r="R73" i="97"/>
  <c r="Z73" i="97"/>
  <c r="AI65" i="97"/>
  <c r="AI66" i="97"/>
  <c r="AI70" i="97"/>
  <c r="AF65" i="97"/>
  <c r="AF66" i="97"/>
  <c r="AF67" i="97"/>
  <c r="AF70" i="97"/>
  <c r="AH64" i="97"/>
  <c r="AH65" i="97"/>
  <c r="AH66" i="97"/>
  <c r="AH67" i="97"/>
  <c r="AH68" i="97"/>
  <c r="AH69" i="97"/>
  <c r="AH70" i="97"/>
  <c r="AE65" i="97"/>
  <c r="AE66" i="97"/>
  <c r="AE67" i="97"/>
  <c r="AE68" i="97"/>
  <c r="AE69" i="97"/>
  <c r="AE70" i="97"/>
  <c r="AG63" i="97"/>
  <c r="AD63" i="97"/>
  <c r="AE64" i="97" s="1"/>
  <c r="O63" i="97"/>
  <c r="O64" i="97" s="1"/>
  <c r="P63" i="97"/>
  <c r="P64" i="97" s="1"/>
  <c r="Q63" i="97"/>
  <c r="Q64" i="97" s="1"/>
  <c r="R63" i="97"/>
  <c r="R64" i="97" s="1"/>
  <c r="S63" i="97"/>
  <c r="S64" i="97" s="1"/>
  <c r="T63" i="97"/>
  <c r="U63" i="97"/>
  <c r="V63" i="97"/>
  <c r="W63" i="97"/>
  <c r="X63" i="97"/>
  <c r="X64" i="97" s="1"/>
  <c r="Y63" i="97"/>
  <c r="Y64" i="97" s="1"/>
  <c r="Z63" i="97"/>
  <c r="Z64" i="97" s="1"/>
  <c r="T64" i="97"/>
  <c r="U64" i="97"/>
  <c r="V64" i="97"/>
  <c r="W64" i="97"/>
  <c r="AI55" i="97"/>
  <c r="AI56" i="97"/>
  <c r="AI59" i="97"/>
  <c r="AF55" i="97"/>
  <c r="AF56" i="97"/>
  <c r="AF57" i="97"/>
  <c r="AF59" i="97"/>
  <c r="AH61" i="97"/>
  <c r="AE61" i="97"/>
  <c r="AH55" i="97"/>
  <c r="AH56" i="97"/>
  <c r="AH57" i="97"/>
  <c r="AH58" i="97"/>
  <c r="AH59" i="97"/>
  <c r="AE55" i="97"/>
  <c r="AE56" i="97"/>
  <c r="AE57" i="97"/>
  <c r="AE58" i="97"/>
  <c r="AE59" i="97"/>
  <c r="AG53" i="97"/>
  <c r="AH54" i="97" s="1"/>
  <c r="AD53" i="97"/>
  <c r="AE54" i="97" s="1"/>
  <c r="O53" i="97"/>
  <c r="P53" i="97"/>
  <c r="Q53" i="97"/>
  <c r="Q54" i="97" s="1"/>
  <c r="R53" i="97"/>
  <c r="R54" i="97" s="1"/>
  <c r="S53" i="97"/>
  <c r="S54" i="97" s="1"/>
  <c r="T53" i="97"/>
  <c r="T54" i="97" s="1"/>
  <c r="U53" i="97"/>
  <c r="V53" i="97"/>
  <c r="W53" i="97"/>
  <c r="X53" i="97"/>
  <c r="Y53" i="97"/>
  <c r="Y54" i="97" s="1"/>
  <c r="Z53" i="97"/>
  <c r="Z54" i="97" s="1"/>
  <c r="O54" i="97"/>
  <c r="P54" i="97"/>
  <c r="U54" i="97"/>
  <c r="V54" i="97"/>
  <c r="W54" i="97"/>
  <c r="X54" i="97"/>
  <c r="AI46" i="97"/>
  <c r="AI47" i="97"/>
  <c r="AI48" i="97"/>
  <c r="AI50" i="97"/>
  <c r="AF46" i="97"/>
  <c r="AF47" i="97"/>
  <c r="AF50" i="97"/>
  <c r="AH51" i="97"/>
  <c r="AE51" i="97"/>
  <c r="AB51" i="97"/>
  <c r="AH45" i="97"/>
  <c r="AH46" i="97"/>
  <c r="AH47" i="97"/>
  <c r="AH48" i="97"/>
  <c r="AH49" i="97"/>
  <c r="AE45" i="97"/>
  <c r="AE46" i="97"/>
  <c r="AE47" i="97"/>
  <c r="AE48" i="97"/>
  <c r="AE49" i="97"/>
  <c r="AG43" i="97"/>
  <c r="AH44" i="97" s="1"/>
  <c r="AD43" i="97"/>
  <c r="AE44" i="97" s="1"/>
  <c r="O43" i="97"/>
  <c r="P43" i="97"/>
  <c r="Q43" i="97"/>
  <c r="Q44" i="97" s="1"/>
  <c r="R43" i="97"/>
  <c r="R44" i="97" s="1"/>
  <c r="S43" i="97"/>
  <c r="S44" i="97" s="1"/>
  <c r="T43" i="97"/>
  <c r="T44" i="97" s="1"/>
  <c r="U43" i="97"/>
  <c r="U44" i="97" s="1"/>
  <c r="V43" i="97"/>
  <c r="W43" i="97"/>
  <c r="X43" i="97"/>
  <c r="Y43" i="97"/>
  <c r="Y44" i="97" s="1"/>
  <c r="Z43" i="97"/>
  <c r="Z44" i="97" s="1"/>
  <c r="O44" i="97"/>
  <c r="P44" i="97"/>
  <c r="V44" i="97"/>
  <c r="W44" i="97"/>
  <c r="X44" i="97"/>
  <c r="AI35" i="97"/>
  <c r="AI38" i="97"/>
  <c r="AI39" i="97"/>
  <c r="AI41" i="97"/>
  <c r="AF38" i="97"/>
  <c r="AF39" i="97"/>
  <c r="AF41" i="97"/>
  <c r="AH41" i="97"/>
  <c r="AE41" i="97"/>
  <c r="AH35" i="97"/>
  <c r="AH36" i="97"/>
  <c r="AH37" i="97"/>
  <c r="AH38" i="97"/>
  <c r="AH39" i="97"/>
  <c r="AE35" i="97"/>
  <c r="AE36" i="97"/>
  <c r="AE37" i="97"/>
  <c r="AE38" i="97"/>
  <c r="AE39" i="97"/>
  <c r="AA31" i="97"/>
  <c r="AG17" i="97"/>
  <c r="AG18" i="97" s="1"/>
  <c r="AD16" i="97"/>
  <c r="AD17" i="97"/>
  <c r="AD18" i="97" s="1"/>
  <c r="G19" i="97"/>
  <c r="G20" i="97"/>
  <c r="AA19" i="97"/>
  <c r="AA20" i="97"/>
  <c r="AD20" i="97" s="1"/>
  <c r="AE83" i="97" s="1"/>
  <c r="AA16" i="97"/>
  <c r="AA17" i="97"/>
  <c r="Z16" i="97"/>
  <c r="AA11" i="97"/>
  <c r="AA18" i="97" s="1"/>
  <c r="M11" i="97"/>
  <c r="B10" i="97"/>
  <c r="B9" i="97"/>
  <c r="B4" i="97"/>
  <c r="B62" i="96"/>
  <c r="AH35" i="96"/>
  <c r="AK35" i="96"/>
  <c r="AL35" i="96"/>
  <c r="AH36" i="96"/>
  <c r="AK36" i="96"/>
  <c r="AL36" i="96"/>
  <c r="AH37" i="96"/>
  <c r="AK37" i="96"/>
  <c r="AL37" i="96"/>
  <c r="AH38" i="96"/>
  <c r="AI38" i="96"/>
  <c r="AK38" i="96"/>
  <c r="AL38" i="96"/>
  <c r="AH39" i="96"/>
  <c r="AK39" i="96"/>
  <c r="AL39" i="96"/>
  <c r="AH40" i="96"/>
  <c r="AJ40" i="96"/>
  <c r="AK40" i="96"/>
  <c r="AL40" i="96"/>
  <c r="AH41" i="96"/>
  <c r="AK41" i="96"/>
  <c r="AL41" i="96"/>
  <c r="AH42" i="96"/>
  <c r="AK42" i="96"/>
  <c r="AL42" i="96"/>
  <c r="AH43" i="96"/>
  <c r="AK43" i="96"/>
  <c r="AL43" i="96"/>
  <c r="AH44" i="96"/>
  <c r="AJ44" i="96"/>
  <c r="AK44" i="96"/>
  <c r="AL44" i="96"/>
  <c r="AH45" i="96"/>
  <c r="AK45" i="96"/>
  <c r="AL45" i="96"/>
  <c r="AH46" i="96"/>
  <c r="AK46" i="96"/>
  <c r="AL46" i="96"/>
  <c r="AH47" i="96"/>
  <c r="AK47" i="96"/>
  <c r="AL47" i="96"/>
  <c r="AH48" i="96"/>
  <c r="AK48" i="96"/>
  <c r="AL48" i="96"/>
  <c r="AH49" i="96"/>
  <c r="AJ49" i="96"/>
  <c r="AK49" i="96"/>
  <c r="AL49" i="96"/>
  <c r="AH50" i="96"/>
  <c r="AK50" i="96"/>
  <c r="AL50" i="96"/>
  <c r="AH51" i="96"/>
  <c r="AK51" i="96"/>
  <c r="AL51" i="96"/>
  <c r="AH52" i="96"/>
  <c r="AK52" i="96"/>
  <c r="AL52" i="96"/>
  <c r="AH53" i="96"/>
  <c r="AK53" i="96"/>
  <c r="AL53" i="96"/>
  <c r="AH54" i="96"/>
  <c r="AK54" i="96"/>
  <c r="AL54" i="96"/>
  <c r="AH55" i="96"/>
  <c r="AJ55" i="96"/>
  <c r="AK55" i="96"/>
  <c r="AL55" i="96"/>
  <c r="AH56" i="96"/>
  <c r="AI56" i="96"/>
  <c r="AK56" i="96"/>
  <c r="AL56" i="96"/>
  <c r="AE35" i="96"/>
  <c r="AE36" i="96"/>
  <c r="AE37" i="96"/>
  <c r="AE38" i="96"/>
  <c r="AE39" i="96"/>
  <c r="AE40" i="96"/>
  <c r="AF40" i="96"/>
  <c r="AE41" i="96"/>
  <c r="AE42" i="96"/>
  <c r="AE43" i="96"/>
  <c r="AE44" i="96"/>
  <c r="AF44" i="96"/>
  <c r="AE45" i="96"/>
  <c r="AE46" i="96"/>
  <c r="AE47" i="96"/>
  <c r="AE48" i="96"/>
  <c r="AE49" i="96"/>
  <c r="AE50" i="96"/>
  <c r="AE51" i="96"/>
  <c r="AE52" i="96"/>
  <c r="AE53" i="96"/>
  <c r="AE54" i="96"/>
  <c r="AE55" i="96"/>
  <c r="AE56" i="96"/>
  <c r="AF56" i="96"/>
  <c r="AA35" i="96"/>
  <c r="AA36" i="96"/>
  <c r="AI36" i="96" s="1"/>
  <c r="AA37" i="96"/>
  <c r="AI37" i="96" s="1"/>
  <c r="AA38" i="96"/>
  <c r="AJ38" i="96" s="1"/>
  <c r="AA39" i="96"/>
  <c r="AA40" i="96"/>
  <c r="AI40" i="96" s="1"/>
  <c r="AA41" i="96"/>
  <c r="AF41" i="96" s="1"/>
  <c r="AA42" i="96"/>
  <c r="AI42" i="96" s="1"/>
  <c r="AA43" i="96"/>
  <c r="AA44" i="96"/>
  <c r="AI44" i="96" s="1"/>
  <c r="AA45" i="96"/>
  <c r="AI45" i="96" s="1"/>
  <c r="AA46" i="96"/>
  <c r="AJ46" i="96" s="1"/>
  <c r="AA47" i="96"/>
  <c r="AA48" i="96"/>
  <c r="AF48" i="96" s="1"/>
  <c r="AA49" i="96"/>
  <c r="AF49" i="96" s="1"/>
  <c r="AA50" i="96"/>
  <c r="AA51" i="96"/>
  <c r="AA52" i="96"/>
  <c r="AI52" i="96" s="1"/>
  <c r="AA53" i="96"/>
  <c r="AI53" i="96" s="1"/>
  <c r="AA54" i="96"/>
  <c r="AJ54" i="96" s="1"/>
  <c r="AA55" i="96"/>
  <c r="AA56" i="96"/>
  <c r="AJ56" i="96" s="1"/>
  <c r="K35" i="96"/>
  <c r="K36" i="96"/>
  <c r="K37" i="96"/>
  <c r="K38" i="96"/>
  <c r="K39" i="96"/>
  <c r="K40" i="96"/>
  <c r="K41" i="96"/>
  <c r="K42" i="96"/>
  <c r="K43" i="96"/>
  <c r="K44" i="96"/>
  <c r="K45" i="96"/>
  <c r="K46" i="96"/>
  <c r="K47" i="96"/>
  <c r="K48" i="96"/>
  <c r="K49" i="96"/>
  <c r="K50" i="96"/>
  <c r="K51" i="96"/>
  <c r="K52" i="96"/>
  <c r="K53" i="96"/>
  <c r="K54" i="96"/>
  <c r="K55" i="96"/>
  <c r="K56" i="96"/>
  <c r="AJ32" i="96"/>
  <c r="AK32" i="96"/>
  <c r="AL32" i="96"/>
  <c r="AM31" i="96"/>
  <c r="AN31" i="96"/>
  <c r="AA31" i="96"/>
  <c r="B29" i="96"/>
  <c r="AG17" i="96"/>
  <c r="AG18" i="96"/>
  <c r="AD16" i="96"/>
  <c r="AD17" i="96"/>
  <c r="AD18" i="96" s="1"/>
  <c r="G19" i="96"/>
  <c r="G20" i="96"/>
  <c r="AA19" i="96"/>
  <c r="AA20" i="96"/>
  <c r="Z16" i="96"/>
  <c r="AA16" i="96"/>
  <c r="AA17" i="96"/>
  <c r="AA11" i="96" s="1"/>
  <c r="M11" i="96"/>
  <c r="B10" i="96"/>
  <c r="B9" i="96"/>
  <c r="B4" i="96"/>
  <c r="AG139" i="95"/>
  <c r="AG140" i="95"/>
  <c r="AG141" i="95"/>
  <c r="AG142" i="95"/>
  <c r="AD139" i="95"/>
  <c r="AD140" i="95"/>
  <c r="AD141" i="95"/>
  <c r="AD142" i="95"/>
  <c r="N139" i="95"/>
  <c r="N140" i="95"/>
  <c r="N141" i="95"/>
  <c r="O139" i="95"/>
  <c r="P139" i="95"/>
  <c r="Q139" i="95"/>
  <c r="R139" i="95"/>
  <c r="S139" i="95"/>
  <c r="T139" i="95"/>
  <c r="U139" i="95"/>
  <c r="V139" i="95"/>
  <c r="W139" i="95"/>
  <c r="X139" i="95"/>
  <c r="Y139" i="95"/>
  <c r="Z139" i="95"/>
  <c r="O140" i="95"/>
  <c r="P140" i="95"/>
  <c r="Q140" i="95"/>
  <c r="R140" i="95"/>
  <c r="S140" i="95"/>
  <c r="T140" i="95"/>
  <c r="U140" i="95"/>
  <c r="V140" i="95"/>
  <c r="W140" i="95"/>
  <c r="X140" i="95"/>
  <c r="Y140" i="95"/>
  <c r="Z140" i="95"/>
  <c r="O141" i="95"/>
  <c r="P141" i="95"/>
  <c r="Q141" i="95"/>
  <c r="R141" i="95"/>
  <c r="S141" i="95"/>
  <c r="T141" i="95"/>
  <c r="U141" i="95"/>
  <c r="V141" i="95"/>
  <c r="W141" i="95"/>
  <c r="X141" i="95"/>
  <c r="Y141" i="95"/>
  <c r="Z141" i="95"/>
  <c r="O142" i="95"/>
  <c r="P142" i="95"/>
  <c r="Q142" i="95"/>
  <c r="R142" i="95"/>
  <c r="S142" i="95"/>
  <c r="T142" i="95"/>
  <c r="U142" i="95"/>
  <c r="V142" i="95"/>
  <c r="W142" i="95"/>
  <c r="X142" i="95"/>
  <c r="Y142" i="95"/>
  <c r="Z142" i="95"/>
  <c r="AI127" i="95"/>
  <c r="AI128" i="95"/>
  <c r="AI129" i="95"/>
  <c r="AI131" i="95"/>
  <c r="AI132" i="95"/>
  <c r="AI133" i="95"/>
  <c r="AI135" i="95"/>
  <c r="AG137" i="95"/>
  <c r="AD137" i="95"/>
  <c r="O137" i="95"/>
  <c r="P137" i="95"/>
  <c r="Q137" i="95"/>
  <c r="R137" i="95"/>
  <c r="S137" i="95"/>
  <c r="T137" i="95"/>
  <c r="U137" i="95"/>
  <c r="V137" i="95"/>
  <c r="W137" i="95"/>
  <c r="X137" i="95"/>
  <c r="Y137" i="95"/>
  <c r="Z137" i="95"/>
  <c r="AA136" i="95"/>
  <c r="AI136" i="95" s="1"/>
  <c r="AF127" i="95"/>
  <c r="AF129" i="95"/>
  <c r="AF131" i="95"/>
  <c r="AF133" i="95"/>
  <c r="AF134" i="95"/>
  <c r="AF135" i="95"/>
  <c r="AA134" i="95"/>
  <c r="AI134" i="95" s="1"/>
  <c r="AA132" i="95"/>
  <c r="AF132" i="95" s="1"/>
  <c r="AA130" i="95"/>
  <c r="AI130" i="95" s="1"/>
  <c r="AA128" i="95"/>
  <c r="AF128" i="95" s="1"/>
  <c r="AA126" i="95"/>
  <c r="AI126" i="95" s="1"/>
  <c r="AG118" i="95"/>
  <c r="AH118" i="95" s="1"/>
  <c r="AG119" i="95"/>
  <c r="AH119" i="95" s="1"/>
  <c r="AG120" i="95"/>
  <c r="AG121" i="95"/>
  <c r="AD118" i="95"/>
  <c r="AD119" i="95"/>
  <c r="AD120" i="95"/>
  <c r="AE120" i="95" s="1"/>
  <c r="AD121" i="95"/>
  <c r="AH120" i="95"/>
  <c r="AH121" i="95"/>
  <c r="AE118" i="95"/>
  <c r="AE119" i="95"/>
  <c r="AE121" i="95"/>
  <c r="O118" i="95"/>
  <c r="P118" i="95"/>
  <c r="Q118" i="95"/>
  <c r="R118" i="95"/>
  <c r="S118" i="95"/>
  <c r="T118" i="95"/>
  <c r="T122" i="95" s="1"/>
  <c r="T123" i="95" s="1"/>
  <c r="U118" i="95"/>
  <c r="V118" i="95"/>
  <c r="W118" i="95"/>
  <c r="X118" i="95"/>
  <c r="Y118" i="95"/>
  <c r="Z118" i="95"/>
  <c r="O119" i="95"/>
  <c r="P119" i="95"/>
  <c r="Q119" i="95"/>
  <c r="R119" i="95"/>
  <c r="S119" i="95"/>
  <c r="T119" i="95"/>
  <c r="U119" i="95"/>
  <c r="V119" i="95"/>
  <c r="W119" i="95"/>
  <c r="X119" i="95"/>
  <c r="Y119" i="95"/>
  <c r="Z119" i="95"/>
  <c r="O120" i="95"/>
  <c r="P120" i="95"/>
  <c r="Q120" i="95"/>
  <c r="R120" i="95"/>
  <c r="S120" i="95"/>
  <c r="T120" i="95"/>
  <c r="U120" i="95"/>
  <c r="V120" i="95"/>
  <c r="W120" i="95"/>
  <c r="X120" i="95"/>
  <c r="Y120" i="95"/>
  <c r="Z120" i="95"/>
  <c r="O121" i="95"/>
  <c r="P121" i="95"/>
  <c r="Q121" i="95"/>
  <c r="R121" i="95"/>
  <c r="S121" i="95"/>
  <c r="T121" i="95"/>
  <c r="U121" i="95"/>
  <c r="V121" i="95"/>
  <c r="W121" i="95"/>
  <c r="X121" i="95"/>
  <c r="Y121" i="95"/>
  <c r="Z121" i="95"/>
  <c r="S122" i="95"/>
  <c r="S123" i="95" s="1"/>
  <c r="W122" i="95"/>
  <c r="W123" i="95" s="1"/>
  <c r="AH112" i="95"/>
  <c r="AH113" i="95"/>
  <c r="AH114" i="95"/>
  <c r="AH115" i="95"/>
  <c r="AH116" i="95"/>
  <c r="AE112" i="95"/>
  <c r="AE113" i="95"/>
  <c r="AE114" i="95"/>
  <c r="AE115" i="95"/>
  <c r="AE116" i="95"/>
  <c r="AA112" i="95"/>
  <c r="AI112" i="95" s="1"/>
  <c r="AA113" i="95"/>
  <c r="AI113" i="95" s="1"/>
  <c r="AA114" i="95"/>
  <c r="AI114" i="95" s="1"/>
  <c r="AA115" i="95"/>
  <c r="AI115" i="95" s="1"/>
  <c r="AA116" i="95"/>
  <c r="AI116" i="95" s="1"/>
  <c r="AH105" i="95"/>
  <c r="AH106" i="95"/>
  <c r="AH107" i="95"/>
  <c r="AH108" i="95"/>
  <c r="AH109" i="95"/>
  <c r="AE105" i="95"/>
  <c r="AE106" i="95"/>
  <c r="AE107" i="95"/>
  <c r="AE108" i="95"/>
  <c r="AE109" i="95"/>
  <c r="AA105" i="95"/>
  <c r="AA106" i="95"/>
  <c r="AB106" i="95" s="1"/>
  <c r="AA107" i="95"/>
  <c r="AI107" i="95" s="1"/>
  <c r="AA108" i="95"/>
  <c r="AI108" i="95" s="1"/>
  <c r="AA109" i="95"/>
  <c r="AF109" i="95" s="1"/>
  <c r="AH98" i="95"/>
  <c r="AH99" i="95"/>
  <c r="AH100" i="95"/>
  <c r="AH101" i="95"/>
  <c r="AH102" i="95"/>
  <c r="AE98" i="95"/>
  <c r="AE99" i="95"/>
  <c r="AE100" i="95"/>
  <c r="AF100" i="95"/>
  <c r="AE101" i="95"/>
  <c r="AE102" i="95"/>
  <c r="AA98" i="95"/>
  <c r="AI98" i="95" s="1"/>
  <c r="AA99" i="95"/>
  <c r="AI99" i="95" s="1"/>
  <c r="AA100" i="95"/>
  <c r="AB100" i="95" s="1"/>
  <c r="AA101" i="95"/>
  <c r="AA102" i="95"/>
  <c r="AI89" i="95"/>
  <c r="AI91" i="95"/>
  <c r="AD92" i="95"/>
  <c r="AD93" i="95"/>
  <c r="AD94" i="95"/>
  <c r="AG92" i="95"/>
  <c r="AG93" i="95"/>
  <c r="AG94" i="95"/>
  <c r="O92" i="95"/>
  <c r="P92" i="95"/>
  <c r="Q92" i="95"/>
  <c r="R92" i="95"/>
  <c r="S92" i="95"/>
  <c r="T92" i="95"/>
  <c r="U92" i="95"/>
  <c r="V92" i="95"/>
  <c r="W92" i="95"/>
  <c r="X92" i="95"/>
  <c r="Y92" i="95"/>
  <c r="Z92" i="95"/>
  <c r="O93" i="95"/>
  <c r="P93" i="95"/>
  <c r="Q93" i="95"/>
  <c r="R93" i="95"/>
  <c r="S93" i="95"/>
  <c r="T93" i="95"/>
  <c r="U93" i="95"/>
  <c r="V93" i="95"/>
  <c r="W93" i="95"/>
  <c r="X93" i="95"/>
  <c r="Y93" i="95"/>
  <c r="Z93" i="95"/>
  <c r="O94" i="95"/>
  <c r="P94" i="95"/>
  <c r="Q94" i="95"/>
  <c r="R94" i="95"/>
  <c r="S94" i="95"/>
  <c r="T94" i="95"/>
  <c r="U94" i="95"/>
  <c r="V94" i="95"/>
  <c r="W94" i="95"/>
  <c r="X94" i="95"/>
  <c r="Y94" i="95"/>
  <c r="Z94" i="95"/>
  <c r="AF91" i="95"/>
  <c r="AA89" i="95"/>
  <c r="AF89" i="95" s="1"/>
  <c r="AA90" i="95"/>
  <c r="AF90" i="95" s="1"/>
  <c r="AA91" i="95"/>
  <c r="AF82" i="95"/>
  <c r="AF83" i="95"/>
  <c r="AA82" i="95"/>
  <c r="AA83" i="95"/>
  <c r="AI83" i="95" s="1"/>
  <c r="AA84" i="95"/>
  <c r="AA92" i="95" s="1"/>
  <c r="AA86" i="95"/>
  <c r="AH84" i="95"/>
  <c r="AE84" i="95"/>
  <c r="AH82" i="95"/>
  <c r="AE82" i="95"/>
  <c r="AB82" i="95"/>
  <c r="AH80" i="95"/>
  <c r="AE80" i="95"/>
  <c r="AA80" i="95"/>
  <c r="AI80" i="95" s="1"/>
  <c r="AB80" i="95"/>
  <c r="AE79" i="95"/>
  <c r="AG78" i="95"/>
  <c r="AH79" i="95" s="1"/>
  <c r="AD78" i="95"/>
  <c r="O78" i="95"/>
  <c r="P78" i="95"/>
  <c r="P79" i="95" s="1"/>
  <c r="Q78" i="95"/>
  <c r="Q79" i="95" s="1"/>
  <c r="R78" i="95"/>
  <c r="R79" i="95" s="1"/>
  <c r="S78" i="95"/>
  <c r="S79" i="95" s="1"/>
  <c r="T78" i="95"/>
  <c r="T79" i="95" s="1"/>
  <c r="U78" i="95"/>
  <c r="U79" i="95" s="1"/>
  <c r="V78" i="95"/>
  <c r="W78" i="95"/>
  <c r="X78" i="95"/>
  <c r="X79" i="95" s="1"/>
  <c r="Y78" i="95"/>
  <c r="Y79" i="95" s="1"/>
  <c r="Z78" i="95"/>
  <c r="Z79" i="95" s="1"/>
  <c r="AA78" i="95"/>
  <c r="O79" i="95"/>
  <c r="V79" i="95"/>
  <c r="W79" i="95"/>
  <c r="AF74" i="95"/>
  <c r="AA35" i="95"/>
  <c r="AF35" i="95" s="1"/>
  <c r="AA36" i="95"/>
  <c r="AI36" i="95" s="1"/>
  <c r="AA37" i="95"/>
  <c r="AI37" i="95" s="1"/>
  <c r="AA38" i="95"/>
  <c r="AI38" i="95" s="1"/>
  <c r="AA39" i="95"/>
  <c r="AA40" i="95"/>
  <c r="AA41" i="95"/>
  <c r="AF41" i="95" s="1"/>
  <c r="AA45" i="95"/>
  <c r="AB45" i="95" s="1"/>
  <c r="AA46" i="95"/>
  <c r="AB46" i="95" s="1"/>
  <c r="AA47" i="95"/>
  <c r="AB47" i="95" s="1"/>
  <c r="AA48" i="95"/>
  <c r="AF48" i="95" s="1"/>
  <c r="AA49" i="95"/>
  <c r="AA50" i="95"/>
  <c r="AF50" i="95" s="1"/>
  <c r="AA51" i="95"/>
  <c r="AA53" i="95"/>
  <c r="AA55" i="95"/>
  <c r="AB55" i="95" s="1"/>
  <c r="AA56" i="95"/>
  <c r="AF56" i="95" s="1"/>
  <c r="AA57" i="95"/>
  <c r="AA58" i="95"/>
  <c r="AF58" i="95" s="1"/>
  <c r="AA59" i="95"/>
  <c r="AI59" i="95" s="1"/>
  <c r="AA60" i="95"/>
  <c r="AI60" i="95" s="1"/>
  <c r="AA61" i="95"/>
  <c r="AA65" i="95"/>
  <c r="AI65" i="95" s="1"/>
  <c r="AA66" i="95"/>
  <c r="AA67" i="95"/>
  <c r="AB67" i="95" s="1"/>
  <c r="AA68" i="95"/>
  <c r="AA69" i="95"/>
  <c r="AA71" i="95" s="1"/>
  <c r="AA70" i="95"/>
  <c r="AF70" i="95" s="1"/>
  <c r="AA74" i="95"/>
  <c r="AI74" i="95" s="1"/>
  <c r="AA75" i="95"/>
  <c r="AF75" i="95" s="1"/>
  <c r="AA76" i="95"/>
  <c r="AB76" i="95" s="1"/>
  <c r="AA77" i="95"/>
  <c r="AA79" i="95" s="1"/>
  <c r="AH73" i="95"/>
  <c r="AH74" i="95"/>
  <c r="AH75" i="95"/>
  <c r="AH76" i="95"/>
  <c r="AE74" i="95"/>
  <c r="AE75" i="95"/>
  <c r="AE76" i="95"/>
  <c r="AB74" i="95"/>
  <c r="AB75" i="95"/>
  <c r="AG72" i="95"/>
  <c r="AD72" i="95"/>
  <c r="AE73" i="95" s="1"/>
  <c r="O72" i="95"/>
  <c r="O73" i="95" s="1"/>
  <c r="P72" i="95"/>
  <c r="P73" i="95" s="1"/>
  <c r="Q72" i="95"/>
  <c r="Q73" i="95" s="1"/>
  <c r="R72" i="95"/>
  <c r="R73" i="95" s="1"/>
  <c r="S72" i="95"/>
  <c r="T72" i="95"/>
  <c r="U72" i="95"/>
  <c r="V72" i="95"/>
  <c r="W72" i="95"/>
  <c r="W73" i="95" s="1"/>
  <c r="X72" i="95"/>
  <c r="X73" i="95" s="1"/>
  <c r="Y72" i="95"/>
  <c r="Y73" i="95" s="1"/>
  <c r="Z72" i="95"/>
  <c r="Z73" i="95" s="1"/>
  <c r="S73" i="95"/>
  <c r="T73" i="95"/>
  <c r="U73" i="95"/>
  <c r="V73" i="95"/>
  <c r="AI68" i="95"/>
  <c r="AF65" i="95"/>
  <c r="AF68" i="95"/>
  <c r="AH65" i="95"/>
  <c r="AH66" i="95"/>
  <c r="AH67" i="95"/>
  <c r="AH68" i="95"/>
  <c r="AH69" i="95"/>
  <c r="AH70" i="95"/>
  <c r="AE65" i="95"/>
  <c r="AE66" i="95"/>
  <c r="AE67" i="95"/>
  <c r="AE68" i="95"/>
  <c r="AE69" i="95"/>
  <c r="AE70" i="95"/>
  <c r="AB70" i="95"/>
  <c r="AG63" i="95"/>
  <c r="AH64" i="95" s="1"/>
  <c r="AD63" i="95"/>
  <c r="AE64" i="95" s="1"/>
  <c r="O63" i="95"/>
  <c r="P63" i="95"/>
  <c r="P64" i="95" s="1"/>
  <c r="Q63" i="95"/>
  <c r="R63" i="95"/>
  <c r="R64" i="95" s="1"/>
  <c r="S63" i="95"/>
  <c r="S64" i="95" s="1"/>
  <c r="T63" i="95"/>
  <c r="T64" i="95" s="1"/>
  <c r="U63" i="95"/>
  <c r="U64" i="95" s="1"/>
  <c r="V63" i="95"/>
  <c r="W63" i="95"/>
  <c r="X63" i="95"/>
  <c r="X64" i="95" s="1"/>
  <c r="Y63" i="95"/>
  <c r="Z63" i="95"/>
  <c r="Z64" i="95" s="1"/>
  <c r="O64" i="95"/>
  <c r="Q64" i="95"/>
  <c r="V64" i="95"/>
  <c r="W64" i="95"/>
  <c r="Y64" i="95"/>
  <c r="AI57" i="95"/>
  <c r="AI58" i="95"/>
  <c r="AF57" i="95"/>
  <c r="AF59" i="95"/>
  <c r="AF60" i="95"/>
  <c r="AH61" i="95"/>
  <c r="AE61" i="95"/>
  <c r="AH55" i="95"/>
  <c r="AH56" i="95"/>
  <c r="AH57" i="95"/>
  <c r="AH58" i="95"/>
  <c r="AH59" i="95"/>
  <c r="AE55" i="95"/>
  <c r="AE56" i="95"/>
  <c r="AE57" i="95"/>
  <c r="AE58" i="95"/>
  <c r="AE59" i="95"/>
  <c r="AG53" i="95"/>
  <c r="AH54" i="95" s="1"/>
  <c r="AD53" i="95"/>
  <c r="AE54" i="95" s="1"/>
  <c r="O53" i="95"/>
  <c r="P53" i="95"/>
  <c r="P54" i="95" s="1"/>
  <c r="Q53" i="95"/>
  <c r="R53" i="95"/>
  <c r="R54" i="95" s="1"/>
  <c r="S53" i="95"/>
  <c r="S54" i="95" s="1"/>
  <c r="T53" i="95"/>
  <c r="T54" i="95" s="1"/>
  <c r="U53" i="95"/>
  <c r="U54" i="95" s="1"/>
  <c r="V53" i="95"/>
  <c r="V54" i="95" s="1"/>
  <c r="W53" i="95"/>
  <c r="X53" i="95"/>
  <c r="Y53" i="95"/>
  <c r="Z53" i="95"/>
  <c r="O54" i="95"/>
  <c r="Q54" i="95"/>
  <c r="W54" i="95"/>
  <c r="X54" i="95"/>
  <c r="Y54" i="95"/>
  <c r="Z54" i="95"/>
  <c r="AI48" i="95"/>
  <c r="AI49" i="95"/>
  <c r="AI50" i="95"/>
  <c r="AI51" i="95"/>
  <c r="AF49" i="95"/>
  <c r="AF51" i="95"/>
  <c r="AH51" i="95"/>
  <c r="AE51" i="95"/>
  <c r="AH45" i="95"/>
  <c r="AH46" i="95"/>
  <c r="AH47" i="95"/>
  <c r="AH48" i="95"/>
  <c r="AH49" i="95"/>
  <c r="AE45" i="95"/>
  <c r="AE46" i="95"/>
  <c r="AE47" i="95"/>
  <c r="AE48" i="95"/>
  <c r="AE49" i="95"/>
  <c r="AB49" i="95"/>
  <c r="AG43" i="95"/>
  <c r="AH44" i="95" s="1"/>
  <c r="AD43" i="95"/>
  <c r="AE44" i="95" s="1"/>
  <c r="O43" i="95"/>
  <c r="O44" i="95" s="1"/>
  <c r="P43" i="95"/>
  <c r="P44" i="95" s="1"/>
  <c r="Q43" i="95"/>
  <c r="R43" i="95"/>
  <c r="S43" i="95"/>
  <c r="T43" i="95"/>
  <c r="T44" i="95" s="1"/>
  <c r="U43" i="95"/>
  <c r="U44" i="95" s="1"/>
  <c r="V43" i="95"/>
  <c r="V44" i="95" s="1"/>
  <c r="W43" i="95"/>
  <c r="W44" i="95" s="1"/>
  <c r="X43" i="95"/>
  <c r="X44" i="95" s="1"/>
  <c r="Y43" i="95"/>
  <c r="Z43" i="95"/>
  <c r="Z44" i="95" s="1"/>
  <c r="Q44" i="95"/>
  <c r="R44" i="95"/>
  <c r="S44" i="95"/>
  <c r="Y44" i="95"/>
  <c r="AI35" i="95"/>
  <c r="AI40" i="95"/>
  <c r="AI41" i="95"/>
  <c r="AF36" i="95"/>
  <c r="AF40" i="95"/>
  <c r="AH41" i="95"/>
  <c r="AE41" i="95"/>
  <c r="AH35" i="95"/>
  <c r="AH36" i="95"/>
  <c r="AH37" i="95"/>
  <c r="AH38" i="95"/>
  <c r="AH39" i="95"/>
  <c r="AE35" i="95"/>
  <c r="AE36" i="95"/>
  <c r="AE37" i="95"/>
  <c r="AE38" i="95"/>
  <c r="AE39" i="95"/>
  <c r="AB35" i="95"/>
  <c r="AB36" i="95"/>
  <c r="AB37" i="95"/>
  <c r="AA31" i="95"/>
  <c r="AG17" i="95"/>
  <c r="AG18" i="95" s="1"/>
  <c r="AD16" i="95"/>
  <c r="AD17" i="95"/>
  <c r="AD18" i="95" s="1"/>
  <c r="G19" i="95"/>
  <c r="G20" i="95"/>
  <c r="AA19" i="95"/>
  <c r="AA20" i="95"/>
  <c r="AA16" i="95"/>
  <c r="AA17" i="95"/>
  <c r="AA11" i="95" s="1"/>
  <c r="AA18" i="95" s="1"/>
  <c r="Z16" i="95"/>
  <c r="M11" i="95"/>
  <c r="B10" i="95"/>
  <c r="B9" i="95"/>
  <c r="B4" i="95"/>
  <c r="AG102" i="94"/>
  <c r="AD102" i="94"/>
  <c r="N102" i="94"/>
  <c r="O102" i="94"/>
  <c r="P102" i="94"/>
  <c r="Q102" i="94"/>
  <c r="R102" i="94"/>
  <c r="S102" i="94"/>
  <c r="T102" i="94"/>
  <c r="U102" i="94"/>
  <c r="V102" i="94"/>
  <c r="W102" i="94"/>
  <c r="X102" i="94"/>
  <c r="Y102" i="94"/>
  <c r="Z102" i="94"/>
  <c r="N103" i="94"/>
  <c r="AH99" i="94"/>
  <c r="AK99" i="94"/>
  <c r="AL99" i="94"/>
  <c r="AH100" i="94"/>
  <c r="AK100" i="94"/>
  <c r="AL100" i="94"/>
  <c r="AE99" i="94"/>
  <c r="AE100" i="94"/>
  <c r="AA99" i="94"/>
  <c r="AA100" i="94"/>
  <c r="AH89" i="94"/>
  <c r="AK89" i="94"/>
  <c r="AL89" i="94"/>
  <c r="AH90" i="94"/>
  <c r="AK90" i="94"/>
  <c r="AL90" i="94"/>
  <c r="AH91" i="94"/>
  <c r="AI91" i="94"/>
  <c r="AK91" i="94"/>
  <c r="AL91" i="94"/>
  <c r="AH92" i="94"/>
  <c r="AK92" i="94"/>
  <c r="AL92" i="94"/>
  <c r="AH93" i="94"/>
  <c r="AK93" i="94"/>
  <c r="AL93" i="94"/>
  <c r="AH94" i="94"/>
  <c r="AK94" i="94"/>
  <c r="AL94" i="94"/>
  <c r="AH95" i="94"/>
  <c r="AI95" i="94"/>
  <c r="AK95" i="94"/>
  <c r="AL95" i="94"/>
  <c r="AH96" i="94"/>
  <c r="AI96" i="94"/>
  <c r="AK96" i="94"/>
  <c r="AL96" i="94"/>
  <c r="AH97" i="94"/>
  <c r="AK97" i="94"/>
  <c r="AL97" i="94"/>
  <c r="AE89" i="94"/>
  <c r="AE90" i="94"/>
  <c r="AF90" i="94"/>
  <c r="AE91" i="94"/>
  <c r="AE92" i="94"/>
  <c r="AE93" i="94"/>
  <c r="AE94" i="94"/>
  <c r="AE95" i="94"/>
  <c r="AF95" i="94"/>
  <c r="AE96" i="94"/>
  <c r="AE97" i="94"/>
  <c r="AA89" i="94"/>
  <c r="AF89" i="94" s="1"/>
  <c r="AA90" i="94"/>
  <c r="AI90" i="94" s="1"/>
  <c r="AA91" i="94"/>
  <c r="AA92" i="94"/>
  <c r="AI92" i="94" s="1"/>
  <c r="AA93" i="94"/>
  <c r="AI93" i="94" s="1"/>
  <c r="AA94" i="94"/>
  <c r="AA95" i="94"/>
  <c r="AB95" i="94" s="1"/>
  <c r="AA96" i="94"/>
  <c r="AF96" i="94" s="1"/>
  <c r="AA97" i="94"/>
  <c r="AF97" i="94" s="1"/>
  <c r="K89" i="94"/>
  <c r="K90" i="94"/>
  <c r="K91" i="94"/>
  <c r="K92" i="94"/>
  <c r="K93" i="94"/>
  <c r="K94" i="94"/>
  <c r="K95" i="94"/>
  <c r="K96" i="94"/>
  <c r="AH74" i="94"/>
  <c r="AK74" i="94"/>
  <c r="AL74" i="94"/>
  <c r="AH75" i="94"/>
  <c r="AK75" i="94"/>
  <c r="AL75" i="94"/>
  <c r="AH76" i="94"/>
  <c r="AK76" i="94"/>
  <c r="AL76" i="94"/>
  <c r="AH77" i="94"/>
  <c r="AK77" i="94"/>
  <c r="AL77" i="94"/>
  <c r="AH78" i="94"/>
  <c r="AK78" i="94"/>
  <c r="AL78" i="94"/>
  <c r="AH79" i="94"/>
  <c r="AK79" i="94"/>
  <c r="AL79" i="94"/>
  <c r="AH80" i="94"/>
  <c r="AK80" i="94"/>
  <c r="AL80" i="94"/>
  <c r="AH81" i="94"/>
  <c r="AI81" i="94"/>
  <c r="AK81" i="94"/>
  <c r="AL81" i="94"/>
  <c r="AH82" i="94"/>
  <c r="AI82" i="94"/>
  <c r="AK82" i="94"/>
  <c r="AL82" i="94"/>
  <c r="AH83" i="94"/>
  <c r="AK83" i="94"/>
  <c r="AL83" i="94"/>
  <c r="AH84" i="94"/>
  <c r="AK84" i="94"/>
  <c r="AL84" i="94"/>
  <c r="AH85" i="94"/>
  <c r="AI85" i="94"/>
  <c r="AK85" i="94"/>
  <c r="AL85" i="94"/>
  <c r="AH86" i="94"/>
  <c r="AK86" i="94"/>
  <c r="AL86" i="94"/>
  <c r="AE74" i="94"/>
  <c r="AE75" i="94"/>
  <c r="AE76" i="94"/>
  <c r="AE77" i="94"/>
  <c r="AE78" i="94"/>
  <c r="AE79" i="94"/>
  <c r="AE80" i="94"/>
  <c r="AE81" i="94"/>
  <c r="AE82" i="94"/>
  <c r="AE83" i="94"/>
  <c r="AE84" i="94"/>
  <c r="AE85" i="94"/>
  <c r="AF85" i="94"/>
  <c r="AE86" i="94"/>
  <c r="AA74" i="94"/>
  <c r="AB74" i="94" s="1"/>
  <c r="AM74" i="94" s="1"/>
  <c r="AA75" i="94"/>
  <c r="AF75" i="94" s="1"/>
  <c r="AA76" i="94"/>
  <c r="AA77" i="94"/>
  <c r="AA78" i="94"/>
  <c r="AF78" i="94" s="1"/>
  <c r="AA79" i="94"/>
  <c r="AI79" i="94" s="1"/>
  <c r="AA80" i="94"/>
  <c r="AA81" i="94"/>
  <c r="AF81" i="94" s="1"/>
  <c r="AA82" i="94"/>
  <c r="AA83" i="94"/>
  <c r="AF83" i="94" s="1"/>
  <c r="AA84" i="94"/>
  <c r="AB84" i="94" s="1"/>
  <c r="AA85" i="94"/>
  <c r="AB85" i="94"/>
  <c r="AM85" i="94" s="1"/>
  <c r="AA86" i="94"/>
  <c r="AF86" i="94" s="1"/>
  <c r="K74" i="94"/>
  <c r="K75" i="94"/>
  <c r="K76" i="94"/>
  <c r="K77" i="94"/>
  <c r="K78" i="94"/>
  <c r="K79" i="94"/>
  <c r="K80" i="94"/>
  <c r="K81" i="94"/>
  <c r="K82" i="94"/>
  <c r="K83" i="94"/>
  <c r="K84" i="94"/>
  <c r="K85" i="94"/>
  <c r="K86" i="94"/>
  <c r="AD70" i="94"/>
  <c r="AD103" i="94" s="1"/>
  <c r="AG70" i="94"/>
  <c r="AL70" i="94" s="1"/>
  <c r="O70" i="94"/>
  <c r="O103" i="94" s="1"/>
  <c r="P70" i="94"/>
  <c r="P103" i="94" s="1"/>
  <c r="Q70" i="94"/>
  <c r="Q103" i="94" s="1"/>
  <c r="R70" i="94"/>
  <c r="R103" i="94" s="1"/>
  <c r="S70" i="94"/>
  <c r="S103" i="94" s="1"/>
  <c r="T70" i="94"/>
  <c r="T103" i="94" s="1"/>
  <c r="U70" i="94"/>
  <c r="U103" i="94" s="1"/>
  <c r="V70" i="94"/>
  <c r="V103" i="94" s="1"/>
  <c r="W70" i="94"/>
  <c r="W103" i="94" s="1"/>
  <c r="X70" i="94"/>
  <c r="X103" i="94" s="1"/>
  <c r="Y70" i="94"/>
  <c r="Y103" i="94" s="1"/>
  <c r="Z70" i="94"/>
  <c r="Z103" i="94" s="1"/>
  <c r="K69" i="94"/>
  <c r="K70" i="94"/>
  <c r="AA60" i="94"/>
  <c r="AA61" i="94"/>
  <c r="AF61" i="94" s="1"/>
  <c r="AA62" i="94"/>
  <c r="AA63" i="94"/>
  <c r="AI63" i="94" s="1"/>
  <c r="AA64" i="94"/>
  <c r="AA65" i="94"/>
  <c r="AF65" i="94" s="1"/>
  <c r="AA66" i="94"/>
  <c r="AF66" i="94" s="1"/>
  <c r="AA67" i="94"/>
  <c r="AA68" i="94"/>
  <c r="B62" i="94"/>
  <c r="AI60" i="94"/>
  <c r="AK60" i="94"/>
  <c r="AL60" i="94"/>
  <c r="AM60" i="94"/>
  <c r="AN60" i="94"/>
  <c r="AI61" i="94"/>
  <c r="AK61" i="94"/>
  <c r="AL61" i="94"/>
  <c r="AM61" i="94"/>
  <c r="AN61" i="94"/>
  <c r="AK62" i="94"/>
  <c r="AL62" i="94"/>
  <c r="AM62" i="94"/>
  <c r="AN62" i="94"/>
  <c r="AK63" i="94"/>
  <c r="AL63" i="94"/>
  <c r="AM63" i="94"/>
  <c r="AN63" i="94"/>
  <c r="AI64" i="94"/>
  <c r="AK64" i="94"/>
  <c r="AL64" i="94"/>
  <c r="AM64" i="94"/>
  <c r="AN64" i="94"/>
  <c r="AK65" i="94"/>
  <c r="AL65" i="94"/>
  <c r="AM65" i="94"/>
  <c r="AN65" i="94"/>
  <c r="AI66" i="94"/>
  <c r="AK66" i="94"/>
  <c r="AL66" i="94"/>
  <c r="AM66" i="94"/>
  <c r="AN66" i="94"/>
  <c r="AK67" i="94"/>
  <c r="AL67" i="94"/>
  <c r="AM67" i="94"/>
  <c r="AN67" i="94"/>
  <c r="AI68" i="94"/>
  <c r="AK68" i="94"/>
  <c r="AL68" i="94"/>
  <c r="AM68" i="94"/>
  <c r="AN68" i="94"/>
  <c r="AI69" i="94"/>
  <c r="AK69" i="94"/>
  <c r="AL69" i="94"/>
  <c r="AM69" i="94"/>
  <c r="AN69" i="94"/>
  <c r="AF64" i="94"/>
  <c r="AF69" i="94"/>
  <c r="K60" i="94"/>
  <c r="K61" i="94"/>
  <c r="K62" i="94"/>
  <c r="K63" i="94"/>
  <c r="K64" i="94"/>
  <c r="K65" i="94"/>
  <c r="K66" i="94"/>
  <c r="K67" i="94"/>
  <c r="K68" i="94"/>
  <c r="AH35" i="94"/>
  <c r="AI35" i="94"/>
  <c r="AK35" i="94"/>
  <c r="AL35" i="94"/>
  <c r="AH36" i="94"/>
  <c r="AK36" i="94"/>
  <c r="AL36" i="94"/>
  <c r="AH37" i="94"/>
  <c r="AK37" i="94"/>
  <c r="AL37" i="94"/>
  <c r="AH38" i="94"/>
  <c r="AK38" i="94"/>
  <c r="AL38" i="94"/>
  <c r="AH39" i="94"/>
  <c r="AK39" i="94"/>
  <c r="AL39" i="94"/>
  <c r="AH40" i="94"/>
  <c r="AK40" i="94"/>
  <c r="AL40" i="94"/>
  <c r="AH41" i="94"/>
  <c r="AK41" i="94"/>
  <c r="AL41" i="94"/>
  <c r="AH42" i="94"/>
  <c r="AK42" i="94"/>
  <c r="AL42" i="94"/>
  <c r="AH43" i="94"/>
  <c r="AI43" i="94"/>
  <c r="AK43" i="94"/>
  <c r="AL43" i="94"/>
  <c r="AH44" i="94"/>
  <c r="AK44" i="94"/>
  <c r="AL44" i="94"/>
  <c r="AH45" i="94"/>
  <c r="AI45" i="94"/>
  <c r="AK45" i="94"/>
  <c r="AL45" i="94"/>
  <c r="AH46" i="94"/>
  <c r="AK46" i="94"/>
  <c r="AL46" i="94"/>
  <c r="AH47" i="94"/>
  <c r="AK47" i="94"/>
  <c r="AL47" i="94"/>
  <c r="AH48" i="94"/>
  <c r="AK48" i="94"/>
  <c r="AL48" i="94"/>
  <c r="AH49" i="94"/>
  <c r="AK49" i="94"/>
  <c r="AL49" i="94"/>
  <c r="AH50" i="94"/>
  <c r="AK50" i="94"/>
  <c r="AL50" i="94"/>
  <c r="AH51" i="94"/>
  <c r="AI51" i="94"/>
  <c r="AK51" i="94"/>
  <c r="AL51" i="94"/>
  <c r="AH52" i="94"/>
  <c r="AK52" i="94"/>
  <c r="AL52" i="94"/>
  <c r="AH53" i="94"/>
  <c r="AK53" i="94"/>
  <c r="AL53" i="94"/>
  <c r="AH54" i="94"/>
  <c r="AK54" i="94"/>
  <c r="AL54" i="94"/>
  <c r="AH55" i="94"/>
  <c r="AK55" i="94"/>
  <c r="AL55" i="94"/>
  <c r="AH56" i="94"/>
  <c r="AK56" i="94"/>
  <c r="AL56" i="94"/>
  <c r="AE35" i="94"/>
  <c r="AE36" i="94"/>
  <c r="AE37" i="94"/>
  <c r="AE38" i="94"/>
  <c r="AE39" i="94"/>
  <c r="AE40" i="94"/>
  <c r="AE41" i="94"/>
  <c r="AF41" i="94"/>
  <c r="AE42" i="94"/>
  <c r="AE43" i="94"/>
  <c r="AE44" i="94"/>
  <c r="AE45" i="94"/>
  <c r="AE46" i="94"/>
  <c r="AE47" i="94"/>
  <c r="AE48" i="94"/>
  <c r="AE49" i="94"/>
  <c r="AE50" i="94"/>
  <c r="AE51" i="94"/>
  <c r="AE52" i="94"/>
  <c r="AE53" i="94"/>
  <c r="AE54" i="94"/>
  <c r="AE55" i="94"/>
  <c r="AE56" i="94"/>
  <c r="AA35" i="94"/>
  <c r="AB35" i="94"/>
  <c r="AA36" i="94"/>
  <c r="AF36" i="94" s="1"/>
  <c r="AA37" i="94"/>
  <c r="AI37" i="94" s="1"/>
  <c r="AA38" i="94"/>
  <c r="AA39" i="94"/>
  <c r="AA40" i="94"/>
  <c r="AI40" i="94" s="1"/>
  <c r="AB40" i="94"/>
  <c r="AA41" i="94"/>
  <c r="AI41" i="94" s="1"/>
  <c r="AA42" i="94"/>
  <c r="AI42" i="94" s="1"/>
  <c r="AA43" i="94"/>
  <c r="AB43" i="94" s="1"/>
  <c r="AA44" i="94"/>
  <c r="AA45" i="94"/>
  <c r="AA46" i="94"/>
  <c r="AB46" i="94" s="1"/>
  <c r="AA47" i="94"/>
  <c r="AF47" i="94" s="1"/>
  <c r="AA48" i="94"/>
  <c r="AI48" i="94" s="1"/>
  <c r="AA49" i="94"/>
  <c r="AA50" i="94"/>
  <c r="AI50" i="94" s="1"/>
  <c r="AA51" i="94"/>
  <c r="AB51" i="94"/>
  <c r="AA52" i="94"/>
  <c r="AF52" i="94" s="1"/>
  <c r="AA53" i="94"/>
  <c r="AA54" i="94"/>
  <c r="AB54" i="94" s="1"/>
  <c r="AA55" i="94"/>
  <c r="AA56" i="94"/>
  <c r="AI56" i="94" s="1"/>
  <c r="AB56" i="94"/>
  <c r="AM56" i="94" s="1"/>
  <c r="K35" i="94"/>
  <c r="K36" i="94"/>
  <c r="K37" i="94"/>
  <c r="K38" i="94"/>
  <c r="K39" i="94"/>
  <c r="K40" i="94"/>
  <c r="K41" i="94"/>
  <c r="K42" i="94"/>
  <c r="K43" i="94"/>
  <c r="K44" i="94"/>
  <c r="K45" i="94"/>
  <c r="K46" i="94"/>
  <c r="K47" i="94"/>
  <c r="K48" i="94"/>
  <c r="K49" i="94"/>
  <c r="K50" i="94"/>
  <c r="K51" i="94"/>
  <c r="K52" i="94"/>
  <c r="K53" i="94"/>
  <c r="K54" i="94"/>
  <c r="K55" i="94"/>
  <c r="K56" i="94"/>
  <c r="AJ32" i="94"/>
  <c r="AK32" i="94"/>
  <c r="AL32" i="94"/>
  <c r="AM31" i="94"/>
  <c r="AN31" i="94"/>
  <c r="AA31" i="94"/>
  <c r="B29" i="94"/>
  <c r="AG17" i="94"/>
  <c r="AG18" i="94" s="1"/>
  <c r="AD16" i="94"/>
  <c r="AD17" i="94"/>
  <c r="AD18" i="94" s="1"/>
  <c r="G19" i="94"/>
  <c r="G20" i="94"/>
  <c r="AA19" i="94"/>
  <c r="AA20" i="94"/>
  <c r="Z16" i="94"/>
  <c r="AA16" i="94"/>
  <c r="AA17" i="94"/>
  <c r="AA11" i="94" s="1"/>
  <c r="M11" i="94"/>
  <c r="B10" i="94"/>
  <c r="B9" i="94"/>
  <c r="B4" i="94"/>
  <c r="AG143" i="93"/>
  <c r="AG144" i="93"/>
  <c r="AG145" i="93"/>
  <c r="AG146" i="93"/>
  <c r="AD143" i="93"/>
  <c r="AD144" i="93"/>
  <c r="AD145" i="93"/>
  <c r="AD146" i="93"/>
  <c r="N143" i="93"/>
  <c r="N144" i="93"/>
  <c r="N145" i="93"/>
  <c r="O143" i="93"/>
  <c r="P143" i="93"/>
  <c r="Q143" i="93"/>
  <c r="R143" i="93"/>
  <c r="S143" i="93"/>
  <c r="T143" i="93"/>
  <c r="U143" i="93"/>
  <c r="V143" i="93"/>
  <c r="W143" i="93"/>
  <c r="X143" i="93"/>
  <c r="Y143" i="93"/>
  <c r="Z143" i="93"/>
  <c r="O144" i="93"/>
  <c r="P144" i="93"/>
  <c r="Q144" i="93"/>
  <c r="R144" i="93"/>
  <c r="S144" i="93"/>
  <c r="T144" i="93"/>
  <c r="U144" i="93"/>
  <c r="V144" i="93"/>
  <c r="W144" i="93"/>
  <c r="X144" i="93"/>
  <c r="Y144" i="93"/>
  <c r="Z144" i="93"/>
  <c r="O145" i="93"/>
  <c r="P145" i="93"/>
  <c r="Q145" i="93"/>
  <c r="R145" i="93"/>
  <c r="S145" i="93"/>
  <c r="T145" i="93"/>
  <c r="U145" i="93"/>
  <c r="V145" i="93"/>
  <c r="W145" i="93"/>
  <c r="X145" i="93"/>
  <c r="Y145" i="93"/>
  <c r="Z145" i="93"/>
  <c r="O146" i="93"/>
  <c r="P146" i="93"/>
  <c r="Q146" i="93"/>
  <c r="R146" i="93"/>
  <c r="S146" i="93"/>
  <c r="T146" i="93"/>
  <c r="U146" i="93"/>
  <c r="V146" i="93"/>
  <c r="W146" i="93"/>
  <c r="X146" i="93"/>
  <c r="Y146" i="93"/>
  <c r="Z146" i="93"/>
  <c r="AI130" i="93"/>
  <c r="AI131" i="93"/>
  <c r="AI133" i="93"/>
  <c r="AI135" i="93"/>
  <c r="AI137" i="93"/>
  <c r="AI138" i="93"/>
  <c r="AI139" i="93"/>
  <c r="AI140" i="93"/>
  <c r="AG141" i="93"/>
  <c r="AD141" i="93"/>
  <c r="O141" i="93"/>
  <c r="P141" i="93"/>
  <c r="Q141" i="93"/>
  <c r="R141" i="93"/>
  <c r="S141" i="93"/>
  <c r="T141" i="93"/>
  <c r="U141" i="93"/>
  <c r="V141" i="93"/>
  <c r="W141" i="93"/>
  <c r="X141" i="93"/>
  <c r="Y141" i="93"/>
  <c r="Z141" i="93"/>
  <c r="AA140" i="93"/>
  <c r="AF130" i="93"/>
  <c r="AF131" i="93"/>
  <c r="AF133" i="93"/>
  <c r="AF135" i="93"/>
  <c r="AF137" i="93"/>
  <c r="AF139" i="93"/>
  <c r="AA138" i="93"/>
  <c r="AF138" i="93" s="1"/>
  <c r="AA136" i="93"/>
  <c r="AF136" i="93" s="1"/>
  <c r="AA134" i="93"/>
  <c r="AI134" i="93" s="1"/>
  <c r="AA132" i="93"/>
  <c r="AA130" i="93"/>
  <c r="AG121" i="93"/>
  <c r="AG122" i="93"/>
  <c r="AG123" i="93"/>
  <c r="AH123" i="93" s="1"/>
  <c r="AG124" i="93"/>
  <c r="AH124" i="93" s="1"/>
  <c r="AG125" i="93"/>
  <c r="AH125" i="93" s="1"/>
  <c r="AG126" i="93"/>
  <c r="AG127" i="93" s="1"/>
  <c r="AD121" i="93"/>
  <c r="AE121" i="93" s="1"/>
  <c r="AD122" i="93"/>
  <c r="AE122" i="93" s="1"/>
  <c r="AD123" i="93"/>
  <c r="AE123" i="93" s="1"/>
  <c r="AD124" i="93"/>
  <c r="AD125" i="93"/>
  <c r="AH121" i="93"/>
  <c r="AH122" i="93"/>
  <c r="AE124" i="93"/>
  <c r="O121" i="93"/>
  <c r="P121" i="93"/>
  <c r="Q121" i="93"/>
  <c r="R121" i="93"/>
  <c r="S121" i="93"/>
  <c r="S126" i="93" s="1"/>
  <c r="S127" i="93" s="1"/>
  <c r="T121" i="93"/>
  <c r="U121" i="93"/>
  <c r="V121" i="93"/>
  <c r="W121" i="93"/>
  <c r="X121" i="93"/>
  <c r="Y121" i="93"/>
  <c r="Z121" i="93"/>
  <c r="O122" i="93"/>
  <c r="P122" i="93"/>
  <c r="Q122" i="93"/>
  <c r="R122" i="93"/>
  <c r="S122" i="93"/>
  <c r="T122" i="93"/>
  <c r="U122" i="93"/>
  <c r="V122" i="93"/>
  <c r="W122" i="93"/>
  <c r="X122" i="93"/>
  <c r="Y122" i="93"/>
  <c r="Z122" i="93"/>
  <c r="O123" i="93"/>
  <c r="P123" i="93"/>
  <c r="Q123" i="93"/>
  <c r="R123" i="93"/>
  <c r="S123" i="93"/>
  <c r="T123" i="93"/>
  <c r="U123" i="93"/>
  <c r="AA123" i="93" s="1"/>
  <c r="V123" i="93"/>
  <c r="W123" i="93"/>
  <c r="X123" i="93"/>
  <c r="Y123" i="93"/>
  <c r="Z123" i="93"/>
  <c r="O124" i="93"/>
  <c r="P124" i="93"/>
  <c r="Q124" i="93"/>
  <c r="R124" i="93"/>
  <c r="S124" i="93"/>
  <c r="T124" i="93"/>
  <c r="U124" i="93"/>
  <c r="V124" i="93"/>
  <c r="W124" i="93"/>
  <c r="X124" i="93"/>
  <c r="Y124" i="93"/>
  <c r="Z124" i="93"/>
  <c r="O125" i="93"/>
  <c r="P125" i="93"/>
  <c r="Q125" i="93"/>
  <c r="R125" i="93"/>
  <c r="S125" i="93"/>
  <c r="T125" i="93"/>
  <c r="U125" i="93"/>
  <c r="V125" i="93"/>
  <c r="W125" i="93"/>
  <c r="X125" i="93"/>
  <c r="Y125" i="93"/>
  <c r="Z125" i="93"/>
  <c r="Y126" i="93"/>
  <c r="Y127" i="93" s="1"/>
  <c r="AH114" i="93"/>
  <c r="AI114" i="93"/>
  <c r="AH115" i="93"/>
  <c r="AH116" i="93"/>
  <c r="AH117" i="93"/>
  <c r="AH118" i="93"/>
  <c r="AH119" i="93"/>
  <c r="AI119" i="93"/>
  <c r="AE114" i="93"/>
  <c r="AE115" i="93"/>
  <c r="AE116" i="93"/>
  <c r="AE117" i="93"/>
  <c r="AE118" i="93"/>
  <c r="AF118" i="93"/>
  <c r="AE119" i="93"/>
  <c r="AA114" i="93"/>
  <c r="AF114" i="93" s="1"/>
  <c r="AA115" i="93"/>
  <c r="AA116" i="93"/>
  <c r="AA117" i="93"/>
  <c r="AA118" i="93"/>
  <c r="AA119" i="93"/>
  <c r="AF119" i="93" s="1"/>
  <c r="AH106" i="93"/>
  <c r="AH107" i="93"/>
  <c r="AH108" i="93"/>
  <c r="AI108" i="93"/>
  <c r="AH109" i="93"/>
  <c r="AH110" i="93"/>
  <c r="AH111" i="93"/>
  <c r="AE106" i="93"/>
  <c r="AE107" i="93"/>
  <c r="AE108" i="93"/>
  <c r="AF108" i="93"/>
  <c r="AE109" i="93"/>
  <c r="AE110" i="93"/>
  <c r="AE111" i="93"/>
  <c r="AA106" i="93"/>
  <c r="AA107" i="93"/>
  <c r="AA108" i="93"/>
  <c r="AB108" i="93"/>
  <c r="AA109" i="93"/>
  <c r="AA110" i="93"/>
  <c r="AA111" i="93"/>
  <c r="AH98" i="93"/>
  <c r="AH99" i="93"/>
  <c r="AI99" i="93"/>
  <c r="AH100" i="93"/>
  <c r="AH101" i="93"/>
  <c r="AH102" i="93"/>
  <c r="AH103" i="93"/>
  <c r="AE98" i="93"/>
  <c r="AF98" i="93"/>
  <c r="AE99" i="93"/>
  <c r="AE100" i="93"/>
  <c r="AE101" i="93"/>
  <c r="AE102" i="93"/>
  <c r="AE103" i="93"/>
  <c r="AF103" i="93"/>
  <c r="AA98" i="93"/>
  <c r="AA99" i="93"/>
  <c r="AF99" i="93" s="1"/>
  <c r="AA100" i="93"/>
  <c r="AA101" i="93"/>
  <c r="AA102" i="93"/>
  <c r="AI102" i="93" s="1"/>
  <c r="AB102" i="93"/>
  <c r="AA103" i="93"/>
  <c r="AI91" i="93"/>
  <c r="AD93" i="93"/>
  <c r="AD94" i="93"/>
  <c r="AG93" i="93"/>
  <c r="AG94" i="93"/>
  <c r="O93" i="93"/>
  <c r="P93" i="93"/>
  <c r="Q93" i="93"/>
  <c r="R93" i="93"/>
  <c r="S93" i="93"/>
  <c r="T93" i="93"/>
  <c r="U93" i="93"/>
  <c r="V93" i="93"/>
  <c r="W93" i="93"/>
  <c r="X93" i="93"/>
  <c r="Y93" i="93"/>
  <c r="Z93" i="93"/>
  <c r="O94" i="93"/>
  <c r="P94" i="93"/>
  <c r="Q94" i="93"/>
  <c r="R94" i="93"/>
  <c r="S94" i="93"/>
  <c r="T94" i="93"/>
  <c r="U94" i="93"/>
  <c r="V94" i="93"/>
  <c r="W94" i="93"/>
  <c r="X94" i="93"/>
  <c r="Y94" i="93"/>
  <c r="Z94" i="93"/>
  <c r="AF92" i="93"/>
  <c r="AA91" i="93"/>
  <c r="AF91" i="93" s="1"/>
  <c r="AA92" i="93"/>
  <c r="AI92" i="93" s="1"/>
  <c r="AI87" i="93"/>
  <c r="AA35" i="93"/>
  <c r="AA36" i="93"/>
  <c r="AB36" i="93" s="1"/>
  <c r="AA37" i="93"/>
  <c r="AA38" i="93"/>
  <c r="AF38" i="93" s="1"/>
  <c r="AA39" i="93"/>
  <c r="AA40" i="93"/>
  <c r="AA41" i="93"/>
  <c r="AA42" i="93"/>
  <c r="AF42" i="93" s="1"/>
  <c r="AA43" i="93"/>
  <c r="AA44" i="93"/>
  <c r="AA45" i="93"/>
  <c r="AI45" i="93" s="1"/>
  <c r="AA46" i="93"/>
  <c r="AF46" i="93" s="1"/>
  <c r="AA47" i="93"/>
  <c r="AI47" i="93" s="1"/>
  <c r="AA48" i="93"/>
  <c r="AA49" i="93"/>
  <c r="AA50" i="93"/>
  <c r="AA51" i="93"/>
  <c r="AB51" i="93" s="1"/>
  <c r="AA52" i="93"/>
  <c r="AF52" i="93" s="1"/>
  <c r="AA55" i="93"/>
  <c r="AB55" i="93" s="1"/>
  <c r="AA56" i="93"/>
  <c r="AF56" i="93" s="1"/>
  <c r="AA57" i="93"/>
  <c r="AA58" i="93"/>
  <c r="AA59" i="93"/>
  <c r="AA60" i="93"/>
  <c r="AA61" i="93"/>
  <c r="AA65" i="93"/>
  <c r="AA66" i="93"/>
  <c r="AI66" i="93" s="1"/>
  <c r="AA67" i="93"/>
  <c r="AA68" i="93"/>
  <c r="AA69" i="93"/>
  <c r="AA70" i="93"/>
  <c r="AA71" i="93"/>
  <c r="AF71" i="93" s="1"/>
  <c r="AA75" i="93"/>
  <c r="AB75" i="93" s="1"/>
  <c r="AA76" i="93"/>
  <c r="AA77" i="93"/>
  <c r="AA78" i="93"/>
  <c r="AI78" i="93" s="1"/>
  <c r="AA79" i="93"/>
  <c r="AA80" i="93"/>
  <c r="AA83" i="93"/>
  <c r="AA85" i="93"/>
  <c r="AI85" i="93" s="1"/>
  <c r="AA86" i="93"/>
  <c r="AA87" i="93"/>
  <c r="AH87" i="93"/>
  <c r="AE87" i="93"/>
  <c r="AH83" i="93"/>
  <c r="AH85" i="93"/>
  <c r="AE83" i="93"/>
  <c r="AE85" i="93"/>
  <c r="R84" i="93"/>
  <c r="T84" i="93"/>
  <c r="Y84" i="93"/>
  <c r="AG82" i="93"/>
  <c r="AH84" i="93" s="1"/>
  <c r="AD82" i="93"/>
  <c r="AE84" i="93" s="1"/>
  <c r="O82" i="93"/>
  <c r="O84" i="93" s="1"/>
  <c r="P82" i="93"/>
  <c r="P84" i="93" s="1"/>
  <c r="Q82" i="93"/>
  <c r="Q84" i="93" s="1"/>
  <c r="R82" i="93"/>
  <c r="S82" i="93"/>
  <c r="S84" i="93" s="1"/>
  <c r="T82" i="93"/>
  <c r="U82" i="93"/>
  <c r="U84" i="93" s="1"/>
  <c r="V82" i="93"/>
  <c r="V84" i="93" s="1"/>
  <c r="W82" i="93"/>
  <c r="W84" i="93" s="1"/>
  <c r="X82" i="93"/>
  <c r="X84" i="93" s="1"/>
  <c r="Y82" i="93"/>
  <c r="Z82" i="93"/>
  <c r="Z84" i="93" s="1"/>
  <c r="AI77" i="93"/>
  <c r="AI79" i="93"/>
  <c r="AF78" i="93"/>
  <c r="AF79" i="93"/>
  <c r="AH75" i="93"/>
  <c r="AH76" i="93"/>
  <c r="AH77" i="93"/>
  <c r="AH78" i="93"/>
  <c r="AH79" i="93"/>
  <c r="AH80" i="93"/>
  <c r="AE75" i="93"/>
  <c r="AE76" i="93"/>
  <c r="AE77" i="93"/>
  <c r="AE78" i="93"/>
  <c r="AE79" i="93"/>
  <c r="AE80" i="93"/>
  <c r="AB79" i="93"/>
  <c r="AB80" i="93"/>
  <c r="AG73" i="93"/>
  <c r="AH74" i="93" s="1"/>
  <c r="AD73" i="93"/>
  <c r="AE74" i="93" s="1"/>
  <c r="O73" i="93"/>
  <c r="O74" i="93" s="1"/>
  <c r="P73" i="93"/>
  <c r="Q73" i="93"/>
  <c r="R73" i="93"/>
  <c r="R74" i="93" s="1"/>
  <c r="S73" i="93"/>
  <c r="S74" i="93" s="1"/>
  <c r="T73" i="93"/>
  <c r="T74" i="93" s="1"/>
  <c r="U73" i="93"/>
  <c r="U74" i="93" s="1"/>
  <c r="V73" i="93"/>
  <c r="V74" i="93" s="1"/>
  <c r="W73" i="93"/>
  <c r="W74" i="93" s="1"/>
  <c r="X73" i="93"/>
  <c r="X74" i="93" s="1"/>
  <c r="Y73" i="93"/>
  <c r="Z73" i="93"/>
  <c r="Z74" i="93" s="1"/>
  <c r="P74" i="93"/>
  <c r="Q74" i="93"/>
  <c r="Y74" i="93"/>
  <c r="AI70" i="93"/>
  <c r="AI71" i="93"/>
  <c r="AF70" i="93"/>
  <c r="AH71" i="93"/>
  <c r="AE71" i="93"/>
  <c r="AB71" i="93"/>
  <c r="AH65" i="93"/>
  <c r="AH66" i="93"/>
  <c r="AH67" i="93"/>
  <c r="AH68" i="93"/>
  <c r="AH69" i="93"/>
  <c r="AE65" i="93"/>
  <c r="AE66" i="93"/>
  <c r="AE67" i="93"/>
  <c r="AE68" i="93"/>
  <c r="AE69" i="93"/>
  <c r="AB66" i="93"/>
  <c r="AG63" i="93"/>
  <c r="AH64" i="93" s="1"/>
  <c r="AD63" i="93"/>
  <c r="AE64" i="93" s="1"/>
  <c r="O63" i="93"/>
  <c r="O64" i="93" s="1"/>
  <c r="P63" i="93"/>
  <c r="P64" i="93" s="1"/>
  <c r="Q63" i="93"/>
  <c r="Q64" i="93" s="1"/>
  <c r="R63" i="93"/>
  <c r="R64" i="93" s="1"/>
  <c r="S63" i="93"/>
  <c r="S64" i="93" s="1"/>
  <c r="T63" i="93"/>
  <c r="U63" i="93"/>
  <c r="U64" i="93" s="1"/>
  <c r="V63" i="93"/>
  <c r="V64" i="93" s="1"/>
  <c r="W63" i="93"/>
  <c r="W64" i="93" s="1"/>
  <c r="X63" i="93"/>
  <c r="X64" i="93" s="1"/>
  <c r="Y63" i="93"/>
  <c r="Y64" i="93" s="1"/>
  <c r="Z63" i="93"/>
  <c r="Z64" i="93" s="1"/>
  <c r="T64" i="93"/>
  <c r="AI55" i="93"/>
  <c r="AI56" i="93"/>
  <c r="AI57" i="93"/>
  <c r="AF55" i="93"/>
  <c r="AF57" i="93"/>
  <c r="AF58" i="93"/>
  <c r="AH61" i="93"/>
  <c r="AE61" i="93"/>
  <c r="AH54" i="93"/>
  <c r="AH55" i="93"/>
  <c r="AH56" i="93"/>
  <c r="AH57" i="93"/>
  <c r="AH58" i="93"/>
  <c r="AH59" i="93"/>
  <c r="AE55" i="93"/>
  <c r="AE56" i="93"/>
  <c r="AE57" i="93"/>
  <c r="AE58" i="93"/>
  <c r="AE59" i="93"/>
  <c r="AB57" i="93"/>
  <c r="AB59" i="93"/>
  <c r="AG53" i="93"/>
  <c r="AD53" i="93"/>
  <c r="AE54" i="93" s="1"/>
  <c r="O53" i="93"/>
  <c r="O54" i="93" s="1"/>
  <c r="P53" i="93"/>
  <c r="P54" i="93" s="1"/>
  <c r="Q53" i="93"/>
  <c r="Q54" i="93" s="1"/>
  <c r="R53" i="93"/>
  <c r="S53" i="93"/>
  <c r="S54" i="93" s="1"/>
  <c r="T53" i="93"/>
  <c r="T54" i="93" s="1"/>
  <c r="U53" i="93"/>
  <c r="V53" i="93"/>
  <c r="V54" i="93" s="1"/>
  <c r="W53" i="93"/>
  <c r="W54" i="93" s="1"/>
  <c r="X53" i="93"/>
  <c r="X54" i="93" s="1"/>
  <c r="Y53" i="93"/>
  <c r="Y54" i="93" s="1"/>
  <c r="Z53" i="93"/>
  <c r="Z54" i="93" s="1"/>
  <c r="R54" i="93"/>
  <c r="U54" i="93"/>
  <c r="AI46" i="93"/>
  <c r="AI49" i="93"/>
  <c r="AI50" i="93"/>
  <c r="AF45" i="93"/>
  <c r="AF47" i="93"/>
  <c r="AF49" i="93"/>
  <c r="AF50" i="93"/>
  <c r="AH51" i="93"/>
  <c r="AE51" i="93"/>
  <c r="AH45" i="93"/>
  <c r="AH46" i="93"/>
  <c r="AH47" i="93"/>
  <c r="AH48" i="93"/>
  <c r="AH49" i="93"/>
  <c r="AE44" i="93"/>
  <c r="AE45" i="93"/>
  <c r="AE46" i="93"/>
  <c r="AE47" i="93"/>
  <c r="AE48" i="93"/>
  <c r="AE49" i="93"/>
  <c r="AB45" i="93"/>
  <c r="AB47" i="93"/>
  <c r="AB49" i="93"/>
  <c r="AG43" i="93"/>
  <c r="AH44" i="93" s="1"/>
  <c r="AD43" i="93"/>
  <c r="O43" i="93"/>
  <c r="O44" i="93" s="1"/>
  <c r="P43" i="93"/>
  <c r="P44" i="93" s="1"/>
  <c r="Q43" i="93"/>
  <c r="Q44" i="93" s="1"/>
  <c r="R43" i="93"/>
  <c r="R44" i="93" s="1"/>
  <c r="S43" i="93"/>
  <c r="T43" i="93"/>
  <c r="U43" i="93"/>
  <c r="V43" i="93"/>
  <c r="W43" i="93"/>
  <c r="W44" i="93" s="1"/>
  <c r="X43" i="93"/>
  <c r="X44" i="93" s="1"/>
  <c r="Y43" i="93"/>
  <c r="Z43" i="93"/>
  <c r="Z44" i="93" s="1"/>
  <c r="S44" i="93"/>
  <c r="T44" i="93"/>
  <c r="U44" i="93"/>
  <c r="V44" i="93"/>
  <c r="Y44" i="93"/>
  <c r="AI37" i="93"/>
  <c r="AI39" i="93"/>
  <c r="AI41" i="93"/>
  <c r="AI42" i="93"/>
  <c r="AF37" i="93"/>
  <c r="AF39" i="93"/>
  <c r="AF41" i="93"/>
  <c r="AH41" i="93"/>
  <c r="AE41" i="93"/>
  <c r="AB41" i="93"/>
  <c r="AH35" i="93"/>
  <c r="AH36" i="93"/>
  <c r="AH37" i="93"/>
  <c r="AH38" i="93"/>
  <c r="AH39" i="93"/>
  <c r="AE35" i="93"/>
  <c r="AE36" i="93"/>
  <c r="AE37" i="93"/>
  <c r="AE38" i="93"/>
  <c r="AE39" i="93"/>
  <c r="AB37" i="93"/>
  <c r="AB39" i="93"/>
  <c r="AA31" i="93"/>
  <c r="AG17" i="93"/>
  <c r="AG18" i="93" s="1"/>
  <c r="AD16" i="93"/>
  <c r="AD17" i="93"/>
  <c r="AD18" i="93" s="1"/>
  <c r="G19" i="93"/>
  <c r="G20" i="93"/>
  <c r="AA19" i="93"/>
  <c r="AA20" i="93"/>
  <c r="AA16" i="93"/>
  <c r="AA17" i="93"/>
  <c r="AA11" i="93" s="1"/>
  <c r="AA18" i="93" s="1"/>
  <c r="Z16" i="93"/>
  <c r="M11" i="93"/>
  <c r="B10" i="93"/>
  <c r="B9" i="93"/>
  <c r="B4" i="93"/>
  <c r="AG81" i="92"/>
  <c r="AD81" i="92"/>
  <c r="N81" i="92"/>
  <c r="O81" i="92"/>
  <c r="P81" i="92"/>
  <c r="Q81" i="92"/>
  <c r="R81" i="92"/>
  <c r="S81" i="92"/>
  <c r="T81" i="92"/>
  <c r="U81" i="92"/>
  <c r="V81" i="92"/>
  <c r="W81" i="92"/>
  <c r="X81" i="92"/>
  <c r="Y81" i="92"/>
  <c r="Z81" i="92"/>
  <c r="N82" i="92"/>
  <c r="O82" i="92"/>
  <c r="Q82" i="92"/>
  <c r="U82" i="92"/>
  <c r="Y82" i="92"/>
  <c r="AH78" i="92"/>
  <c r="AI78" i="92"/>
  <c r="AK78" i="92"/>
  <c r="AL78" i="92"/>
  <c r="AH79" i="92"/>
  <c r="AK79" i="92"/>
  <c r="AL79" i="92"/>
  <c r="AE78" i="92"/>
  <c r="AE79" i="92"/>
  <c r="AF79" i="92"/>
  <c r="AA78" i="92"/>
  <c r="AF78" i="92" s="1"/>
  <c r="AB78" i="92"/>
  <c r="AA79" i="92"/>
  <c r="AI79" i="92" s="1"/>
  <c r="AB79" i="92"/>
  <c r="AH74" i="92"/>
  <c r="AK74" i="92"/>
  <c r="AL74" i="92"/>
  <c r="AH75" i="92"/>
  <c r="AK75" i="92"/>
  <c r="AL75" i="92"/>
  <c r="AH76" i="92"/>
  <c r="AK76" i="92"/>
  <c r="AL76" i="92"/>
  <c r="AE74" i="92"/>
  <c r="AE75" i="92"/>
  <c r="AE76" i="92"/>
  <c r="AA74" i="92"/>
  <c r="AI74" i="92" s="1"/>
  <c r="AA75" i="92"/>
  <c r="AI75" i="92" s="1"/>
  <c r="AA76" i="92"/>
  <c r="AI76" i="92" s="1"/>
  <c r="K74" i="92"/>
  <c r="K75" i="92"/>
  <c r="AH67" i="92"/>
  <c r="AJ67" i="92"/>
  <c r="AK67" i="92"/>
  <c r="AL67" i="92"/>
  <c r="AH68" i="92"/>
  <c r="AK68" i="92"/>
  <c r="AL68" i="92"/>
  <c r="AH69" i="92"/>
  <c r="AJ69" i="92"/>
  <c r="AK69" i="92"/>
  <c r="AL69" i="92"/>
  <c r="AH70" i="92"/>
  <c r="AK70" i="92"/>
  <c r="AL70" i="92"/>
  <c r="AH71" i="92"/>
  <c r="AK71" i="92"/>
  <c r="AL71" i="92"/>
  <c r="AE67" i="92"/>
  <c r="AF67" i="92"/>
  <c r="AE68" i="92"/>
  <c r="AE69" i="92"/>
  <c r="AE70" i="92"/>
  <c r="AF70" i="92"/>
  <c r="AE71" i="92"/>
  <c r="AF71" i="92"/>
  <c r="AA67" i="92"/>
  <c r="AB67" i="92" s="1"/>
  <c r="AA68" i="92"/>
  <c r="AA69" i="92"/>
  <c r="AI69" i="92" s="1"/>
  <c r="AA70" i="92"/>
  <c r="AI70" i="92" s="1"/>
  <c r="AB70" i="92"/>
  <c r="AM70" i="92" s="1"/>
  <c r="AA71" i="92"/>
  <c r="AI71" i="92" s="1"/>
  <c r="K67" i="92"/>
  <c r="K68" i="92"/>
  <c r="K69" i="92"/>
  <c r="K70" i="92"/>
  <c r="K71" i="92"/>
  <c r="AD63" i="92"/>
  <c r="AE63" i="92" s="1"/>
  <c r="AG63" i="92"/>
  <c r="AL63" i="92" s="1"/>
  <c r="O63" i="92"/>
  <c r="P63" i="92"/>
  <c r="P82" i="92" s="1"/>
  <c r="Q63" i="92"/>
  <c r="R63" i="92"/>
  <c r="R82" i="92" s="1"/>
  <c r="S63" i="92"/>
  <c r="S82" i="92" s="1"/>
  <c r="T63" i="92"/>
  <c r="T82" i="92" s="1"/>
  <c r="U63" i="92"/>
  <c r="V63" i="92"/>
  <c r="V82" i="92" s="1"/>
  <c r="W63" i="92"/>
  <c r="W82" i="92" s="1"/>
  <c r="X63" i="92"/>
  <c r="X82" i="92" s="1"/>
  <c r="Y63" i="92"/>
  <c r="Z63" i="92"/>
  <c r="Z82" i="92" s="1"/>
  <c r="K62" i="92"/>
  <c r="K63" i="92"/>
  <c r="B62" i="92"/>
  <c r="AA55" i="92"/>
  <c r="AA56" i="92"/>
  <c r="AI56" i="92" s="1"/>
  <c r="AA57" i="92"/>
  <c r="AA58" i="92"/>
  <c r="AI58" i="92" s="1"/>
  <c r="AA59" i="92"/>
  <c r="AI59" i="92" s="1"/>
  <c r="AA60" i="92"/>
  <c r="AA61" i="92"/>
  <c r="AI61" i="92" s="1"/>
  <c r="AK55" i="92"/>
  <c r="AL55" i="92"/>
  <c r="AM55" i="92"/>
  <c r="AN55" i="92"/>
  <c r="AK56" i="92"/>
  <c r="AL56" i="92"/>
  <c r="AM56" i="92"/>
  <c r="AN56" i="92"/>
  <c r="AK57" i="92"/>
  <c r="AL57" i="92"/>
  <c r="AM57" i="92"/>
  <c r="AN57" i="92"/>
  <c r="AJ58" i="92"/>
  <c r="AK58" i="92"/>
  <c r="AL58" i="92"/>
  <c r="AM58" i="92"/>
  <c r="AN58" i="92"/>
  <c r="AK59" i="92"/>
  <c r="AL59" i="92"/>
  <c r="AM59" i="92"/>
  <c r="AN59" i="92"/>
  <c r="AI60" i="92"/>
  <c r="AK60" i="92"/>
  <c r="AL60" i="92"/>
  <c r="AM60" i="92"/>
  <c r="AN60" i="92"/>
  <c r="AJ61" i="92"/>
  <c r="AK61" i="92"/>
  <c r="AL61" i="92"/>
  <c r="AM61" i="92"/>
  <c r="AN61" i="92"/>
  <c r="AI62" i="92"/>
  <c r="AJ62" i="92"/>
  <c r="AK62" i="92"/>
  <c r="AL62" i="92"/>
  <c r="AM62" i="92"/>
  <c r="AN62" i="92"/>
  <c r="AF56" i="92"/>
  <c r="AF58" i="92"/>
  <c r="AF61" i="92"/>
  <c r="AF62" i="92"/>
  <c r="K55" i="92"/>
  <c r="K56" i="92"/>
  <c r="K57" i="92"/>
  <c r="K58" i="92"/>
  <c r="K59" i="92"/>
  <c r="K60" i="92"/>
  <c r="K61" i="92"/>
  <c r="AH35" i="92"/>
  <c r="AJ35" i="92"/>
  <c r="AK35" i="92"/>
  <c r="AL35" i="92"/>
  <c r="AH36" i="92"/>
  <c r="AK36" i="92"/>
  <c r="AL36" i="92"/>
  <c r="AH37" i="92"/>
  <c r="AK37" i="92"/>
  <c r="AL37" i="92"/>
  <c r="AH38" i="92"/>
  <c r="AK38" i="92"/>
  <c r="AL38" i="92"/>
  <c r="AH39" i="92"/>
  <c r="AK39" i="92"/>
  <c r="AL39" i="92"/>
  <c r="AH40" i="92"/>
  <c r="AI40" i="92"/>
  <c r="AK40" i="92"/>
  <c r="AL40" i="92"/>
  <c r="AH41" i="92"/>
  <c r="AJ41" i="92"/>
  <c r="AK41" i="92"/>
  <c r="AL41" i="92"/>
  <c r="AH42" i="92"/>
  <c r="AI42" i="92"/>
  <c r="AK42" i="92"/>
  <c r="AL42" i="92"/>
  <c r="AH43" i="92"/>
  <c r="AK43" i="92"/>
  <c r="AL43" i="92"/>
  <c r="AN43" i="92"/>
  <c r="AH44" i="92"/>
  <c r="AK44" i="92"/>
  <c r="AL44" i="92"/>
  <c r="AH45" i="92"/>
  <c r="AK45" i="92"/>
  <c r="AL45" i="92"/>
  <c r="AH46" i="92"/>
  <c r="AK46" i="92"/>
  <c r="AL46" i="92"/>
  <c r="AH47" i="92"/>
  <c r="AJ47" i="92"/>
  <c r="AK47" i="92"/>
  <c r="AL47" i="92"/>
  <c r="AH48" i="92"/>
  <c r="AJ48" i="92"/>
  <c r="AK48" i="92"/>
  <c r="AL48" i="92"/>
  <c r="AH49" i="92"/>
  <c r="AJ49" i="92"/>
  <c r="AK49" i="92"/>
  <c r="AL49" i="92"/>
  <c r="AH50" i="92"/>
  <c r="AI50" i="92"/>
  <c r="AK50" i="92"/>
  <c r="AL50" i="92"/>
  <c r="AH51" i="92"/>
  <c r="AK51" i="92"/>
  <c r="AL51" i="92"/>
  <c r="AE35" i="92"/>
  <c r="AE36" i="92"/>
  <c r="AF36" i="92"/>
  <c r="AE37" i="92"/>
  <c r="AF37" i="92"/>
  <c r="AE38" i="92"/>
  <c r="AE39" i="92"/>
  <c r="AE40" i="92"/>
  <c r="AE41" i="92"/>
  <c r="AF41" i="92"/>
  <c r="AE42" i="92"/>
  <c r="AF42" i="92"/>
  <c r="AE43" i="92"/>
  <c r="AE44" i="92"/>
  <c r="AE45" i="92"/>
  <c r="AF45" i="92"/>
  <c r="AE46" i="92"/>
  <c r="AE47" i="92"/>
  <c r="AE48" i="92"/>
  <c r="AE49" i="92"/>
  <c r="AE50" i="92"/>
  <c r="AF50" i="92"/>
  <c r="AE51" i="92"/>
  <c r="AA35" i="92"/>
  <c r="AF35" i="92" s="1"/>
  <c r="AB35" i="92"/>
  <c r="AA36" i="92"/>
  <c r="AI36" i="92" s="1"/>
  <c r="AB36" i="92"/>
  <c r="AM36" i="92" s="1"/>
  <c r="AA37" i="92"/>
  <c r="AI37" i="92" s="1"/>
  <c r="AB37" i="92"/>
  <c r="AA38" i="92"/>
  <c r="AJ38" i="92" s="1"/>
  <c r="AA39" i="92"/>
  <c r="AA40" i="92"/>
  <c r="AJ40" i="92" s="1"/>
  <c r="AB40" i="92"/>
  <c r="AM40" i="92" s="1"/>
  <c r="AA41" i="92"/>
  <c r="AI41" i="92" s="1"/>
  <c r="AB41" i="92"/>
  <c r="AA42" i="92"/>
  <c r="AB42" i="92" s="1"/>
  <c r="AA43" i="92"/>
  <c r="AF43" i="92" s="1"/>
  <c r="AB43" i="92"/>
  <c r="AM43" i="92" s="1"/>
  <c r="AA44" i="92"/>
  <c r="AA45" i="92"/>
  <c r="AA46" i="92"/>
  <c r="AA47" i="92"/>
  <c r="AF47" i="92" s="1"/>
  <c r="AB47" i="92"/>
  <c r="AM47" i="92" s="1"/>
  <c r="AA48" i="92"/>
  <c r="AB48" i="92" s="1"/>
  <c r="AM48" i="92" s="1"/>
  <c r="AA49" i="92"/>
  <c r="AI49" i="92" s="1"/>
  <c r="AB49" i="92"/>
  <c r="AM49" i="92" s="1"/>
  <c r="AA50" i="92"/>
  <c r="AB50" i="92" s="1"/>
  <c r="AA51" i="92"/>
  <c r="K35" i="92"/>
  <c r="K36" i="92"/>
  <c r="K37" i="92"/>
  <c r="K38" i="92"/>
  <c r="K39" i="92"/>
  <c r="K40" i="92"/>
  <c r="K41" i="92"/>
  <c r="K42" i="92"/>
  <c r="K43" i="92"/>
  <c r="K44" i="92"/>
  <c r="K45" i="92"/>
  <c r="K46" i="92"/>
  <c r="K47" i="92"/>
  <c r="K48" i="92"/>
  <c r="K49" i="92"/>
  <c r="K50" i="92"/>
  <c r="K51" i="92"/>
  <c r="AJ32" i="92"/>
  <c r="AK32" i="92"/>
  <c r="AL32" i="92"/>
  <c r="AM31" i="92"/>
  <c r="AN31" i="92"/>
  <c r="AA31" i="92"/>
  <c r="B29" i="92"/>
  <c r="AG17" i="92"/>
  <c r="AG18" i="92"/>
  <c r="AD16" i="92"/>
  <c r="AD17" i="92"/>
  <c r="AD18" i="92" s="1"/>
  <c r="G19" i="92"/>
  <c r="G20" i="92"/>
  <c r="AA19" i="92"/>
  <c r="AA20" i="92"/>
  <c r="Z16" i="92"/>
  <c r="AA16" i="92"/>
  <c r="AA17" i="92"/>
  <c r="AA11" i="92" s="1"/>
  <c r="M11" i="92"/>
  <c r="B10" i="92"/>
  <c r="B9" i="92"/>
  <c r="B4" i="92"/>
  <c r="AG143" i="91"/>
  <c r="AG144" i="91"/>
  <c r="AG145" i="91"/>
  <c r="AG146" i="91"/>
  <c r="AD143" i="91"/>
  <c r="AD144" i="91"/>
  <c r="AD145" i="91"/>
  <c r="AD146" i="91"/>
  <c r="N143" i="91"/>
  <c r="N144" i="91"/>
  <c r="N145" i="91"/>
  <c r="O143" i="91"/>
  <c r="P143" i="91"/>
  <c r="Q143" i="91"/>
  <c r="R143" i="91"/>
  <c r="S143" i="91"/>
  <c r="T143" i="91"/>
  <c r="U143" i="91"/>
  <c r="V143" i="91"/>
  <c r="W143" i="91"/>
  <c r="X143" i="91"/>
  <c r="Y143" i="91"/>
  <c r="Z143" i="91"/>
  <c r="O144" i="91"/>
  <c r="P144" i="91"/>
  <c r="Q144" i="91"/>
  <c r="R144" i="91"/>
  <c r="S144" i="91"/>
  <c r="T144" i="91"/>
  <c r="U144" i="91"/>
  <c r="V144" i="91"/>
  <c r="W144" i="91"/>
  <c r="X144" i="91"/>
  <c r="Y144" i="91"/>
  <c r="Z144" i="91"/>
  <c r="O145" i="91"/>
  <c r="P145" i="91"/>
  <c r="Q145" i="91"/>
  <c r="R145" i="91"/>
  <c r="S145" i="91"/>
  <c r="T145" i="91"/>
  <c r="U145" i="91"/>
  <c r="V145" i="91"/>
  <c r="W145" i="91"/>
  <c r="X145" i="91"/>
  <c r="Y145" i="91"/>
  <c r="Z145" i="91"/>
  <c r="O146" i="91"/>
  <c r="P146" i="91"/>
  <c r="Q146" i="91"/>
  <c r="R146" i="91"/>
  <c r="S146" i="91"/>
  <c r="T146" i="91"/>
  <c r="U146" i="91"/>
  <c r="V146" i="91"/>
  <c r="W146" i="91"/>
  <c r="X146" i="91"/>
  <c r="Y146" i="91"/>
  <c r="Z146" i="91"/>
  <c r="AI131" i="91"/>
  <c r="AI133" i="91"/>
  <c r="AI135" i="91"/>
  <c r="AI137" i="91"/>
  <c r="AI139" i="91"/>
  <c r="AG141" i="91"/>
  <c r="AD141" i="91"/>
  <c r="O141" i="91"/>
  <c r="P141" i="91"/>
  <c r="Q141" i="91"/>
  <c r="R141" i="91"/>
  <c r="S141" i="91"/>
  <c r="T141" i="91"/>
  <c r="U141" i="91"/>
  <c r="V141" i="91"/>
  <c r="W141" i="91"/>
  <c r="X141" i="91"/>
  <c r="Y141" i="91"/>
  <c r="Z141" i="91"/>
  <c r="AA141" i="91"/>
  <c r="AI141" i="91" s="1"/>
  <c r="AA140" i="91"/>
  <c r="AF130" i="91"/>
  <c r="AF131" i="91"/>
  <c r="AF133" i="91"/>
  <c r="AF135" i="91"/>
  <c r="AF137" i="91"/>
  <c r="AF138" i="91"/>
  <c r="AF139" i="91"/>
  <c r="AA138" i="91"/>
  <c r="AI138" i="91" s="1"/>
  <c r="AA136" i="91"/>
  <c r="AF136" i="91" s="1"/>
  <c r="AA134" i="91"/>
  <c r="AI134" i="91" s="1"/>
  <c r="AA132" i="91"/>
  <c r="AA130" i="91"/>
  <c r="AI130" i="91" s="1"/>
  <c r="AG121" i="91"/>
  <c r="AG122" i="91"/>
  <c r="AG123" i="91"/>
  <c r="AH123" i="91" s="1"/>
  <c r="AG124" i="91"/>
  <c r="AH124" i="91" s="1"/>
  <c r="AG125" i="91"/>
  <c r="AH125" i="91" s="1"/>
  <c r="AD121" i="91"/>
  <c r="AD122" i="91"/>
  <c r="AE122" i="91" s="1"/>
  <c r="AD123" i="91"/>
  <c r="AE123" i="91" s="1"/>
  <c r="AD124" i="91"/>
  <c r="AE124" i="91" s="1"/>
  <c r="AD125" i="91"/>
  <c r="AE125" i="91" s="1"/>
  <c r="S127" i="91"/>
  <c r="AH121" i="91"/>
  <c r="AH122" i="91"/>
  <c r="AE121" i="91"/>
  <c r="O121" i="91"/>
  <c r="P121" i="91"/>
  <c r="Q121" i="91"/>
  <c r="R121" i="91"/>
  <c r="S121" i="91"/>
  <c r="T121" i="91"/>
  <c r="U121" i="91"/>
  <c r="V121" i="91"/>
  <c r="W121" i="91"/>
  <c r="X121" i="91"/>
  <c r="Y121" i="91"/>
  <c r="Z121" i="91"/>
  <c r="O122" i="91"/>
  <c r="P122" i="91"/>
  <c r="Q122" i="91"/>
  <c r="R122" i="91"/>
  <c r="S122" i="91"/>
  <c r="T122" i="91"/>
  <c r="T126" i="91" s="1"/>
  <c r="T127" i="91" s="1"/>
  <c r="U122" i="91"/>
  <c r="V122" i="91"/>
  <c r="W122" i="91"/>
  <c r="X122" i="91"/>
  <c r="Y122" i="91"/>
  <c r="Z122" i="91"/>
  <c r="O123" i="91"/>
  <c r="P123" i="91"/>
  <c r="Q123" i="91"/>
  <c r="R123" i="91"/>
  <c r="S123" i="91"/>
  <c r="T123" i="91"/>
  <c r="U123" i="91"/>
  <c r="V123" i="91"/>
  <c r="W123" i="91"/>
  <c r="X123" i="91"/>
  <c r="Y123" i="91"/>
  <c r="Z123" i="91"/>
  <c r="O124" i="91"/>
  <c r="P124" i="91"/>
  <c r="Q124" i="91"/>
  <c r="R124" i="91"/>
  <c r="S124" i="91"/>
  <c r="T124" i="91"/>
  <c r="U124" i="91"/>
  <c r="V124" i="91"/>
  <c r="W124" i="91"/>
  <c r="W126" i="91" s="1"/>
  <c r="W127" i="91" s="1"/>
  <c r="X124" i="91"/>
  <c r="Y124" i="91"/>
  <c r="Z124" i="91"/>
  <c r="O125" i="91"/>
  <c r="P125" i="91"/>
  <c r="Q125" i="91"/>
  <c r="R125" i="91"/>
  <c r="S125" i="91"/>
  <c r="T125" i="91"/>
  <c r="U125" i="91"/>
  <c r="V125" i="91"/>
  <c r="W125" i="91"/>
  <c r="X125" i="91"/>
  <c r="Y125" i="91"/>
  <c r="Z125" i="91"/>
  <c r="S126" i="91"/>
  <c r="AH114" i="91"/>
  <c r="AH115" i="91"/>
  <c r="AH116" i="91"/>
  <c r="AH117" i="91"/>
  <c r="AI117" i="91"/>
  <c r="AH118" i="91"/>
  <c r="AH119" i="91"/>
  <c r="AE114" i="91"/>
  <c r="AE115" i="91"/>
  <c r="AF115" i="91"/>
  <c r="AE116" i="91"/>
  <c r="AE117" i="91"/>
  <c r="AF117" i="91"/>
  <c r="AE118" i="91"/>
  <c r="AE119" i="91"/>
  <c r="AA114" i="91"/>
  <c r="AI114" i="91" s="1"/>
  <c r="AA115" i="91"/>
  <c r="AA116" i="91"/>
  <c r="AF116" i="91" s="1"/>
  <c r="AA117" i="91"/>
  <c r="AA118" i="91"/>
  <c r="AB118" i="91"/>
  <c r="AA119" i="91"/>
  <c r="AH106" i="91"/>
  <c r="AH107" i="91"/>
  <c r="AH108" i="91"/>
  <c r="AH109" i="91"/>
  <c r="AI109" i="91"/>
  <c r="AH110" i="91"/>
  <c r="AI110" i="91"/>
  <c r="AH111" i="91"/>
  <c r="AE106" i="91"/>
  <c r="AE107" i="91"/>
  <c r="AE108" i="91"/>
  <c r="AF108" i="91"/>
  <c r="AE109" i="91"/>
  <c r="AF109" i="91"/>
  <c r="AE110" i="91"/>
  <c r="AE111" i="91"/>
  <c r="AA106" i="91"/>
  <c r="AF106" i="91" s="1"/>
  <c r="AB106" i="91"/>
  <c r="AA107" i="91"/>
  <c r="AA108" i="91"/>
  <c r="AI108" i="91" s="1"/>
  <c r="AA109" i="91"/>
  <c r="AA110" i="91"/>
  <c r="AF110" i="91" s="1"/>
  <c r="AA111" i="91"/>
  <c r="AI111" i="91" s="1"/>
  <c r="AB111" i="91"/>
  <c r="AH98" i="91"/>
  <c r="AH99" i="91"/>
  <c r="AH100" i="91"/>
  <c r="AH101" i="91"/>
  <c r="AI101" i="91"/>
  <c r="AH102" i="91"/>
  <c r="AH103" i="91"/>
  <c r="AI103" i="91"/>
  <c r="AE98" i="91"/>
  <c r="AE99" i="91"/>
  <c r="AE100" i="91"/>
  <c r="AE101" i="91"/>
  <c r="AF101" i="91"/>
  <c r="AE102" i="91"/>
  <c r="AE103" i="91"/>
  <c r="AA98" i="91"/>
  <c r="AI98" i="91" s="1"/>
  <c r="AA99" i="91"/>
  <c r="AI99" i="91" s="1"/>
  <c r="AA100" i="91"/>
  <c r="AF100" i="91" s="1"/>
  <c r="AB100" i="91"/>
  <c r="AA101" i="91"/>
  <c r="AB101" i="91"/>
  <c r="AA102" i="91"/>
  <c r="AA103" i="91"/>
  <c r="AF103" i="91" s="1"/>
  <c r="AD93" i="91"/>
  <c r="AD94" i="91"/>
  <c r="AG93" i="91"/>
  <c r="AG94" i="91"/>
  <c r="O93" i="91"/>
  <c r="P93" i="91"/>
  <c r="Q93" i="91"/>
  <c r="R93" i="91"/>
  <c r="S93" i="91"/>
  <c r="T93" i="91"/>
  <c r="U93" i="91"/>
  <c r="V93" i="91"/>
  <c r="W93" i="91"/>
  <c r="X93" i="91"/>
  <c r="Y93" i="91"/>
  <c r="Z93" i="91"/>
  <c r="O94" i="91"/>
  <c r="P94" i="91"/>
  <c r="Q94" i="91"/>
  <c r="R94" i="91"/>
  <c r="S94" i="91"/>
  <c r="T94" i="91"/>
  <c r="U94" i="91"/>
  <c r="V94" i="91"/>
  <c r="W94" i="91"/>
  <c r="X94" i="91"/>
  <c r="Y94" i="91"/>
  <c r="Z94" i="91"/>
  <c r="AA91" i="91"/>
  <c r="AF91" i="91" s="1"/>
  <c r="AA92" i="91"/>
  <c r="AF92" i="91" s="1"/>
  <c r="AI87" i="91"/>
  <c r="AF87" i="91"/>
  <c r="AA35" i="91"/>
  <c r="AA36" i="91"/>
  <c r="AB36" i="91" s="1"/>
  <c r="AA37" i="91"/>
  <c r="AB37" i="91" s="1"/>
  <c r="AA38" i="91"/>
  <c r="AB38" i="91" s="1"/>
  <c r="AA39" i="91"/>
  <c r="AA40" i="91"/>
  <c r="AA41" i="91"/>
  <c r="AA42" i="91"/>
  <c r="AA45" i="91"/>
  <c r="AB45" i="91" s="1"/>
  <c r="AA46" i="91"/>
  <c r="AI46" i="91" s="1"/>
  <c r="AA47" i="91"/>
  <c r="AF47" i="91" s="1"/>
  <c r="AA48" i="91"/>
  <c r="AA49" i="91"/>
  <c r="AA50" i="91"/>
  <c r="AI50" i="91" s="1"/>
  <c r="AA51" i="91"/>
  <c r="AA52" i="91"/>
  <c r="AA53" i="91"/>
  <c r="AA55" i="91"/>
  <c r="AI55" i="91" s="1"/>
  <c r="AA56" i="91"/>
  <c r="AB56" i="91" s="1"/>
  <c r="AA57" i="91"/>
  <c r="AF57" i="91" s="1"/>
  <c r="AA58" i="91"/>
  <c r="AB58" i="91" s="1"/>
  <c r="AA59" i="91"/>
  <c r="AA60" i="91"/>
  <c r="AI60" i="91" s="1"/>
  <c r="AA61" i="91"/>
  <c r="AA63" i="91" s="1"/>
  <c r="AA65" i="91"/>
  <c r="AA66" i="91"/>
  <c r="AI66" i="91" s="1"/>
  <c r="AA67" i="91"/>
  <c r="AI67" i="91" s="1"/>
  <c r="AA68" i="91"/>
  <c r="AA69" i="91"/>
  <c r="AA72" i="91" s="1"/>
  <c r="AA70" i="91"/>
  <c r="AI70" i="91" s="1"/>
  <c r="AA71" i="91"/>
  <c r="AA75" i="91"/>
  <c r="AA76" i="91"/>
  <c r="AA77" i="91"/>
  <c r="AB77" i="91" s="1"/>
  <c r="AA78" i="91"/>
  <c r="AB78" i="91" s="1"/>
  <c r="AA79" i="91"/>
  <c r="AB79" i="91" s="1"/>
  <c r="AA80" i="91"/>
  <c r="AA81" i="91" s="1"/>
  <c r="AA83" i="91"/>
  <c r="AA85" i="91"/>
  <c r="AF85" i="91" s="1"/>
  <c r="AA86" i="91"/>
  <c r="AF86" i="91" s="1"/>
  <c r="AA87" i="91"/>
  <c r="AH87" i="91"/>
  <c r="AE87" i="91"/>
  <c r="AH83" i="91"/>
  <c r="AH85" i="91"/>
  <c r="AE83" i="91"/>
  <c r="AE85" i="91"/>
  <c r="AB85" i="91"/>
  <c r="R84" i="91"/>
  <c r="AI83" i="91"/>
  <c r="AF83" i="91"/>
  <c r="AG82" i="91"/>
  <c r="AH84" i="91" s="1"/>
  <c r="AD82" i="91"/>
  <c r="AE84" i="91" s="1"/>
  <c r="O82" i="91"/>
  <c r="O84" i="91" s="1"/>
  <c r="P82" i="91"/>
  <c r="P84" i="91" s="1"/>
  <c r="Q82" i="91"/>
  <c r="Q84" i="91" s="1"/>
  <c r="R82" i="91"/>
  <c r="S82" i="91"/>
  <c r="S84" i="91" s="1"/>
  <c r="T82" i="91"/>
  <c r="T84" i="91" s="1"/>
  <c r="U82" i="91"/>
  <c r="U84" i="91" s="1"/>
  <c r="V82" i="91"/>
  <c r="V84" i="91" s="1"/>
  <c r="W82" i="91"/>
  <c r="W84" i="91" s="1"/>
  <c r="X82" i="91"/>
  <c r="X84" i="91" s="1"/>
  <c r="Y82" i="91"/>
  <c r="Y84" i="91" s="1"/>
  <c r="Z82" i="91"/>
  <c r="Z84" i="91" s="1"/>
  <c r="AI75" i="91"/>
  <c r="AI79" i="91"/>
  <c r="AI80" i="91"/>
  <c r="AF75" i="91"/>
  <c r="AF79" i="91"/>
  <c r="AF80" i="91"/>
  <c r="AH75" i="91"/>
  <c r="AH76" i="91"/>
  <c r="AH77" i="91"/>
  <c r="AH78" i="91"/>
  <c r="AH79" i="91"/>
  <c r="AH80" i="91"/>
  <c r="AE75" i="91"/>
  <c r="AE76" i="91"/>
  <c r="AE77" i="91"/>
  <c r="AE78" i="91"/>
  <c r="AE79" i="91"/>
  <c r="AE80" i="91"/>
  <c r="AB75" i="91"/>
  <c r="AB80" i="91"/>
  <c r="AG73" i="91"/>
  <c r="AH74" i="91" s="1"/>
  <c r="AD73" i="91"/>
  <c r="AE74" i="91" s="1"/>
  <c r="O73" i="91"/>
  <c r="O74" i="91" s="1"/>
  <c r="P73" i="91"/>
  <c r="P74" i="91" s="1"/>
  <c r="Q73" i="91"/>
  <c r="Q74" i="91" s="1"/>
  <c r="R73" i="91"/>
  <c r="S73" i="91"/>
  <c r="T73" i="91"/>
  <c r="T74" i="91" s="1"/>
  <c r="U73" i="91"/>
  <c r="V73" i="91"/>
  <c r="V74" i="91" s="1"/>
  <c r="W73" i="91"/>
  <c r="W74" i="91" s="1"/>
  <c r="X73" i="91"/>
  <c r="X74" i="91" s="1"/>
  <c r="Y73" i="91"/>
  <c r="Z73" i="91"/>
  <c r="R74" i="91"/>
  <c r="S74" i="91"/>
  <c r="U74" i="91"/>
  <c r="Y74" i="91"/>
  <c r="Z74" i="91"/>
  <c r="AI71" i="91"/>
  <c r="AF69" i="91"/>
  <c r="AF71" i="91"/>
  <c r="AH71" i="91"/>
  <c r="AE71" i="91"/>
  <c r="AB71" i="91"/>
  <c r="AH65" i="91"/>
  <c r="AH66" i="91"/>
  <c r="AH67" i="91"/>
  <c r="AH68" i="91"/>
  <c r="AH69" i="91"/>
  <c r="AE65" i="91"/>
  <c r="AE66" i="91"/>
  <c r="AE67" i="91"/>
  <c r="AE68" i="91"/>
  <c r="AE69" i="91"/>
  <c r="AG63" i="91"/>
  <c r="AH64" i="91" s="1"/>
  <c r="AD63" i="91"/>
  <c r="AE64" i="91" s="1"/>
  <c r="O63" i="91"/>
  <c r="O64" i="91" s="1"/>
  <c r="P63" i="91"/>
  <c r="P64" i="91" s="1"/>
  <c r="Q63" i="91"/>
  <c r="Q64" i="91" s="1"/>
  <c r="R63" i="91"/>
  <c r="R64" i="91" s="1"/>
  <c r="S63" i="91"/>
  <c r="S64" i="91" s="1"/>
  <c r="T63" i="91"/>
  <c r="U63" i="91"/>
  <c r="V63" i="91"/>
  <c r="V64" i="91" s="1"/>
  <c r="W63" i="91"/>
  <c r="W64" i="91" s="1"/>
  <c r="X63" i="91"/>
  <c r="X64" i="91" s="1"/>
  <c r="Y63" i="91"/>
  <c r="Y64" i="91" s="1"/>
  <c r="Z63" i="91"/>
  <c r="T64" i="91"/>
  <c r="U64" i="91"/>
  <c r="Z64" i="91"/>
  <c r="AI56" i="91"/>
  <c r="AI57" i="91"/>
  <c r="AI59" i="91"/>
  <c r="AF55" i="91"/>
  <c r="AF56" i="91"/>
  <c r="AF59" i="91"/>
  <c r="AF61" i="91"/>
  <c r="AH61" i="91"/>
  <c r="AE61" i="91"/>
  <c r="AH55" i="91"/>
  <c r="AH56" i="91"/>
  <c r="AH57" i="91"/>
  <c r="AH58" i="91"/>
  <c r="AH59" i="91"/>
  <c r="AE55" i="91"/>
  <c r="AE56" i="91"/>
  <c r="AE57" i="91"/>
  <c r="AE58" i="91"/>
  <c r="AE59" i="91"/>
  <c r="AB55" i="91"/>
  <c r="AB57" i="91"/>
  <c r="AB59" i="91"/>
  <c r="AG53" i="91"/>
  <c r="AH54" i="91" s="1"/>
  <c r="AD53" i="91"/>
  <c r="AE54" i="91" s="1"/>
  <c r="O53" i="91"/>
  <c r="P53" i="91"/>
  <c r="P54" i="91" s="1"/>
  <c r="Q53" i="91"/>
  <c r="Q54" i="91" s="1"/>
  <c r="R53" i="91"/>
  <c r="R54" i="91" s="1"/>
  <c r="S53" i="91"/>
  <c r="S54" i="91" s="1"/>
  <c r="T53" i="91"/>
  <c r="T54" i="91" s="1"/>
  <c r="U53" i="91"/>
  <c r="V53" i="91"/>
  <c r="V54" i="91" s="1"/>
  <c r="W53" i="91"/>
  <c r="X53" i="91"/>
  <c r="X54" i="91" s="1"/>
  <c r="Y53" i="91"/>
  <c r="Y54" i="91" s="1"/>
  <c r="Z53" i="91"/>
  <c r="Z54" i="91" s="1"/>
  <c r="O54" i="91"/>
  <c r="U54" i="91"/>
  <c r="W54" i="91"/>
  <c r="AI47" i="91"/>
  <c r="AI48" i="91"/>
  <c r="AI49" i="91"/>
  <c r="AI51" i="91"/>
  <c r="AF48" i="91"/>
  <c r="AF49" i="91"/>
  <c r="AF51" i="91"/>
  <c r="AH51" i="91"/>
  <c r="AE51" i="91"/>
  <c r="AB51" i="91"/>
  <c r="AH45" i="91"/>
  <c r="AH46" i="91"/>
  <c r="AH47" i="91"/>
  <c r="AH48" i="91"/>
  <c r="AH49" i="91"/>
  <c r="AE44" i="91"/>
  <c r="AE45" i="91"/>
  <c r="AE46" i="91"/>
  <c r="AE47" i="91"/>
  <c r="AE48" i="91"/>
  <c r="AE49" i="91"/>
  <c r="AB46" i="91"/>
  <c r="AB48" i="91"/>
  <c r="AG43" i="91"/>
  <c r="AH44" i="91" s="1"/>
  <c r="AD43" i="91"/>
  <c r="O43" i="91"/>
  <c r="P43" i="91"/>
  <c r="Q43" i="91"/>
  <c r="Q44" i="91" s="1"/>
  <c r="R43" i="91"/>
  <c r="R44" i="91" s="1"/>
  <c r="S43" i="91"/>
  <c r="S44" i="91" s="1"/>
  <c r="T43" i="91"/>
  <c r="T44" i="91" s="1"/>
  <c r="U43" i="91"/>
  <c r="V43" i="91"/>
  <c r="V44" i="91" s="1"/>
  <c r="W43" i="91"/>
  <c r="W44" i="91" s="1"/>
  <c r="X43" i="91"/>
  <c r="Y43" i="91"/>
  <c r="Y44" i="91" s="1"/>
  <c r="Z43" i="91"/>
  <c r="Z44" i="91" s="1"/>
  <c r="O44" i="91"/>
  <c r="P44" i="91"/>
  <c r="U44" i="91"/>
  <c r="X44" i="91"/>
  <c r="AI35" i="91"/>
  <c r="AI36" i="91"/>
  <c r="AI37" i="91"/>
  <c r="AI38" i="91"/>
  <c r="AI39" i="91"/>
  <c r="AI40" i="91"/>
  <c r="AI41" i="91"/>
  <c r="AI42" i="91"/>
  <c r="AF35" i="91"/>
  <c r="AF36" i="91"/>
  <c r="AF37" i="91"/>
  <c r="AF38" i="91"/>
  <c r="AF39" i="91"/>
  <c r="AF40" i="91"/>
  <c r="AF41" i="91"/>
  <c r="AF42" i="91"/>
  <c r="AH41" i="91"/>
  <c r="AE41" i="91"/>
  <c r="AB41" i="91"/>
  <c r="AH35" i="91"/>
  <c r="AH36" i="91"/>
  <c r="AH37" i="91"/>
  <c r="AH38" i="91"/>
  <c r="AH39" i="91"/>
  <c r="AE35" i="91"/>
  <c r="AE36" i="91"/>
  <c r="AE37" i="91"/>
  <c r="AE38" i="91"/>
  <c r="AE39" i="91"/>
  <c r="AA31" i="91"/>
  <c r="AG17" i="91"/>
  <c r="AG18" i="91" s="1"/>
  <c r="AD16" i="91"/>
  <c r="AD17" i="91"/>
  <c r="AD18" i="91" s="1"/>
  <c r="G19" i="91"/>
  <c r="G20" i="91"/>
  <c r="AA19" i="91"/>
  <c r="AA20" i="91"/>
  <c r="AA16" i="91"/>
  <c r="AA17" i="91"/>
  <c r="AA11" i="91" s="1"/>
  <c r="AA18" i="91" s="1"/>
  <c r="Z16" i="91"/>
  <c r="M11" i="91"/>
  <c r="B10" i="91"/>
  <c r="B9" i="91"/>
  <c r="B4" i="91"/>
  <c r="N1" i="91"/>
  <c r="AG107" i="90"/>
  <c r="AD107" i="90"/>
  <c r="N107" i="90"/>
  <c r="O107" i="90"/>
  <c r="P107" i="90"/>
  <c r="Q107" i="90"/>
  <c r="R107" i="90"/>
  <c r="S107" i="90"/>
  <c r="T107" i="90"/>
  <c r="U107" i="90"/>
  <c r="V107" i="90"/>
  <c r="W107" i="90"/>
  <c r="X107" i="90"/>
  <c r="Y107" i="90"/>
  <c r="Z107" i="90"/>
  <c r="N108" i="90"/>
  <c r="AH104" i="90"/>
  <c r="AI104" i="90"/>
  <c r="AK104" i="90"/>
  <c r="AL104" i="90"/>
  <c r="AH105" i="90"/>
  <c r="AI105" i="90"/>
  <c r="AK105" i="90"/>
  <c r="AL105" i="90"/>
  <c r="AE104" i="90"/>
  <c r="AE105" i="90"/>
  <c r="AA104" i="90"/>
  <c r="AF104" i="90" s="1"/>
  <c r="AA105" i="90"/>
  <c r="AF105" i="90" s="1"/>
  <c r="AB105" i="90"/>
  <c r="AN105" i="90" s="1"/>
  <c r="AH90" i="90"/>
  <c r="AK90" i="90"/>
  <c r="AL90" i="90"/>
  <c r="AH91" i="90"/>
  <c r="AK91" i="90"/>
  <c r="AL91" i="90"/>
  <c r="AH92" i="90"/>
  <c r="AI92" i="90"/>
  <c r="AK92" i="90"/>
  <c r="AL92" i="90"/>
  <c r="AH93" i="90"/>
  <c r="AK93" i="90"/>
  <c r="AL93" i="90"/>
  <c r="AH94" i="90"/>
  <c r="AK94" i="90"/>
  <c r="AL94" i="90"/>
  <c r="AH95" i="90"/>
  <c r="AK95" i="90"/>
  <c r="AL95" i="90"/>
  <c r="AH96" i="90"/>
  <c r="AK96" i="90"/>
  <c r="AL96" i="90"/>
  <c r="AH97" i="90"/>
  <c r="AI97" i="90"/>
  <c r="AK97" i="90"/>
  <c r="AL97" i="90"/>
  <c r="AH98" i="90"/>
  <c r="AK98" i="90"/>
  <c r="AL98" i="90"/>
  <c r="AH99" i="90"/>
  <c r="AK99" i="90"/>
  <c r="AL99" i="90"/>
  <c r="AH100" i="90"/>
  <c r="AK100" i="90"/>
  <c r="AL100" i="90"/>
  <c r="AH101" i="90"/>
  <c r="AK101" i="90"/>
  <c r="AL101" i="90"/>
  <c r="AH102" i="90"/>
  <c r="AK102" i="90"/>
  <c r="AL102" i="90"/>
  <c r="AE90" i="90"/>
  <c r="AE91" i="90"/>
  <c r="AE92" i="90"/>
  <c r="AE93" i="90"/>
  <c r="AE94" i="90"/>
  <c r="AE95" i="90"/>
  <c r="AE96" i="90"/>
  <c r="AE97" i="90"/>
  <c r="AF97" i="90"/>
  <c r="AE98" i="90"/>
  <c r="AE99" i="90"/>
  <c r="AE100" i="90"/>
  <c r="AE101" i="90"/>
  <c r="AE102" i="90"/>
  <c r="AA90" i="90"/>
  <c r="AI90" i="90" s="1"/>
  <c r="AA91" i="90"/>
  <c r="AI91" i="90" s="1"/>
  <c r="AA92" i="90"/>
  <c r="AA93" i="90"/>
  <c r="AB93" i="90" s="1"/>
  <c r="AA94" i="90"/>
  <c r="AF94" i="90" s="1"/>
  <c r="AA95" i="90"/>
  <c r="AA96" i="90"/>
  <c r="AF96" i="90" s="1"/>
  <c r="AA97" i="90"/>
  <c r="AA98" i="90"/>
  <c r="AI98" i="90" s="1"/>
  <c r="AA99" i="90"/>
  <c r="AI99" i="90" s="1"/>
  <c r="AA100" i="90"/>
  <c r="AB100" i="90"/>
  <c r="AM100" i="90" s="1"/>
  <c r="AA101" i="90"/>
  <c r="AA102" i="90"/>
  <c r="AF102" i="90" s="1"/>
  <c r="K90" i="90"/>
  <c r="K91" i="90"/>
  <c r="K92" i="90"/>
  <c r="K93" i="90"/>
  <c r="K94" i="90"/>
  <c r="K95" i="90"/>
  <c r="K96" i="90"/>
  <c r="K97" i="90"/>
  <c r="K98" i="90"/>
  <c r="K99" i="90"/>
  <c r="K100" i="90"/>
  <c r="K101" i="90"/>
  <c r="AH76" i="90"/>
  <c r="AK76" i="90"/>
  <c r="AL76" i="90"/>
  <c r="AH77" i="90"/>
  <c r="AI77" i="90"/>
  <c r="AK77" i="90"/>
  <c r="AL77" i="90"/>
  <c r="AH78" i="90"/>
  <c r="AI78" i="90"/>
  <c r="AK78" i="90"/>
  <c r="AL78" i="90"/>
  <c r="AH79" i="90"/>
  <c r="AK79" i="90"/>
  <c r="AL79" i="90"/>
  <c r="AH80" i="90"/>
  <c r="AK80" i="90"/>
  <c r="AL80" i="90"/>
  <c r="AH81" i="90"/>
  <c r="AI81" i="90"/>
  <c r="AK81" i="90"/>
  <c r="AL81" i="90"/>
  <c r="AH82" i="90"/>
  <c r="AK82" i="90"/>
  <c r="AL82" i="90"/>
  <c r="AH83" i="90"/>
  <c r="AK83" i="90"/>
  <c r="AL83" i="90"/>
  <c r="AH84" i="90"/>
  <c r="AK84" i="90"/>
  <c r="AL84" i="90"/>
  <c r="AH85" i="90"/>
  <c r="AI85" i="90"/>
  <c r="AK85" i="90"/>
  <c r="AL85" i="90"/>
  <c r="AH86" i="90"/>
  <c r="AK86" i="90"/>
  <c r="AL86" i="90"/>
  <c r="AH87" i="90"/>
  <c r="AK87" i="90"/>
  <c r="AL87" i="90"/>
  <c r="AE76" i="90"/>
  <c r="AE77" i="90"/>
  <c r="AE78" i="90"/>
  <c r="AE79" i="90"/>
  <c r="AE80" i="90"/>
  <c r="AE81" i="90"/>
  <c r="AF81" i="90"/>
  <c r="AE82" i="90"/>
  <c r="AE83" i="90"/>
  <c r="AE84" i="90"/>
  <c r="AE85" i="90"/>
  <c r="AE86" i="90"/>
  <c r="AE87" i="90"/>
  <c r="AA76" i="90"/>
  <c r="AF76" i="90" s="1"/>
  <c r="AA77" i="90"/>
  <c r="AF77" i="90" s="1"/>
  <c r="AB77" i="90"/>
  <c r="AN77" i="90" s="1"/>
  <c r="AA78" i="90"/>
  <c r="AA79" i="90"/>
  <c r="AI79" i="90" s="1"/>
  <c r="AA80" i="90"/>
  <c r="AI80" i="90" s="1"/>
  <c r="AA81" i="90"/>
  <c r="AA82" i="90"/>
  <c r="AA83" i="90"/>
  <c r="AI83" i="90" s="1"/>
  <c r="AA84" i="90"/>
  <c r="AF84" i="90" s="1"/>
  <c r="AA85" i="90"/>
  <c r="AF85" i="90" s="1"/>
  <c r="AA86" i="90"/>
  <c r="AA87" i="90"/>
  <c r="AI87" i="90" s="1"/>
  <c r="K76" i="90"/>
  <c r="K77" i="90"/>
  <c r="K78" i="90"/>
  <c r="K79" i="90"/>
  <c r="K80" i="90"/>
  <c r="K81" i="90"/>
  <c r="K82" i="90"/>
  <c r="K83" i="90"/>
  <c r="K84" i="90"/>
  <c r="K85" i="90"/>
  <c r="K86" i="90"/>
  <c r="K87" i="90"/>
  <c r="AD72" i="90"/>
  <c r="AK72" i="90" s="1"/>
  <c r="AG72" i="90"/>
  <c r="AG108" i="90" s="1"/>
  <c r="O72" i="90"/>
  <c r="O108" i="90" s="1"/>
  <c r="P72" i="90"/>
  <c r="Q72" i="90"/>
  <c r="Q108" i="90" s="1"/>
  <c r="R72" i="90"/>
  <c r="R108" i="90" s="1"/>
  <c r="S72" i="90"/>
  <c r="S108" i="90" s="1"/>
  <c r="T72" i="90"/>
  <c r="T108" i="90" s="1"/>
  <c r="U72" i="90"/>
  <c r="U108" i="90" s="1"/>
  <c r="V72" i="90"/>
  <c r="V108" i="90" s="1"/>
  <c r="W72" i="90"/>
  <c r="W108" i="90" s="1"/>
  <c r="X72" i="90"/>
  <c r="X108" i="90" s="1"/>
  <c r="Y72" i="90"/>
  <c r="Y108" i="90" s="1"/>
  <c r="Z72" i="90"/>
  <c r="Z108" i="90" s="1"/>
  <c r="K71" i="90"/>
  <c r="K72" i="90"/>
  <c r="AA62" i="90"/>
  <c r="AA63" i="90"/>
  <c r="AF63" i="90" s="1"/>
  <c r="AA64" i="90"/>
  <c r="AJ64" i="90" s="1"/>
  <c r="AA65" i="90"/>
  <c r="AA66" i="90"/>
  <c r="AA67" i="90"/>
  <c r="AF67" i="90" s="1"/>
  <c r="AA68" i="90"/>
  <c r="AA69" i="90"/>
  <c r="AI69" i="90" s="1"/>
  <c r="AA70" i="90"/>
  <c r="AI62" i="90"/>
  <c r="AK62" i="90"/>
  <c r="AL62" i="90"/>
  <c r="AM62" i="90"/>
  <c r="AN62" i="90"/>
  <c r="AK63" i="90"/>
  <c r="AL63" i="90"/>
  <c r="AM63" i="90"/>
  <c r="AN63" i="90"/>
  <c r="AI64" i="90"/>
  <c r="AK64" i="90"/>
  <c r="AL64" i="90"/>
  <c r="AM64" i="90"/>
  <c r="AN64" i="90"/>
  <c r="AI65" i="90"/>
  <c r="AK65" i="90"/>
  <c r="AL65" i="90"/>
  <c r="AM65" i="90"/>
  <c r="AN65" i="90"/>
  <c r="AI66" i="90"/>
  <c r="AK66" i="90"/>
  <c r="AL66" i="90"/>
  <c r="AM66" i="90"/>
  <c r="AN66" i="90"/>
  <c r="AK67" i="90"/>
  <c r="AL67" i="90"/>
  <c r="AM67" i="90"/>
  <c r="AN67" i="90"/>
  <c r="AI68" i="90"/>
  <c r="AK68" i="90"/>
  <c r="AL68" i="90"/>
  <c r="AM68" i="90"/>
  <c r="AN68" i="90"/>
  <c r="AK69" i="90"/>
  <c r="AL69" i="90"/>
  <c r="AM69" i="90"/>
  <c r="AN69" i="90"/>
  <c r="AI70" i="90"/>
  <c r="AK70" i="90"/>
  <c r="AL70" i="90"/>
  <c r="AM70" i="90"/>
  <c r="AN70" i="90"/>
  <c r="AI71" i="90"/>
  <c r="AK71" i="90"/>
  <c r="AL71" i="90"/>
  <c r="AM71" i="90"/>
  <c r="AN71" i="90"/>
  <c r="AF62" i="90"/>
  <c r="AF65" i="90"/>
  <c r="AF68" i="90"/>
  <c r="AF70" i="90"/>
  <c r="AF71" i="90"/>
  <c r="K62" i="90"/>
  <c r="K63" i="90"/>
  <c r="K64" i="90"/>
  <c r="K65" i="90"/>
  <c r="K66" i="90"/>
  <c r="K67" i="90"/>
  <c r="K68" i="90"/>
  <c r="K69" i="90"/>
  <c r="K70" i="90"/>
  <c r="B62" i="90"/>
  <c r="AH35" i="90"/>
  <c r="AK35" i="90"/>
  <c r="AL35" i="90"/>
  <c r="AH36" i="90"/>
  <c r="AI36" i="90"/>
  <c r="AK36" i="90"/>
  <c r="AL36" i="90"/>
  <c r="AH37" i="90"/>
  <c r="AK37" i="90"/>
  <c r="AL37" i="90"/>
  <c r="AH38" i="90"/>
  <c r="AK38" i="90"/>
  <c r="AL38" i="90"/>
  <c r="AH39" i="90"/>
  <c r="AK39" i="90"/>
  <c r="AL39" i="90"/>
  <c r="AH40" i="90"/>
  <c r="AI40" i="90"/>
  <c r="AK40" i="90"/>
  <c r="AL40" i="90"/>
  <c r="AH41" i="90"/>
  <c r="AK41" i="90"/>
  <c r="AL41" i="90"/>
  <c r="AH42" i="90"/>
  <c r="AK42" i="90"/>
  <c r="AL42" i="90"/>
  <c r="AH43" i="90"/>
  <c r="AK43" i="90"/>
  <c r="AL43" i="90"/>
  <c r="AH44" i="90"/>
  <c r="AK44" i="90"/>
  <c r="AL44" i="90"/>
  <c r="AH45" i="90"/>
  <c r="AK45" i="90"/>
  <c r="AL45" i="90"/>
  <c r="AH46" i="90"/>
  <c r="AK46" i="90"/>
  <c r="AL46" i="90"/>
  <c r="AH47" i="90"/>
  <c r="AK47" i="90"/>
  <c r="AL47" i="90"/>
  <c r="AH48" i="90"/>
  <c r="AI48" i="90"/>
  <c r="AK48" i="90"/>
  <c r="AL48" i="90"/>
  <c r="AH49" i="90"/>
  <c r="AK49" i="90"/>
  <c r="AL49" i="90"/>
  <c r="AH50" i="90"/>
  <c r="AK50" i="90"/>
  <c r="AL50" i="90"/>
  <c r="AH51" i="90"/>
  <c r="AK51" i="90"/>
  <c r="AL51" i="90"/>
  <c r="AH52" i="90"/>
  <c r="AI52" i="90"/>
  <c r="AK52" i="90"/>
  <c r="AL52" i="90"/>
  <c r="AH53" i="90"/>
  <c r="AK53" i="90"/>
  <c r="AL53" i="90"/>
  <c r="AH54" i="90"/>
  <c r="AK54" i="90"/>
  <c r="AL54" i="90"/>
  <c r="AH55" i="90"/>
  <c r="AK55" i="90"/>
  <c r="AL55" i="90"/>
  <c r="AH56" i="90"/>
  <c r="AK56" i="90"/>
  <c r="AL56" i="90"/>
  <c r="AH57" i="90"/>
  <c r="AK57" i="90"/>
  <c r="AL57" i="90"/>
  <c r="AH58" i="90"/>
  <c r="AK58" i="90"/>
  <c r="AL58" i="90"/>
  <c r="AE35" i="90"/>
  <c r="AE36" i="90"/>
  <c r="AF36" i="90"/>
  <c r="AE37" i="90"/>
  <c r="AE38" i="90"/>
  <c r="AE39" i="90"/>
  <c r="AE40" i="90"/>
  <c r="AF40" i="90"/>
  <c r="AE41" i="90"/>
  <c r="AE42" i="90"/>
  <c r="AE43" i="90"/>
  <c r="AE44" i="90"/>
  <c r="AE45" i="90"/>
  <c r="AE46" i="90"/>
  <c r="AF46" i="90"/>
  <c r="AE47" i="90"/>
  <c r="AE48" i="90"/>
  <c r="AE49" i="90"/>
  <c r="AE50" i="90"/>
  <c r="AF50" i="90"/>
  <c r="AE51" i="90"/>
  <c r="AE52" i="90"/>
  <c r="AF52" i="90"/>
  <c r="AE53" i="90"/>
  <c r="AE54" i="90"/>
  <c r="AE55" i="90"/>
  <c r="AE56" i="90"/>
  <c r="AF56" i="90"/>
  <c r="AE57" i="90"/>
  <c r="AE58" i="90"/>
  <c r="AA35" i="90"/>
  <c r="AI35" i="90" s="1"/>
  <c r="AA36" i="90"/>
  <c r="AJ36" i="90" s="1"/>
  <c r="AA37" i="90"/>
  <c r="AA38" i="90"/>
  <c r="AA39" i="90"/>
  <c r="AF39" i="90" s="1"/>
  <c r="AA40" i="90"/>
  <c r="AA41" i="90"/>
  <c r="AI41" i="90" s="1"/>
  <c r="AA42" i="90"/>
  <c r="AI42" i="90" s="1"/>
  <c r="AA43" i="90"/>
  <c r="AI43" i="90" s="1"/>
  <c r="AA44" i="90"/>
  <c r="AA45" i="90"/>
  <c r="AF45" i="90" s="1"/>
  <c r="AA46" i="90"/>
  <c r="AI46" i="90" s="1"/>
  <c r="AB46" i="90"/>
  <c r="AA47" i="90"/>
  <c r="AF47" i="90" s="1"/>
  <c r="AA48" i="90"/>
  <c r="AB48" i="90"/>
  <c r="AA49" i="90"/>
  <c r="AI49" i="90" s="1"/>
  <c r="AA50" i="90"/>
  <c r="AI50" i="90" s="1"/>
  <c r="AB50" i="90"/>
  <c r="AM50" i="90" s="1"/>
  <c r="AA51" i="90"/>
  <c r="AI51" i="90" s="1"/>
  <c r="AA52" i="90"/>
  <c r="AB52" i="90"/>
  <c r="AA53" i="90"/>
  <c r="AF53" i="90" s="1"/>
  <c r="AA54" i="90"/>
  <c r="AA55" i="90"/>
  <c r="AF55" i="90" s="1"/>
  <c r="AA56" i="90"/>
  <c r="AA57" i="90"/>
  <c r="AI57" i="90" s="1"/>
  <c r="AA58" i="90"/>
  <c r="AI58" i="90" s="1"/>
  <c r="K35" i="90"/>
  <c r="K36" i="90"/>
  <c r="K37" i="90"/>
  <c r="K38" i="90"/>
  <c r="K39" i="90"/>
  <c r="K40" i="90"/>
  <c r="K41" i="90"/>
  <c r="K42" i="90"/>
  <c r="K43" i="90"/>
  <c r="K44" i="90"/>
  <c r="K45" i="90"/>
  <c r="K46" i="90"/>
  <c r="K47" i="90"/>
  <c r="K48" i="90"/>
  <c r="K49" i="90"/>
  <c r="K50" i="90"/>
  <c r="K51" i="90"/>
  <c r="K52" i="90"/>
  <c r="K53" i="90"/>
  <c r="K54" i="90"/>
  <c r="K55" i="90"/>
  <c r="K56" i="90"/>
  <c r="K57" i="90"/>
  <c r="K58" i="90"/>
  <c r="AJ32" i="90"/>
  <c r="AK32" i="90"/>
  <c r="AL32" i="90"/>
  <c r="AM31" i="90"/>
  <c r="AN31" i="90"/>
  <c r="AA31" i="90"/>
  <c r="B29" i="90"/>
  <c r="AG17" i="90"/>
  <c r="AG18" i="90"/>
  <c r="AD16" i="90"/>
  <c r="AD17" i="90"/>
  <c r="AD18" i="90"/>
  <c r="G19" i="90"/>
  <c r="G20" i="90"/>
  <c r="AA19" i="90"/>
  <c r="AB92" i="90" s="1"/>
  <c r="AA20" i="90"/>
  <c r="Z16" i="90"/>
  <c r="AA16" i="90"/>
  <c r="AA17" i="90"/>
  <c r="AA11" i="90"/>
  <c r="M11" i="90"/>
  <c r="B10" i="90"/>
  <c r="B9" i="90"/>
  <c r="B4" i="90"/>
  <c r="H2" i="90"/>
  <c r="AG143" i="89"/>
  <c r="AG144" i="89"/>
  <c r="AG145" i="89"/>
  <c r="AG146" i="89"/>
  <c r="AD143" i="89"/>
  <c r="AD144" i="89"/>
  <c r="AD145" i="89"/>
  <c r="AD146" i="89"/>
  <c r="N143" i="89"/>
  <c r="N144" i="89"/>
  <c r="N145" i="89"/>
  <c r="O143" i="89"/>
  <c r="P143" i="89"/>
  <c r="Q143" i="89"/>
  <c r="R143" i="89"/>
  <c r="S143" i="89"/>
  <c r="T143" i="89"/>
  <c r="U143" i="89"/>
  <c r="V143" i="89"/>
  <c r="W143" i="89"/>
  <c r="X143" i="89"/>
  <c r="Y143" i="89"/>
  <c r="Z143" i="89"/>
  <c r="O144" i="89"/>
  <c r="P144" i="89"/>
  <c r="Q144" i="89"/>
  <c r="R144" i="89"/>
  <c r="S144" i="89"/>
  <c r="T144" i="89"/>
  <c r="U144" i="89"/>
  <c r="V144" i="89"/>
  <c r="W144" i="89"/>
  <c r="X144" i="89"/>
  <c r="Y144" i="89"/>
  <c r="Z144" i="89"/>
  <c r="O145" i="89"/>
  <c r="P145" i="89"/>
  <c r="Q145" i="89"/>
  <c r="R145" i="89"/>
  <c r="S145" i="89"/>
  <c r="T145" i="89"/>
  <c r="U145" i="89"/>
  <c r="V145" i="89"/>
  <c r="W145" i="89"/>
  <c r="X145" i="89"/>
  <c r="Y145" i="89"/>
  <c r="Z145" i="89"/>
  <c r="O146" i="89"/>
  <c r="P146" i="89"/>
  <c r="Q146" i="89"/>
  <c r="R146" i="89"/>
  <c r="S146" i="89"/>
  <c r="T146" i="89"/>
  <c r="U146" i="89"/>
  <c r="V146" i="89"/>
  <c r="W146" i="89"/>
  <c r="X146" i="89"/>
  <c r="Y146" i="89"/>
  <c r="Z146" i="89"/>
  <c r="AI131" i="89"/>
  <c r="AI133" i="89"/>
  <c r="AI134" i="89"/>
  <c r="AI135" i="89"/>
  <c r="AI136" i="89"/>
  <c r="AI137" i="89"/>
  <c r="AI139" i="89"/>
  <c r="AG141" i="89"/>
  <c r="AD141" i="89"/>
  <c r="O141" i="89"/>
  <c r="P141" i="89"/>
  <c r="Q141" i="89"/>
  <c r="R141" i="89"/>
  <c r="S141" i="89"/>
  <c r="T141" i="89"/>
  <c r="U141" i="89"/>
  <c r="V141" i="89"/>
  <c r="W141" i="89"/>
  <c r="X141" i="89"/>
  <c r="Y141" i="89"/>
  <c r="Z141" i="89"/>
  <c r="AF140" i="89"/>
  <c r="AA140" i="89"/>
  <c r="AI140" i="89" s="1"/>
  <c r="AF131" i="89"/>
  <c r="AF132" i="89"/>
  <c r="AF133" i="89"/>
  <c r="AF135" i="89"/>
  <c r="AF136" i="89"/>
  <c r="AF137" i="89"/>
  <c r="AF139" i="89"/>
  <c r="AA138" i="89"/>
  <c r="AI138" i="89" s="1"/>
  <c r="AA136" i="89"/>
  <c r="AA134" i="89"/>
  <c r="AF134" i="89" s="1"/>
  <c r="AA132" i="89"/>
  <c r="AI132" i="89" s="1"/>
  <c r="AA130" i="89"/>
  <c r="AG121" i="89"/>
  <c r="AG126" i="89" s="1"/>
  <c r="AG122" i="89"/>
  <c r="AH122" i="89" s="1"/>
  <c r="AG123" i="89"/>
  <c r="AH123" i="89" s="1"/>
  <c r="AG124" i="89"/>
  <c r="AH124" i="89" s="1"/>
  <c r="AG125" i="89"/>
  <c r="AH125" i="89" s="1"/>
  <c r="AD121" i="89"/>
  <c r="AD122" i="89"/>
  <c r="AD123" i="89"/>
  <c r="AE123" i="89" s="1"/>
  <c r="AD124" i="89"/>
  <c r="AE124" i="89" s="1"/>
  <c r="AD125" i="89"/>
  <c r="AE125" i="89" s="1"/>
  <c r="AE122" i="89"/>
  <c r="O121" i="89"/>
  <c r="P121" i="89"/>
  <c r="Q121" i="89"/>
  <c r="R121" i="89"/>
  <c r="S121" i="89"/>
  <c r="T121" i="89"/>
  <c r="U121" i="89"/>
  <c r="V121" i="89"/>
  <c r="W121" i="89"/>
  <c r="X121" i="89"/>
  <c r="Y121" i="89"/>
  <c r="Z121" i="89"/>
  <c r="O122" i="89"/>
  <c r="P122" i="89"/>
  <c r="Q122" i="89"/>
  <c r="R122" i="89"/>
  <c r="S122" i="89"/>
  <c r="T122" i="89"/>
  <c r="U122" i="89"/>
  <c r="V122" i="89"/>
  <c r="W122" i="89"/>
  <c r="X122" i="89"/>
  <c r="Y122" i="89"/>
  <c r="Z122" i="89"/>
  <c r="O123" i="89"/>
  <c r="P123" i="89"/>
  <c r="Q123" i="89"/>
  <c r="R123" i="89"/>
  <c r="S123" i="89"/>
  <c r="T123" i="89"/>
  <c r="U123" i="89"/>
  <c r="V123" i="89"/>
  <c r="W123" i="89"/>
  <c r="X123" i="89"/>
  <c r="Y123" i="89"/>
  <c r="Z123" i="89"/>
  <c r="O124" i="89"/>
  <c r="P124" i="89"/>
  <c r="Q124" i="89"/>
  <c r="R124" i="89"/>
  <c r="S124" i="89"/>
  <c r="T124" i="89"/>
  <c r="U124" i="89"/>
  <c r="U126" i="89" s="1"/>
  <c r="U127" i="89" s="1"/>
  <c r="V124" i="89"/>
  <c r="W124" i="89"/>
  <c r="X124" i="89"/>
  <c r="Y124" i="89"/>
  <c r="Z124" i="89"/>
  <c r="O125" i="89"/>
  <c r="P125" i="89"/>
  <c r="Q125" i="89"/>
  <c r="R125" i="89"/>
  <c r="S125" i="89"/>
  <c r="T125" i="89"/>
  <c r="U125" i="89"/>
  <c r="V125" i="89"/>
  <c r="W125" i="89"/>
  <c r="X125" i="89"/>
  <c r="Y125" i="89"/>
  <c r="Z125" i="89"/>
  <c r="Y126" i="89"/>
  <c r="Y127" i="89" s="1"/>
  <c r="AH114" i="89"/>
  <c r="AH115" i="89"/>
  <c r="AI115" i="89"/>
  <c r="AH116" i="89"/>
  <c r="AH117" i="89"/>
  <c r="AI117" i="89"/>
  <c r="AH118" i="89"/>
  <c r="AH119" i="89"/>
  <c r="AI119" i="89"/>
  <c r="AE114" i="89"/>
  <c r="AE115" i="89"/>
  <c r="AE116" i="89"/>
  <c r="AE117" i="89"/>
  <c r="AE118" i="89"/>
  <c r="AE119" i="89"/>
  <c r="AA114" i="89"/>
  <c r="AF114" i="89" s="1"/>
  <c r="AA115" i="89"/>
  <c r="AF115" i="89" s="1"/>
  <c r="AB115" i="89"/>
  <c r="AA116" i="89"/>
  <c r="AI116" i="89" s="1"/>
  <c r="AA117" i="89"/>
  <c r="AF117" i="89" s="1"/>
  <c r="AB117" i="89"/>
  <c r="AA118" i="89"/>
  <c r="AF118" i="89" s="1"/>
  <c r="AA119" i="89"/>
  <c r="AF119" i="89" s="1"/>
  <c r="AB119" i="89"/>
  <c r="AH106" i="89"/>
  <c r="AH107" i="89"/>
  <c r="AI107" i="89"/>
  <c r="AH108" i="89"/>
  <c r="AH109" i="89"/>
  <c r="AI109" i="89"/>
  <c r="AH110" i="89"/>
  <c r="AH111" i="89"/>
  <c r="AE106" i="89"/>
  <c r="AE107" i="89"/>
  <c r="AE108" i="89"/>
  <c r="AE109" i="89"/>
  <c r="AE110" i="89"/>
  <c r="AE111" i="89"/>
  <c r="AA106" i="89"/>
  <c r="AI106" i="89" s="1"/>
  <c r="AA107" i="89"/>
  <c r="AF107" i="89" s="1"/>
  <c r="AB107" i="89"/>
  <c r="AA108" i="89"/>
  <c r="AF108" i="89" s="1"/>
  <c r="AA109" i="89"/>
  <c r="AF109" i="89" s="1"/>
  <c r="AB109" i="89"/>
  <c r="AA110" i="89"/>
  <c r="AI110" i="89" s="1"/>
  <c r="AA111" i="89"/>
  <c r="AI111" i="89" s="1"/>
  <c r="AB111" i="89"/>
  <c r="AH98" i="89"/>
  <c r="AH99" i="89"/>
  <c r="AI99" i="89"/>
  <c r="AH100" i="89"/>
  <c r="AH101" i="89"/>
  <c r="AH102" i="89"/>
  <c r="AH103" i="89"/>
  <c r="AE98" i="89"/>
  <c r="AE99" i="89"/>
  <c r="AE100" i="89"/>
  <c r="AE101" i="89"/>
  <c r="AE102" i="89"/>
  <c r="AE103" i="89"/>
  <c r="AA98" i="89"/>
  <c r="AF98" i="89" s="1"/>
  <c r="AA99" i="89"/>
  <c r="AF99" i="89" s="1"/>
  <c r="AB99" i="89"/>
  <c r="AA100" i="89"/>
  <c r="AI100" i="89" s="1"/>
  <c r="AA101" i="89"/>
  <c r="AI101" i="89" s="1"/>
  <c r="AB101" i="89"/>
  <c r="AA102" i="89"/>
  <c r="AF102" i="89" s="1"/>
  <c r="AA103" i="89"/>
  <c r="AI103" i="89" s="1"/>
  <c r="AB103" i="89"/>
  <c r="AD93" i="89"/>
  <c r="AD94" i="89"/>
  <c r="AG93" i="89"/>
  <c r="AG94" i="89"/>
  <c r="O93" i="89"/>
  <c r="P93" i="89"/>
  <c r="Q93" i="89"/>
  <c r="R93" i="89"/>
  <c r="S93" i="89"/>
  <c r="T93" i="89"/>
  <c r="U93" i="89"/>
  <c r="V93" i="89"/>
  <c r="W93" i="89"/>
  <c r="X93" i="89"/>
  <c r="Y93" i="89"/>
  <c r="Z93" i="89"/>
  <c r="O94" i="89"/>
  <c r="P94" i="89"/>
  <c r="Q94" i="89"/>
  <c r="R94" i="89"/>
  <c r="S94" i="89"/>
  <c r="T94" i="89"/>
  <c r="U94" i="89"/>
  <c r="V94" i="89"/>
  <c r="W94" i="89"/>
  <c r="X94" i="89"/>
  <c r="Y94" i="89"/>
  <c r="Z94" i="89"/>
  <c r="AA91" i="89"/>
  <c r="AA92" i="89"/>
  <c r="AI92" i="89" s="1"/>
  <c r="AF85" i="89"/>
  <c r="AA35" i="89"/>
  <c r="AB35" i="89" s="1"/>
  <c r="AA36" i="89"/>
  <c r="AA37" i="89"/>
  <c r="AB37" i="89" s="1"/>
  <c r="AA38" i="89"/>
  <c r="AI38" i="89" s="1"/>
  <c r="AA39" i="89"/>
  <c r="AA40" i="89"/>
  <c r="AA41" i="89"/>
  <c r="AA42" i="89"/>
  <c r="AA45" i="89"/>
  <c r="AA46" i="89"/>
  <c r="AA47" i="89"/>
  <c r="AA48" i="89"/>
  <c r="AA49" i="89"/>
  <c r="AA50" i="89"/>
  <c r="AI50" i="89" s="1"/>
  <c r="AA51" i="89"/>
  <c r="AB51" i="89" s="1"/>
  <c r="AA55" i="89"/>
  <c r="AA56" i="89"/>
  <c r="AA57" i="89"/>
  <c r="AA58" i="89"/>
  <c r="AB58" i="89" s="1"/>
  <c r="AA59" i="89"/>
  <c r="AA143" i="89" s="1"/>
  <c r="AA60" i="89"/>
  <c r="AI60" i="89" s="1"/>
  <c r="AA61" i="89"/>
  <c r="AI61" i="89" s="1"/>
  <c r="AA65" i="89"/>
  <c r="AA66" i="89"/>
  <c r="AB66" i="89" s="1"/>
  <c r="AA67" i="89"/>
  <c r="AB67" i="89" s="1"/>
  <c r="AA68" i="89"/>
  <c r="AI68" i="89" s="1"/>
  <c r="AA69" i="89"/>
  <c r="AA70" i="89"/>
  <c r="AA71" i="89"/>
  <c r="AI71" i="89" s="1"/>
  <c r="AA75" i="89"/>
  <c r="AB75" i="89" s="1"/>
  <c r="AA76" i="89"/>
  <c r="AA77" i="89"/>
  <c r="AA78" i="89"/>
  <c r="AI78" i="89" s="1"/>
  <c r="AA79" i="89"/>
  <c r="AF79" i="89" s="1"/>
  <c r="AA80" i="89"/>
  <c r="AF80" i="89" s="1"/>
  <c r="AA82" i="89"/>
  <c r="AA83" i="89"/>
  <c r="AI83" i="89" s="1"/>
  <c r="AA85" i="89"/>
  <c r="AB85" i="89" s="1"/>
  <c r="AA86" i="89"/>
  <c r="AI86" i="89" s="1"/>
  <c r="AA87" i="89"/>
  <c r="AI87" i="89" s="1"/>
  <c r="AH87" i="89"/>
  <c r="AE87" i="89"/>
  <c r="AB87" i="89"/>
  <c r="AH83" i="89"/>
  <c r="AH85" i="89"/>
  <c r="AE83" i="89"/>
  <c r="AE85" i="89"/>
  <c r="AG82" i="89"/>
  <c r="AH84" i="89" s="1"/>
  <c r="AD82" i="89"/>
  <c r="AE84" i="89" s="1"/>
  <c r="O82" i="89"/>
  <c r="O84" i="89" s="1"/>
  <c r="P82" i="89"/>
  <c r="P84" i="89" s="1"/>
  <c r="Q82" i="89"/>
  <c r="Q84" i="89" s="1"/>
  <c r="R82" i="89"/>
  <c r="R84" i="89" s="1"/>
  <c r="S82" i="89"/>
  <c r="S84" i="89" s="1"/>
  <c r="T82" i="89"/>
  <c r="T84" i="89" s="1"/>
  <c r="U82" i="89"/>
  <c r="U84" i="89" s="1"/>
  <c r="V82" i="89"/>
  <c r="V84" i="89" s="1"/>
  <c r="W82" i="89"/>
  <c r="W84" i="89" s="1"/>
  <c r="X82" i="89"/>
  <c r="X84" i="89" s="1"/>
  <c r="Y82" i="89"/>
  <c r="Y84" i="89" s="1"/>
  <c r="Z82" i="89"/>
  <c r="Z84" i="89" s="1"/>
  <c r="AI77" i="89"/>
  <c r="AI80" i="89"/>
  <c r="AF76" i="89"/>
  <c r="AF77" i="89"/>
  <c r="AF78" i="89"/>
  <c r="AH75" i="89"/>
  <c r="AH76" i="89"/>
  <c r="AH77" i="89"/>
  <c r="AH78" i="89"/>
  <c r="AH79" i="89"/>
  <c r="AH80" i="89"/>
  <c r="AE74" i="89"/>
  <c r="AE75" i="89"/>
  <c r="AE76" i="89"/>
  <c r="AE77" i="89"/>
  <c r="AE78" i="89"/>
  <c r="AE79" i="89"/>
  <c r="AE80" i="89"/>
  <c r="AB77" i="89"/>
  <c r="AG73" i="89"/>
  <c r="AH74" i="89" s="1"/>
  <c r="AD73" i="89"/>
  <c r="O73" i="89"/>
  <c r="P73" i="89"/>
  <c r="P74" i="89" s="1"/>
  <c r="Q73" i="89"/>
  <c r="Q74" i="89" s="1"/>
  <c r="R73" i="89"/>
  <c r="R74" i="89" s="1"/>
  <c r="S73" i="89"/>
  <c r="S74" i="89" s="1"/>
  <c r="T73" i="89"/>
  <c r="T74" i="89" s="1"/>
  <c r="U73" i="89"/>
  <c r="U74" i="89" s="1"/>
  <c r="V73" i="89"/>
  <c r="V74" i="89" s="1"/>
  <c r="W73" i="89"/>
  <c r="X73" i="89"/>
  <c r="X74" i="89" s="1"/>
  <c r="Y73" i="89"/>
  <c r="Z73" i="89"/>
  <c r="O74" i="89"/>
  <c r="W74" i="89"/>
  <c r="Y74" i="89"/>
  <c r="Z74" i="89"/>
  <c r="AI65" i="89"/>
  <c r="AF68" i="89"/>
  <c r="AF69" i="89"/>
  <c r="AH71" i="89"/>
  <c r="AE71" i="89"/>
  <c r="AH65" i="89"/>
  <c r="AH66" i="89"/>
  <c r="AH67" i="89"/>
  <c r="AH68" i="89"/>
  <c r="AH69" i="89"/>
  <c r="AE65" i="89"/>
  <c r="AE66" i="89"/>
  <c r="AE67" i="89"/>
  <c r="AE68" i="89"/>
  <c r="AE69" i="89"/>
  <c r="AB68" i="89"/>
  <c r="AB69" i="89"/>
  <c r="AG63" i="89"/>
  <c r="AH64" i="89" s="1"/>
  <c r="AD63" i="89"/>
  <c r="AE64" i="89" s="1"/>
  <c r="O63" i="89"/>
  <c r="P63" i="89"/>
  <c r="Q63" i="89"/>
  <c r="R63" i="89"/>
  <c r="S63" i="89"/>
  <c r="S64" i="89" s="1"/>
  <c r="T63" i="89"/>
  <c r="T64" i="89" s="1"/>
  <c r="U63" i="89"/>
  <c r="U64" i="89" s="1"/>
  <c r="V63" i="89"/>
  <c r="V64" i="89" s="1"/>
  <c r="W63" i="89"/>
  <c r="X63" i="89"/>
  <c r="Y63" i="89"/>
  <c r="Y64" i="89" s="1"/>
  <c r="Z63" i="89"/>
  <c r="O64" i="89"/>
  <c r="P64" i="89"/>
  <c r="Q64" i="89"/>
  <c r="R64" i="89"/>
  <c r="W64" i="89"/>
  <c r="X64" i="89"/>
  <c r="Z64" i="89"/>
  <c r="AI55" i="89"/>
  <c r="AI56" i="89"/>
  <c r="AI57" i="89"/>
  <c r="AF55" i="89"/>
  <c r="AF56" i="89"/>
  <c r="AF57" i="89"/>
  <c r="AF60" i="89"/>
  <c r="AF61" i="89"/>
  <c r="AH61" i="89"/>
  <c r="AE61" i="89"/>
  <c r="AH55" i="89"/>
  <c r="AH56" i="89"/>
  <c r="AH57" i="89"/>
  <c r="AH58" i="89"/>
  <c r="AH59" i="89"/>
  <c r="AE55" i="89"/>
  <c r="AE56" i="89"/>
  <c r="AE57" i="89"/>
  <c r="AE58" i="89"/>
  <c r="AE59" i="89"/>
  <c r="AB55" i="89"/>
  <c r="AB56" i="89"/>
  <c r="AB57" i="89"/>
  <c r="AG53" i="89"/>
  <c r="AH54" i="89" s="1"/>
  <c r="AD53" i="89"/>
  <c r="AE54" i="89" s="1"/>
  <c r="O53" i="89"/>
  <c r="O54" i="89" s="1"/>
  <c r="P53" i="89"/>
  <c r="P54" i="89" s="1"/>
  <c r="Q53" i="89"/>
  <c r="R53" i="89"/>
  <c r="R54" i="89" s="1"/>
  <c r="S53" i="89"/>
  <c r="S54" i="89" s="1"/>
  <c r="T53" i="89"/>
  <c r="T54" i="89" s="1"/>
  <c r="U53" i="89"/>
  <c r="U54" i="89" s="1"/>
  <c r="V53" i="89"/>
  <c r="V54" i="89" s="1"/>
  <c r="W53" i="89"/>
  <c r="W54" i="89" s="1"/>
  <c r="X53" i="89"/>
  <c r="X54" i="89" s="1"/>
  <c r="Y53" i="89"/>
  <c r="Z53" i="89"/>
  <c r="Z54" i="89" s="1"/>
  <c r="Q54" i="89"/>
  <c r="Y54" i="89"/>
  <c r="AI45" i="89"/>
  <c r="AI46" i="89"/>
  <c r="AI47" i="89"/>
  <c r="AF45" i="89"/>
  <c r="AF46" i="89"/>
  <c r="AF47" i="89"/>
  <c r="AF49" i="89"/>
  <c r="AH51" i="89"/>
  <c r="AE51" i="89"/>
  <c r="AH45" i="89"/>
  <c r="AH46" i="89"/>
  <c r="AH47" i="89"/>
  <c r="AH48" i="89"/>
  <c r="AH49" i="89"/>
  <c r="AE45" i="89"/>
  <c r="AE46" i="89"/>
  <c r="AE47" i="89"/>
  <c r="AE48" i="89"/>
  <c r="AE49" i="89"/>
  <c r="AB45" i="89"/>
  <c r="AB46" i="89"/>
  <c r="AB47" i="89"/>
  <c r="AB49" i="89"/>
  <c r="AG43" i="89"/>
  <c r="AH44" i="89" s="1"/>
  <c r="AD43" i="89"/>
  <c r="AE44" i="89" s="1"/>
  <c r="O43" i="89"/>
  <c r="O44" i="89" s="1"/>
  <c r="P43" i="89"/>
  <c r="P44" i="89" s="1"/>
  <c r="Q43" i="89"/>
  <c r="Q44" i="89" s="1"/>
  <c r="R43" i="89"/>
  <c r="S43" i="89"/>
  <c r="S44" i="89" s="1"/>
  <c r="T43" i="89"/>
  <c r="T44" i="89" s="1"/>
  <c r="U43" i="89"/>
  <c r="V43" i="89"/>
  <c r="V44" i="89" s="1"/>
  <c r="W43" i="89"/>
  <c r="W44" i="89" s="1"/>
  <c r="X43" i="89"/>
  <c r="X44" i="89" s="1"/>
  <c r="Y43" i="89"/>
  <c r="Y44" i="89" s="1"/>
  <c r="Z43" i="89"/>
  <c r="R44" i="89"/>
  <c r="U44" i="89"/>
  <c r="Z44" i="89"/>
  <c r="AI35" i="89"/>
  <c r="AI36" i="89"/>
  <c r="AI37" i="89"/>
  <c r="AI42" i="89"/>
  <c r="AF35" i="89"/>
  <c r="AF36" i="89"/>
  <c r="AF37" i="89"/>
  <c r="AF42" i="89"/>
  <c r="AH41" i="89"/>
  <c r="AE41" i="89"/>
  <c r="AB41" i="89"/>
  <c r="AH35" i="89"/>
  <c r="AH36" i="89"/>
  <c r="AH37" i="89"/>
  <c r="AH38" i="89"/>
  <c r="AH39" i="89"/>
  <c r="AE35" i="89"/>
  <c r="AE36" i="89"/>
  <c r="AE37" i="89"/>
  <c r="AE38" i="89"/>
  <c r="AE39" i="89"/>
  <c r="AB36" i="89"/>
  <c r="AB38" i="89"/>
  <c r="AB39" i="89"/>
  <c r="AA31" i="89"/>
  <c r="AG17" i="89"/>
  <c r="AG18" i="89" s="1"/>
  <c r="AD16" i="89"/>
  <c r="AD17" i="89"/>
  <c r="AD18" i="89"/>
  <c r="G19" i="89"/>
  <c r="G20" i="89"/>
  <c r="AA19" i="89"/>
  <c r="AA20" i="89"/>
  <c r="AA16" i="89"/>
  <c r="AA17" i="89"/>
  <c r="Z16" i="89"/>
  <c r="AA11" i="89"/>
  <c r="AA18" i="89" s="1"/>
  <c r="M11" i="89"/>
  <c r="B10" i="89"/>
  <c r="B9" i="89"/>
  <c r="B4" i="89"/>
  <c r="N1" i="89"/>
  <c r="AG90" i="88"/>
  <c r="AD90" i="88"/>
  <c r="N90" i="88"/>
  <c r="O90" i="88"/>
  <c r="P90" i="88"/>
  <c r="Q90" i="88"/>
  <c r="R90" i="88"/>
  <c r="S90" i="88"/>
  <c r="T90" i="88"/>
  <c r="U90" i="88"/>
  <c r="V90" i="88"/>
  <c r="W90" i="88"/>
  <c r="X90" i="88"/>
  <c r="Y90" i="88"/>
  <c r="Z90" i="88"/>
  <c r="N91" i="88"/>
  <c r="AH87" i="88"/>
  <c r="AK87" i="88"/>
  <c r="AL87" i="88"/>
  <c r="AH88" i="88"/>
  <c r="AI88" i="88"/>
  <c r="AK88" i="88"/>
  <c r="AL88" i="88"/>
  <c r="AE87" i="88"/>
  <c r="AE88" i="88"/>
  <c r="AA87" i="88"/>
  <c r="AI87" i="88" s="1"/>
  <c r="AA88" i="88"/>
  <c r="AF88" i="88" s="1"/>
  <c r="AB88" i="88"/>
  <c r="AH83" i="88"/>
  <c r="AK83" i="88"/>
  <c r="AL83" i="88"/>
  <c r="AH84" i="88"/>
  <c r="AI84" i="88"/>
  <c r="AK84" i="88"/>
  <c r="AL84" i="88"/>
  <c r="AH85" i="88"/>
  <c r="AK85" i="88"/>
  <c r="AL85" i="88"/>
  <c r="AE83" i="88"/>
  <c r="AE84" i="88"/>
  <c r="AF84" i="88"/>
  <c r="AE85" i="88"/>
  <c r="AF85" i="88"/>
  <c r="AA83" i="88"/>
  <c r="AB83" i="88" s="1"/>
  <c r="AA84" i="88"/>
  <c r="AB84" i="88" s="1"/>
  <c r="AA85" i="88"/>
  <c r="AI85" i="88" s="1"/>
  <c r="AB85" i="88"/>
  <c r="AM85" i="88" s="1"/>
  <c r="K83" i="88"/>
  <c r="K84" i="88"/>
  <c r="AH76" i="88"/>
  <c r="AK76" i="88"/>
  <c r="AL76" i="88"/>
  <c r="AH77" i="88"/>
  <c r="AK77" i="88"/>
  <c r="AL77" i="88"/>
  <c r="AH78" i="88"/>
  <c r="AK78" i="88"/>
  <c r="AL78" i="88"/>
  <c r="AH79" i="88"/>
  <c r="AI79" i="88"/>
  <c r="AK79" i="88"/>
  <c r="AL79" i="88"/>
  <c r="AH80" i="88"/>
  <c r="AK80" i="88"/>
  <c r="AL80" i="88"/>
  <c r="AE76" i="88"/>
  <c r="AE77" i="88"/>
  <c r="AE78" i="88"/>
  <c r="AE79" i="88"/>
  <c r="AE80" i="88"/>
  <c r="AA76" i="88"/>
  <c r="AA77" i="88"/>
  <c r="AF77" i="88" s="1"/>
  <c r="AB77" i="88"/>
  <c r="AM77" i="88" s="1"/>
  <c r="AA78" i="88"/>
  <c r="AA79" i="88"/>
  <c r="AA80" i="88"/>
  <c r="K76" i="88"/>
  <c r="K77" i="88"/>
  <c r="K78" i="88"/>
  <c r="K79" i="88"/>
  <c r="K80" i="88"/>
  <c r="AD72" i="88"/>
  <c r="AE72" i="88" s="1"/>
  <c r="AG72" i="88"/>
  <c r="AG91" i="88" s="1"/>
  <c r="O72" i="88"/>
  <c r="P72" i="88"/>
  <c r="P91" i="88" s="1"/>
  <c r="Q72" i="88"/>
  <c r="Q91" i="88" s="1"/>
  <c r="R72" i="88"/>
  <c r="R91" i="88" s="1"/>
  <c r="S72" i="88"/>
  <c r="S91" i="88" s="1"/>
  <c r="T72" i="88"/>
  <c r="T91" i="88" s="1"/>
  <c r="U72" i="88"/>
  <c r="U91" i="88" s="1"/>
  <c r="V72" i="88"/>
  <c r="V91" i="88" s="1"/>
  <c r="W72" i="88"/>
  <c r="W91" i="88" s="1"/>
  <c r="X72" i="88"/>
  <c r="X91" i="88" s="1"/>
  <c r="Y72" i="88"/>
  <c r="Y91" i="88" s="1"/>
  <c r="Z72" i="88"/>
  <c r="Z91" i="88" s="1"/>
  <c r="AI71" i="88"/>
  <c r="K71" i="88"/>
  <c r="K72" i="88"/>
  <c r="AA62" i="88"/>
  <c r="AA63" i="88"/>
  <c r="AA64" i="88"/>
  <c r="AI64" i="88" s="1"/>
  <c r="AA65" i="88"/>
  <c r="AA66" i="88"/>
  <c r="AF66" i="88" s="1"/>
  <c r="AA67" i="88"/>
  <c r="AA68" i="88"/>
  <c r="AF68" i="88" s="1"/>
  <c r="AA69" i="88"/>
  <c r="AA70" i="88"/>
  <c r="AI62" i="88"/>
  <c r="AK62" i="88"/>
  <c r="AL62" i="88"/>
  <c r="AM62" i="88"/>
  <c r="AN62" i="88"/>
  <c r="AI63" i="88"/>
  <c r="AK63" i="88"/>
  <c r="AL63" i="88"/>
  <c r="AM63" i="88"/>
  <c r="AN63" i="88"/>
  <c r="AK64" i="88"/>
  <c r="AL64" i="88"/>
  <c r="AM64" i="88"/>
  <c r="AN64" i="88"/>
  <c r="AI65" i="88"/>
  <c r="AK65" i="88"/>
  <c r="AL65" i="88"/>
  <c r="AM65" i="88"/>
  <c r="AN65" i="88"/>
  <c r="AI66" i="88"/>
  <c r="AK66" i="88"/>
  <c r="AL66" i="88"/>
  <c r="AM66" i="88"/>
  <c r="AN66" i="88"/>
  <c r="AK67" i="88"/>
  <c r="AL67" i="88"/>
  <c r="AM67" i="88"/>
  <c r="AN67" i="88"/>
  <c r="AI68" i="88"/>
  <c r="AK68" i="88"/>
  <c r="AL68" i="88"/>
  <c r="AM68" i="88"/>
  <c r="AN68" i="88"/>
  <c r="AK69" i="88"/>
  <c r="AL69" i="88"/>
  <c r="AM69" i="88"/>
  <c r="AN69" i="88"/>
  <c r="AI70" i="88"/>
  <c r="AK70" i="88"/>
  <c r="AL70" i="88"/>
  <c r="AM70" i="88"/>
  <c r="AN70" i="88"/>
  <c r="AF62" i="88"/>
  <c r="AF64" i="88"/>
  <c r="AF65" i="88"/>
  <c r="AF70" i="88"/>
  <c r="AF71" i="88"/>
  <c r="K62" i="88"/>
  <c r="K63" i="88"/>
  <c r="K64" i="88"/>
  <c r="K65" i="88"/>
  <c r="K66" i="88"/>
  <c r="K67" i="88"/>
  <c r="K68" i="88"/>
  <c r="K69" i="88"/>
  <c r="K70" i="88"/>
  <c r="B62" i="88"/>
  <c r="AH35" i="88"/>
  <c r="AK35" i="88"/>
  <c r="AL35" i="88"/>
  <c r="AH36" i="88"/>
  <c r="AI36" i="88"/>
  <c r="AK36" i="88"/>
  <c r="AL36" i="88"/>
  <c r="AH37" i="88"/>
  <c r="AJ37" i="88"/>
  <c r="AK37" i="88"/>
  <c r="AL37" i="88"/>
  <c r="AH38" i="88"/>
  <c r="AK38" i="88"/>
  <c r="AL38" i="88"/>
  <c r="AH39" i="88"/>
  <c r="AK39" i="88"/>
  <c r="AL39" i="88"/>
  <c r="AH40" i="88"/>
  <c r="AK40" i="88"/>
  <c r="AL40" i="88"/>
  <c r="AH41" i="88"/>
  <c r="AK41" i="88"/>
  <c r="AL41" i="88"/>
  <c r="AH42" i="88"/>
  <c r="AK42" i="88"/>
  <c r="AL42" i="88"/>
  <c r="AH43" i="88"/>
  <c r="AK43" i="88"/>
  <c r="AL43" i="88"/>
  <c r="AH44" i="88"/>
  <c r="AI44" i="88"/>
  <c r="AK44" i="88"/>
  <c r="AL44" i="88"/>
  <c r="AH45" i="88"/>
  <c r="AK45" i="88"/>
  <c r="AL45" i="88"/>
  <c r="AH46" i="88"/>
  <c r="AK46" i="88"/>
  <c r="AL46" i="88"/>
  <c r="AH47" i="88"/>
  <c r="AK47" i="88"/>
  <c r="AL47" i="88"/>
  <c r="AH48" i="88"/>
  <c r="AK48" i="88"/>
  <c r="AL48" i="88"/>
  <c r="AH49" i="88"/>
  <c r="AK49" i="88"/>
  <c r="AL49" i="88"/>
  <c r="AH50" i="88"/>
  <c r="AK50" i="88"/>
  <c r="AL50" i="88"/>
  <c r="AH51" i="88"/>
  <c r="AK51" i="88"/>
  <c r="AL51" i="88"/>
  <c r="AH52" i="88"/>
  <c r="AK52" i="88"/>
  <c r="AL52" i="88"/>
  <c r="AH53" i="88"/>
  <c r="AJ53" i="88"/>
  <c r="AK53" i="88"/>
  <c r="AL53" i="88"/>
  <c r="AH54" i="88"/>
  <c r="AK54" i="88"/>
  <c r="AL54" i="88"/>
  <c r="AH55" i="88"/>
  <c r="AK55" i="88"/>
  <c r="AL55" i="88"/>
  <c r="AH56" i="88"/>
  <c r="AI56" i="88"/>
  <c r="AK56" i="88"/>
  <c r="AL56" i="88"/>
  <c r="AH57" i="88"/>
  <c r="AK57" i="88"/>
  <c r="AL57" i="88"/>
  <c r="AH58" i="88"/>
  <c r="AK58" i="88"/>
  <c r="AL58" i="88"/>
  <c r="AE35" i="88"/>
  <c r="AE36" i="88"/>
  <c r="AE37" i="88"/>
  <c r="AE38" i="88"/>
  <c r="AE39" i="88"/>
  <c r="AE40" i="88"/>
  <c r="AE41" i="88"/>
  <c r="AE42" i="88"/>
  <c r="AE43" i="88"/>
  <c r="AE44" i="88"/>
  <c r="AE45" i="88"/>
  <c r="AE46" i="88"/>
  <c r="AE47" i="88"/>
  <c r="AE48" i="88"/>
  <c r="AE49" i="88"/>
  <c r="AE50" i="88"/>
  <c r="AE51" i="88"/>
  <c r="AE52" i="88"/>
  <c r="AE53" i="88"/>
  <c r="AE54" i="88"/>
  <c r="AE55" i="88"/>
  <c r="AE56" i="88"/>
  <c r="AE57" i="88"/>
  <c r="AE58" i="88"/>
  <c r="AA35" i="88"/>
  <c r="AA36" i="88"/>
  <c r="AF36" i="88" s="1"/>
  <c r="AA37" i="88"/>
  <c r="AF37" i="88" s="1"/>
  <c r="AA38" i="88"/>
  <c r="AI38" i="88" s="1"/>
  <c r="AA39" i="88"/>
  <c r="AI39" i="88" s="1"/>
  <c r="AA40" i="88"/>
  <c r="AA41" i="88"/>
  <c r="AI41" i="88" s="1"/>
  <c r="AA42" i="88"/>
  <c r="AI42" i="88" s="1"/>
  <c r="AA43" i="88"/>
  <c r="AA44" i="88"/>
  <c r="AF44" i="88" s="1"/>
  <c r="AA45" i="88"/>
  <c r="AF45" i="88" s="1"/>
  <c r="AA46" i="88"/>
  <c r="AI46" i="88" s="1"/>
  <c r="AA47" i="88"/>
  <c r="AI47" i="88" s="1"/>
  <c r="AA48" i="88"/>
  <c r="AF48" i="88" s="1"/>
  <c r="AA49" i="88"/>
  <c r="AI49" i="88" s="1"/>
  <c r="AA50" i="88"/>
  <c r="AI50" i="88" s="1"/>
  <c r="AA51" i="88"/>
  <c r="AA52" i="88"/>
  <c r="AF52" i="88" s="1"/>
  <c r="AA53" i="88"/>
  <c r="AF53" i="88" s="1"/>
  <c r="AA54" i="88"/>
  <c r="AI54" i="88" s="1"/>
  <c r="AA55" i="88"/>
  <c r="AI55" i="88" s="1"/>
  <c r="AA56" i="88"/>
  <c r="AF56" i="88" s="1"/>
  <c r="AA57" i="88"/>
  <c r="AI57" i="88" s="1"/>
  <c r="AA58" i="88"/>
  <c r="AI58" i="88" s="1"/>
  <c r="K35" i="88"/>
  <c r="K36" i="88"/>
  <c r="K37" i="88"/>
  <c r="K38" i="88"/>
  <c r="K39" i="88"/>
  <c r="K40" i="88"/>
  <c r="K41" i="88"/>
  <c r="K42" i="88"/>
  <c r="K43" i="88"/>
  <c r="K44" i="88"/>
  <c r="K45" i="88"/>
  <c r="K46" i="88"/>
  <c r="K47" i="88"/>
  <c r="K48" i="88"/>
  <c r="K49" i="88"/>
  <c r="K50" i="88"/>
  <c r="K51" i="88"/>
  <c r="K52" i="88"/>
  <c r="K53" i="88"/>
  <c r="K54" i="88"/>
  <c r="K55" i="88"/>
  <c r="K56" i="88"/>
  <c r="K57" i="88"/>
  <c r="K58" i="88"/>
  <c r="AJ32" i="88"/>
  <c r="AK32" i="88"/>
  <c r="AL32" i="88"/>
  <c r="AM31" i="88"/>
  <c r="AN31" i="88"/>
  <c r="AA31" i="88"/>
  <c r="B29" i="88"/>
  <c r="AG17" i="88"/>
  <c r="AG18" i="88" s="1"/>
  <c r="AD16" i="88"/>
  <c r="AD17" i="88"/>
  <c r="AD18" i="88" s="1"/>
  <c r="G19" i="88"/>
  <c r="G20" i="88"/>
  <c r="AA19" i="88"/>
  <c r="AA20" i="88"/>
  <c r="AJ84" i="88" s="1"/>
  <c r="Z16" i="88"/>
  <c r="AA16" i="88"/>
  <c r="AA17" i="88"/>
  <c r="AA11" i="88" s="1"/>
  <c r="M11" i="88"/>
  <c r="B10" i="88"/>
  <c r="B9" i="88"/>
  <c r="B4" i="88"/>
  <c r="H2" i="88"/>
  <c r="AG143" i="87"/>
  <c r="AG144" i="87"/>
  <c r="AG145" i="87"/>
  <c r="AG146" i="87"/>
  <c r="AD143" i="87"/>
  <c r="AD144" i="87"/>
  <c r="AD145" i="87"/>
  <c r="AD146" i="87"/>
  <c r="N143" i="87"/>
  <c r="N144" i="87"/>
  <c r="N145" i="87"/>
  <c r="O143" i="87"/>
  <c r="P143" i="87"/>
  <c r="Q143" i="87"/>
  <c r="R143" i="87"/>
  <c r="S143" i="87"/>
  <c r="T143" i="87"/>
  <c r="U143" i="87"/>
  <c r="V143" i="87"/>
  <c r="W143" i="87"/>
  <c r="X143" i="87"/>
  <c r="Y143" i="87"/>
  <c r="Z143" i="87"/>
  <c r="O144" i="87"/>
  <c r="P144" i="87"/>
  <c r="Q144" i="87"/>
  <c r="R144" i="87"/>
  <c r="S144" i="87"/>
  <c r="T144" i="87"/>
  <c r="U144" i="87"/>
  <c r="V144" i="87"/>
  <c r="W144" i="87"/>
  <c r="X144" i="87"/>
  <c r="Y144" i="87"/>
  <c r="Z144" i="87"/>
  <c r="O145" i="87"/>
  <c r="P145" i="87"/>
  <c r="Q145" i="87"/>
  <c r="R145" i="87"/>
  <c r="S145" i="87"/>
  <c r="T145" i="87"/>
  <c r="U145" i="87"/>
  <c r="V145" i="87"/>
  <c r="W145" i="87"/>
  <c r="X145" i="87"/>
  <c r="Y145" i="87"/>
  <c r="Z145" i="87"/>
  <c r="O146" i="87"/>
  <c r="P146" i="87"/>
  <c r="Q146" i="87"/>
  <c r="R146" i="87"/>
  <c r="S146" i="87"/>
  <c r="T146" i="87"/>
  <c r="U146" i="87"/>
  <c r="V146" i="87"/>
  <c r="W146" i="87"/>
  <c r="X146" i="87"/>
  <c r="Y146" i="87"/>
  <c r="Z146" i="87"/>
  <c r="AI131" i="87"/>
  <c r="AI133" i="87"/>
  <c r="AI134" i="87"/>
  <c r="AI135" i="87"/>
  <c r="AI136" i="87"/>
  <c r="AI137" i="87"/>
  <c r="AI139" i="87"/>
  <c r="AG141" i="87"/>
  <c r="AD141" i="87"/>
  <c r="O141" i="87"/>
  <c r="P141" i="87"/>
  <c r="Q141" i="87"/>
  <c r="R141" i="87"/>
  <c r="S141" i="87"/>
  <c r="T141" i="87"/>
  <c r="U141" i="87"/>
  <c r="V141" i="87"/>
  <c r="W141" i="87"/>
  <c r="X141" i="87"/>
  <c r="Y141" i="87"/>
  <c r="Z141" i="87"/>
  <c r="AF140" i="87"/>
  <c r="AA140" i="87"/>
  <c r="AI140" i="87" s="1"/>
  <c r="AF131" i="87"/>
  <c r="AF133" i="87"/>
  <c r="AF135" i="87"/>
  <c r="AF136" i="87"/>
  <c r="AF137" i="87"/>
  <c r="AF139" i="87"/>
  <c r="AA138" i="87"/>
  <c r="AF138" i="87" s="1"/>
  <c r="AA136" i="87"/>
  <c r="AA134" i="87"/>
  <c r="AF134" i="87" s="1"/>
  <c r="AA132" i="87"/>
  <c r="AI132" i="87" s="1"/>
  <c r="AA130" i="87"/>
  <c r="AF130" i="87" s="1"/>
  <c r="AG121" i="87"/>
  <c r="AH121" i="87" s="1"/>
  <c r="AG122" i="87"/>
  <c r="AG123" i="87"/>
  <c r="AH123" i="87" s="1"/>
  <c r="AG124" i="87"/>
  <c r="AH124" i="87" s="1"/>
  <c r="AG125" i="87"/>
  <c r="AD121" i="87"/>
  <c r="AD122" i="87"/>
  <c r="AD123" i="87"/>
  <c r="AE123" i="87" s="1"/>
  <c r="AD124" i="87"/>
  <c r="AE124" i="87" s="1"/>
  <c r="AD125" i="87"/>
  <c r="P127" i="87"/>
  <c r="AH125" i="87"/>
  <c r="AE121" i="87"/>
  <c r="AE122" i="87"/>
  <c r="AE125" i="87"/>
  <c r="O121" i="87"/>
  <c r="P121" i="87"/>
  <c r="Q121" i="87"/>
  <c r="R121" i="87"/>
  <c r="S121" i="87"/>
  <c r="S126" i="87" s="1"/>
  <c r="S127" i="87" s="1"/>
  <c r="T121" i="87"/>
  <c r="U121" i="87"/>
  <c r="V121" i="87"/>
  <c r="W121" i="87"/>
  <c r="X121" i="87"/>
  <c r="Y121" i="87"/>
  <c r="Z121" i="87"/>
  <c r="AA121" i="87"/>
  <c r="AF121" i="87" s="1"/>
  <c r="O122" i="87"/>
  <c r="P122" i="87"/>
  <c r="Q122" i="87"/>
  <c r="R122" i="87"/>
  <c r="S122" i="87"/>
  <c r="T122" i="87"/>
  <c r="U122" i="87"/>
  <c r="V122" i="87"/>
  <c r="W122" i="87"/>
  <c r="X122" i="87"/>
  <c r="X126" i="87" s="1"/>
  <c r="X127" i="87" s="1"/>
  <c r="Y122" i="87"/>
  <c r="Z122" i="87"/>
  <c r="O123" i="87"/>
  <c r="P123" i="87"/>
  <c r="Q123" i="87"/>
  <c r="R123" i="87"/>
  <c r="S123" i="87"/>
  <c r="T123" i="87"/>
  <c r="U123" i="87"/>
  <c r="V123" i="87"/>
  <c r="W123" i="87"/>
  <c r="X123" i="87"/>
  <c r="Y123" i="87"/>
  <c r="Z123" i="87"/>
  <c r="O124" i="87"/>
  <c r="P124" i="87"/>
  <c r="Q124" i="87"/>
  <c r="R124" i="87"/>
  <c r="S124" i="87"/>
  <c r="T124" i="87"/>
  <c r="U124" i="87"/>
  <c r="V124" i="87"/>
  <c r="W124" i="87"/>
  <c r="X124" i="87"/>
  <c r="Y124" i="87"/>
  <c r="Y126" i="87" s="1"/>
  <c r="Y127" i="87" s="1"/>
  <c r="Z124" i="87"/>
  <c r="O125" i="87"/>
  <c r="P125" i="87"/>
  <c r="Q125" i="87"/>
  <c r="R125" i="87"/>
  <c r="S125" i="87"/>
  <c r="T125" i="87"/>
  <c r="U125" i="87"/>
  <c r="V125" i="87"/>
  <c r="W125" i="87"/>
  <c r="X125" i="87"/>
  <c r="Y125" i="87"/>
  <c r="Z125" i="87"/>
  <c r="P126" i="87"/>
  <c r="U126" i="87"/>
  <c r="U127" i="87" s="1"/>
  <c r="AH114" i="87"/>
  <c r="AH115" i="87"/>
  <c r="AH116" i="87"/>
  <c r="AH117" i="87"/>
  <c r="AH118" i="87"/>
  <c r="AH119" i="87"/>
  <c r="AE114" i="87"/>
  <c r="AE115" i="87"/>
  <c r="AE116" i="87"/>
  <c r="AE117" i="87"/>
  <c r="AF117" i="87"/>
  <c r="AE118" i="87"/>
  <c r="AE119" i="87"/>
  <c r="AA114" i="87"/>
  <c r="AI114" i="87" s="1"/>
  <c r="AA115" i="87"/>
  <c r="AF115" i="87" s="1"/>
  <c r="AA116" i="87"/>
  <c r="AF116" i="87" s="1"/>
  <c r="AA117" i="87"/>
  <c r="AI117" i="87" s="1"/>
  <c r="AA118" i="87"/>
  <c r="AI118" i="87" s="1"/>
  <c r="AA119" i="87"/>
  <c r="AF119" i="87" s="1"/>
  <c r="AH106" i="87"/>
  <c r="AH107" i="87"/>
  <c r="AH108" i="87"/>
  <c r="AH109" i="87"/>
  <c r="AH110" i="87"/>
  <c r="AH111" i="87"/>
  <c r="AE106" i="87"/>
  <c r="AE107" i="87"/>
  <c r="AF107" i="87"/>
  <c r="AE108" i="87"/>
  <c r="AE109" i="87"/>
  <c r="AE110" i="87"/>
  <c r="AE111" i="87"/>
  <c r="AA106" i="87"/>
  <c r="AF106" i="87" s="1"/>
  <c r="AA107" i="87"/>
  <c r="AI107" i="87" s="1"/>
  <c r="AA108" i="87"/>
  <c r="AI108" i="87" s="1"/>
  <c r="AA109" i="87"/>
  <c r="AF109" i="87" s="1"/>
  <c r="AA110" i="87"/>
  <c r="AF110" i="87" s="1"/>
  <c r="AA111" i="87"/>
  <c r="AH98" i="87"/>
  <c r="AH99" i="87"/>
  <c r="AH100" i="87"/>
  <c r="AH101" i="87"/>
  <c r="AH102" i="87"/>
  <c r="AH103" i="87"/>
  <c r="AE98" i="87"/>
  <c r="AE99" i="87"/>
  <c r="AE100" i="87"/>
  <c r="AE101" i="87"/>
  <c r="AF101" i="87"/>
  <c r="AE102" i="87"/>
  <c r="AE103" i="87"/>
  <c r="AA98" i="87"/>
  <c r="AI98" i="87" s="1"/>
  <c r="AA99" i="87"/>
  <c r="AF99" i="87" s="1"/>
  <c r="AA100" i="87"/>
  <c r="AF100" i="87" s="1"/>
  <c r="AA101" i="87"/>
  <c r="AI101" i="87" s="1"/>
  <c r="AA102" i="87"/>
  <c r="AI102" i="87" s="1"/>
  <c r="AA103" i="87"/>
  <c r="AF103" i="87" s="1"/>
  <c r="AI91" i="87"/>
  <c r="AD93" i="87"/>
  <c r="AD94" i="87"/>
  <c r="AG93" i="87"/>
  <c r="AG94" i="87"/>
  <c r="O93" i="87"/>
  <c r="P93" i="87"/>
  <c r="Q93" i="87"/>
  <c r="R93" i="87"/>
  <c r="S93" i="87"/>
  <c r="T93" i="87"/>
  <c r="U93" i="87"/>
  <c r="V93" i="87"/>
  <c r="W93" i="87"/>
  <c r="X93" i="87"/>
  <c r="Y93" i="87"/>
  <c r="Z93" i="87"/>
  <c r="O94" i="87"/>
  <c r="P94" i="87"/>
  <c r="Q94" i="87"/>
  <c r="R94" i="87"/>
  <c r="S94" i="87"/>
  <c r="T94" i="87"/>
  <c r="U94" i="87"/>
  <c r="V94" i="87"/>
  <c r="W94" i="87"/>
  <c r="X94" i="87"/>
  <c r="Y94" i="87"/>
  <c r="Z94" i="87"/>
  <c r="AA91" i="87"/>
  <c r="AF91" i="87" s="1"/>
  <c r="AA92" i="87"/>
  <c r="AI92" i="87" s="1"/>
  <c r="AI85" i="87"/>
  <c r="AF85" i="87"/>
  <c r="AA35" i="87"/>
  <c r="AA36" i="87"/>
  <c r="AA37" i="87"/>
  <c r="AA38" i="87"/>
  <c r="AF38" i="87" s="1"/>
  <c r="AA39" i="87"/>
  <c r="AA40" i="87"/>
  <c r="AF40" i="87" s="1"/>
  <c r="AA41" i="87"/>
  <c r="AA45" i="87"/>
  <c r="AI45" i="87" s="1"/>
  <c r="AA46" i="87"/>
  <c r="AA47" i="87"/>
  <c r="AB47" i="87" s="1"/>
  <c r="AA48" i="87"/>
  <c r="AA49" i="87"/>
  <c r="AA50" i="87"/>
  <c r="AF50" i="87" s="1"/>
  <c r="AA51" i="87"/>
  <c r="AB51" i="87" s="1"/>
  <c r="AA55" i="87"/>
  <c r="AI55" i="87" s="1"/>
  <c r="AA56" i="87"/>
  <c r="AI56" i="87" s="1"/>
  <c r="AA57" i="87"/>
  <c r="AA58" i="87"/>
  <c r="AA59" i="87"/>
  <c r="AA60" i="87"/>
  <c r="AF60" i="87" s="1"/>
  <c r="AA61" i="87"/>
  <c r="AA63" i="87"/>
  <c r="AA65" i="87"/>
  <c r="AB65" i="87" s="1"/>
  <c r="AA66" i="87"/>
  <c r="AF66" i="87" s="1"/>
  <c r="AA67" i="87"/>
  <c r="AA68" i="87"/>
  <c r="AA69" i="87"/>
  <c r="AA70" i="87"/>
  <c r="AA71" i="87"/>
  <c r="AA72" i="87" s="1"/>
  <c r="AA75" i="87"/>
  <c r="AB75" i="87" s="1"/>
  <c r="AA76" i="87"/>
  <c r="AI76" i="87" s="1"/>
  <c r="AA77" i="87"/>
  <c r="AI77" i="87" s="1"/>
  <c r="AA78" i="87"/>
  <c r="AA79" i="87"/>
  <c r="AI79" i="87" s="1"/>
  <c r="AA80" i="87"/>
  <c r="AF80" i="87" s="1"/>
  <c r="AA83" i="87"/>
  <c r="AF83" i="87" s="1"/>
  <c r="AA85" i="87"/>
  <c r="AA86" i="87"/>
  <c r="AA87" i="87"/>
  <c r="AI87" i="87" s="1"/>
  <c r="AH87" i="87"/>
  <c r="AE87" i="87"/>
  <c r="AH83" i="87"/>
  <c r="AH85" i="87"/>
  <c r="AE83" i="87"/>
  <c r="AE85" i="87"/>
  <c r="AB85" i="87"/>
  <c r="O84" i="87"/>
  <c r="Q84" i="87"/>
  <c r="S84" i="87"/>
  <c r="Y84" i="87"/>
  <c r="AI83" i="87"/>
  <c r="AG82" i="87"/>
  <c r="AH84" i="87" s="1"/>
  <c r="AD82" i="87"/>
  <c r="AE84" i="87" s="1"/>
  <c r="O82" i="87"/>
  <c r="P82" i="87"/>
  <c r="P84" i="87" s="1"/>
  <c r="Q82" i="87"/>
  <c r="R82" i="87"/>
  <c r="R84" i="87" s="1"/>
  <c r="S82" i="87"/>
  <c r="T82" i="87"/>
  <c r="T84" i="87" s="1"/>
  <c r="U82" i="87"/>
  <c r="U84" i="87" s="1"/>
  <c r="V82" i="87"/>
  <c r="V84" i="87" s="1"/>
  <c r="W82" i="87"/>
  <c r="W84" i="87" s="1"/>
  <c r="X82" i="87"/>
  <c r="X84" i="87" s="1"/>
  <c r="Y82" i="87"/>
  <c r="Z82" i="87"/>
  <c r="Z84" i="87" s="1"/>
  <c r="AF76" i="87"/>
  <c r="AF77" i="87"/>
  <c r="AH75" i="87"/>
  <c r="AH76" i="87"/>
  <c r="AH77" i="87"/>
  <c r="AH78" i="87"/>
  <c r="AH79" i="87"/>
  <c r="AH80" i="87"/>
  <c r="AE75" i="87"/>
  <c r="AE76" i="87"/>
  <c r="AE77" i="87"/>
  <c r="AE78" i="87"/>
  <c r="AE79" i="87"/>
  <c r="AE80" i="87"/>
  <c r="AB77" i="87"/>
  <c r="AG73" i="87"/>
  <c r="AH74" i="87" s="1"/>
  <c r="AD73" i="87"/>
  <c r="AE74" i="87" s="1"/>
  <c r="O73" i="87"/>
  <c r="P73" i="87"/>
  <c r="Q73" i="87"/>
  <c r="R73" i="87"/>
  <c r="R74" i="87" s="1"/>
  <c r="S73" i="87"/>
  <c r="S74" i="87" s="1"/>
  <c r="T73" i="87"/>
  <c r="T74" i="87" s="1"/>
  <c r="U73" i="87"/>
  <c r="U74" i="87" s="1"/>
  <c r="V73" i="87"/>
  <c r="W73" i="87"/>
  <c r="X73" i="87"/>
  <c r="Y73" i="87"/>
  <c r="Z73" i="87"/>
  <c r="Z74" i="87" s="1"/>
  <c r="O74" i="87"/>
  <c r="P74" i="87"/>
  <c r="Q74" i="87"/>
  <c r="V74" i="87"/>
  <c r="W74" i="87"/>
  <c r="X74" i="87"/>
  <c r="Y74" i="87"/>
  <c r="AI66" i="87"/>
  <c r="AI68" i="87"/>
  <c r="AI69" i="87"/>
  <c r="AI70" i="87"/>
  <c r="AF68" i="87"/>
  <c r="AF69" i="87"/>
  <c r="AF70" i="87"/>
  <c r="AH71" i="87"/>
  <c r="AE71" i="87"/>
  <c r="AH65" i="87"/>
  <c r="AH66" i="87"/>
  <c r="AH67" i="87"/>
  <c r="AH68" i="87"/>
  <c r="AH69" i="87"/>
  <c r="AE65" i="87"/>
  <c r="AE66" i="87"/>
  <c r="AE67" i="87"/>
  <c r="AE68" i="87"/>
  <c r="AE69" i="87"/>
  <c r="AB68" i="87"/>
  <c r="AB69" i="87"/>
  <c r="AG63" i="87"/>
  <c r="AH64" i="87" s="1"/>
  <c r="AD63" i="87"/>
  <c r="AE64" i="87" s="1"/>
  <c r="O63" i="87"/>
  <c r="O64" i="87" s="1"/>
  <c r="P63" i="87"/>
  <c r="Q63" i="87"/>
  <c r="R63" i="87"/>
  <c r="S63" i="87"/>
  <c r="S64" i="87" s="1"/>
  <c r="T63" i="87"/>
  <c r="T64" i="87" s="1"/>
  <c r="U63" i="87"/>
  <c r="U64" i="87" s="1"/>
  <c r="V63" i="87"/>
  <c r="V64" i="87" s="1"/>
  <c r="W63" i="87"/>
  <c r="W64" i="87" s="1"/>
  <c r="X63" i="87"/>
  <c r="Y63" i="87"/>
  <c r="Z63" i="87"/>
  <c r="P64" i="87"/>
  <c r="Q64" i="87"/>
  <c r="R64" i="87"/>
  <c r="X64" i="87"/>
  <c r="Y64" i="87"/>
  <c r="Z64" i="87"/>
  <c r="AI58" i="87"/>
  <c r="AI60" i="87"/>
  <c r="AI61" i="87"/>
  <c r="AF58" i="87"/>
  <c r="AF61" i="87"/>
  <c r="AH61" i="87"/>
  <c r="AE61" i="87"/>
  <c r="AB61" i="87"/>
  <c r="AH55" i="87"/>
  <c r="AH56" i="87"/>
  <c r="AH57" i="87"/>
  <c r="AH58" i="87"/>
  <c r="AH59" i="87"/>
  <c r="AE55" i="87"/>
  <c r="AE56" i="87"/>
  <c r="AE57" i="87"/>
  <c r="AE58" i="87"/>
  <c r="AE59" i="87"/>
  <c r="AB58" i="87"/>
  <c r="AG53" i="87"/>
  <c r="AH54" i="87" s="1"/>
  <c r="AD53" i="87"/>
  <c r="AE54" i="87" s="1"/>
  <c r="O53" i="87"/>
  <c r="O54" i="87" s="1"/>
  <c r="P53" i="87"/>
  <c r="P54" i="87" s="1"/>
  <c r="Q53" i="87"/>
  <c r="Q54" i="87" s="1"/>
  <c r="R53" i="87"/>
  <c r="S53" i="87"/>
  <c r="T53" i="87"/>
  <c r="T54" i="87" s="1"/>
  <c r="U53" i="87"/>
  <c r="U54" i="87" s="1"/>
  <c r="V53" i="87"/>
  <c r="V54" i="87" s="1"/>
  <c r="W53" i="87"/>
  <c r="W54" i="87" s="1"/>
  <c r="X53" i="87"/>
  <c r="Y53" i="87"/>
  <c r="Y54" i="87" s="1"/>
  <c r="Z53" i="87"/>
  <c r="R54" i="87"/>
  <c r="S54" i="87"/>
  <c r="X54" i="87"/>
  <c r="Z54" i="87"/>
  <c r="AI48" i="87"/>
  <c r="AI49" i="87"/>
  <c r="AI50" i="87"/>
  <c r="AF45" i="87"/>
  <c r="AF48" i="87"/>
  <c r="AH51" i="87"/>
  <c r="AE51" i="87"/>
  <c r="AH44" i="87"/>
  <c r="AH45" i="87"/>
  <c r="AH46" i="87"/>
  <c r="AH47" i="87"/>
  <c r="AH48" i="87"/>
  <c r="AH49" i="87"/>
  <c r="AE45" i="87"/>
  <c r="AE46" i="87"/>
  <c r="AE47" i="87"/>
  <c r="AE48" i="87"/>
  <c r="AE49" i="87"/>
  <c r="AB45" i="87"/>
  <c r="AB48" i="87"/>
  <c r="AB49" i="87"/>
  <c r="AG43" i="87"/>
  <c r="AD43" i="87"/>
  <c r="AE44" i="87" s="1"/>
  <c r="O43" i="87"/>
  <c r="O44" i="87" s="1"/>
  <c r="P43" i="87"/>
  <c r="P44" i="87" s="1"/>
  <c r="Q43" i="87"/>
  <c r="Q44" i="87" s="1"/>
  <c r="R43" i="87"/>
  <c r="S43" i="87"/>
  <c r="T43" i="87"/>
  <c r="U43" i="87"/>
  <c r="U44" i="87" s="1"/>
  <c r="V43" i="87"/>
  <c r="V44" i="87" s="1"/>
  <c r="W43" i="87"/>
  <c r="W44" i="87" s="1"/>
  <c r="X43" i="87"/>
  <c r="X44" i="87" s="1"/>
  <c r="Y43" i="87"/>
  <c r="Z43" i="87"/>
  <c r="R44" i="87"/>
  <c r="S44" i="87"/>
  <c r="T44" i="87"/>
  <c r="Y44" i="87"/>
  <c r="Z44" i="87"/>
  <c r="AI36" i="87"/>
  <c r="AI37" i="87"/>
  <c r="AI38" i="87"/>
  <c r="AI39" i="87"/>
  <c r="AI40" i="87"/>
  <c r="AI41" i="87"/>
  <c r="AF36" i="87"/>
  <c r="AF37" i="87"/>
  <c r="AF39" i="87"/>
  <c r="AF41" i="87"/>
  <c r="AH41" i="87"/>
  <c r="AE41" i="87"/>
  <c r="AH35" i="87"/>
  <c r="AH36" i="87"/>
  <c r="AH37" i="87"/>
  <c r="AH38" i="87"/>
  <c r="AH39" i="87"/>
  <c r="AE35" i="87"/>
  <c r="AE36" i="87"/>
  <c r="AE37" i="87"/>
  <c r="AE38" i="87"/>
  <c r="AE39" i="87"/>
  <c r="AB36" i="87"/>
  <c r="AB37" i="87"/>
  <c r="AB38" i="87"/>
  <c r="AA31" i="87"/>
  <c r="AG17" i="87"/>
  <c r="AG18" i="87"/>
  <c r="AD16" i="87"/>
  <c r="AD17" i="87"/>
  <c r="AD18" i="87" s="1"/>
  <c r="G19" i="87"/>
  <c r="G20" i="87"/>
  <c r="AA19" i="87"/>
  <c r="AA20" i="87"/>
  <c r="AA16" i="87"/>
  <c r="AA17" i="87"/>
  <c r="AA11" i="87" s="1"/>
  <c r="AA18" i="87" s="1"/>
  <c r="Z16" i="87"/>
  <c r="M11" i="87"/>
  <c r="B10" i="87"/>
  <c r="B9" i="87"/>
  <c r="B4" i="87"/>
  <c r="N1" i="87"/>
  <c r="AG90" i="86"/>
  <c r="AD90" i="86"/>
  <c r="N90" i="86"/>
  <c r="O90" i="86"/>
  <c r="P90" i="86"/>
  <c r="Q90" i="86"/>
  <c r="R90" i="86"/>
  <c r="S90" i="86"/>
  <c r="T90" i="86"/>
  <c r="U90" i="86"/>
  <c r="V90" i="86"/>
  <c r="W90" i="86"/>
  <c r="X90" i="86"/>
  <c r="Y90" i="86"/>
  <c r="Z90" i="86"/>
  <c r="N91" i="86"/>
  <c r="R91" i="86"/>
  <c r="AH87" i="86"/>
  <c r="AK87" i="86"/>
  <c r="AL87" i="86"/>
  <c r="AH88" i="86"/>
  <c r="AK88" i="86"/>
  <c r="AL88" i="86"/>
  <c r="AE87" i="86"/>
  <c r="AE88" i="86"/>
  <c r="AA87" i="86"/>
  <c r="AF87" i="86" s="1"/>
  <c r="AA88" i="86"/>
  <c r="AH83" i="86"/>
  <c r="AI83" i="86"/>
  <c r="AK83" i="86"/>
  <c r="AL83" i="86"/>
  <c r="AH84" i="86"/>
  <c r="AI84" i="86"/>
  <c r="AK84" i="86"/>
  <c r="AL84" i="86"/>
  <c r="AH85" i="86"/>
  <c r="AK85" i="86"/>
  <c r="AL85" i="86"/>
  <c r="AE83" i="86"/>
  <c r="AE84" i="86"/>
  <c r="AF84" i="86"/>
  <c r="AE85" i="86"/>
  <c r="AA83" i="86"/>
  <c r="AF83" i="86" s="1"/>
  <c r="AB83" i="86"/>
  <c r="AA84" i="86"/>
  <c r="AB84" i="86" s="1"/>
  <c r="AA85" i="86"/>
  <c r="AB85" i="86"/>
  <c r="AM85" i="86" s="1"/>
  <c r="K83" i="86"/>
  <c r="K84" i="86"/>
  <c r="AH76" i="86"/>
  <c r="AK76" i="86"/>
  <c r="AL76" i="86"/>
  <c r="AH77" i="86"/>
  <c r="AK77" i="86"/>
  <c r="AL77" i="86"/>
  <c r="AH78" i="86"/>
  <c r="AK78" i="86"/>
  <c r="AL78" i="86"/>
  <c r="AH79" i="86"/>
  <c r="AK79" i="86"/>
  <c r="AL79" i="86"/>
  <c r="AH80" i="86"/>
  <c r="AK80" i="86"/>
  <c r="AL80" i="86"/>
  <c r="AE76" i="86"/>
  <c r="AE77" i="86"/>
  <c r="AE78" i="86"/>
  <c r="AE79" i="86"/>
  <c r="AE80" i="86"/>
  <c r="AA76" i="86"/>
  <c r="AA77" i="86"/>
  <c r="AF77" i="86" s="1"/>
  <c r="AA78" i="86"/>
  <c r="AI78" i="86" s="1"/>
  <c r="AA79" i="86"/>
  <c r="AI79" i="86" s="1"/>
  <c r="AA80" i="86"/>
  <c r="AF80" i="86" s="1"/>
  <c r="K76" i="86"/>
  <c r="K77" i="86"/>
  <c r="K78" i="86"/>
  <c r="K79" i="86"/>
  <c r="K80" i="86"/>
  <c r="AD72" i="86"/>
  <c r="AK72" i="86" s="1"/>
  <c r="AG72" i="86"/>
  <c r="AL72" i="86" s="1"/>
  <c r="O72" i="86"/>
  <c r="P72" i="86"/>
  <c r="P91" i="86" s="1"/>
  <c r="Q72" i="86"/>
  <c r="Q91" i="86" s="1"/>
  <c r="R72" i="86"/>
  <c r="S72" i="86"/>
  <c r="S91" i="86" s="1"/>
  <c r="T72" i="86"/>
  <c r="T91" i="86" s="1"/>
  <c r="U72" i="86"/>
  <c r="U91" i="86" s="1"/>
  <c r="V72" i="86"/>
  <c r="V91" i="86" s="1"/>
  <c r="W72" i="86"/>
  <c r="W91" i="86" s="1"/>
  <c r="X72" i="86"/>
  <c r="X91" i="86" s="1"/>
  <c r="Y72" i="86"/>
  <c r="Y91" i="86" s="1"/>
  <c r="Z72" i="86"/>
  <c r="Z91" i="86" s="1"/>
  <c r="AI71" i="86"/>
  <c r="K71" i="86"/>
  <c r="K72" i="86"/>
  <c r="AA62" i="86"/>
  <c r="AA63" i="86"/>
  <c r="AI63" i="86" s="1"/>
  <c r="AA64" i="86"/>
  <c r="AF64" i="86" s="1"/>
  <c r="AA65" i="86"/>
  <c r="AA66" i="86"/>
  <c r="AF66" i="86" s="1"/>
  <c r="AA67" i="86"/>
  <c r="AA68" i="86"/>
  <c r="AI68" i="86" s="1"/>
  <c r="AA69" i="86"/>
  <c r="AI69" i="86" s="1"/>
  <c r="AA70" i="86"/>
  <c r="AI62" i="86"/>
  <c r="AK62" i="86"/>
  <c r="AL62" i="86"/>
  <c r="AM62" i="86"/>
  <c r="AN62" i="86"/>
  <c r="AK63" i="86"/>
  <c r="AL63" i="86"/>
  <c r="AM63" i="86"/>
  <c r="AN63" i="86"/>
  <c r="AI64" i="86"/>
  <c r="AK64" i="86"/>
  <c r="AL64" i="86"/>
  <c r="AM64" i="86"/>
  <c r="AN64" i="86"/>
  <c r="AK65" i="86"/>
  <c r="AL65" i="86"/>
  <c r="AM65" i="86"/>
  <c r="AN65" i="86"/>
  <c r="AI66" i="86"/>
  <c r="AK66" i="86"/>
  <c r="AL66" i="86"/>
  <c r="AM66" i="86"/>
  <c r="AN66" i="86"/>
  <c r="AK67" i="86"/>
  <c r="AL67" i="86"/>
  <c r="AM67" i="86"/>
  <c r="AN67" i="86"/>
  <c r="AK68" i="86"/>
  <c r="AL68" i="86"/>
  <c r="AM68" i="86"/>
  <c r="AN68" i="86"/>
  <c r="AK69" i="86"/>
  <c r="AL69" i="86"/>
  <c r="AM69" i="86"/>
  <c r="AN69" i="86"/>
  <c r="AI70" i="86"/>
  <c r="AK70" i="86"/>
  <c r="AL70" i="86"/>
  <c r="AM70" i="86"/>
  <c r="AN70" i="86"/>
  <c r="AF62" i="86"/>
  <c r="AF70" i="86"/>
  <c r="AF71" i="86"/>
  <c r="K62" i="86"/>
  <c r="K63" i="86"/>
  <c r="K64" i="86"/>
  <c r="K65" i="86"/>
  <c r="K66" i="86"/>
  <c r="K67" i="86"/>
  <c r="K68" i="86"/>
  <c r="K69" i="86"/>
  <c r="K70" i="86"/>
  <c r="B62" i="86"/>
  <c r="AH35" i="86"/>
  <c r="AK35" i="86"/>
  <c r="AL35" i="86"/>
  <c r="AH36" i="86"/>
  <c r="AK36" i="86"/>
  <c r="AL36" i="86"/>
  <c r="AH37" i="86"/>
  <c r="AK37" i="86"/>
  <c r="AL37" i="86"/>
  <c r="AH38" i="86"/>
  <c r="AK38" i="86"/>
  <c r="AL38" i="86"/>
  <c r="AH39" i="86"/>
  <c r="AI39" i="86"/>
  <c r="AK39" i="86"/>
  <c r="AL39" i="86"/>
  <c r="AH40" i="86"/>
  <c r="AK40" i="86"/>
  <c r="AL40" i="86"/>
  <c r="AH41" i="86"/>
  <c r="AK41" i="86"/>
  <c r="AL41" i="86"/>
  <c r="AH42" i="86"/>
  <c r="AK42" i="86"/>
  <c r="AL42" i="86"/>
  <c r="AH43" i="86"/>
  <c r="AI43" i="86"/>
  <c r="AK43" i="86"/>
  <c r="AL43" i="86"/>
  <c r="AH44" i="86"/>
  <c r="AK44" i="86"/>
  <c r="AL44" i="86"/>
  <c r="AH45" i="86"/>
  <c r="AK45" i="86"/>
  <c r="AL45" i="86"/>
  <c r="AH46" i="86"/>
  <c r="AK46" i="86"/>
  <c r="AL46" i="86"/>
  <c r="AH47" i="86"/>
  <c r="AI47" i="86"/>
  <c r="AJ47" i="86"/>
  <c r="AK47" i="86"/>
  <c r="AL47" i="86"/>
  <c r="AH48" i="86"/>
  <c r="AK48" i="86"/>
  <c r="AL48" i="86"/>
  <c r="AH49" i="86"/>
  <c r="AK49" i="86"/>
  <c r="AL49" i="86"/>
  <c r="AH50" i="86"/>
  <c r="AK50" i="86"/>
  <c r="AL50" i="86"/>
  <c r="AH51" i="86"/>
  <c r="AK51" i="86"/>
  <c r="AL51" i="86"/>
  <c r="AH52" i="86"/>
  <c r="AK52" i="86"/>
  <c r="AL52" i="86"/>
  <c r="AH53" i="86"/>
  <c r="AK53" i="86"/>
  <c r="AL53" i="86"/>
  <c r="AH54" i="86"/>
  <c r="AK54" i="86"/>
  <c r="AL54" i="86"/>
  <c r="AH55" i="86"/>
  <c r="AK55" i="86"/>
  <c r="AL55" i="86"/>
  <c r="AH56" i="86"/>
  <c r="AK56" i="86"/>
  <c r="AL56" i="86"/>
  <c r="AH57" i="86"/>
  <c r="AK57" i="86"/>
  <c r="AL57" i="86"/>
  <c r="AH58" i="86"/>
  <c r="AK58" i="86"/>
  <c r="AL58" i="86"/>
  <c r="AE35" i="86"/>
  <c r="AF35" i="86"/>
  <c r="AE36" i="86"/>
  <c r="AE37" i="86"/>
  <c r="AE38" i="86"/>
  <c r="AE39" i="86"/>
  <c r="AF39" i="86"/>
  <c r="AE40" i="86"/>
  <c r="AE41" i="86"/>
  <c r="AE42" i="86"/>
  <c r="AE43" i="86"/>
  <c r="AF43" i="86"/>
  <c r="AE44" i="86"/>
  <c r="AE45" i="86"/>
  <c r="AE46" i="86"/>
  <c r="AE47" i="86"/>
  <c r="AE48" i="86"/>
  <c r="AE49" i="86"/>
  <c r="AE50" i="86"/>
  <c r="AE51" i="86"/>
  <c r="AE52" i="86"/>
  <c r="AE53" i="86"/>
  <c r="AE54" i="86"/>
  <c r="AE55" i="86"/>
  <c r="AE56" i="86"/>
  <c r="AE57" i="86"/>
  <c r="AE58" i="86"/>
  <c r="AA35" i="86"/>
  <c r="AI35" i="86" s="1"/>
  <c r="AB35" i="86"/>
  <c r="AA36" i="86"/>
  <c r="AI36" i="86" s="1"/>
  <c r="AA37" i="86"/>
  <c r="AJ37" i="86" s="1"/>
  <c r="AA38" i="86"/>
  <c r="AI38" i="86" s="1"/>
  <c r="AA39" i="86"/>
  <c r="AB39" i="86" s="1"/>
  <c r="AM39" i="86" s="1"/>
  <c r="AA40" i="86"/>
  <c r="AF40" i="86" s="1"/>
  <c r="AA41" i="86"/>
  <c r="AI41" i="86" s="1"/>
  <c r="AA42" i="86"/>
  <c r="AI42" i="86" s="1"/>
  <c r="AA43" i="86"/>
  <c r="AJ43" i="86" s="1"/>
  <c r="AB43" i="86"/>
  <c r="AA44" i="86"/>
  <c r="AI44" i="86" s="1"/>
  <c r="AA45" i="86"/>
  <c r="AA46" i="86"/>
  <c r="AI46" i="86" s="1"/>
  <c r="AA47" i="86"/>
  <c r="AF47" i="86" s="1"/>
  <c r="AB47" i="86"/>
  <c r="AA48" i="86"/>
  <c r="AF48" i="86" s="1"/>
  <c r="AA49" i="86"/>
  <c r="AI49" i="86" s="1"/>
  <c r="AA50" i="86"/>
  <c r="AI50" i="86" s="1"/>
  <c r="AA51" i="86"/>
  <c r="AB51" i="86" s="1"/>
  <c r="AA52" i="86"/>
  <c r="AI52" i="86" s="1"/>
  <c r="AA53" i="86"/>
  <c r="AA54" i="86"/>
  <c r="AI54" i="86" s="1"/>
  <c r="AA55" i="86"/>
  <c r="AA56" i="86"/>
  <c r="AF56" i="86" s="1"/>
  <c r="AA57" i="86"/>
  <c r="AI57" i="86" s="1"/>
  <c r="AA58" i="86"/>
  <c r="AI58" i="86" s="1"/>
  <c r="K35" i="86"/>
  <c r="K36" i="86"/>
  <c r="K37" i="86"/>
  <c r="K38" i="86"/>
  <c r="K39" i="86"/>
  <c r="K40" i="86"/>
  <c r="K41" i="86"/>
  <c r="K42" i="86"/>
  <c r="K43" i="86"/>
  <c r="K44" i="86"/>
  <c r="K45" i="86"/>
  <c r="K46" i="86"/>
  <c r="K47" i="86"/>
  <c r="K48" i="86"/>
  <c r="K49" i="86"/>
  <c r="K50" i="86"/>
  <c r="K51" i="86"/>
  <c r="K52" i="86"/>
  <c r="K53" i="86"/>
  <c r="K54" i="86"/>
  <c r="K55" i="86"/>
  <c r="K56" i="86"/>
  <c r="K57" i="86"/>
  <c r="K58" i="86"/>
  <c r="AJ32" i="86"/>
  <c r="AK32" i="86"/>
  <c r="AL32" i="86"/>
  <c r="AM31" i="86"/>
  <c r="AN31" i="86"/>
  <c r="AA31" i="86"/>
  <c r="B29" i="86"/>
  <c r="AG17" i="86"/>
  <c r="AG18" i="86" s="1"/>
  <c r="AD16" i="86"/>
  <c r="AD17" i="86"/>
  <c r="AD18" i="86" s="1"/>
  <c r="G19" i="86"/>
  <c r="G20" i="86"/>
  <c r="AA19" i="86"/>
  <c r="AA20" i="86"/>
  <c r="Z16" i="86"/>
  <c r="AA16" i="86"/>
  <c r="AA17" i="86"/>
  <c r="AA11" i="86" s="1"/>
  <c r="M11" i="86"/>
  <c r="B10" i="86"/>
  <c r="B9" i="86"/>
  <c r="B4" i="86"/>
  <c r="H2" i="86"/>
  <c r="AG143" i="85"/>
  <c r="AG144" i="85"/>
  <c r="AG145" i="85"/>
  <c r="AG146" i="85"/>
  <c r="AD143" i="85"/>
  <c r="AD144" i="85"/>
  <c r="AD145" i="85"/>
  <c r="AD146" i="85"/>
  <c r="N143" i="85"/>
  <c r="N144" i="85"/>
  <c r="N145" i="85"/>
  <c r="O143" i="85"/>
  <c r="P143" i="85"/>
  <c r="Q143" i="85"/>
  <c r="R143" i="85"/>
  <c r="S143" i="85"/>
  <c r="T143" i="85"/>
  <c r="U143" i="85"/>
  <c r="V143" i="85"/>
  <c r="W143" i="85"/>
  <c r="X143" i="85"/>
  <c r="Y143" i="85"/>
  <c r="Z143" i="85"/>
  <c r="O144" i="85"/>
  <c r="P144" i="85"/>
  <c r="Q144" i="85"/>
  <c r="R144" i="85"/>
  <c r="S144" i="85"/>
  <c r="T144" i="85"/>
  <c r="U144" i="85"/>
  <c r="V144" i="85"/>
  <c r="W144" i="85"/>
  <c r="X144" i="85"/>
  <c r="Y144" i="85"/>
  <c r="Z144" i="85"/>
  <c r="O145" i="85"/>
  <c r="P145" i="85"/>
  <c r="Q145" i="85"/>
  <c r="R145" i="85"/>
  <c r="S145" i="85"/>
  <c r="T145" i="85"/>
  <c r="U145" i="85"/>
  <c r="V145" i="85"/>
  <c r="W145" i="85"/>
  <c r="X145" i="85"/>
  <c r="Y145" i="85"/>
  <c r="Z145" i="85"/>
  <c r="O146" i="85"/>
  <c r="P146" i="85"/>
  <c r="Q146" i="85"/>
  <c r="R146" i="85"/>
  <c r="S146" i="85"/>
  <c r="T146" i="85"/>
  <c r="U146" i="85"/>
  <c r="V146" i="85"/>
  <c r="W146" i="85"/>
  <c r="X146" i="85"/>
  <c r="Y146" i="85"/>
  <c r="Z146" i="85"/>
  <c r="AI131" i="85"/>
  <c r="AI132" i="85"/>
  <c r="AI133" i="85"/>
  <c r="AI135" i="85"/>
  <c r="AI137" i="85"/>
  <c r="AI139" i="85"/>
  <c r="AG141" i="85"/>
  <c r="AD141" i="85"/>
  <c r="O141" i="85"/>
  <c r="P141" i="85"/>
  <c r="Q141" i="85"/>
  <c r="R141" i="85"/>
  <c r="S141" i="85"/>
  <c r="T141" i="85"/>
  <c r="U141" i="85"/>
  <c r="V141" i="85"/>
  <c r="W141" i="85"/>
  <c r="X141" i="85"/>
  <c r="Y141" i="85"/>
  <c r="Z141" i="85"/>
  <c r="AA140" i="85"/>
  <c r="AA141" i="85" s="1"/>
  <c r="AF131" i="85"/>
  <c r="AF133" i="85"/>
  <c r="AF135" i="85"/>
  <c r="AF137" i="85"/>
  <c r="AF139" i="85"/>
  <c r="AA138" i="85"/>
  <c r="AI138" i="85" s="1"/>
  <c r="AA136" i="85"/>
  <c r="AF136" i="85" s="1"/>
  <c r="AA134" i="85"/>
  <c r="AA132" i="85"/>
  <c r="AF132" i="85" s="1"/>
  <c r="AA130" i="85"/>
  <c r="AG121" i="85"/>
  <c r="AH121" i="85" s="1"/>
  <c r="AG122" i="85"/>
  <c r="AG123" i="85"/>
  <c r="AG124" i="85"/>
  <c r="AG125" i="85"/>
  <c r="AH125" i="85" s="1"/>
  <c r="AD121" i="85"/>
  <c r="AE121" i="85" s="1"/>
  <c r="AD122" i="85"/>
  <c r="AD123" i="85"/>
  <c r="AE123" i="85" s="1"/>
  <c r="AD124" i="85"/>
  <c r="AD125" i="85"/>
  <c r="AH123" i="85"/>
  <c r="AH124" i="85"/>
  <c r="AE122" i="85"/>
  <c r="AE124" i="85"/>
  <c r="AE125" i="85"/>
  <c r="O121" i="85"/>
  <c r="P121" i="85"/>
  <c r="Q121" i="85"/>
  <c r="R121" i="85"/>
  <c r="S121" i="85"/>
  <c r="T121" i="85"/>
  <c r="U121" i="85"/>
  <c r="V121" i="85"/>
  <c r="W121" i="85"/>
  <c r="X121" i="85"/>
  <c r="Y121" i="85"/>
  <c r="Z121" i="85"/>
  <c r="O122" i="85"/>
  <c r="P122" i="85"/>
  <c r="Q122" i="85"/>
  <c r="R122" i="85"/>
  <c r="S122" i="85"/>
  <c r="T122" i="85"/>
  <c r="U122" i="85"/>
  <c r="V122" i="85"/>
  <c r="W122" i="85"/>
  <c r="X122" i="85"/>
  <c r="Y122" i="85"/>
  <c r="Z122" i="85"/>
  <c r="O123" i="85"/>
  <c r="P123" i="85"/>
  <c r="Q123" i="85"/>
  <c r="R123" i="85"/>
  <c r="S123" i="85"/>
  <c r="T123" i="85"/>
  <c r="U123" i="85"/>
  <c r="V123" i="85"/>
  <c r="W123" i="85"/>
  <c r="X123" i="85"/>
  <c r="Y123" i="85"/>
  <c r="Z123" i="85"/>
  <c r="O124" i="85"/>
  <c r="P124" i="85"/>
  <c r="Q124" i="85"/>
  <c r="R124" i="85"/>
  <c r="S124" i="85"/>
  <c r="T124" i="85"/>
  <c r="U124" i="85"/>
  <c r="V124" i="85"/>
  <c r="V126" i="85" s="1"/>
  <c r="V127" i="85" s="1"/>
  <c r="W124" i="85"/>
  <c r="X124" i="85"/>
  <c r="Y124" i="85"/>
  <c r="Z124" i="85"/>
  <c r="O125" i="85"/>
  <c r="P125" i="85"/>
  <c r="Q125" i="85"/>
  <c r="R125" i="85"/>
  <c r="S125" i="85"/>
  <c r="T125" i="85"/>
  <c r="U125" i="85"/>
  <c r="V125" i="85"/>
  <c r="W125" i="85"/>
  <c r="W126" i="85" s="1"/>
  <c r="W127" i="85" s="1"/>
  <c r="X125" i="85"/>
  <c r="Y125" i="85"/>
  <c r="Z125" i="85"/>
  <c r="O126" i="85"/>
  <c r="AH114" i="85"/>
  <c r="AH115" i="85"/>
  <c r="AH116" i="85"/>
  <c r="AH117" i="85"/>
  <c r="AH118" i="85"/>
  <c r="AH119" i="85"/>
  <c r="AE114" i="85"/>
  <c r="AE115" i="85"/>
  <c r="AE116" i="85"/>
  <c r="AF116" i="85"/>
  <c r="AE117" i="85"/>
  <c r="AE118" i="85"/>
  <c r="AE119" i="85"/>
  <c r="AA114" i="85"/>
  <c r="AF114" i="85" s="1"/>
  <c r="AA115" i="85"/>
  <c r="AF115" i="85" s="1"/>
  <c r="AA116" i="85"/>
  <c r="AI116" i="85" s="1"/>
  <c r="AB116" i="85"/>
  <c r="AA117" i="85"/>
  <c r="AI117" i="85" s="1"/>
  <c r="AA118" i="85"/>
  <c r="AF118" i="85" s="1"/>
  <c r="AA119" i="85"/>
  <c r="AF119" i="85" s="1"/>
  <c r="AH106" i="85"/>
  <c r="AH107" i="85"/>
  <c r="AH108" i="85"/>
  <c r="AH109" i="85"/>
  <c r="AH110" i="85"/>
  <c r="AH111" i="85"/>
  <c r="AE106" i="85"/>
  <c r="AE107" i="85"/>
  <c r="AE108" i="85"/>
  <c r="AE109" i="85"/>
  <c r="AE110" i="85"/>
  <c r="AE111" i="85"/>
  <c r="AA106" i="85"/>
  <c r="AI106" i="85" s="1"/>
  <c r="AA107" i="85"/>
  <c r="AI107" i="85" s="1"/>
  <c r="AA108" i="85"/>
  <c r="AF108" i="85" s="1"/>
  <c r="AA109" i="85"/>
  <c r="AF109" i="85" s="1"/>
  <c r="AA110" i="85"/>
  <c r="AA111" i="85"/>
  <c r="AI111" i="85" s="1"/>
  <c r="AH98" i="85"/>
  <c r="AH99" i="85"/>
  <c r="AH100" i="85"/>
  <c r="AI100" i="85"/>
  <c r="AH101" i="85"/>
  <c r="AH102" i="85"/>
  <c r="AH103" i="85"/>
  <c r="AE98" i="85"/>
  <c r="AE99" i="85"/>
  <c r="AE100" i="85"/>
  <c r="AF100" i="85"/>
  <c r="AE101" i="85"/>
  <c r="AE102" i="85"/>
  <c r="AE103" i="85"/>
  <c r="AA98" i="85"/>
  <c r="AI98" i="85" s="1"/>
  <c r="AA99" i="85"/>
  <c r="AF99" i="85" s="1"/>
  <c r="AA100" i="85"/>
  <c r="AB100" i="85"/>
  <c r="AA101" i="85"/>
  <c r="AI101" i="85" s="1"/>
  <c r="AA102" i="85"/>
  <c r="AA103" i="85"/>
  <c r="AF103" i="85" s="1"/>
  <c r="AI92" i="85"/>
  <c r="AD93" i="85"/>
  <c r="AD94" i="85"/>
  <c r="AG93" i="85"/>
  <c r="AG94" i="85"/>
  <c r="O93" i="85"/>
  <c r="P93" i="85"/>
  <c r="Q93" i="85"/>
  <c r="R93" i="85"/>
  <c r="S93" i="85"/>
  <c r="T93" i="85"/>
  <c r="U93" i="85"/>
  <c r="V93" i="85"/>
  <c r="W93" i="85"/>
  <c r="X93" i="85"/>
  <c r="Y93" i="85"/>
  <c r="Z93" i="85"/>
  <c r="O94" i="85"/>
  <c r="P94" i="85"/>
  <c r="Q94" i="85"/>
  <c r="R94" i="85"/>
  <c r="S94" i="85"/>
  <c r="T94" i="85"/>
  <c r="U94" i="85"/>
  <c r="V94" i="85"/>
  <c r="W94" i="85"/>
  <c r="X94" i="85"/>
  <c r="Y94" i="85"/>
  <c r="Z94" i="85"/>
  <c r="AF92" i="85"/>
  <c r="AA91" i="85"/>
  <c r="AI91" i="85" s="1"/>
  <c r="AA92" i="85"/>
  <c r="AI86" i="85"/>
  <c r="AF85" i="85"/>
  <c r="AF86" i="85"/>
  <c r="AA35" i="85"/>
  <c r="AB35" i="85" s="1"/>
  <c r="AA36" i="85"/>
  <c r="AA37" i="85"/>
  <c r="AA38" i="85"/>
  <c r="AA39" i="85"/>
  <c r="AA40" i="85"/>
  <c r="AI40" i="85" s="1"/>
  <c r="AA41" i="85"/>
  <c r="AB41" i="85" s="1"/>
  <c r="AA45" i="85"/>
  <c r="AB45" i="85" s="1"/>
  <c r="AA46" i="85"/>
  <c r="AF46" i="85" s="1"/>
  <c r="AA47" i="85"/>
  <c r="AI47" i="85" s="1"/>
  <c r="AA48" i="85"/>
  <c r="AA49" i="85"/>
  <c r="AA50" i="85"/>
  <c r="AF50" i="85" s="1"/>
  <c r="AA51" i="85"/>
  <c r="AA55" i="85"/>
  <c r="AA56" i="85"/>
  <c r="AA57" i="85"/>
  <c r="AB57" i="85" s="1"/>
  <c r="AA58" i="85"/>
  <c r="AI58" i="85" s="1"/>
  <c r="AA59" i="85"/>
  <c r="AA60" i="85"/>
  <c r="AI60" i="85" s="1"/>
  <c r="AA61" i="85"/>
  <c r="AA65" i="85"/>
  <c r="AB65" i="85" s="1"/>
  <c r="AA66" i="85"/>
  <c r="AA67" i="85"/>
  <c r="AI67" i="85" s="1"/>
  <c r="AA68" i="85"/>
  <c r="AB68" i="85" s="1"/>
  <c r="AA69" i="85"/>
  <c r="AA70" i="85"/>
  <c r="AA71" i="85"/>
  <c r="AA75" i="85"/>
  <c r="AA76" i="85"/>
  <c r="AB76" i="85" s="1"/>
  <c r="AA77" i="85"/>
  <c r="AI77" i="85" s="1"/>
  <c r="AA78" i="85"/>
  <c r="AB78" i="85" s="1"/>
  <c r="AA79" i="85"/>
  <c r="AA80" i="85"/>
  <c r="AI80" i="85" s="1"/>
  <c r="AA83" i="85"/>
  <c r="AI83" i="85" s="1"/>
  <c r="AA85" i="85"/>
  <c r="AI85" i="85" s="1"/>
  <c r="AA86" i="85"/>
  <c r="AA87" i="85"/>
  <c r="AB87" i="85" s="1"/>
  <c r="AH87" i="85"/>
  <c r="AE87" i="85"/>
  <c r="AH83" i="85"/>
  <c r="AH85" i="85"/>
  <c r="AE83" i="85"/>
  <c r="AE85" i="85"/>
  <c r="P84" i="85"/>
  <c r="Q84" i="85"/>
  <c r="U84" i="85"/>
  <c r="AB83" i="85"/>
  <c r="AG82" i="85"/>
  <c r="AH84" i="85" s="1"/>
  <c r="AD82" i="85"/>
  <c r="AE84" i="85" s="1"/>
  <c r="O82" i="85"/>
  <c r="O84" i="85" s="1"/>
  <c r="P82" i="85"/>
  <c r="Q82" i="85"/>
  <c r="R82" i="85"/>
  <c r="R84" i="85" s="1"/>
  <c r="S82" i="85"/>
  <c r="S84" i="85" s="1"/>
  <c r="T82" i="85"/>
  <c r="T84" i="85" s="1"/>
  <c r="U82" i="85"/>
  <c r="V82" i="85"/>
  <c r="V84" i="85" s="1"/>
  <c r="W82" i="85"/>
  <c r="W84" i="85" s="1"/>
  <c r="X82" i="85"/>
  <c r="X84" i="85" s="1"/>
  <c r="Y82" i="85"/>
  <c r="Y84" i="85" s="1"/>
  <c r="Z82" i="85"/>
  <c r="Z84" i="85" s="1"/>
  <c r="AI75" i="85"/>
  <c r="AI78" i="85"/>
  <c r="AF75" i="85"/>
  <c r="AF76" i="85"/>
  <c r="AF78" i="85"/>
  <c r="AF80" i="85"/>
  <c r="AH75" i="85"/>
  <c r="AH76" i="85"/>
  <c r="AH77" i="85"/>
  <c r="AH78" i="85"/>
  <c r="AH79" i="85"/>
  <c r="AH80" i="85"/>
  <c r="AE75" i="85"/>
  <c r="AE76" i="85"/>
  <c r="AE77" i="85"/>
  <c r="AE78" i="85"/>
  <c r="AE79" i="85"/>
  <c r="AE80" i="85"/>
  <c r="AB75" i="85"/>
  <c r="AB77" i="85"/>
  <c r="AB80" i="85"/>
  <c r="AG73" i="85"/>
  <c r="AH74" i="85" s="1"/>
  <c r="AD73" i="85"/>
  <c r="AE74" i="85" s="1"/>
  <c r="O73" i="85"/>
  <c r="P73" i="85"/>
  <c r="P74" i="85" s="1"/>
  <c r="Q73" i="85"/>
  <c r="Q74" i="85" s="1"/>
  <c r="R73" i="85"/>
  <c r="S73" i="85"/>
  <c r="S74" i="85" s="1"/>
  <c r="T73" i="85"/>
  <c r="T74" i="85" s="1"/>
  <c r="U73" i="85"/>
  <c r="V73" i="85"/>
  <c r="V74" i="85" s="1"/>
  <c r="W73" i="85"/>
  <c r="X73" i="85"/>
  <c r="X74" i="85" s="1"/>
  <c r="Y73" i="85"/>
  <c r="Y74" i="85" s="1"/>
  <c r="Z73" i="85"/>
  <c r="O74" i="85"/>
  <c r="R74" i="85"/>
  <c r="U74" i="85"/>
  <c r="W74" i="85"/>
  <c r="Z74" i="85"/>
  <c r="AI66" i="85"/>
  <c r="AI70" i="85"/>
  <c r="AI71" i="85"/>
  <c r="AF66" i="85"/>
  <c r="AF67" i="85"/>
  <c r="AF70" i="85"/>
  <c r="AH71" i="85"/>
  <c r="AE71" i="85"/>
  <c r="AH64" i="85"/>
  <c r="AH65" i="85"/>
  <c r="AH66" i="85"/>
  <c r="AH67" i="85"/>
  <c r="AH68" i="85"/>
  <c r="AH69" i="85"/>
  <c r="AE65" i="85"/>
  <c r="AE66" i="85"/>
  <c r="AE67" i="85"/>
  <c r="AE68" i="85"/>
  <c r="AE69" i="85"/>
  <c r="AB66" i="85"/>
  <c r="AG63" i="85"/>
  <c r="AD63" i="85"/>
  <c r="AE64" i="85" s="1"/>
  <c r="O63" i="85"/>
  <c r="O64" i="85" s="1"/>
  <c r="P63" i="85"/>
  <c r="P64" i="85" s="1"/>
  <c r="Q63" i="85"/>
  <c r="Q64" i="85" s="1"/>
  <c r="R63" i="85"/>
  <c r="R64" i="85" s="1"/>
  <c r="S63" i="85"/>
  <c r="T63" i="85"/>
  <c r="T64" i="85" s="1"/>
  <c r="U63" i="85"/>
  <c r="V63" i="85"/>
  <c r="V64" i="85" s="1"/>
  <c r="W63" i="85"/>
  <c r="W64" i="85" s="1"/>
  <c r="X63" i="85"/>
  <c r="X64" i="85" s="1"/>
  <c r="Y63" i="85"/>
  <c r="Y64" i="85" s="1"/>
  <c r="Z63" i="85"/>
  <c r="Z64" i="85" s="1"/>
  <c r="S64" i="85"/>
  <c r="U64" i="85"/>
  <c r="AI55" i="85"/>
  <c r="AI56" i="85"/>
  <c r="AF55" i="85"/>
  <c r="AF56" i="85"/>
  <c r="AF58" i="85"/>
  <c r="AH61" i="85"/>
  <c r="AE61" i="85"/>
  <c r="AH55" i="85"/>
  <c r="AH56" i="85"/>
  <c r="AH57" i="85"/>
  <c r="AH58" i="85"/>
  <c r="AH59" i="85"/>
  <c r="AE55" i="85"/>
  <c r="AE56" i="85"/>
  <c r="AE57" i="85"/>
  <c r="AE58" i="85"/>
  <c r="AE59" i="85"/>
  <c r="AB55" i="85"/>
  <c r="AB56" i="85"/>
  <c r="AB59" i="85"/>
  <c r="AG53" i="85"/>
  <c r="AH54" i="85" s="1"/>
  <c r="AD53" i="85"/>
  <c r="AE54" i="85" s="1"/>
  <c r="O53" i="85"/>
  <c r="P53" i="85"/>
  <c r="P54" i="85" s="1"/>
  <c r="Q53" i="85"/>
  <c r="R53" i="85"/>
  <c r="R54" i="85" s="1"/>
  <c r="S53" i="85"/>
  <c r="S54" i="85" s="1"/>
  <c r="T53" i="85"/>
  <c r="T54" i="85" s="1"/>
  <c r="U53" i="85"/>
  <c r="U54" i="85" s="1"/>
  <c r="V53" i="85"/>
  <c r="W53" i="85"/>
  <c r="X53" i="85"/>
  <c r="X54" i="85" s="1"/>
  <c r="Y53" i="85"/>
  <c r="Y54" i="85" s="1"/>
  <c r="Z53" i="85"/>
  <c r="Z54" i="85" s="1"/>
  <c r="O54" i="85"/>
  <c r="Q54" i="85"/>
  <c r="V54" i="85"/>
  <c r="W54" i="85"/>
  <c r="AI45" i="85"/>
  <c r="AI46" i="85"/>
  <c r="AI50" i="85"/>
  <c r="AI51" i="85"/>
  <c r="AF45" i="85"/>
  <c r="AF51" i="85"/>
  <c r="AH51" i="85"/>
  <c r="AE51" i="85"/>
  <c r="AB51" i="85"/>
  <c r="AH45" i="85"/>
  <c r="AH46" i="85"/>
  <c r="AH47" i="85"/>
  <c r="AH48" i="85"/>
  <c r="AH49" i="85"/>
  <c r="AE45" i="85"/>
  <c r="AE46" i="85"/>
  <c r="AE47" i="85"/>
  <c r="AE48" i="85"/>
  <c r="AE49" i="85"/>
  <c r="AB46" i="85"/>
  <c r="AB47" i="85"/>
  <c r="AG43" i="85"/>
  <c r="AH44" i="85" s="1"/>
  <c r="AD43" i="85"/>
  <c r="AE44" i="85" s="1"/>
  <c r="O43" i="85"/>
  <c r="P43" i="85"/>
  <c r="Q43" i="85"/>
  <c r="Q44" i="85" s="1"/>
  <c r="R43" i="85"/>
  <c r="S43" i="85"/>
  <c r="S44" i="85" s="1"/>
  <c r="T43" i="85"/>
  <c r="T44" i="85" s="1"/>
  <c r="U43" i="85"/>
  <c r="U44" i="85" s="1"/>
  <c r="V43" i="85"/>
  <c r="V44" i="85" s="1"/>
  <c r="W43" i="85"/>
  <c r="X43" i="85"/>
  <c r="Y43" i="85"/>
  <c r="Y44" i="85" s="1"/>
  <c r="Z43" i="85"/>
  <c r="Z44" i="85" s="1"/>
  <c r="O44" i="85"/>
  <c r="P44" i="85"/>
  <c r="R44" i="85"/>
  <c r="W44" i="85"/>
  <c r="X44" i="85"/>
  <c r="AI35" i="85"/>
  <c r="AI36" i="85"/>
  <c r="AI38" i="85"/>
  <c r="AF35" i="85"/>
  <c r="AF36" i="85"/>
  <c r="AF37" i="85"/>
  <c r="AF38" i="85"/>
  <c r="AF40" i="85"/>
  <c r="AF41" i="85"/>
  <c r="AH41" i="85"/>
  <c r="AE41" i="85"/>
  <c r="AH35" i="85"/>
  <c r="AH36" i="85"/>
  <c r="AH37" i="85"/>
  <c r="AH38" i="85"/>
  <c r="AH39" i="85"/>
  <c r="AE35" i="85"/>
  <c r="AE36" i="85"/>
  <c r="AE37" i="85"/>
  <c r="AE38" i="85"/>
  <c r="AE39" i="85"/>
  <c r="AB36" i="85"/>
  <c r="AB38" i="85"/>
  <c r="AA31" i="85"/>
  <c r="AG17" i="85"/>
  <c r="AG18" i="85"/>
  <c r="AD16" i="85"/>
  <c r="AD17" i="85"/>
  <c r="AD18" i="85" s="1"/>
  <c r="G19" i="85"/>
  <c r="G20" i="85"/>
  <c r="AA19" i="85"/>
  <c r="AA20" i="85"/>
  <c r="AA16" i="85"/>
  <c r="AA17" i="85"/>
  <c r="AA11" i="85" s="1"/>
  <c r="AA18" i="85" s="1"/>
  <c r="Z16" i="85"/>
  <c r="M11" i="85"/>
  <c r="B10" i="85"/>
  <c r="B9" i="85"/>
  <c r="B4" i="85"/>
  <c r="N1" i="85"/>
  <c r="AG90" i="84"/>
  <c r="AD90" i="84"/>
  <c r="N90" i="84"/>
  <c r="O90" i="84"/>
  <c r="P90" i="84"/>
  <c r="Q90" i="84"/>
  <c r="R90" i="84"/>
  <c r="S90" i="84"/>
  <c r="T90" i="84"/>
  <c r="U90" i="84"/>
  <c r="V90" i="84"/>
  <c r="W90" i="84"/>
  <c r="X90" i="84"/>
  <c r="Y90" i="84"/>
  <c r="Z90" i="84"/>
  <c r="N91" i="84"/>
  <c r="AH87" i="84"/>
  <c r="AK87" i="84"/>
  <c r="AL87" i="84"/>
  <c r="AH88" i="84"/>
  <c r="AK88" i="84"/>
  <c r="AL88" i="84"/>
  <c r="AE87" i="84"/>
  <c r="AE88" i="84"/>
  <c r="AA87" i="84"/>
  <c r="AB87" i="84" s="1"/>
  <c r="AA88" i="84"/>
  <c r="AB88" i="84" s="1"/>
  <c r="AH83" i="84"/>
  <c r="AI83" i="84"/>
  <c r="AK83" i="84"/>
  <c r="AL83" i="84"/>
  <c r="AM83" i="84"/>
  <c r="AH84" i="84"/>
  <c r="AK84" i="84"/>
  <c r="AL84" i="84"/>
  <c r="AH85" i="84"/>
  <c r="AK85" i="84"/>
  <c r="AL85" i="84"/>
  <c r="AE83" i="84"/>
  <c r="AF83" i="84"/>
  <c r="AE84" i="84"/>
  <c r="AE85" i="84"/>
  <c r="AA83" i="84"/>
  <c r="AB83" i="84"/>
  <c r="AA84" i="84"/>
  <c r="AF84" i="84" s="1"/>
  <c r="AA85" i="84"/>
  <c r="AI85" i="84" s="1"/>
  <c r="AB85" i="84"/>
  <c r="K83" i="84"/>
  <c r="K84" i="84"/>
  <c r="AH76" i="84"/>
  <c r="AK76" i="84"/>
  <c r="AL76" i="84"/>
  <c r="AH77" i="84"/>
  <c r="AK77" i="84"/>
  <c r="AL77" i="84"/>
  <c r="AH78" i="84"/>
  <c r="AK78" i="84"/>
  <c r="AL78" i="84"/>
  <c r="AH79" i="84"/>
  <c r="AK79" i="84"/>
  <c r="AL79" i="84"/>
  <c r="AH80" i="84"/>
  <c r="AK80" i="84"/>
  <c r="AL80" i="84"/>
  <c r="AE76" i="84"/>
  <c r="AE77" i="84"/>
  <c r="AE78" i="84"/>
  <c r="AE79" i="84"/>
  <c r="AF79" i="84"/>
  <c r="AE80" i="84"/>
  <c r="AA76" i="84"/>
  <c r="AA77" i="84"/>
  <c r="AA78" i="84"/>
  <c r="AJ78" i="84" s="1"/>
  <c r="AA79" i="84"/>
  <c r="AB79" i="84" s="1"/>
  <c r="AN79" i="84" s="1"/>
  <c r="AA80" i="84"/>
  <c r="AI80" i="84" s="1"/>
  <c r="K76" i="84"/>
  <c r="K77" i="84"/>
  <c r="K78" i="84"/>
  <c r="K79" i="84"/>
  <c r="K80" i="84"/>
  <c r="AD72" i="84"/>
  <c r="AD91" i="84" s="1"/>
  <c r="AE72" i="84"/>
  <c r="AG72" i="84"/>
  <c r="O72" i="84"/>
  <c r="O91" i="84" s="1"/>
  <c r="P72" i="84"/>
  <c r="P91" i="84" s="1"/>
  <c r="Q72" i="84"/>
  <c r="Q91" i="84" s="1"/>
  <c r="R72" i="84"/>
  <c r="R91" i="84" s="1"/>
  <c r="S72" i="84"/>
  <c r="S91" i="84" s="1"/>
  <c r="T72" i="84"/>
  <c r="T91" i="84" s="1"/>
  <c r="U72" i="84"/>
  <c r="U91" i="84" s="1"/>
  <c r="V72" i="84"/>
  <c r="V91" i="84" s="1"/>
  <c r="W72" i="84"/>
  <c r="W91" i="84" s="1"/>
  <c r="X72" i="84"/>
  <c r="X91" i="84" s="1"/>
  <c r="Y72" i="84"/>
  <c r="Y91" i="84" s="1"/>
  <c r="Z72" i="84"/>
  <c r="Z91" i="84" s="1"/>
  <c r="AI71" i="84"/>
  <c r="K71" i="84"/>
  <c r="K72" i="84"/>
  <c r="AA62" i="84"/>
  <c r="AA63" i="84"/>
  <c r="AF63" i="84" s="1"/>
  <c r="AA64" i="84"/>
  <c r="AA65" i="84"/>
  <c r="AF65" i="84" s="1"/>
  <c r="AA66" i="84"/>
  <c r="AA67" i="84"/>
  <c r="AJ67" i="84" s="1"/>
  <c r="AA68" i="84"/>
  <c r="AA69" i="84"/>
  <c r="AA70" i="84"/>
  <c r="AF70" i="84" s="1"/>
  <c r="AI62" i="84"/>
  <c r="AK62" i="84"/>
  <c r="AL62" i="84"/>
  <c r="AM62" i="84"/>
  <c r="AN62" i="84"/>
  <c r="AK63" i="84"/>
  <c r="AL63" i="84"/>
  <c r="AM63" i="84"/>
  <c r="AN63" i="84"/>
  <c r="AK64" i="84"/>
  <c r="AL64" i="84"/>
  <c r="AM64" i="84"/>
  <c r="AN64" i="84"/>
  <c r="AJ65" i="84"/>
  <c r="AK65" i="84"/>
  <c r="AL65" i="84"/>
  <c r="AM65" i="84"/>
  <c r="AN65" i="84"/>
  <c r="AI66" i="84"/>
  <c r="AK66" i="84"/>
  <c r="AL66" i="84"/>
  <c r="AM66" i="84"/>
  <c r="AN66" i="84"/>
  <c r="AI67" i="84"/>
  <c r="AK67" i="84"/>
  <c r="AL67" i="84"/>
  <c r="AM67" i="84"/>
  <c r="AN67" i="84"/>
  <c r="AI68" i="84"/>
  <c r="AK68" i="84"/>
  <c r="AL68" i="84"/>
  <c r="AM68" i="84"/>
  <c r="AN68" i="84"/>
  <c r="AK69" i="84"/>
  <c r="AL69" i="84"/>
  <c r="AM69" i="84"/>
  <c r="AN69" i="84"/>
  <c r="AK70" i="84"/>
  <c r="AL70" i="84"/>
  <c r="AM70" i="84"/>
  <c r="AN70" i="84"/>
  <c r="AF62" i="84"/>
  <c r="AF66" i="84"/>
  <c r="AF67" i="84"/>
  <c r="AF68" i="84"/>
  <c r="AF71" i="84"/>
  <c r="K62" i="84"/>
  <c r="K63" i="84"/>
  <c r="K64" i="84"/>
  <c r="K65" i="84"/>
  <c r="K66" i="84"/>
  <c r="K67" i="84"/>
  <c r="K68" i="84"/>
  <c r="K69" i="84"/>
  <c r="K70" i="84"/>
  <c r="B62" i="84"/>
  <c r="AH35" i="84"/>
  <c r="AK35" i="84"/>
  <c r="AL35" i="84"/>
  <c r="AH36" i="84"/>
  <c r="AK36" i="84"/>
  <c r="AL36" i="84"/>
  <c r="AH37" i="84"/>
  <c r="AK37" i="84"/>
  <c r="AL37" i="84"/>
  <c r="AH38" i="84"/>
  <c r="AK38" i="84"/>
  <c r="AL38" i="84"/>
  <c r="AH39" i="84"/>
  <c r="AK39" i="84"/>
  <c r="AL39" i="84"/>
  <c r="AH40" i="84"/>
  <c r="AK40" i="84"/>
  <c r="AL40" i="84"/>
  <c r="AH41" i="84"/>
  <c r="AK41" i="84"/>
  <c r="AL41" i="84"/>
  <c r="AH42" i="84"/>
  <c r="AI42" i="84"/>
  <c r="AK42" i="84"/>
  <c r="AL42" i="84"/>
  <c r="AH43" i="84"/>
  <c r="AK43" i="84"/>
  <c r="AL43" i="84"/>
  <c r="AH44" i="84"/>
  <c r="AK44" i="84"/>
  <c r="AL44" i="84"/>
  <c r="AH45" i="84"/>
  <c r="AI45" i="84"/>
  <c r="AJ45" i="84"/>
  <c r="AK45" i="84"/>
  <c r="AL45" i="84"/>
  <c r="AH46" i="84"/>
  <c r="AK46" i="84"/>
  <c r="AL46" i="84"/>
  <c r="AH47" i="84"/>
  <c r="AK47" i="84"/>
  <c r="AL47" i="84"/>
  <c r="AH48" i="84"/>
  <c r="AK48" i="84"/>
  <c r="AL48" i="84"/>
  <c r="AH49" i="84"/>
  <c r="AI49" i="84"/>
  <c r="AK49" i="84"/>
  <c r="AL49" i="84"/>
  <c r="AH50" i="84"/>
  <c r="AK50" i="84"/>
  <c r="AL50" i="84"/>
  <c r="AH51" i="84"/>
  <c r="AK51" i="84"/>
  <c r="AL51" i="84"/>
  <c r="AH52" i="84"/>
  <c r="AK52" i="84"/>
  <c r="AL52" i="84"/>
  <c r="AH53" i="84"/>
  <c r="AJ53" i="84"/>
  <c r="AK53" i="84"/>
  <c r="AL53" i="84"/>
  <c r="AH54" i="84"/>
  <c r="AK54" i="84"/>
  <c r="AL54" i="84"/>
  <c r="AH55" i="84"/>
  <c r="AK55" i="84"/>
  <c r="AL55" i="84"/>
  <c r="AH56" i="84"/>
  <c r="AK56" i="84"/>
  <c r="AL56" i="84"/>
  <c r="AH57" i="84"/>
  <c r="AI57" i="84"/>
  <c r="AK57" i="84"/>
  <c r="AL57" i="84"/>
  <c r="AH58" i="84"/>
  <c r="AI58" i="84"/>
  <c r="AK58" i="84"/>
  <c r="AL58" i="84"/>
  <c r="AE35" i="84"/>
  <c r="AE36" i="84"/>
  <c r="AE37" i="84"/>
  <c r="AE38" i="84"/>
  <c r="AE39" i="84"/>
  <c r="AE40" i="84"/>
  <c r="AE41" i="84"/>
  <c r="AE42" i="84"/>
  <c r="AF42" i="84"/>
  <c r="AE43" i="84"/>
  <c r="AE44" i="84"/>
  <c r="AE45" i="84"/>
  <c r="AE46" i="84"/>
  <c r="AE47" i="84"/>
  <c r="AE48" i="84"/>
  <c r="AE49" i="84"/>
  <c r="AE50" i="84"/>
  <c r="AF50" i="84"/>
  <c r="AE51" i="84"/>
  <c r="AE52" i="84"/>
  <c r="AE53" i="84"/>
  <c r="AE54" i="84"/>
  <c r="AF54" i="84"/>
  <c r="AE55" i="84"/>
  <c r="AE56" i="84"/>
  <c r="AE57" i="84"/>
  <c r="AE58" i="84"/>
  <c r="AF58" i="84"/>
  <c r="AA35" i="84"/>
  <c r="AI35" i="84" s="1"/>
  <c r="AA36" i="84"/>
  <c r="AF36" i="84" s="1"/>
  <c r="AA37" i="84"/>
  <c r="AF37" i="84" s="1"/>
  <c r="AA38" i="84"/>
  <c r="AA39" i="84"/>
  <c r="AI39" i="84" s="1"/>
  <c r="AA40" i="84"/>
  <c r="AF40" i="84" s="1"/>
  <c r="AA41" i="84"/>
  <c r="AJ41" i="84" s="1"/>
  <c r="AA42" i="84"/>
  <c r="AB42" i="84"/>
  <c r="AA43" i="84"/>
  <c r="AI43" i="84" s="1"/>
  <c r="AA44" i="84"/>
  <c r="AA45" i="84"/>
  <c r="AF45" i="84" s="1"/>
  <c r="AA46" i="84"/>
  <c r="AA47" i="84"/>
  <c r="AI47" i="84" s="1"/>
  <c r="AA48" i="84"/>
  <c r="AF48" i="84" s="1"/>
  <c r="AA49" i="84"/>
  <c r="AJ49" i="84" s="1"/>
  <c r="AA50" i="84"/>
  <c r="AI50" i="84" s="1"/>
  <c r="AB50" i="84"/>
  <c r="AM50" i="84" s="1"/>
  <c r="AA51" i="84"/>
  <c r="AI51" i="84" s="1"/>
  <c r="AA52" i="84"/>
  <c r="AA53" i="84"/>
  <c r="AF53" i="84" s="1"/>
  <c r="AA54" i="84"/>
  <c r="AI54" i="84" s="1"/>
  <c r="AA55" i="84"/>
  <c r="AI55" i="84" s="1"/>
  <c r="AA56" i="84"/>
  <c r="AF56" i="84" s="1"/>
  <c r="AA57" i="84"/>
  <c r="AJ57" i="84" s="1"/>
  <c r="AA58" i="84"/>
  <c r="AB58" i="84"/>
  <c r="AM58" i="84" s="1"/>
  <c r="K35" i="84"/>
  <c r="K36" i="84"/>
  <c r="K37" i="84"/>
  <c r="K38" i="84"/>
  <c r="K39" i="84"/>
  <c r="K40" i="84"/>
  <c r="K41" i="84"/>
  <c r="K42" i="84"/>
  <c r="K43" i="84"/>
  <c r="K44" i="84"/>
  <c r="K45" i="84"/>
  <c r="K46" i="84"/>
  <c r="K47" i="84"/>
  <c r="K48" i="84"/>
  <c r="K49" i="84"/>
  <c r="K50" i="84"/>
  <c r="K51" i="84"/>
  <c r="K52" i="84"/>
  <c r="K53" i="84"/>
  <c r="K54" i="84"/>
  <c r="K55" i="84"/>
  <c r="K56" i="84"/>
  <c r="K57" i="84"/>
  <c r="K58" i="84"/>
  <c r="AJ32" i="84"/>
  <c r="AK32" i="84"/>
  <c r="AL32" i="84"/>
  <c r="AM31" i="84"/>
  <c r="AN31" i="84"/>
  <c r="AA31" i="84"/>
  <c r="B29" i="84"/>
  <c r="AG17" i="84"/>
  <c r="AG18" i="84" s="1"/>
  <c r="AD16" i="84"/>
  <c r="AD17" i="84"/>
  <c r="AD18" i="84" s="1"/>
  <c r="G19" i="84"/>
  <c r="G20" i="84"/>
  <c r="AA19" i="84"/>
  <c r="AB78" i="84" s="1"/>
  <c r="AA20" i="84"/>
  <c r="Z16" i="84"/>
  <c r="AA16" i="84"/>
  <c r="AA17" i="84"/>
  <c r="AA11" i="84" s="1"/>
  <c r="M11" i="84"/>
  <c r="B10" i="84"/>
  <c r="B9" i="84"/>
  <c r="B4" i="84"/>
  <c r="H2" i="84"/>
  <c r="AG143" i="83"/>
  <c r="AG144" i="83"/>
  <c r="AG145" i="83"/>
  <c r="AG146" i="83"/>
  <c r="AD143" i="83"/>
  <c r="AD144" i="83"/>
  <c r="AD145" i="83"/>
  <c r="AD146" i="83"/>
  <c r="N143" i="83"/>
  <c r="N144" i="83"/>
  <c r="N145" i="83"/>
  <c r="O143" i="83"/>
  <c r="P143" i="83"/>
  <c r="Q143" i="83"/>
  <c r="R143" i="83"/>
  <c r="S143" i="83"/>
  <c r="T143" i="83"/>
  <c r="U143" i="83"/>
  <c r="V143" i="83"/>
  <c r="W143" i="83"/>
  <c r="X143" i="83"/>
  <c r="Y143" i="83"/>
  <c r="Z143" i="83"/>
  <c r="O144" i="83"/>
  <c r="P144" i="83"/>
  <c r="Q144" i="83"/>
  <c r="R144" i="83"/>
  <c r="S144" i="83"/>
  <c r="T144" i="83"/>
  <c r="U144" i="83"/>
  <c r="V144" i="83"/>
  <c r="W144" i="83"/>
  <c r="X144" i="83"/>
  <c r="Y144" i="83"/>
  <c r="Z144" i="83"/>
  <c r="O145" i="83"/>
  <c r="P145" i="83"/>
  <c r="Q145" i="83"/>
  <c r="R145" i="83"/>
  <c r="S145" i="83"/>
  <c r="T145" i="83"/>
  <c r="U145" i="83"/>
  <c r="V145" i="83"/>
  <c r="W145" i="83"/>
  <c r="X145" i="83"/>
  <c r="Y145" i="83"/>
  <c r="Z145" i="83"/>
  <c r="O146" i="83"/>
  <c r="P146" i="83"/>
  <c r="Q146" i="83"/>
  <c r="R146" i="83"/>
  <c r="S146" i="83"/>
  <c r="T146" i="83"/>
  <c r="U146" i="83"/>
  <c r="V146" i="83"/>
  <c r="W146" i="83"/>
  <c r="X146" i="83"/>
  <c r="Y146" i="83"/>
  <c r="Z146" i="83"/>
  <c r="AI131" i="83"/>
  <c r="AI132" i="83"/>
  <c r="AI133" i="83"/>
  <c r="AI135" i="83"/>
  <c r="AI137" i="83"/>
  <c r="AI139" i="83"/>
  <c r="AG141" i="83"/>
  <c r="AD141" i="83"/>
  <c r="O141" i="83"/>
  <c r="P141" i="83"/>
  <c r="Q141" i="83"/>
  <c r="R141" i="83"/>
  <c r="S141" i="83"/>
  <c r="T141" i="83"/>
  <c r="U141" i="83"/>
  <c r="V141" i="83"/>
  <c r="W141" i="83"/>
  <c r="X141" i="83"/>
  <c r="Y141" i="83"/>
  <c r="Z141" i="83"/>
  <c r="AA140" i="83"/>
  <c r="AF140" i="83" s="1"/>
  <c r="AF131" i="83"/>
  <c r="AF133" i="83"/>
  <c r="AF135" i="83"/>
  <c r="AF137" i="83"/>
  <c r="AF139" i="83"/>
  <c r="AA138" i="83"/>
  <c r="AF138" i="83" s="1"/>
  <c r="AA136" i="83"/>
  <c r="AF136" i="83" s="1"/>
  <c r="AA134" i="83"/>
  <c r="AI134" i="83" s="1"/>
  <c r="AA132" i="83"/>
  <c r="AF132" i="83" s="1"/>
  <c r="AA130" i="83"/>
  <c r="AF130" i="83" s="1"/>
  <c r="AG121" i="83"/>
  <c r="AG122" i="83"/>
  <c r="AG123" i="83"/>
  <c r="AH123" i="83" s="1"/>
  <c r="AG124" i="83"/>
  <c r="AH124" i="83" s="1"/>
  <c r="AG125" i="83"/>
  <c r="AD121" i="83"/>
  <c r="AD122" i="83"/>
  <c r="AD123" i="83"/>
  <c r="AD124" i="83"/>
  <c r="AD125" i="83"/>
  <c r="AE125" i="83" s="1"/>
  <c r="AH121" i="83"/>
  <c r="AH122" i="83"/>
  <c r="AH125" i="83"/>
  <c r="AE121" i="83"/>
  <c r="AE122" i="83"/>
  <c r="AE123" i="83"/>
  <c r="AE124" i="83"/>
  <c r="O121" i="83"/>
  <c r="P121" i="83"/>
  <c r="Q121" i="83"/>
  <c r="R121" i="83"/>
  <c r="S121" i="83"/>
  <c r="T121" i="83"/>
  <c r="U121" i="83"/>
  <c r="V121" i="83"/>
  <c r="W121" i="83"/>
  <c r="X121" i="83"/>
  <c r="Y121" i="83"/>
  <c r="Z121" i="83"/>
  <c r="O122" i="83"/>
  <c r="P122" i="83"/>
  <c r="Q122" i="83"/>
  <c r="R122" i="83"/>
  <c r="R126" i="83" s="1"/>
  <c r="R127" i="83" s="1"/>
  <c r="S122" i="83"/>
  <c r="T122" i="83"/>
  <c r="U122" i="83"/>
  <c r="V122" i="83"/>
  <c r="W122" i="83"/>
  <c r="X122" i="83"/>
  <c r="Y122" i="83"/>
  <c r="Z122" i="83"/>
  <c r="O123" i="83"/>
  <c r="AA123" i="83" s="1"/>
  <c r="AI123" i="83" s="1"/>
  <c r="P123" i="83"/>
  <c r="Q123" i="83"/>
  <c r="R123" i="83"/>
  <c r="S123" i="83"/>
  <c r="T123" i="83"/>
  <c r="U123" i="83"/>
  <c r="V123" i="83"/>
  <c r="W123" i="83"/>
  <c r="X123" i="83"/>
  <c r="Y123" i="83"/>
  <c r="Z123" i="83"/>
  <c r="O124" i="83"/>
  <c r="P124" i="83"/>
  <c r="Q124" i="83"/>
  <c r="R124" i="83"/>
  <c r="S124" i="83"/>
  <c r="T124" i="83"/>
  <c r="U124" i="83"/>
  <c r="V124" i="83"/>
  <c r="W124" i="83"/>
  <c r="X124" i="83"/>
  <c r="Y124" i="83"/>
  <c r="Y126" i="83" s="1"/>
  <c r="Y127" i="83" s="1"/>
  <c r="Z124" i="83"/>
  <c r="O125" i="83"/>
  <c r="P125" i="83"/>
  <c r="Q125" i="83"/>
  <c r="R125" i="83"/>
  <c r="S125" i="83"/>
  <c r="T125" i="83"/>
  <c r="U125" i="83"/>
  <c r="V125" i="83"/>
  <c r="W125" i="83"/>
  <c r="X125" i="83"/>
  <c r="Y125" i="83"/>
  <c r="Z125" i="83"/>
  <c r="AH114" i="83"/>
  <c r="AH115" i="83"/>
  <c r="AI115" i="83"/>
  <c r="AH116" i="83"/>
  <c r="AH117" i="83"/>
  <c r="AH118" i="83"/>
  <c r="AH119" i="83"/>
  <c r="AE114" i="83"/>
  <c r="AF114" i="83"/>
  <c r="AE115" i="83"/>
  <c r="AE116" i="83"/>
  <c r="AE117" i="83"/>
  <c r="AE118" i="83"/>
  <c r="AE119" i="83"/>
  <c r="AA114" i="83"/>
  <c r="AI114" i="83" s="1"/>
  <c r="AA115" i="83"/>
  <c r="AF115" i="83" s="1"/>
  <c r="AB115" i="83"/>
  <c r="AA116" i="83"/>
  <c r="AF116" i="83" s="1"/>
  <c r="AA117" i="83"/>
  <c r="AI117" i="83" s="1"/>
  <c r="AA118" i="83"/>
  <c r="AI118" i="83" s="1"/>
  <c r="AA119" i="83"/>
  <c r="AH106" i="83"/>
  <c r="AH107" i="83"/>
  <c r="AH108" i="83"/>
  <c r="AH109" i="83"/>
  <c r="AI109" i="83"/>
  <c r="AH110" i="83"/>
  <c r="AH111" i="83"/>
  <c r="AE106" i="83"/>
  <c r="AE107" i="83"/>
  <c r="AE108" i="83"/>
  <c r="AF108" i="83"/>
  <c r="AE109" i="83"/>
  <c r="AE110" i="83"/>
  <c r="AE111" i="83"/>
  <c r="AA106" i="83"/>
  <c r="AF106" i="83" s="1"/>
  <c r="AA107" i="83"/>
  <c r="AI107" i="83" s="1"/>
  <c r="AA108" i="83"/>
  <c r="AI108" i="83" s="1"/>
  <c r="AA109" i="83"/>
  <c r="AF109" i="83" s="1"/>
  <c r="AB109" i="83"/>
  <c r="AA110" i="83"/>
  <c r="AF110" i="83" s="1"/>
  <c r="AA111" i="83"/>
  <c r="AI111" i="83" s="1"/>
  <c r="AH98" i="83"/>
  <c r="AH99" i="83"/>
  <c r="AH100" i="83"/>
  <c r="AH101" i="83"/>
  <c r="AH102" i="83"/>
  <c r="AH103" i="83"/>
  <c r="AI103" i="83"/>
  <c r="AE98" i="83"/>
  <c r="AF98" i="83"/>
  <c r="AE99" i="83"/>
  <c r="AE100" i="83"/>
  <c r="AE101" i="83"/>
  <c r="AE102" i="83"/>
  <c r="AF102" i="83"/>
  <c r="AE103" i="83"/>
  <c r="AA98" i="83"/>
  <c r="AI98" i="83" s="1"/>
  <c r="AA99" i="83"/>
  <c r="AA100" i="83"/>
  <c r="AF100" i="83" s="1"/>
  <c r="AA101" i="83"/>
  <c r="AI101" i="83" s="1"/>
  <c r="AA102" i="83"/>
  <c r="AI102" i="83" s="1"/>
  <c r="AA103" i="83"/>
  <c r="AF103" i="83" s="1"/>
  <c r="AB103" i="83"/>
  <c r="AD93" i="83"/>
  <c r="AD94" i="83"/>
  <c r="AG93" i="83"/>
  <c r="AG94" i="83"/>
  <c r="O93" i="83"/>
  <c r="P93" i="83"/>
  <c r="Q93" i="83"/>
  <c r="R93" i="83"/>
  <c r="S93" i="83"/>
  <c r="T93" i="83"/>
  <c r="U93" i="83"/>
  <c r="V93" i="83"/>
  <c r="W93" i="83"/>
  <c r="X93" i="83"/>
  <c r="Y93" i="83"/>
  <c r="Z93" i="83"/>
  <c r="O94" i="83"/>
  <c r="P94" i="83"/>
  <c r="Q94" i="83"/>
  <c r="R94" i="83"/>
  <c r="S94" i="83"/>
  <c r="T94" i="83"/>
  <c r="U94" i="83"/>
  <c r="V94" i="83"/>
  <c r="W94" i="83"/>
  <c r="X94" i="83"/>
  <c r="Y94" i="83"/>
  <c r="Z94" i="83"/>
  <c r="AA91" i="83"/>
  <c r="AF91" i="83" s="1"/>
  <c r="AA92" i="83"/>
  <c r="AF92" i="83" s="1"/>
  <c r="AI86" i="83"/>
  <c r="AI87" i="83"/>
  <c r="AA35" i="83"/>
  <c r="AB35" i="83" s="1"/>
  <c r="AA36" i="83"/>
  <c r="AA37" i="83"/>
  <c r="AB37" i="83" s="1"/>
  <c r="AA38" i="83"/>
  <c r="AI38" i="83" s="1"/>
  <c r="AA39" i="83"/>
  <c r="AB39" i="83" s="1"/>
  <c r="AA40" i="83"/>
  <c r="AA41" i="83"/>
  <c r="AA45" i="83"/>
  <c r="AI45" i="83" s="1"/>
  <c r="AA46" i="83"/>
  <c r="AI46" i="83" s="1"/>
  <c r="AA47" i="83"/>
  <c r="AF47" i="83" s="1"/>
  <c r="AA48" i="83"/>
  <c r="AA49" i="83"/>
  <c r="AA50" i="83"/>
  <c r="AA51" i="83"/>
  <c r="AB51" i="83" s="1"/>
  <c r="AA55" i="83"/>
  <c r="AA56" i="83"/>
  <c r="AA57" i="83"/>
  <c r="AA58" i="83"/>
  <c r="AI58" i="83" s="1"/>
  <c r="AA59" i="83"/>
  <c r="AA60" i="83"/>
  <c r="AA61" i="83"/>
  <c r="AA65" i="83"/>
  <c r="AI65" i="83" s="1"/>
  <c r="AA66" i="83"/>
  <c r="AI66" i="83" s="1"/>
  <c r="AA67" i="83"/>
  <c r="AB67" i="83" s="1"/>
  <c r="AA68" i="83"/>
  <c r="AI68" i="83" s="1"/>
  <c r="AA69" i="83"/>
  <c r="AA72" i="83" s="1"/>
  <c r="AA70" i="83"/>
  <c r="AI70" i="83" s="1"/>
  <c r="AA71" i="83"/>
  <c r="AA75" i="83"/>
  <c r="AF75" i="83" s="1"/>
  <c r="AA76" i="83"/>
  <c r="AB76" i="83" s="1"/>
  <c r="AA77" i="83"/>
  <c r="AB77" i="83" s="1"/>
  <c r="AA78" i="83"/>
  <c r="AA79" i="83"/>
  <c r="AA80" i="83"/>
  <c r="AI80" i="83" s="1"/>
  <c r="AA82" i="83"/>
  <c r="AA83" i="83"/>
  <c r="AI83" i="83" s="1"/>
  <c r="AA85" i="83"/>
  <c r="AA86" i="83"/>
  <c r="AF86" i="83" s="1"/>
  <c r="AA87" i="83"/>
  <c r="AH87" i="83"/>
  <c r="AE87" i="83"/>
  <c r="AB87" i="83"/>
  <c r="AH83" i="83"/>
  <c r="AH85" i="83"/>
  <c r="AE83" i="83"/>
  <c r="AE85" i="83"/>
  <c r="W84" i="83"/>
  <c r="AG82" i="83"/>
  <c r="AH84" i="83" s="1"/>
  <c r="AD82" i="83"/>
  <c r="AE84" i="83" s="1"/>
  <c r="O82" i="83"/>
  <c r="O84" i="83" s="1"/>
  <c r="P82" i="83"/>
  <c r="P84" i="83" s="1"/>
  <c r="Q82" i="83"/>
  <c r="Q84" i="83" s="1"/>
  <c r="R82" i="83"/>
  <c r="R84" i="83" s="1"/>
  <c r="S82" i="83"/>
  <c r="S84" i="83" s="1"/>
  <c r="T82" i="83"/>
  <c r="T84" i="83" s="1"/>
  <c r="U82" i="83"/>
  <c r="U84" i="83" s="1"/>
  <c r="V82" i="83"/>
  <c r="V84" i="83" s="1"/>
  <c r="W82" i="83"/>
  <c r="X82" i="83"/>
  <c r="X84" i="83" s="1"/>
  <c r="Y82" i="83"/>
  <c r="Y84" i="83" s="1"/>
  <c r="Z82" i="83"/>
  <c r="Z84" i="83" s="1"/>
  <c r="AI76" i="83"/>
  <c r="AI78" i="83"/>
  <c r="AI79" i="83"/>
  <c r="AF78" i="83"/>
  <c r="AF79" i="83"/>
  <c r="AF80" i="83"/>
  <c r="AH75" i="83"/>
  <c r="AH76" i="83"/>
  <c r="AH77" i="83"/>
  <c r="AH78" i="83"/>
  <c r="AH79" i="83"/>
  <c r="AH80" i="83"/>
  <c r="AE75" i="83"/>
  <c r="AE76" i="83"/>
  <c r="AE77" i="83"/>
  <c r="AE78" i="83"/>
  <c r="AE79" i="83"/>
  <c r="AE80" i="83"/>
  <c r="AB78" i="83"/>
  <c r="AG73" i="83"/>
  <c r="AH74" i="83" s="1"/>
  <c r="AD73" i="83"/>
  <c r="AE74" i="83" s="1"/>
  <c r="O73" i="83"/>
  <c r="O74" i="83" s="1"/>
  <c r="P73" i="83"/>
  <c r="P74" i="83" s="1"/>
  <c r="Q73" i="83"/>
  <c r="Q74" i="83" s="1"/>
  <c r="R73" i="83"/>
  <c r="S73" i="83"/>
  <c r="T73" i="83"/>
  <c r="T74" i="83" s="1"/>
  <c r="U73" i="83"/>
  <c r="U74" i="83" s="1"/>
  <c r="V73" i="83"/>
  <c r="V74" i="83" s="1"/>
  <c r="W73" i="83"/>
  <c r="W74" i="83" s="1"/>
  <c r="X73" i="83"/>
  <c r="X74" i="83" s="1"/>
  <c r="Y73" i="83"/>
  <c r="Z73" i="83"/>
  <c r="R74" i="83"/>
  <c r="S74" i="83"/>
  <c r="Y74" i="83"/>
  <c r="Z74" i="83"/>
  <c r="AI71" i="83"/>
  <c r="AF65" i="83"/>
  <c r="AF70" i="83"/>
  <c r="AF71" i="83"/>
  <c r="AH71" i="83"/>
  <c r="AE71" i="83"/>
  <c r="AB71" i="83"/>
  <c r="AH65" i="83"/>
  <c r="AH66" i="83"/>
  <c r="AH67" i="83"/>
  <c r="AH68" i="83"/>
  <c r="AH69" i="83"/>
  <c r="AE65" i="83"/>
  <c r="AE66" i="83"/>
  <c r="AE67" i="83"/>
  <c r="AE68" i="83"/>
  <c r="AE69" i="83"/>
  <c r="AB65" i="83"/>
  <c r="AB66" i="83"/>
  <c r="AG63" i="83"/>
  <c r="AH64" i="83" s="1"/>
  <c r="AD63" i="83"/>
  <c r="AE64" i="83" s="1"/>
  <c r="O63" i="83"/>
  <c r="O64" i="83" s="1"/>
  <c r="P63" i="83"/>
  <c r="P64" i="83" s="1"/>
  <c r="Q63" i="83"/>
  <c r="R63" i="83"/>
  <c r="R64" i="83" s="1"/>
  <c r="S63" i="83"/>
  <c r="S64" i="83" s="1"/>
  <c r="T63" i="83"/>
  <c r="U63" i="83"/>
  <c r="U64" i="83" s="1"/>
  <c r="V63" i="83"/>
  <c r="V64" i="83" s="1"/>
  <c r="W63" i="83"/>
  <c r="W64" i="83" s="1"/>
  <c r="X63" i="83"/>
  <c r="X64" i="83" s="1"/>
  <c r="Y63" i="83"/>
  <c r="Y64" i="83" s="1"/>
  <c r="Z63" i="83"/>
  <c r="Z64" i="83" s="1"/>
  <c r="Q64" i="83"/>
  <c r="T64" i="83"/>
  <c r="AI55" i="83"/>
  <c r="AI56" i="83"/>
  <c r="AI57" i="83"/>
  <c r="AI60" i="83"/>
  <c r="AF55" i="83"/>
  <c r="AF56" i="83"/>
  <c r="AF57" i="83"/>
  <c r="AF58" i="83"/>
  <c r="AF60" i="83"/>
  <c r="AH61" i="83"/>
  <c r="AE61" i="83"/>
  <c r="AH55" i="83"/>
  <c r="AH56" i="83"/>
  <c r="AH57" i="83"/>
  <c r="AH58" i="83"/>
  <c r="AH59" i="83"/>
  <c r="AE55" i="83"/>
  <c r="AE56" i="83"/>
  <c r="AE57" i="83"/>
  <c r="AE58" i="83"/>
  <c r="AE59" i="83"/>
  <c r="AB55" i="83"/>
  <c r="AB56" i="83"/>
  <c r="AB57" i="83"/>
  <c r="AG53" i="83"/>
  <c r="AH54" i="83" s="1"/>
  <c r="AD53" i="83"/>
  <c r="AE54" i="83" s="1"/>
  <c r="O53" i="83"/>
  <c r="O54" i="83" s="1"/>
  <c r="P53" i="83"/>
  <c r="P54" i="83" s="1"/>
  <c r="Q53" i="83"/>
  <c r="Q54" i="83" s="1"/>
  <c r="R53" i="83"/>
  <c r="S53" i="83"/>
  <c r="S54" i="83" s="1"/>
  <c r="T53" i="83"/>
  <c r="U53" i="83"/>
  <c r="U54" i="83" s="1"/>
  <c r="V53" i="83"/>
  <c r="V54" i="83" s="1"/>
  <c r="W53" i="83"/>
  <c r="W54" i="83" s="1"/>
  <c r="X53" i="83"/>
  <c r="X54" i="83" s="1"/>
  <c r="Y53" i="83"/>
  <c r="Y54" i="83" s="1"/>
  <c r="Z53" i="83"/>
  <c r="Z54" i="83" s="1"/>
  <c r="R54" i="83"/>
  <c r="T54" i="83"/>
  <c r="AI49" i="83"/>
  <c r="AF46" i="83"/>
  <c r="AF49" i="83"/>
  <c r="AH51" i="83"/>
  <c r="AE51" i="83"/>
  <c r="AH45" i="83"/>
  <c r="AH46" i="83"/>
  <c r="AH47" i="83"/>
  <c r="AH48" i="83"/>
  <c r="AH49" i="83"/>
  <c r="AE45" i="83"/>
  <c r="AE46" i="83"/>
  <c r="AE47" i="83"/>
  <c r="AE48" i="83"/>
  <c r="AE49" i="83"/>
  <c r="AB45" i="83"/>
  <c r="AB49" i="83"/>
  <c r="AG43" i="83"/>
  <c r="AH44" i="83" s="1"/>
  <c r="AD43" i="83"/>
  <c r="AE44" i="83" s="1"/>
  <c r="O43" i="83"/>
  <c r="O44" i="83" s="1"/>
  <c r="P43" i="83"/>
  <c r="P44" i="83" s="1"/>
  <c r="Q43" i="83"/>
  <c r="Q44" i="83" s="1"/>
  <c r="R43" i="83"/>
  <c r="R44" i="83" s="1"/>
  <c r="S43" i="83"/>
  <c r="T43" i="83"/>
  <c r="U43" i="83"/>
  <c r="V43" i="83"/>
  <c r="W43" i="83"/>
  <c r="W44" i="83" s="1"/>
  <c r="X43" i="83"/>
  <c r="X44" i="83" s="1"/>
  <c r="Y43" i="83"/>
  <c r="Y44" i="83" s="1"/>
  <c r="Z43" i="83"/>
  <c r="Z44" i="83" s="1"/>
  <c r="S44" i="83"/>
  <c r="T44" i="83"/>
  <c r="U44" i="83"/>
  <c r="V44" i="83"/>
  <c r="AI35" i="83"/>
  <c r="AI36" i="83"/>
  <c r="AI40" i="83"/>
  <c r="AF35" i="83"/>
  <c r="AF36" i="83"/>
  <c r="AF40" i="83"/>
  <c r="AH41" i="83"/>
  <c r="AE41" i="83"/>
  <c r="AH35" i="83"/>
  <c r="AH36" i="83"/>
  <c r="AH37" i="83"/>
  <c r="AH38" i="83"/>
  <c r="AH39" i="83"/>
  <c r="AE35" i="83"/>
  <c r="AE36" i="83"/>
  <c r="AE37" i="83"/>
  <c r="AE38" i="83"/>
  <c r="AE39" i="83"/>
  <c r="AB36" i="83"/>
  <c r="AA31" i="83"/>
  <c r="AG17" i="83"/>
  <c r="AG18" i="83" s="1"/>
  <c r="AD16" i="83"/>
  <c r="AD17" i="83"/>
  <c r="AD18" i="83"/>
  <c r="G19" i="83"/>
  <c r="G20" i="83"/>
  <c r="AA19" i="83"/>
  <c r="AA20" i="83"/>
  <c r="AA16" i="83"/>
  <c r="AA17" i="83"/>
  <c r="Z16" i="83"/>
  <c r="AA11" i="83"/>
  <c r="AA18" i="83" s="1"/>
  <c r="M11" i="83"/>
  <c r="B10" i="83"/>
  <c r="B9" i="83"/>
  <c r="B4" i="83"/>
  <c r="N1" i="83"/>
  <c r="AG90" i="82"/>
  <c r="AD90" i="82"/>
  <c r="N90" i="82"/>
  <c r="O90" i="82"/>
  <c r="P90" i="82"/>
  <c r="Q90" i="82"/>
  <c r="R90" i="82"/>
  <c r="S90" i="82"/>
  <c r="T90" i="82"/>
  <c r="U90" i="82"/>
  <c r="V90" i="82"/>
  <c r="W90" i="82"/>
  <c r="X90" i="82"/>
  <c r="Y90" i="82"/>
  <c r="Z90" i="82"/>
  <c r="N91" i="82"/>
  <c r="AH87" i="82"/>
  <c r="AK87" i="82"/>
  <c r="AL87" i="82"/>
  <c r="AH88" i="82"/>
  <c r="AK88" i="82"/>
  <c r="AL88" i="82"/>
  <c r="AE87" i="82"/>
  <c r="AE88" i="82"/>
  <c r="AA87" i="82"/>
  <c r="AF87" i="82" s="1"/>
  <c r="AA88" i="82"/>
  <c r="AH83" i="82"/>
  <c r="AK83" i="82"/>
  <c r="AL83" i="82"/>
  <c r="AH84" i="82"/>
  <c r="AK84" i="82"/>
  <c r="AL84" i="82"/>
  <c r="AM84" i="82"/>
  <c r="AH85" i="82"/>
  <c r="AK85" i="82"/>
  <c r="AL85" i="82"/>
  <c r="AE83" i="82"/>
  <c r="AE84" i="82"/>
  <c r="AF84" i="82"/>
  <c r="AE85" i="82"/>
  <c r="AF85" i="82"/>
  <c r="AA83" i="82"/>
  <c r="AI83" i="82" s="1"/>
  <c r="AB83" i="82"/>
  <c r="AA84" i="82"/>
  <c r="AI84" i="82" s="1"/>
  <c r="AB84" i="82"/>
  <c r="AN84" i="82" s="1"/>
  <c r="AA85" i="82"/>
  <c r="AI85" i="82" s="1"/>
  <c r="AB85" i="82"/>
  <c r="K83" i="82"/>
  <c r="K84" i="82"/>
  <c r="AH76" i="82"/>
  <c r="AK76" i="82"/>
  <c r="AL76" i="82"/>
  <c r="AH77" i="82"/>
  <c r="AK77" i="82"/>
  <c r="AL77" i="82"/>
  <c r="AH78" i="82"/>
  <c r="AK78" i="82"/>
  <c r="AL78" i="82"/>
  <c r="AH79" i="82"/>
  <c r="AK79" i="82"/>
  <c r="AL79" i="82"/>
  <c r="AH80" i="82"/>
  <c r="AK80" i="82"/>
  <c r="AL80" i="82"/>
  <c r="AE76" i="82"/>
  <c r="AE77" i="82"/>
  <c r="AE78" i="82"/>
  <c r="AE79" i="82"/>
  <c r="AE80" i="82"/>
  <c r="AA76" i="82"/>
  <c r="AF76" i="82" s="1"/>
  <c r="AA77" i="82"/>
  <c r="AF77" i="82" s="1"/>
  <c r="AA78" i="82"/>
  <c r="AI78" i="82" s="1"/>
  <c r="AA79" i="82"/>
  <c r="AB79" i="82" s="1"/>
  <c r="AA80" i="82"/>
  <c r="AF80" i="82" s="1"/>
  <c r="K76" i="82"/>
  <c r="K77" i="82"/>
  <c r="K78" i="82"/>
  <c r="K79" i="82"/>
  <c r="K80" i="82"/>
  <c r="AD72" i="82"/>
  <c r="AE72" i="82" s="1"/>
  <c r="AG72" i="82"/>
  <c r="AL72" i="82" s="1"/>
  <c r="O72" i="82"/>
  <c r="O91" i="82" s="1"/>
  <c r="P72" i="82"/>
  <c r="P91" i="82" s="1"/>
  <c r="Q72" i="82"/>
  <c r="Q91" i="82" s="1"/>
  <c r="R72" i="82"/>
  <c r="R91" i="82" s="1"/>
  <c r="S72" i="82"/>
  <c r="S91" i="82" s="1"/>
  <c r="T72" i="82"/>
  <c r="T91" i="82" s="1"/>
  <c r="U72" i="82"/>
  <c r="U91" i="82" s="1"/>
  <c r="V72" i="82"/>
  <c r="V91" i="82" s="1"/>
  <c r="W72" i="82"/>
  <c r="W91" i="82" s="1"/>
  <c r="X72" i="82"/>
  <c r="X91" i="82" s="1"/>
  <c r="Y72" i="82"/>
  <c r="Y91" i="82" s="1"/>
  <c r="Z72" i="82"/>
  <c r="Z91" i="82" s="1"/>
  <c r="AI71" i="82"/>
  <c r="K71" i="82"/>
  <c r="K72" i="82"/>
  <c r="AA62" i="82"/>
  <c r="AF62" i="82" s="1"/>
  <c r="AA63" i="82"/>
  <c r="AI63" i="82" s="1"/>
  <c r="AA64" i="82"/>
  <c r="AI64" i="82" s="1"/>
  <c r="AA65" i="82"/>
  <c r="AA66" i="82"/>
  <c r="AA67" i="82"/>
  <c r="AF67" i="82" s="1"/>
  <c r="AA68" i="82"/>
  <c r="AF68" i="82" s="1"/>
  <c r="AA69" i="82"/>
  <c r="AA70" i="82"/>
  <c r="AI62" i="82"/>
  <c r="AK62" i="82"/>
  <c r="AL62" i="82"/>
  <c r="AM62" i="82"/>
  <c r="AN62" i="82"/>
  <c r="AK63" i="82"/>
  <c r="AL63" i="82"/>
  <c r="AM63" i="82"/>
  <c r="AN63" i="82"/>
  <c r="AK64" i="82"/>
  <c r="AL64" i="82"/>
  <c r="AM64" i="82"/>
  <c r="AN64" i="82"/>
  <c r="AI65" i="82"/>
  <c r="AK65" i="82"/>
  <c r="AL65" i="82"/>
  <c r="AM65" i="82"/>
  <c r="AN65" i="82"/>
  <c r="AK66" i="82"/>
  <c r="AL66" i="82"/>
  <c r="AM66" i="82"/>
  <c r="AN66" i="82"/>
  <c r="AI67" i="82"/>
  <c r="AK67" i="82"/>
  <c r="AL67" i="82"/>
  <c r="AM67" i="82"/>
  <c r="AN67" i="82"/>
  <c r="AI68" i="82"/>
  <c r="AK68" i="82"/>
  <c r="AL68" i="82"/>
  <c r="AM68" i="82"/>
  <c r="AN68" i="82"/>
  <c r="AK69" i="82"/>
  <c r="AL69" i="82"/>
  <c r="AM69" i="82"/>
  <c r="AN69" i="82"/>
  <c r="AK70" i="82"/>
  <c r="AL70" i="82"/>
  <c r="AM70" i="82"/>
  <c r="AN70" i="82"/>
  <c r="AF64" i="82"/>
  <c r="AF65" i="82"/>
  <c r="AF70" i="82"/>
  <c r="AF71" i="82"/>
  <c r="K62" i="82"/>
  <c r="K63" i="82"/>
  <c r="K64" i="82"/>
  <c r="K65" i="82"/>
  <c r="K66" i="82"/>
  <c r="K67" i="82"/>
  <c r="K68" i="82"/>
  <c r="K69" i="82"/>
  <c r="K70" i="82"/>
  <c r="B62" i="82"/>
  <c r="AH35" i="82"/>
  <c r="AK35" i="82"/>
  <c r="AL35" i="82"/>
  <c r="AH36" i="82"/>
  <c r="AK36" i="82"/>
  <c r="AL36" i="82"/>
  <c r="AH37" i="82"/>
  <c r="AK37" i="82"/>
  <c r="AL37" i="82"/>
  <c r="AH38" i="82"/>
  <c r="AK38" i="82"/>
  <c r="AL38" i="82"/>
  <c r="AH39" i="82"/>
  <c r="AJ39" i="82"/>
  <c r="AK39" i="82"/>
  <c r="AL39" i="82"/>
  <c r="AH40" i="82"/>
  <c r="AK40" i="82"/>
  <c r="AL40" i="82"/>
  <c r="AH41" i="82"/>
  <c r="AK41" i="82"/>
  <c r="AL41" i="82"/>
  <c r="AH42" i="82"/>
  <c r="AK42" i="82"/>
  <c r="AL42" i="82"/>
  <c r="AH43" i="82"/>
  <c r="AK43" i="82"/>
  <c r="AL43" i="82"/>
  <c r="AH44" i="82"/>
  <c r="AK44" i="82"/>
  <c r="AL44" i="82"/>
  <c r="AH45" i="82"/>
  <c r="AK45" i="82"/>
  <c r="AL45" i="82"/>
  <c r="AH46" i="82"/>
  <c r="AK46" i="82"/>
  <c r="AL46" i="82"/>
  <c r="AH47" i="82"/>
  <c r="AK47" i="82"/>
  <c r="AL47" i="82"/>
  <c r="AH48" i="82"/>
  <c r="AK48" i="82"/>
  <c r="AL48" i="82"/>
  <c r="AH49" i="82"/>
  <c r="AK49" i="82"/>
  <c r="AL49" i="82"/>
  <c r="AH50" i="82"/>
  <c r="AK50" i="82"/>
  <c r="AL50" i="82"/>
  <c r="AH51" i="82"/>
  <c r="AK51" i="82"/>
  <c r="AL51" i="82"/>
  <c r="AH52" i="82"/>
  <c r="AK52" i="82"/>
  <c r="AL52" i="82"/>
  <c r="AH53" i="82"/>
  <c r="AK53" i="82"/>
  <c r="AL53" i="82"/>
  <c r="AH54" i="82"/>
  <c r="AK54" i="82"/>
  <c r="AL54" i="82"/>
  <c r="AH55" i="82"/>
  <c r="AK55" i="82"/>
  <c r="AL55" i="82"/>
  <c r="AH56" i="82"/>
  <c r="AI56" i="82"/>
  <c r="AK56" i="82"/>
  <c r="AL56" i="82"/>
  <c r="AH57" i="82"/>
  <c r="AK57" i="82"/>
  <c r="AL57" i="82"/>
  <c r="AH58" i="82"/>
  <c r="AK58" i="82"/>
  <c r="AL58" i="82"/>
  <c r="AE35" i="82"/>
  <c r="AF35" i="82"/>
  <c r="AE36" i="82"/>
  <c r="AE37" i="82"/>
  <c r="AE38" i="82"/>
  <c r="AE39" i="82"/>
  <c r="AF39" i="82"/>
  <c r="AE40" i="82"/>
  <c r="AE41" i="82"/>
  <c r="AE42" i="82"/>
  <c r="AE43" i="82"/>
  <c r="AF43" i="82"/>
  <c r="AE44" i="82"/>
  <c r="AE45" i="82"/>
  <c r="AE46" i="82"/>
  <c r="AE47" i="82"/>
  <c r="AE48" i="82"/>
  <c r="AE49" i="82"/>
  <c r="AE50" i="82"/>
  <c r="AE51" i="82"/>
  <c r="AF51" i="82"/>
  <c r="AE52" i="82"/>
  <c r="AE53" i="82"/>
  <c r="AE54" i="82"/>
  <c r="AE55" i="82"/>
  <c r="AE56" i="82"/>
  <c r="AE57" i="82"/>
  <c r="AE58" i="82"/>
  <c r="AA35" i="82"/>
  <c r="AI35" i="82" s="1"/>
  <c r="AB35" i="82"/>
  <c r="AA36" i="82"/>
  <c r="AA37" i="82"/>
  <c r="AF37" i="82" s="1"/>
  <c r="AA38" i="82"/>
  <c r="AI38" i="82" s="1"/>
  <c r="AA39" i="82"/>
  <c r="AB39" i="82" s="1"/>
  <c r="AM39" i="82" s="1"/>
  <c r="AA40" i="82"/>
  <c r="AF40" i="82" s="1"/>
  <c r="AA41" i="82"/>
  <c r="AI41" i="82" s="1"/>
  <c r="AA42" i="82"/>
  <c r="AI42" i="82" s="1"/>
  <c r="AA43" i="82"/>
  <c r="AI43" i="82" s="1"/>
  <c r="AB43" i="82"/>
  <c r="AN43" i="82" s="1"/>
  <c r="AA44" i="82"/>
  <c r="AA45" i="82"/>
  <c r="AF45" i="82" s="1"/>
  <c r="AA46" i="82"/>
  <c r="AI46" i="82" s="1"/>
  <c r="AA47" i="82"/>
  <c r="AI47" i="82" s="1"/>
  <c r="AB47" i="82"/>
  <c r="AA48" i="82"/>
  <c r="AA49" i="82"/>
  <c r="AI49" i="82" s="1"/>
  <c r="AA50" i="82"/>
  <c r="AI50" i="82" s="1"/>
  <c r="AA51" i="82"/>
  <c r="AI51" i="82" s="1"/>
  <c r="AA52" i="82"/>
  <c r="AA53" i="82"/>
  <c r="AF53" i="82" s="1"/>
  <c r="AA54" i="82"/>
  <c r="AI54" i="82" s="1"/>
  <c r="AA55" i="82"/>
  <c r="AA56" i="82"/>
  <c r="AF56" i="82" s="1"/>
  <c r="AA57" i="82"/>
  <c r="AI57" i="82" s="1"/>
  <c r="AA58" i="82"/>
  <c r="AI58" i="82" s="1"/>
  <c r="K35" i="82"/>
  <c r="K36" i="82"/>
  <c r="K37" i="82"/>
  <c r="K38" i="82"/>
  <c r="K39" i="82"/>
  <c r="K40" i="82"/>
  <c r="K41" i="82"/>
  <c r="K42" i="82"/>
  <c r="K43" i="82"/>
  <c r="K44" i="82"/>
  <c r="K45" i="82"/>
  <c r="K46" i="82"/>
  <c r="K47" i="82"/>
  <c r="K48" i="82"/>
  <c r="K49" i="82"/>
  <c r="K50" i="82"/>
  <c r="K51" i="82"/>
  <c r="K52" i="82"/>
  <c r="K53" i="82"/>
  <c r="K54" i="82"/>
  <c r="K55" i="82"/>
  <c r="K56" i="82"/>
  <c r="K57" i="82"/>
  <c r="K58" i="82"/>
  <c r="AJ32" i="82"/>
  <c r="AK32" i="82"/>
  <c r="AL32" i="82"/>
  <c r="AM31" i="82"/>
  <c r="AN31" i="82"/>
  <c r="AA31" i="82"/>
  <c r="B29" i="82"/>
  <c r="AG17" i="82"/>
  <c r="AG18" i="82" s="1"/>
  <c r="AD16" i="82"/>
  <c r="AD17" i="82"/>
  <c r="AD18" i="82" s="1"/>
  <c r="G19" i="82"/>
  <c r="G20" i="82"/>
  <c r="AA19" i="82"/>
  <c r="AA20" i="82"/>
  <c r="Z16" i="82"/>
  <c r="AA16" i="82"/>
  <c r="AA17" i="82"/>
  <c r="AA11" i="82" s="1"/>
  <c r="M11" i="82"/>
  <c r="B10" i="82"/>
  <c r="B9" i="82"/>
  <c r="B4" i="82"/>
  <c r="H2" i="82"/>
  <c r="AG143" i="81"/>
  <c r="AG144" i="81"/>
  <c r="AG145" i="81"/>
  <c r="AG146" i="81"/>
  <c r="AD143" i="81"/>
  <c r="AD144" i="81"/>
  <c r="AD145" i="81"/>
  <c r="AD146" i="81"/>
  <c r="N143" i="81"/>
  <c r="N144" i="81"/>
  <c r="N145" i="81"/>
  <c r="O143" i="81"/>
  <c r="P143" i="81"/>
  <c r="Q143" i="81"/>
  <c r="R143" i="81"/>
  <c r="S143" i="81"/>
  <c r="T143" i="81"/>
  <c r="U143" i="81"/>
  <c r="V143" i="81"/>
  <c r="W143" i="81"/>
  <c r="X143" i="81"/>
  <c r="Y143" i="81"/>
  <c r="Z143" i="81"/>
  <c r="O144" i="81"/>
  <c r="P144" i="81"/>
  <c r="Q144" i="81"/>
  <c r="R144" i="81"/>
  <c r="S144" i="81"/>
  <c r="T144" i="81"/>
  <c r="U144" i="81"/>
  <c r="V144" i="81"/>
  <c r="W144" i="81"/>
  <c r="X144" i="81"/>
  <c r="Y144" i="81"/>
  <c r="Z144" i="81"/>
  <c r="O145" i="81"/>
  <c r="P145" i="81"/>
  <c r="Q145" i="81"/>
  <c r="R145" i="81"/>
  <c r="S145" i="81"/>
  <c r="T145" i="81"/>
  <c r="U145" i="81"/>
  <c r="V145" i="81"/>
  <c r="W145" i="81"/>
  <c r="X145" i="81"/>
  <c r="Y145" i="81"/>
  <c r="Z145" i="81"/>
  <c r="O146" i="81"/>
  <c r="P146" i="81"/>
  <c r="Q146" i="81"/>
  <c r="R146" i="81"/>
  <c r="S146" i="81"/>
  <c r="T146" i="81"/>
  <c r="U146" i="81"/>
  <c r="V146" i="81"/>
  <c r="W146" i="81"/>
  <c r="X146" i="81"/>
  <c r="Y146" i="81"/>
  <c r="Z146" i="81"/>
  <c r="AI131" i="81"/>
  <c r="AI133" i="81"/>
  <c r="AI134" i="81"/>
  <c r="AI135" i="81"/>
  <c r="AI136" i="81"/>
  <c r="AI137" i="81"/>
  <c r="AI139" i="81"/>
  <c r="AG141" i="81"/>
  <c r="AD141" i="81"/>
  <c r="O141" i="81"/>
  <c r="P141" i="81"/>
  <c r="Q141" i="81"/>
  <c r="R141" i="81"/>
  <c r="S141" i="81"/>
  <c r="T141" i="81"/>
  <c r="U141" i="81"/>
  <c r="V141" i="81"/>
  <c r="W141" i="81"/>
  <c r="X141" i="81"/>
  <c r="Y141" i="81"/>
  <c r="Z141" i="81"/>
  <c r="AF140" i="81"/>
  <c r="AA140" i="81"/>
  <c r="AI140" i="81" s="1"/>
  <c r="AF131" i="81"/>
  <c r="AF133" i="81"/>
  <c r="AF135" i="81"/>
  <c r="AF137" i="81"/>
  <c r="AF138" i="81"/>
  <c r="AF139" i="81"/>
  <c r="AA138" i="81"/>
  <c r="AI138" i="81" s="1"/>
  <c r="AA136" i="81"/>
  <c r="AF136" i="81" s="1"/>
  <c r="AA134" i="81"/>
  <c r="AF134" i="81" s="1"/>
  <c r="AA132" i="81"/>
  <c r="AI132" i="81" s="1"/>
  <c r="AA130" i="81"/>
  <c r="AG121" i="81"/>
  <c r="AG126" i="81" s="1"/>
  <c r="AG122" i="81"/>
  <c r="AH122" i="81" s="1"/>
  <c r="AG123" i="81"/>
  <c r="AG124" i="81"/>
  <c r="AG125" i="81"/>
  <c r="AH125" i="81" s="1"/>
  <c r="AD121" i="81"/>
  <c r="AD122" i="81"/>
  <c r="AE122" i="81" s="1"/>
  <c r="AD123" i="81"/>
  <c r="AE123" i="81" s="1"/>
  <c r="AD124" i="81"/>
  <c r="AE124" i="81" s="1"/>
  <c r="AD125" i="81"/>
  <c r="AH123" i="81"/>
  <c r="AH124" i="81"/>
  <c r="AE121" i="81"/>
  <c r="AE125" i="81"/>
  <c r="O121" i="81"/>
  <c r="P121" i="81"/>
  <c r="Q121" i="81"/>
  <c r="R121" i="81"/>
  <c r="S121" i="81"/>
  <c r="T121" i="81"/>
  <c r="U121" i="81"/>
  <c r="V121" i="81"/>
  <c r="W121" i="81"/>
  <c r="X121" i="81"/>
  <c r="Y121" i="81"/>
  <c r="Z121" i="81"/>
  <c r="O122" i="81"/>
  <c r="P122" i="81"/>
  <c r="Q122" i="81"/>
  <c r="R122" i="81"/>
  <c r="S122" i="81"/>
  <c r="T122" i="81"/>
  <c r="U122" i="81"/>
  <c r="V122" i="81"/>
  <c r="W122" i="81"/>
  <c r="X122" i="81"/>
  <c r="Y122" i="81"/>
  <c r="Z122" i="81"/>
  <c r="O123" i="81"/>
  <c r="P123" i="81"/>
  <c r="Q123" i="81"/>
  <c r="R123" i="81"/>
  <c r="S123" i="81"/>
  <c r="T123" i="81"/>
  <c r="U123" i="81"/>
  <c r="V123" i="81"/>
  <c r="W123" i="81"/>
  <c r="X123" i="81"/>
  <c r="Y123" i="81"/>
  <c r="Z123" i="81"/>
  <c r="O124" i="81"/>
  <c r="P124" i="81"/>
  <c r="Q124" i="81"/>
  <c r="R124" i="81"/>
  <c r="S124" i="81"/>
  <c r="T124" i="81"/>
  <c r="U124" i="81"/>
  <c r="V124" i="81"/>
  <c r="W124" i="81"/>
  <c r="X124" i="81"/>
  <c r="Y124" i="81"/>
  <c r="Z124" i="81"/>
  <c r="O125" i="81"/>
  <c r="P125" i="81"/>
  <c r="Q125" i="81"/>
  <c r="R125" i="81"/>
  <c r="S125" i="81"/>
  <c r="T125" i="81"/>
  <c r="U125" i="81"/>
  <c r="AA125" i="81" s="1"/>
  <c r="V125" i="81"/>
  <c r="W125" i="81"/>
  <c r="X125" i="81"/>
  <c r="Y125" i="81"/>
  <c r="Z125" i="81"/>
  <c r="O126" i="81"/>
  <c r="W126" i="81"/>
  <c r="W127" i="81" s="1"/>
  <c r="AH114" i="81"/>
  <c r="AH115" i="81"/>
  <c r="AH116" i="81"/>
  <c r="AH117" i="81"/>
  <c r="AH118" i="81"/>
  <c r="AH119" i="81"/>
  <c r="AE114" i="81"/>
  <c r="AE115" i="81"/>
  <c r="AE116" i="81"/>
  <c r="AE117" i="81"/>
  <c r="AF117" i="81"/>
  <c r="AE118" i="81"/>
  <c r="AE119" i="81"/>
  <c r="AA114" i="81"/>
  <c r="AF114" i="81" s="1"/>
  <c r="AA115" i="81"/>
  <c r="AF115" i="81" s="1"/>
  <c r="AA116" i="81"/>
  <c r="AI116" i="81" s="1"/>
  <c r="AA117" i="81"/>
  <c r="AI117" i="81" s="1"/>
  <c r="AA118" i="81"/>
  <c r="AF118" i="81" s="1"/>
  <c r="AA119" i="81"/>
  <c r="AF119" i="81" s="1"/>
  <c r="AH106" i="81"/>
  <c r="AH107" i="81"/>
  <c r="AH108" i="81"/>
  <c r="AH109" i="81"/>
  <c r="AH110" i="81"/>
  <c r="AH111" i="81"/>
  <c r="AE106" i="81"/>
  <c r="AE107" i="81"/>
  <c r="AE108" i="81"/>
  <c r="AE109" i="81"/>
  <c r="AE110" i="81"/>
  <c r="AE111" i="81"/>
  <c r="AF111" i="81"/>
  <c r="AA106" i="81"/>
  <c r="AA107" i="81"/>
  <c r="AI107" i="81" s="1"/>
  <c r="AA108" i="81"/>
  <c r="AF108" i="81" s="1"/>
  <c r="AA109" i="81"/>
  <c r="AF109" i="81" s="1"/>
  <c r="AA110" i="81"/>
  <c r="AI110" i="81" s="1"/>
  <c r="AA111" i="81"/>
  <c r="AI111" i="81" s="1"/>
  <c r="AH98" i="81"/>
  <c r="AH99" i="81"/>
  <c r="AH100" i="81"/>
  <c r="AH101" i="81"/>
  <c r="AH102" i="81"/>
  <c r="AH103" i="81"/>
  <c r="AE98" i="81"/>
  <c r="AE99" i="81"/>
  <c r="AE100" i="81"/>
  <c r="AF100" i="81"/>
  <c r="AE101" i="81"/>
  <c r="AE102" i="81"/>
  <c r="AE103" i="81"/>
  <c r="AA98" i="81"/>
  <c r="AF98" i="81" s="1"/>
  <c r="AA99" i="81"/>
  <c r="AF99" i="81" s="1"/>
  <c r="AA100" i="81"/>
  <c r="AI100" i="81" s="1"/>
  <c r="AA101" i="81"/>
  <c r="AI101" i="81" s="1"/>
  <c r="AA102" i="81"/>
  <c r="AF102" i="81" s="1"/>
  <c r="AA103" i="81"/>
  <c r="AF103" i="81" s="1"/>
  <c r="AD93" i="81"/>
  <c r="AD94" i="81"/>
  <c r="AG93" i="81"/>
  <c r="AG94" i="81"/>
  <c r="O93" i="81"/>
  <c r="P93" i="81"/>
  <c r="Q93" i="81"/>
  <c r="R93" i="81"/>
  <c r="S93" i="81"/>
  <c r="T93" i="81"/>
  <c r="U93" i="81"/>
  <c r="V93" i="81"/>
  <c r="W93" i="81"/>
  <c r="X93" i="81"/>
  <c r="Y93" i="81"/>
  <c r="Z93" i="81"/>
  <c r="O94" i="81"/>
  <c r="P94" i="81"/>
  <c r="Q94" i="81"/>
  <c r="R94" i="81"/>
  <c r="S94" i="81"/>
  <c r="T94" i="81"/>
  <c r="U94" i="81"/>
  <c r="V94" i="81"/>
  <c r="W94" i="81"/>
  <c r="X94" i="81"/>
  <c r="Y94" i="81"/>
  <c r="Z94" i="81"/>
  <c r="AA91" i="81"/>
  <c r="AF91" i="81" s="1"/>
  <c r="AA92" i="81"/>
  <c r="AI92" i="81" s="1"/>
  <c r="AF85" i="81"/>
  <c r="AA35" i="81"/>
  <c r="AF35" i="81" s="1"/>
  <c r="AA36" i="81"/>
  <c r="AI36" i="81" s="1"/>
  <c r="AA37" i="81"/>
  <c r="AF37" i="81" s="1"/>
  <c r="AA38" i="81"/>
  <c r="AA39" i="81"/>
  <c r="AA40" i="81"/>
  <c r="AF40" i="81" s="1"/>
  <c r="AA41" i="81"/>
  <c r="AA45" i="81"/>
  <c r="AI45" i="81" s="1"/>
  <c r="AA46" i="81"/>
  <c r="AA47" i="81"/>
  <c r="AB47" i="81" s="1"/>
  <c r="AA48" i="81"/>
  <c r="AA49" i="81"/>
  <c r="AA50" i="81"/>
  <c r="AF50" i="81" s="1"/>
  <c r="AA51" i="81"/>
  <c r="AF51" i="81" s="1"/>
  <c r="AA55" i="81"/>
  <c r="AB55" i="81" s="1"/>
  <c r="AA56" i="81"/>
  <c r="AF56" i="81" s="1"/>
  <c r="AA57" i="81"/>
  <c r="AB57" i="81" s="1"/>
  <c r="AA58" i="81"/>
  <c r="AI58" i="81" s="1"/>
  <c r="AA59" i="81"/>
  <c r="AA60" i="81"/>
  <c r="AA61" i="81"/>
  <c r="AA62" i="81" s="1"/>
  <c r="AA63" i="81"/>
  <c r="AA65" i="81"/>
  <c r="AB65" i="81" s="1"/>
  <c r="AA66" i="81"/>
  <c r="AF66" i="81" s="1"/>
  <c r="AA67" i="81"/>
  <c r="AA68" i="81"/>
  <c r="AA69" i="81"/>
  <c r="AA70" i="81"/>
  <c r="AA71" i="81"/>
  <c r="AI71" i="81" s="1"/>
  <c r="AA73" i="81"/>
  <c r="AA75" i="81"/>
  <c r="AA76" i="81"/>
  <c r="AB76" i="81" s="1"/>
  <c r="AA77" i="81"/>
  <c r="AA78" i="81"/>
  <c r="AF78" i="81" s="1"/>
  <c r="AA79" i="81"/>
  <c r="AF79" i="81" s="1"/>
  <c r="AA80" i="81"/>
  <c r="AA81" i="81"/>
  <c r="AA83" i="81"/>
  <c r="AI83" i="81" s="1"/>
  <c r="AA85" i="81"/>
  <c r="AA86" i="81"/>
  <c r="AI86" i="81" s="1"/>
  <c r="AA87" i="81"/>
  <c r="AH87" i="81"/>
  <c r="AE87" i="81"/>
  <c r="AH83" i="81"/>
  <c r="AH85" i="81"/>
  <c r="AE83" i="81"/>
  <c r="AE85" i="81"/>
  <c r="S84" i="81"/>
  <c r="U84" i="81"/>
  <c r="AG82" i="81"/>
  <c r="AH84" i="81" s="1"/>
  <c r="AD82" i="81"/>
  <c r="AE84" i="81" s="1"/>
  <c r="O82" i="81"/>
  <c r="O84" i="81" s="1"/>
  <c r="P82" i="81"/>
  <c r="P84" i="81" s="1"/>
  <c r="Q82" i="81"/>
  <c r="Q84" i="81" s="1"/>
  <c r="R82" i="81"/>
  <c r="R84" i="81" s="1"/>
  <c r="S82" i="81"/>
  <c r="T82" i="81"/>
  <c r="T84" i="81" s="1"/>
  <c r="U82" i="81"/>
  <c r="V82" i="81"/>
  <c r="V84" i="81" s="1"/>
  <c r="W82" i="81"/>
  <c r="W84" i="81" s="1"/>
  <c r="X82" i="81"/>
  <c r="X84" i="81" s="1"/>
  <c r="Y82" i="81"/>
  <c r="Y84" i="81" s="1"/>
  <c r="Z82" i="81"/>
  <c r="Z84" i="81" s="1"/>
  <c r="AI76" i="81"/>
  <c r="AI78" i="81"/>
  <c r="AI80" i="81"/>
  <c r="AF76" i="81"/>
  <c r="AF80" i="81"/>
  <c r="AH75" i="81"/>
  <c r="AH76" i="81"/>
  <c r="AH77" i="81"/>
  <c r="AH78" i="81"/>
  <c r="AH79" i="81"/>
  <c r="AH80" i="81"/>
  <c r="AE75" i="81"/>
  <c r="AE76" i="81"/>
  <c r="AE77" i="81"/>
  <c r="AE78" i="81"/>
  <c r="AE79" i="81"/>
  <c r="AE80" i="81"/>
  <c r="AB78" i="81"/>
  <c r="AB79" i="81"/>
  <c r="AB80" i="81"/>
  <c r="AG73" i="81"/>
  <c r="AH74" i="81" s="1"/>
  <c r="AD73" i="81"/>
  <c r="AE74" i="81" s="1"/>
  <c r="O73" i="81"/>
  <c r="P73" i="81"/>
  <c r="Q73" i="81"/>
  <c r="Q74" i="81" s="1"/>
  <c r="R73" i="81"/>
  <c r="S73" i="81"/>
  <c r="S74" i="81" s="1"/>
  <c r="T73" i="81"/>
  <c r="T74" i="81" s="1"/>
  <c r="U73" i="81"/>
  <c r="U74" i="81" s="1"/>
  <c r="V73" i="81"/>
  <c r="V74" i="81" s="1"/>
  <c r="W73" i="81"/>
  <c r="W74" i="81" s="1"/>
  <c r="X73" i="81"/>
  <c r="Y73" i="81"/>
  <c r="Y74" i="81" s="1"/>
  <c r="Z73" i="81"/>
  <c r="O74" i="81"/>
  <c r="P74" i="81"/>
  <c r="R74" i="81"/>
  <c r="X74" i="81"/>
  <c r="Z74" i="81"/>
  <c r="AI66" i="81"/>
  <c r="AI68" i="81"/>
  <c r="AI69" i="81"/>
  <c r="AI70" i="81"/>
  <c r="AF68" i="81"/>
  <c r="AF69" i="81"/>
  <c r="AF70" i="81"/>
  <c r="AH71" i="81"/>
  <c r="AE71" i="81"/>
  <c r="AH65" i="81"/>
  <c r="AH66" i="81"/>
  <c r="AH67" i="81"/>
  <c r="AH68" i="81"/>
  <c r="AH69" i="81"/>
  <c r="AE64" i="81"/>
  <c r="AE65" i="81"/>
  <c r="AE66" i="81"/>
  <c r="AE67" i="81"/>
  <c r="AE68" i="81"/>
  <c r="AE69" i="81"/>
  <c r="AB66" i="81"/>
  <c r="AB68" i="81"/>
  <c r="AB69" i="81"/>
  <c r="AG63" i="81"/>
  <c r="AH64" i="81" s="1"/>
  <c r="AD63" i="81"/>
  <c r="O63" i="81"/>
  <c r="O64" i="81" s="1"/>
  <c r="P63" i="81"/>
  <c r="Q63" i="81"/>
  <c r="Q64" i="81" s="1"/>
  <c r="R63" i="81"/>
  <c r="R64" i="81" s="1"/>
  <c r="S63" i="81"/>
  <c r="S64" i="81" s="1"/>
  <c r="T63" i="81"/>
  <c r="T64" i="81" s="1"/>
  <c r="U63" i="81"/>
  <c r="U64" i="81" s="1"/>
  <c r="V63" i="81"/>
  <c r="W63" i="81"/>
  <c r="W64" i="81" s="1"/>
  <c r="X63" i="81"/>
  <c r="X64" i="81" s="1"/>
  <c r="Y63" i="81"/>
  <c r="Y64" i="81" s="1"/>
  <c r="Z63" i="81"/>
  <c r="Z64" i="81" s="1"/>
  <c r="P64" i="81"/>
  <c r="V64" i="81"/>
  <c r="AI56" i="81"/>
  <c r="AI59" i="81"/>
  <c r="AI60" i="81"/>
  <c r="AF58" i="81"/>
  <c r="AF59" i="81"/>
  <c r="AF60" i="81"/>
  <c r="AH61" i="81"/>
  <c r="AE61" i="81"/>
  <c r="AH55" i="81"/>
  <c r="AH56" i="81"/>
  <c r="AH57" i="81"/>
  <c r="AH58" i="81"/>
  <c r="AH59" i="81"/>
  <c r="AE55" i="81"/>
  <c r="AE56" i="81"/>
  <c r="AE57" i="81"/>
  <c r="AE58" i="81"/>
  <c r="AE59" i="81"/>
  <c r="AB58" i="81"/>
  <c r="AG53" i="81"/>
  <c r="AH54" i="81" s="1"/>
  <c r="AD53" i="81"/>
  <c r="AE54" i="81" s="1"/>
  <c r="O53" i="81"/>
  <c r="O54" i="81" s="1"/>
  <c r="P53" i="81"/>
  <c r="P54" i="81" s="1"/>
  <c r="Q53" i="81"/>
  <c r="R53" i="81"/>
  <c r="S53" i="81"/>
  <c r="S54" i="81" s="1"/>
  <c r="T53" i="81"/>
  <c r="T54" i="81" s="1"/>
  <c r="U53" i="81"/>
  <c r="U54" i="81" s="1"/>
  <c r="V53" i="81"/>
  <c r="V54" i="81" s="1"/>
  <c r="W53" i="81"/>
  <c r="X53" i="81"/>
  <c r="X54" i="81" s="1"/>
  <c r="Y53" i="81"/>
  <c r="Z53" i="81"/>
  <c r="Q54" i="81"/>
  <c r="R54" i="81"/>
  <c r="W54" i="81"/>
  <c r="Y54" i="81"/>
  <c r="Z54" i="81"/>
  <c r="AI48" i="81"/>
  <c r="AI50" i="81"/>
  <c r="AF45" i="81"/>
  <c r="AF48" i="81"/>
  <c r="AH51" i="81"/>
  <c r="AE51" i="81"/>
  <c r="AH45" i="81"/>
  <c r="AH46" i="81"/>
  <c r="AH47" i="81"/>
  <c r="AH48" i="81"/>
  <c r="AH49" i="81"/>
  <c r="AE45" i="81"/>
  <c r="AE46" i="81"/>
  <c r="AE47" i="81"/>
  <c r="AE48" i="81"/>
  <c r="AE49" i="81"/>
  <c r="AG43" i="81"/>
  <c r="AH44" i="81" s="1"/>
  <c r="AD43" i="81"/>
  <c r="AE44" i="81" s="1"/>
  <c r="O43" i="81"/>
  <c r="O44" i="81" s="1"/>
  <c r="P43" i="81"/>
  <c r="Q43" i="81"/>
  <c r="Q44" i="81" s="1"/>
  <c r="R43" i="81"/>
  <c r="S43" i="81"/>
  <c r="S44" i="81" s="1"/>
  <c r="T43" i="81"/>
  <c r="T44" i="81" s="1"/>
  <c r="U43" i="81"/>
  <c r="U44" i="81" s="1"/>
  <c r="V43" i="81"/>
  <c r="V44" i="81" s="1"/>
  <c r="W43" i="81"/>
  <c r="W44" i="81" s="1"/>
  <c r="X43" i="81"/>
  <c r="X44" i="81" s="1"/>
  <c r="Y43" i="81"/>
  <c r="Y44" i="81" s="1"/>
  <c r="Z43" i="81"/>
  <c r="P44" i="81"/>
  <c r="R44" i="81"/>
  <c r="Z44" i="81"/>
  <c r="AI35" i="81"/>
  <c r="AI37" i="81"/>
  <c r="AI38" i="81"/>
  <c r="AF36" i="81"/>
  <c r="AF38" i="81"/>
  <c r="AF39" i="81"/>
  <c r="AH41" i="81"/>
  <c r="AE41" i="81"/>
  <c r="AH35" i="81"/>
  <c r="AH36" i="81"/>
  <c r="AH37" i="81"/>
  <c r="AH38" i="81"/>
  <c r="AH39" i="81"/>
  <c r="AE35" i="81"/>
  <c r="AE36" i="81"/>
  <c r="AE37" i="81"/>
  <c r="AE38" i="81"/>
  <c r="AE39" i="81"/>
  <c r="AB36" i="81"/>
  <c r="AB37" i="81"/>
  <c r="AB38" i="81"/>
  <c r="AA31" i="81"/>
  <c r="AG17" i="81"/>
  <c r="AG18" i="81"/>
  <c r="AD16" i="81"/>
  <c r="AD17" i="81"/>
  <c r="AD18" i="81" s="1"/>
  <c r="G19" i="81"/>
  <c r="G20" i="81"/>
  <c r="AA19" i="81"/>
  <c r="AA20" i="81"/>
  <c r="AA16" i="81"/>
  <c r="AA17" i="81"/>
  <c r="AA11" i="81" s="1"/>
  <c r="AA18" i="81" s="1"/>
  <c r="Z16" i="81"/>
  <c r="M11" i="81"/>
  <c r="B10" i="81"/>
  <c r="B9" i="81"/>
  <c r="B4" i="81"/>
  <c r="N1" i="81"/>
  <c r="AG101" i="80"/>
  <c r="AD101" i="80"/>
  <c r="N101" i="80"/>
  <c r="O101" i="80"/>
  <c r="P101" i="80"/>
  <c r="Q101" i="80"/>
  <c r="R101" i="80"/>
  <c r="S101" i="80"/>
  <c r="T101" i="80"/>
  <c r="U101" i="80"/>
  <c r="V101" i="80"/>
  <c r="W101" i="80"/>
  <c r="X101" i="80"/>
  <c r="Y101" i="80"/>
  <c r="Z101" i="80"/>
  <c r="N102" i="80"/>
  <c r="AH98" i="80"/>
  <c r="AK98" i="80"/>
  <c r="AL98" i="80"/>
  <c r="AH99" i="80"/>
  <c r="AI99" i="80"/>
  <c r="AK99" i="80"/>
  <c r="AL99" i="80"/>
  <c r="AE98" i="80"/>
  <c r="AE99" i="80"/>
  <c r="AA98" i="80"/>
  <c r="AF98" i="80" s="1"/>
  <c r="AA99" i="80"/>
  <c r="AF99" i="80" s="1"/>
  <c r="AH88" i="80"/>
  <c r="AK88" i="80"/>
  <c r="AL88" i="80"/>
  <c r="AH89" i="80"/>
  <c r="AI89" i="80"/>
  <c r="AK89" i="80"/>
  <c r="AL89" i="80"/>
  <c r="AH90" i="80"/>
  <c r="AK90" i="80"/>
  <c r="AL90" i="80"/>
  <c r="AH91" i="80"/>
  <c r="AK91" i="80"/>
  <c r="AL91" i="80"/>
  <c r="AH92" i="80"/>
  <c r="AK92" i="80"/>
  <c r="AL92" i="80"/>
  <c r="AH93" i="80"/>
  <c r="AI93" i="80"/>
  <c r="AK93" i="80"/>
  <c r="AL93" i="80"/>
  <c r="AH94" i="80"/>
  <c r="AI94" i="80"/>
  <c r="AK94" i="80"/>
  <c r="AL94" i="80"/>
  <c r="AH95" i="80"/>
  <c r="AK95" i="80"/>
  <c r="AL95" i="80"/>
  <c r="AH96" i="80"/>
  <c r="AI96" i="80"/>
  <c r="AK96" i="80"/>
  <c r="AL96" i="80"/>
  <c r="AE88" i="80"/>
  <c r="AE89" i="80"/>
  <c r="AF89" i="80"/>
  <c r="AE90" i="80"/>
  <c r="AE91" i="80"/>
  <c r="AE92" i="80"/>
  <c r="AE93" i="80"/>
  <c r="AF93" i="80"/>
  <c r="AE94" i="80"/>
  <c r="AF94" i="80"/>
  <c r="AE95" i="80"/>
  <c r="AE96" i="80"/>
  <c r="AF96" i="80"/>
  <c r="AA88" i="80"/>
  <c r="AI88" i="80" s="1"/>
  <c r="AA89" i="80"/>
  <c r="AA90" i="80"/>
  <c r="AI90" i="80" s="1"/>
  <c r="AA91" i="80"/>
  <c r="AA92" i="80"/>
  <c r="AF92" i="80" s="1"/>
  <c r="AA93" i="80"/>
  <c r="AA94" i="80"/>
  <c r="AA95" i="80"/>
  <c r="AA96" i="80"/>
  <c r="K88" i="80"/>
  <c r="K89" i="80"/>
  <c r="K90" i="80"/>
  <c r="K91" i="80"/>
  <c r="K92" i="80"/>
  <c r="K93" i="80"/>
  <c r="K94" i="80"/>
  <c r="K95" i="80"/>
  <c r="AH76" i="80"/>
  <c r="AK76" i="80"/>
  <c r="AL76" i="80"/>
  <c r="AH77" i="80"/>
  <c r="AK77" i="80"/>
  <c r="AL77" i="80"/>
  <c r="AH78" i="80"/>
  <c r="AK78" i="80"/>
  <c r="AL78" i="80"/>
  <c r="AH79" i="80"/>
  <c r="AK79" i="80"/>
  <c r="AL79" i="80"/>
  <c r="AH80" i="80"/>
  <c r="AK80" i="80"/>
  <c r="AL80" i="80"/>
  <c r="AH81" i="80"/>
  <c r="AK81" i="80"/>
  <c r="AL81" i="80"/>
  <c r="AH82" i="80"/>
  <c r="AK82" i="80"/>
  <c r="AL82" i="80"/>
  <c r="AH83" i="80"/>
  <c r="AK83" i="80"/>
  <c r="AL83" i="80"/>
  <c r="AH84" i="80"/>
  <c r="AI84" i="80"/>
  <c r="AK84" i="80"/>
  <c r="AL84" i="80"/>
  <c r="AH85" i="80"/>
  <c r="AK85" i="80"/>
  <c r="AL85" i="80"/>
  <c r="AE76" i="80"/>
  <c r="AF76" i="80"/>
  <c r="AE77" i="80"/>
  <c r="AE78" i="80"/>
  <c r="AE79" i="80"/>
  <c r="AE80" i="80"/>
  <c r="AF80" i="80"/>
  <c r="AE81" i="80"/>
  <c r="AE82" i="80"/>
  <c r="AE83" i="80"/>
  <c r="AE84" i="80"/>
  <c r="AF84" i="80"/>
  <c r="AE85" i="80"/>
  <c r="AA76" i="80"/>
  <c r="AI76" i="80" s="1"/>
  <c r="AA77" i="80"/>
  <c r="AI77" i="80" s="1"/>
  <c r="AA78" i="80"/>
  <c r="AA79" i="80"/>
  <c r="AF79" i="80" s="1"/>
  <c r="AA80" i="80"/>
  <c r="AI80" i="80" s="1"/>
  <c r="AA81" i="80"/>
  <c r="AF81" i="80" s="1"/>
  <c r="AA82" i="80"/>
  <c r="AA83" i="80"/>
  <c r="AB83" i="80" s="1"/>
  <c r="AA84" i="80"/>
  <c r="AA85" i="80"/>
  <c r="K76" i="80"/>
  <c r="K77" i="80"/>
  <c r="K78" i="80"/>
  <c r="K79" i="80"/>
  <c r="K80" i="80"/>
  <c r="K81" i="80"/>
  <c r="K82" i="80"/>
  <c r="K83" i="80"/>
  <c r="K84" i="80"/>
  <c r="K85" i="80"/>
  <c r="AD72" i="80"/>
  <c r="AD102" i="80" s="1"/>
  <c r="AE72" i="80"/>
  <c r="AG72" i="80"/>
  <c r="AG102" i="80" s="1"/>
  <c r="O72" i="80"/>
  <c r="O102" i="80" s="1"/>
  <c r="P72" i="80"/>
  <c r="P102" i="80" s="1"/>
  <c r="Q72" i="80"/>
  <c r="Q102" i="80" s="1"/>
  <c r="R72" i="80"/>
  <c r="R102" i="80" s="1"/>
  <c r="S72" i="80"/>
  <c r="S102" i="80" s="1"/>
  <c r="T72" i="80"/>
  <c r="T102" i="80" s="1"/>
  <c r="U72" i="80"/>
  <c r="U102" i="80" s="1"/>
  <c r="V72" i="80"/>
  <c r="V102" i="80" s="1"/>
  <c r="W72" i="80"/>
  <c r="W102" i="80" s="1"/>
  <c r="X72" i="80"/>
  <c r="X102" i="80" s="1"/>
  <c r="Y72" i="80"/>
  <c r="Y102" i="80" s="1"/>
  <c r="Z72" i="80"/>
  <c r="Z102" i="80" s="1"/>
  <c r="AI71" i="80"/>
  <c r="K71" i="80"/>
  <c r="K72" i="80"/>
  <c r="AA62" i="80"/>
  <c r="AF62" i="80" s="1"/>
  <c r="AA63" i="80"/>
  <c r="AI63" i="80" s="1"/>
  <c r="AA64" i="80"/>
  <c r="AA65" i="80"/>
  <c r="AI65" i="80" s="1"/>
  <c r="AA66" i="80"/>
  <c r="AF66" i="80" s="1"/>
  <c r="AA67" i="80"/>
  <c r="AA68" i="80"/>
  <c r="AI68" i="80" s="1"/>
  <c r="AA69" i="80"/>
  <c r="AI69" i="80" s="1"/>
  <c r="AA70" i="80"/>
  <c r="AF70" i="80" s="1"/>
  <c r="AI62" i="80"/>
  <c r="AK62" i="80"/>
  <c r="AL62" i="80"/>
  <c r="AM62" i="80"/>
  <c r="AN62" i="80"/>
  <c r="AK63" i="80"/>
  <c r="AL63" i="80"/>
  <c r="AM63" i="80"/>
  <c r="AN63" i="80"/>
  <c r="AI64" i="80"/>
  <c r="AK64" i="80"/>
  <c r="AL64" i="80"/>
  <c r="AM64" i="80"/>
  <c r="AN64" i="80"/>
  <c r="AK65" i="80"/>
  <c r="AL65" i="80"/>
  <c r="AM65" i="80"/>
  <c r="AN65" i="80"/>
  <c r="AI66" i="80"/>
  <c r="AK66" i="80"/>
  <c r="AL66" i="80"/>
  <c r="AM66" i="80"/>
  <c r="AN66" i="80"/>
  <c r="AK67" i="80"/>
  <c r="AL67" i="80"/>
  <c r="AM67" i="80"/>
  <c r="AN67" i="80"/>
  <c r="AK68" i="80"/>
  <c r="AL68" i="80"/>
  <c r="AM68" i="80"/>
  <c r="AN68" i="80"/>
  <c r="AK69" i="80"/>
  <c r="AL69" i="80"/>
  <c r="AM69" i="80"/>
  <c r="AN69" i="80"/>
  <c r="AI70" i="80"/>
  <c r="AK70" i="80"/>
  <c r="AL70" i="80"/>
  <c r="AM70" i="80"/>
  <c r="AN70" i="80"/>
  <c r="AF64" i="80"/>
  <c r="AF65" i="80"/>
  <c r="AF71" i="80"/>
  <c r="K62" i="80"/>
  <c r="K63" i="80"/>
  <c r="K64" i="80"/>
  <c r="K65" i="80"/>
  <c r="K66" i="80"/>
  <c r="K67" i="80"/>
  <c r="K68" i="80"/>
  <c r="K69" i="80"/>
  <c r="K70" i="80"/>
  <c r="B62" i="80"/>
  <c r="AH35" i="80"/>
  <c r="AK35" i="80"/>
  <c r="AL35" i="80"/>
  <c r="AH36" i="80"/>
  <c r="AK36" i="80"/>
  <c r="AL36" i="80"/>
  <c r="AH37" i="80"/>
  <c r="AK37" i="80"/>
  <c r="AL37" i="80"/>
  <c r="AH38" i="80"/>
  <c r="AK38" i="80"/>
  <c r="AL38" i="80"/>
  <c r="AH39" i="80"/>
  <c r="AI39" i="80"/>
  <c r="AK39" i="80"/>
  <c r="AL39" i="80"/>
  <c r="AH40" i="80"/>
  <c r="AI40" i="80"/>
  <c r="AK40" i="80"/>
  <c r="AL40" i="80"/>
  <c r="AH41" i="80"/>
  <c r="AK41" i="80"/>
  <c r="AL41" i="80"/>
  <c r="AH42" i="80"/>
  <c r="AK42" i="80"/>
  <c r="AL42" i="80"/>
  <c r="AH43" i="80"/>
  <c r="AK43" i="80"/>
  <c r="AL43" i="80"/>
  <c r="AH44" i="80"/>
  <c r="AK44" i="80"/>
  <c r="AL44" i="80"/>
  <c r="AH45" i="80"/>
  <c r="AK45" i="80"/>
  <c r="AL45" i="80"/>
  <c r="AH46" i="80"/>
  <c r="AK46" i="80"/>
  <c r="AL46" i="80"/>
  <c r="AH47" i="80"/>
  <c r="AI47" i="80"/>
  <c r="AK47" i="80"/>
  <c r="AL47" i="80"/>
  <c r="AH48" i="80"/>
  <c r="AK48" i="80"/>
  <c r="AL48" i="80"/>
  <c r="AH49" i="80"/>
  <c r="AK49" i="80"/>
  <c r="AL49" i="80"/>
  <c r="AH50" i="80"/>
  <c r="AK50" i="80"/>
  <c r="AL50" i="80"/>
  <c r="AH51" i="80"/>
  <c r="AK51" i="80"/>
  <c r="AL51" i="80"/>
  <c r="AH52" i="80"/>
  <c r="AK52" i="80"/>
  <c r="AL52" i="80"/>
  <c r="AH53" i="80"/>
  <c r="AK53" i="80"/>
  <c r="AL53" i="80"/>
  <c r="AH54" i="80"/>
  <c r="AK54" i="80"/>
  <c r="AL54" i="80"/>
  <c r="AH55" i="80"/>
  <c r="AI55" i="80"/>
  <c r="AK55" i="80"/>
  <c r="AL55" i="80"/>
  <c r="AH56" i="80"/>
  <c r="AI56" i="80"/>
  <c r="AK56" i="80"/>
  <c r="AL56" i="80"/>
  <c r="AH57" i="80"/>
  <c r="AK57" i="80"/>
  <c r="AL57" i="80"/>
  <c r="AH58" i="80"/>
  <c r="AK58" i="80"/>
  <c r="AL58" i="80"/>
  <c r="AE35" i="80"/>
  <c r="AE36" i="80"/>
  <c r="AE37" i="80"/>
  <c r="AE38" i="80"/>
  <c r="AE39" i="80"/>
  <c r="AE40" i="80"/>
  <c r="AE41" i="80"/>
  <c r="AF41" i="80"/>
  <c r="AE42" i="80"/>
  <c r="AE43" i="80"/>
  <c r="AE44" i="80"/>
  <c r="AE45" i="80"/>
  <c r="AE46" i="80"/>
  <c r="AE47" i="80"/>
  <c r="AE48" i="80"/>
  <c r="AE49" i="80"/>
  <c r="AE50" i="80"/>
  <c r="AE51" i="80"/>
  <c r="AE52" i="80"/>
  <c r="AE53" i="80"/>
  <c r="AE54" i="80"/>
  <c r="AE55" i="80"/>
  <c r="AE56" i="80"/>
  <c r="AE57" i="80"/>
  <c r="AE58" i="80"/>
  <c r="AA35" i="80"/>
  <c r="AI35" i="80" s="1"/>
  <c r="AA36" i="80"/>
  <c r="AI36" i="80" s="1"/>
  <c r="AA37" i="80"/>
  <c r="AA38" i="80"/>
  <c r="AI38" i="80" s="1"/>
  <c r="AA39" i="80"/>
  <c r="AF39" i="80" s="1"/>
  <c r="AA40" i="80"/>
  <c r="AF40" i="80" s="1"/>
  <c r="AA41" i="80"/>
  <c r="AI41" i="80" s="1"/>
  <c r="AA42" i="80"/>
  <c r="AI42" i="80" s="1"/>
  <c r="AA43" i="80"/>
  <c r="AI43" i="80" s="1"/>
  <c r="AA44" i="80"/>
  <c r="AI44" i="80" s="1"/>
  <c r="AA45" i="80"/>
  <c r="AJ45" i="80" s="1"/>
  <c r="AB45" i="80"/>
  <c r="AM45" i="80" s="1"/>
  <c r="AA46" i="80"/>
  <c r="AI46" i="80" s="1"/>
  <c r="AA47" i="80"/>
  <c r="AF47" i="80" s="1"/>
  <c r="AA48" i="80"/>
  <c r="AF48" i="80" s="1"/>
  <c r="AA49" i="80"/>
  <c r="AA50" i="80"/>
  <c r="AI50" i="80" s="1"/>
  <c r="AA51" i="80"/>
  <c r="AI51" i="80" s="1"/>
  <c r="AA52" i="80"/>
  <c r="AI52" i="80" s="1"/>
  <c r="AA53" i="80"/>
  <c r="AA54" i="80"/>
  <c r="AI54" i="80" s="1"/>
  <c r="AA55" i="80"/>
  <c r="AF55" i="80" s="1"/>
  <c r="AA56" i="80"/>
  <c r="AA57" i="80"/>
  <c r="AA58" i="80"/>
  <c r="AI58" i="80" s="1"/>
  <c r="K35" i="80"/>
  <c r="K36" i="80"/>
  <c r="K37" i="80"/>
  <c r="K38" i="80"/>
  <c r="K39" i="80"/>
  <c r="K40" i="80"/>
  <c r="K41" i="80"/>
  <c r="K42" i="80"/>
  <c r="K43" i="80"/>
  <c r="K44" i="80"/>
  <c r="K45" i="80"/>
  <c r="K46" i="80"/>
  <c r="K47" i="80"/>
  <c r="K48" i="80"/>
  <c r="K49" i="80"/>
  <c r="K50" i="80"/>
  <c r="K51" i="80"/>
  <c r="K52" i="80"/>
  <c r="K53" i="80"/>
  <c r="K54" i="80"/>
  <c r="K55" i="80"/>
  <c r="K56" i="80"/>
  <c r="K57" i="80"/>
  <c r="K58" i="80"/>
  <c r="AJ32" i="80"/>
  <c r="AK32" i="80"/>
  <c r="AL32" i="80"/>
  <c r="AM31" i="80"/>
  <c r="AN31" i="80"/>
  <c r="AA31" i="80"/>
  <c r="B29" i="80"/>
  <c r="AG17" i="80"/>
  <c r="AG18" i="80"/>
  <c r="AD16" i="80"/>
  <c r="AD17" i="80"/>
  <c r="AD18" i="80" s="1"/>
  <c r="G19" i="80"/>
  <c r="G20" i="80"/>
  <c r="AA19" i="80"/>
  <c r="AB99" i="80" s="1"/>
  <c r="AA20" i="80"/>
  <c r="AJ47" i="80" s="1"/>
  <c r="Z16" i="80"/>
  <c r="AA16" i="80"/>
  <c r="AA17" i="80"/>
  <c r="AA11" i="80" s="1"/>
  <c r="M11" i="80"/>
  <c r="B10" i="80"/>
  <c r="B9" i="80"/>
  <c r="B4" i="80"/>
  <c r="H2" i="80"/>
  <c r="AG143" i="79"/>
  <c r="AG144" i="79"/>
  <c r="AG145" i="79"/>
  <c r="AG146" i="79"/>
  <c r="AD143" i="79"/>
  <c r="AD144" i="79"/>
  <c r="AD145" i="79"/>
  <c r="AD146" i="79"/>
  <c r="N143" i="79"/>
  <c r="N144" i="79"/>
  <c r="N145" i="79"/>
  <c r="O143" i="79"/>
  <c r="P143" i="79"/>
  <c r="Q143" i="79"/>
  <c r="R143" i="79"/>
  <c r="S143" i="79"/>
  <c r="T143" i="79"/>
  <c r="U143" i="79"/>
  <c r="V143" i="79"/>
  <c r="W143" i="79"/>
  <c r="X143" i="79"/>
  <c r="Y143" i="79"/>
  <c r="Z143" i="79"/>
  <c r="O144" i="79"/>
  <c r="P144" i="79"/>
  <c r="Q144" i="79"/>
  <c r="R144" i="79"/>
  <c r="S144" i="79"/>
  <c r="T144" i="79"/>
  <c r="U144" i="79"/>
  <c r="V144" i="79"/>
  <c r="W144" i="79"/>
  <c r="X144" i="79"/>
  <c r="Y144" i="79"/>
  <c r="Z144" i="79"/>
  <c r="O145" i="79"/>
  <c r="P145" i="79"/>
  <c r="Q145" i="79"/>
  <c r="R145" i="79"/>
  <c r="S145" i="79"/>
  <c r="T145" i="79"/>
  <c r="U145" i="79"/>
  <c r="V145" i="79"/>
  <c r="W145" i="79"/>
  <c r="X145" i="79"/>
  <c r="Y145" i="79"/>
  <c r="Z145" i="79"/>
  <c r="O146" i="79"/>
  <c r="P146" i="79"/>
  <c r="Q146" i="79"/>
  <c r="R146" i="79"/>
  <c r="S146" i="79"/>
  <c r="T146" i="79"/>
  <c r="U146" i="79"/>
  <c r="V146" i="79"/>
  <c r="W146" i="79"/>
  <c r="X146" i="79"/>
  <c r="Y146" i="79"/>
  <c r="Z146" i="79"/>
  <c r="AI131" i="79"/>
  <c r="AI133" i="79"/>
  <c r="AI134" i="79"/>
  <c r="AI135" i="79"/>
  <c r="AI137" i="79"/>
  <c r="AI139" i="79"/>
  <c r="AG141" i="79"/>
  <c r="AD141" i="79"/>
  <c r="O141" i="79"/>
  <c r="P141" i="79"/>
  <c r="Q141" i="79"/>
  <c r="R141" i="79"/>
  <c r="S141" i="79"/>
  <c r="T141" i="79"/>
  <c r="U141" i="79"/>
  <c r="V141" i="79"/>
  <c r="W141" i="79"/>
  <c r="X141" i="79"/>
  <c r="Y141" i="79"/>
  <c r="Z141" i="79"/>
  <c r="AA140" i="79"/>
  <c r="AI140" i="79" s="1"/>
  <c r="AF130" i="79"/>
  <c r="AF131" i="79"/>
  <c r="AF133" i="79"/>
  <c r="AF135" i="79"/>
  <c r="AF137" i="79"/>
  <c r="AF138" i="79"/>
  <c r="AF139" i="79"/>
  <c r="AA138" i="79"/>
  <c r="AI138" i="79" s="1"/>
  <c r="AA136" i="79"/>
  <c r="AF136" i="79" s="1"/>
  <c r="AA134" i="79"/>
  <c r="AF134" i="79" s="1"/>
  <c r="AA132" i="79"/>
  <c r="AF132" i="79" s="1"/>
  <c r="AA130" i="79"/>
  <c r="AI130" i="79" s="1"/>
  <c r="AG121" i="79"/>
  <c r="AH121" i="79" s="1"/>
  <c r="AG122" i="79"/>
  <c r="AH122" i="79" s="1"/>
  <c r="AG123" i="79"/>
  <c r="AG124" i="79"/>
  <c r="AG125" i="79"/>
  <c r="AD121" i="79"/>
  <c r="AD122" i="79"/>
  <c r="AD123" i="79"/>
  <c r="AE123" i="79" s="1"/>
  <c r="AD124" i="79"/>
  <c r="AE124" i="79" s="1"/>
  <c r="AD125" i="79"/>
  <c r="AE125" i="79" s="1"/>
  <c r="AH123" i="79"/>
  <c r="AH124" i="79"/>
  <c r="AH125" i="79"/>
  <c r="AE121" i="79"/>
  <c r="AE122" i="79"/>
  <c r="O121" i="79"/>
  <c r="P121" i="79"/>
  <c r="Q121" i="79"/>
  <c r="R121" i="79"/>
  <c r="S121" i="79"/>
  <c r="T121" i="79"/>
  <c r="U121" i="79"/>
  <c r="V121" i="79"/>
  <c r="W121" i="79"/>
  <c r="X121" i="79"/>
  <c r="Y121" i="79"/>
  <c r="Z121" i="79"/>
  <c r="O122" i="79"/>
  <c r="P122" i="79"/>
  <c r="Q122" i="79"/>
  <c r="R122" i="79"/>
  <c r="S122" i="79"/>
  <c r="T122" i="79"/>
  <c r="U122" i="79"/>
  <c r="V122" i="79"/>
  <c r="W122" i="79"/>
  <c r="X122" i="79"/>
  <c r="Y122" i="79"/>
  <c r="Z122" i="79"/>
  <c r="O123" i="79"/>
  <c r="P123" i="79"/>
  <c r="Q123" i="79"/>
  <c r="Q126" i="79" s="1"/>
  <c r="Q127" i="79" s="1"/>
  <c r="R123" i="79"/>
  <c r="S123" i="79"/>
  <c r="T123" i="79"/>
  <c r="U123" i="79"/>
  <c r="V123" i="79"/>
  <c r="W123" i="79"/>
  <c r="X123" i="79"/>
  <c r="Y123" i="79"/>
  <c r="Y126" i="79" s="1"/>
  <c r="Y127" i="79" s="1"/>
  <c r="Z123" i="79"/>
  <c r="O124" i="79"/>
  <c r="P124" i="79"/>
  <c r="Q124" i="79"/>
  <c r="R124" i="79"/>
  <c r="R126" i="79" s="1"/>
  <c r="R127" i="79" s="1"/>
  <c r="S124" i="79"/>
  <c r="T124" i="79"/>
  <c r="U124" i="79"/>
  <c r="V124" i="79"/>
  <c r="W124" i="79"/>
  <c r="X124" i="79"/>
  <c r="Y124" i="79"/>
  <c r="Z124" i="79"/>
  <c r="Z126" i="79" s="1"/>
  <c r="Z127" i="79" s="1"/>
  <c r="AA124" i="79"/>
  <c r="O125" i="79"/>
  <c r="P125" i="79"/>
  <c r="Q125" i="79"/>
  <c r="R125" i="79"/>
  <c r="S125" i="79"/>
  <c r="T125" i="79"/>
  <c r="U125" i="79"/>
  <c r="V125" i="79"/>
  <c r="W125" i="79"/>
  <c r="X125" i="79"/>
  <c r="Y125" i="79"/>
  <c r="Z125" i="79"/>
  <c r="AH114" i="79"/>
  <c r="AH115" i="79"/>
  <c r="AH116" i="79"/>
  <c r="AH117" i="79"/>
  <c r="AH118" i="79"/>
  <c r="AI118" i="79"/>
  <c r="AH119" i="79"/>
  <c r="AE114" i="79"/>
  <c r="AE115" i="79"/>
  <c r="AE116" i="79"/>
  <c r="AF116" i="79"/>
  <c r="AE117" i="79"/>
  <c r="AE118" i="79"/>
  <c r="AE119" i="79"/>
  <c r="AA114" i="79"/>
  <c r="AB114" i="79" s="1"/>
  <c r="AA115" i="79"/>
  <c r="AF115" i="79" s="1"/>
  <c r="AA116" i="79"/>
  <c r="AI116" i="79" s="1"/>
  <c r="AA117" i="79"/>
  <c r="AI117" i="79" s="1"/>
  <c r="AA118" i="79"/>
  <c r="AF118" i="79" s="1"/>
  <c r="AA119" i="79"/>
  <c r="AF119" i="79" s="1"/>
  <c r="AH106" i="79"/>
  <c r="AH107" i="79"/>
  <c r="AH108" i="79"/>
  <c r="AI108" i="79"/>
  <c r="AH109" i="79"/>
  <c r="AH110" i="79"/>
  <c r="AH111" i="79"/>
  <c r="AE106" i="79"/>
  <c r="AF106" i="79"/>
  <c r="AE107" i="79"/>
  <c r="AE108" i="79"/>
  <c r="AE109" i="79"/>
  <c r="AE110" i="79"/>
  <c r="AE111" i="79"/>
  <c r="AA106" i="79"/>
  <c r="AI106" i="79" s="1"/>
  <c r="AA107" i="79"/>
  <c r="AI107" i="79" s="1"/>
  <c r="AA108" i="79"/>
  <c r="AA109" i="79"/>
  <c r="AF109" i="79" s="1"/>
  <c r="AA110" i="79"/>
  <c r="AA111" i="79"/>
  <c r="AI111" i="79" s="1"/>
  <c r="AH98" i="79"/>
  <c r="AI98" i="79"/>
  <c r="AH99" i="79"/>
  <c r="AH100" i="79"/>
  <c r="AH101" i="79"/>
  <c r="AH102" i="79"/>
  <c r="AI102" i="79"/>
  <c r="AH103" i="79"/>
  <c r="AE98" i="79"/>
  <c r="AE99" i="79"/>
  <c r="AE100" i="79"/>
  <c r="AE101" i="79"/>
  <c r="AE102" i="79"/>
  <c r="AE103" i="79"/>
  <c r="AA98" i="79"/>
  <c r="AF98" i="79" s="1"/>
  <c r="AA99" i="79"/>
  <c r="AF99" i="79" s="1"/>
  <c r="AA100" i="79"/>
  <c r="AA101" i="79"/>
  <c r="AI101" i="79" s="1"/>
  <c r="AA102" i="79"/>
  <c r="AF102" i="79" s="1"/>
  <c r="AB102" i="79"/>
  <c r="AA103" i="79"/>
  <c r="AF103" i="79" s="1"/>
  <c r="AD93" i="79"/>
  <c r="AD94" i="79"/>
  <c r="AG93" i="79"/>
  <c r="AG94" i="79"/>
  <c r="O93" i="79"/>
  <c r="P93" i="79"/>
  <c r="Q93" i="79"/>
  <c r="R93" i="79"/>
  <c r="S93" i="79"/>
  <c r="T93" i="79"/>
  <c r="U93" i="79"/>
  <c r="V93" i="79"/>
  <c r="W93" i="79"/>
  <c r="X93" i="79"/>
  <c r="Y93" i="79"/>
  <c r="Z93" i="79"/>
  <c r="O94" i="79"/>
  <c r="P94" i="79"/>
  <c r="Q94" i="79"/>
  <c r="R94" i="79"/>
  <c r="S94" i="79"/>
  <c r="T94" i="79"/>
  <c r="U94" i="79"/>
  <c r="V94" i="79"/>
  <c r="W94" i="79"/>
  <c r="X94" i="79"/>
  <c r="Y94" i="79"/>
  <c r="Z94" i="79"/>
  <c r="AF92" i="79"/>
  <c r="AA91" i="79"/>
  <c r="AI91" i="79" s="1"/>
  <c r="AA92" i="79"/>
  <c r="AI92" i="79" s="1"/>
  <c r="AF85" i="79"/>
  <c r="AA35" i="79"/>
  <c r="AI35" i="79" s="1"/>
  <c r="AA36" i="79"/>
  <c r="AA37" i="79"/>
  <c r="AA38" i="79"/>
  <c r="AA39" i="79"/>
  <c r="AA143" i="79" s="1"/>
  <c r="AA40" i="79"/>
  <c r="AI40" i="79" s="1"/>
  <c r="AA41" i="79"/>
  <c r="AA45" i="79"/>
  <c r="AB45" i="79" s="1"/>
  <c r="AA46" i="79"/>
  <c r="AA47" i="79"/>
  <c r="AA48" i="79"/>
  <c r="AB48" i="79" s="1"/>
  <c r="AA49" i="79"/>
  <c r="AA50" i="79"/>
  <c r="AI50" i="79" s="1"/>
  <c r="AA51" i="79"/>
  <c r="AA55" i="79"/>
  <c r="AF55" i="79" s="1"/>
  <c r="AA56" i="79"/>
  <c r="AA57" i="79"/>
  <c r="AA58" i="79"/>
  <c r="AA59" i="79"/>
  <c r="AA60" i="79"/>
  <c r="AA61" i="79"/>
  <c r="AF61" i="79" s="1"/>
  <c r="AA65" i="79"/>
  <c r="AB65" i="79" s="1"/>
  <c r="AA66" i="79"/>
  <c r="AA67" i="79"/>
  <c r="AI67" i="79" s="1"/>
  <c r="AA68" i="79"/>
  <c r="AA69" i="79"/>
  <c r="AA70" i="79"/>
  <c r="AA71" i="79"/>
  <c r="AA72" i="79" s="1"/>
  <c r="AI72" i="79" s="1"/>
  <c r="AA75" i="79"/>
  <c r="AA76" i="79"/>
  <c r="AA77" i="79"/>
  <c r="AA78" i="79"/>
  <c r="AA79" i="79"/>
  <c r="AF79" i="79" s="1"/>
  <c r="AA80" i="79"/>
  <c r="AA83" i="79"/>
  <c r="AI83" i="79" s="1"/>
  <c r="AA85" i="79"/>
  <c r="AI85" i="79" s="1"/>
  <c r="AA86" i="79"/>
  <c r="AI86" i="79" s="1"/>
  <c r="AA87" i="79"/>
  <c r="AA88" i="79"/>
  <c r="AI88" i="79" s="1"/>
  <c r="AH87" i="79"/>
  <c r="AE87" i="79"/>
  <c r="AH83" i="79"/>
  <c r="AH85" i="79"/>
  <c r="AE83" i="79"/>
  <c r="AE85" i="79"/>
  <c r="U84" i="79"/>
  <c r="AF83" i="79"/>
  <c r="AG82" i="79"/>
  <c r="AH84" i="79" s="1"/>
  <c r="AD82" i="79"/>
  <c r="AE84" i="79" s="1"/>
  <c r="O82" i="79"/>
  <c r="O84" i="79" s="1"/>
  <c r="P82" i="79"/>
  <c r="P84" i="79" s="1"/>
  <c r="Q82" i="79"/>
  <c r="Q84" i="79" s="1"/>
  <c r="R82" i="79"/>
  <c r="R84" i="79" s="1"/>
  <c r="S82" i="79"/>
  <c r="S84" i="79" s="1"/>
  <c r="T82" i="79"/>
  <c r="T84" i="79" s="1"/>
  <c r="U82" i="79"/>
  <c r="V82" i="79"/>
  <c r="V84" i="79" s="1"/>
  <c r="W82" i="79"/>
  <c r="W84" i="79" s="1"/>
  <c r="X82" i="79"/>
  <c r="X84" i="79" s="1"/>
  <c r="Y82" i="79"/>
  <c r="Y84" i="79" s="1"/>
  <c r="Z82" i="79"/>
  <c r="Z84" i="79" s="1"/>
  <c r="AI75" i="79"/>
  <c r="AI76" i="79"/>
  <c r="AF75" i="79"/>
  <c r="AF76" i="79"/>
  <c r="AH74" i="79"/>
  <c r="AH75" i="79"/>
  <c r="AH76" i="79"/>
  <c r="AH77" i="79"/>
  <c r="AH78" i="79"/>
  <c r="AH79" i="79"/>
  <c r="AH80" i="79"/>
  <c r="AE75" i="79"/>
  <c r="AE76" i="79"/>
  <c r="AE77" i="79"/>
  <c r="AE78" i="79"/>
  <c r="AE79" i="79"/>
  <c r="AE80" i="79"/>
  <c r="AB75" i="79"/>
  <c r="AB76" i="79"/>
  <c r="AB79" i="79"/>
  <c r="AG73" i="79"/>
  <c r="AD73" i="79"/>
  <c r="AE74" i="79" s="1"/>
  <c r="O73" i="79"/>
  <c r="P73" i="79"/>
  <c r="P74" i="79" s="1"/>
  <c r="Q73" i="79"/>
  <c r="Q74" i="79" s="1"/>
  <c r="R73" i="79"/>
  <c r="R74" i="79" s="1"/>
  <c r="S73" i="79"/>
  <c r="S74" i="79" s="1"/>
  <c r="T73" i="79"/>
  <c r="T74" i="79" s="1"/>
  <c r="U73" i="79"/>
  <c r="V73" i="79"/>
  <c r="W73" i="79"/>
  <c r="X73" i="79"/>
  <c r="Y73" i="79"/>
  <c r="Y74" i="79" s="1"/>
  <c r="Z73" i="79"/>
  <c r="Z74" i="79" s="1"/>
  <c r="O74" i="79"/>
  <c r="U74" i="79"/>
  <c r="V74" i="79"/>
  <c r="W74" i="79"/>
  <c r="X74" i="79"/>
  <c r="AI66" i="79"/>
  <c r="AI69" i="79"/>
  <c r="AI70" i="79"/>
  <c r="AF66" i="79"/>
  <c r="AF67" i="79"/>
  <c r="AF68" i="79"/>
  <c r="AF70" i="79"/>
  <c r="AF71" i="79"/>
  <c r="AH71" i="79"/>
  <c r="AE71" i="79"/>
  <c r="AH65" i="79"/>
  <c r="AH66" i="79"/>
  <c r="AH67" i="79"/>
  <c r="AH68" i="79"/>
  <c r="AH69" i="79"/>
  <c r="AE65" i="79"/>
  <c r="AE66" i="79"/>
  <c r="AE67" i="79"/>
  <c r="AE68" i="79"/>
  <c r="AE69" i="79"/>
  <c r="AB66" i="79"/>
  <c r="AB67" i="79"/>
  <c r="AG63" i="79"/>
  <c r="AH64" i="79" s="1"/>
  <c r="AD63" i="79"/>
  <c r="AE64" i="79" s="1"/>
  <c r="O63" i="79"/>
  <c r="P63" i="79"/>
  <c r="P64" i="79" s="1"/>
  <c r="Q63" i="79"/>
  <c r="Q64" i="79" s="1"/>
  <c r="R63" i="79"/>
  <c r="R64" i="79" s="1"/>
  <c r="S63" i="79"/>
  <c r="S64" i="79" s="1"/>
  <c r="T63" i="79"/>
  <c r="T64" i="79" s="1"/>
  <c r="U63" i="79"/>
  <c r="U64" i="79" s="1"/>
  <c r="V63" i="79"/>
  <c r="W63" i="79"/>
  <c r="X63" i="79"/>
  <c r="Y63" i="79"/>
  <c r="Y64" i="79" s="1"/>
  <c r="Z63" i="79"/>
  <c r="Z64" i="79" s="1"/>
  <c r="O64" i="79"/>
  <c r="V64" i="79"/>
  <c r="W64" i="79"/>
  <c r="X64" i="79"/>
  <c r="AI55" i="79"/>
  <c r="AI60" i="79"/>
  <c r="AI61" i="79"/>
  <c r="AF59" i="79"/>
  <c r="AF60" i="79"/>
  <c r="AH61" i="79"/>
  <c r="AE61" i="79"/>
  <c r="AH55" i="79"/>
  <c r="AH56" i="79"/>
  <c r="AH57" i="79"/>
  <c r="AH58" i="79"/>
  <c r="AH59" i="79"/>
  <c r="AE55" i="79"/>
  <c r="AE56" i="79"/>
  <c r="AE57" i="79"/>
  <c r="AE58" i="79"/>
  <c r="AE59" i="79"/>
  <c r="AG53" i="79"/>
  <c r="AH54" i="79" s="1"/>
  <c r="AD53" i="79"/>
  <c r="AE54" i="79" s="1"/>
  <c r="O53" i="79"/>
  <c r="P53" i="79"/>
  <c r="Q53" i="79"/>
  <c r="R53" i="79"/>
  <c r="S53" i="79"/>
  <c r="S54" i="79" s="1"/>
  <c r="T53" i="79"/>
  <c r="T54" i="79" s="1"/>
  <c r="U53" i="79"/>
  <c r="U54" i="79" s="1"/>
  <c r="V53" i="79"/>
  <c r="V54" i="79" s="1"/>
  <c r="W53" i="79"/>
  <c r="X53" i="79"/>
  <c r="Y53" i="79"/>
  <c r="Z53" i="79"/>
  <c r="O54" i="79"/>
  <c r="P54" i="79"/>
  <c r="Q54" i="79"/>
  <c r="R54" i="79"/>
  <c r="W54" i="79"/>
  <c r="X54" i="79"/>
  <c r="Y54" i="79"/>
  <c r="Z54" i="79"/>
  <c r="AI45" i="79"/>
  <c r="AI46" i="79"/>
  <c r="AF45" i="79"/>
  <c r="AF46" i="79"/>
  <c r="AF51" i="79"/>
  <c r="AH51" i="79"/>
  <c r="AE51" i="79"/>
  <c r="AH45" i="79"/>
  <c r="AH46" i="79"/>
  <c r="AH47" i="79"/>
  <c r="AH48" i="79"/>
  <c r="AH49" i="79"/>
  <c r="AE45" i="79"/>
  <c r="AE46" i="79"/>
  <c r="AE47" i="79"/>
  <c r="AE48" i="79"/>
  <c r="AE49" i="79"/>
  <c r="AB46" i="79"/>
  <c r="AG43" i="79"/>
  <c r="AH44" i="79" s="1"/>
  <c r="AD43" i="79"/>
  <c r="AE44" i="79" s="1"/>
  <c r="O43" i="79"/>
  <c r="O44" i="79" s="1"/>
  <c r="P43" i="79"/>
  <c r="P44" i="79" s="1"/>
  <c r="Q43" i="79"/>
  <c r="R43" i="79"/>
  <c r="S43" i="79"/>
  <c r="S44" i="79" s="1"/>
  <c r="T43" i="79"/>
  <c r="T44" i="79" s="1"/>
  <c r="U43" i="79"/>
  <c r="U44" i="79" s="1"/>
  <c r="V43" i="79"/>
  <c r="V44" i="79" s="1"/>
  <c r="W43" i="79"/>
  <c r="W44" i="79" s="1"/>
  <c r="X43" i="79"/>
  <c r="X44" i="79" s="1"/>
  <c r="Y43" i="79"/>
  <c r="Z43" i="79"/>
  <c r="Q44" i="79"/>
  <c r="R44" i="79"/>
  <c r="Y44" i="79"/>
  <c r="Z44" i="79"/>
  <c r="AI37" i="79"/>
  <c r="AI38" i="79"/>
  <c r="AI41" i="79"/>
  <c r="AF35" i="79"/>
  <c r="AF37" i="79"/>
  <c r="AF38" i="79"/>
  <c r="AF39" i="79"/>
  <c r="AF40" i="79"/>
  <c r="AF41" i="79"/>
  <c r="AH41" i="79"/>
  <c r="AE41" i="79"/>
  <c r="AH35" i="79"/>
  <c r="AH36" i="79"/>
  <c r="AH37" i="79"/>
  <c r="AH38" i="79"/>
  <c r="AH39" i="79"/>
  <c r="AE35" i="79"/>
  <c r="AE36" i="79"/>
  <c r="AE37" i="79"/>
  <c r="AE38" i="79"/>
  <c r="AE39" i="79"/>
  <c r="AA31" i="79"/>
  <c r="AG17" i="79"/>
  <c r="AG18" i="79" s="1"/>
  <c r="AD16" i="79"/>
  <c r="AD17" i="79"/>
  <c r="AD18" i="79" s="1"/>
  <c r="G19" i="79"/>
  <c r="G20" i="79"/>
  <c r="AA19" i="79"/>
  <c r="AA20" i="79"/>
  <c r="AA16" i="79"/>
  <c r="AA17" i="79"/>
  <c r="AA11" i="79" s="1"/>
  <c r="AA18" i="79" s="1"/>
  <c r="Z16" i="79"/>
  <c r="M11" i="79"/>
  <c r="B10" i="79"/>
  <c r="B9" i="79"/>
  <c r="B4" i="79"/>
  <c r="N1" i="79"/>
  <c r="AG124" i="78"/>
  <c r="AD124" i="78"/>
  <c r="N124" i="78"/>
  <c r="O124" i="78"/>
  <c r="P124" i="78"/>
  <c r="Q124" i="78"/>
  <c r="R124" i="78"/>
  <c r="S124" i="78"/>
  <c r="T124" i="78"/>
  <c r="U124" i="78"/>
  <c r="V124" i="78"/>
  <c r="W124" i="78"/>
  <c r="X124" i="78"/>
  <c r="Y124" i="78"/>
  <c r="Z124" i="78"/>
  <c r="N125" i="78"/>
  <c r="AH121" i="78"/>
  <c r="AK121" i="78"/>
  <c r="AL121" i="78"/>
  <c r="AH122" i="78"/>
  <c r="AK122" i="78"/>
  <c r="AL122" i="78"/>
  <c r="AE121" i="78"/>
  <c r="AF121" i="78"/>
  <c r="AE122" i="78"/>
  <c r="AA121" i="78"/>
  <c r="AA122" i="78"/>
  <c r="AI122" i="78" s="1"/>
  <c r="AH93" i="78"/>
  <c r="AK93" i="78"/>
  <c r="AL93" i="78"/>
  <c r="AH94" i="78"/>
  <c r="AJ94" i="78"/>
  <c r="AK94" i="78"/>
  <c r="AL94" i="78"/>
  <c r="AH95" i="78"/>
  <c r="AK95" i="78"/>
  <c r="AL95" i="78"/>
  <c r="AH96" i="78"/>
  <c r="AK96" i="78"/>
  <c r="AL96" i="78"/>
  <c r="AH97" i="78"/>
  <c r="AK97" i="78"/>
  <c r="AL97" i="78"/>
  <c r="AH98" i="78"/>
  <c r="AK98" i="78"/>
  <c r="AL98" i="78"/>
  <c r="AH99" i="78"/>
  <c r="AK99" i="78"/>
  <c r="AL99" i="78"/>
  <c r="AH100" i="78"/>
  <c r="AK100" i="78"/>
  <c r="AL100" i="78"/>
  <c r="AH101" i="78"/>
  <c r="AI101" i="78"/>
  <c r="AK101" i="78"/>
  <c r="AL101" i="78"/>
  <c r="AH102" i="78"/>
  <c r="AJ102" i="78"/>
  <c r="AK102" i="78"/>
  <c r="AL102" i="78"/>
  <c r="AH103" i="78"/>
  <c r="AK103" i="78"/>
  <c r="AL103" i="78"/>
  <c r="AH104" i="78"/>
  <c r="AK104" i="78"/>
  <c r="AL104" i="78"/>
  <c r="AH105" i="78"/>
  <c r="AK105" i="78"/>
  <c r="AL105" i="78"/>
  <c r="AH106" i="78"/>
  <c r="AI106" i="78"/>
  <c r="AK106" i="78"/>
  <c r="AL106" i="78"/>
  <c r="AH107" i="78"/>
  <c r="AK107" i="78"/>
  <c r="AL107" i="78"/>
  <c r="AH108" i="78"/>
  <c r="AK108" i="78"/>
  <c r="AL108" i="78"/>
  <c r="AH109" i="78"/>
  <c r="AK109" i="78"/>
  <c r="AL109" i="78"/>
  <c r="AH110" i="78"/>
  <c r="AI110" i="78"/>
  <c r="AK110" i="78"/>
  <c r="AL110" i="78"/>
  <c r="AH111" i="78"/>
  <c r="AK111" i="78"/>
  <c r="AL111" i="78"/>
  <c r="AH112" i="78"/>
  <c r="AK112" i="78"/>
  <c r="AL112" i="78"/>
  <c r="AH113" i="78"/>
  <c r="AK113" i="78"/>
  <c r="AL113" i="78"/>
  <c r="AH114" i="78"/>
  <c r="AK114" i="78"/>
  <c r="AL114" i="78"/>
  <c r="AH115" i="78"/>
  <c r="AK115" i="78"/>
  <c r="AL115" i="78"/>
  <c r="AH116" i="78"/>
  <c r="AK116" i="78"/>
  <c r="AL116" i="78"/>
  <c r="AH117" i="78"/>
  <c r="AK117" i="78"/>
  <c r="AL117" i="78"/>
  <c r="AH118" i="78"/>
  <c r="AK118" i="78"/>
  <c r="AL118" i="78"/>
  <c r="AH119" i="78"/>
  <c r="AK119" i="78"/>
  <c r="AL119" i="78"/>
  <c r="AE93" i="78"/>
  <c r="AE94" i="78"/>
  <c r="AE95" i="78"/>
  <c r="AF95" i="78"/>
  <c r="AE96" i="78"/>
  <c r="AE97" i="78"/>
  <c r="AE98" i="78"/>
  <c r="AF98" i="78"/>
  <c r="AE99" i="78"/>
  <c r="AE100" i="78"/>
  <c r="AE101" i="78"/>
  <c r="AE102" i="78"/>
  <c r="AF102" i="78"/>
  <c r="AE103" i="78"/>
  <c r="AF103" i="78"/>
  <c r="AE104" i="78"/>
  <c r="AE105" i="78"/>
  <c r="AE106" i="78"/>
  <c r="AF106" i="78"/>
  <c r="AE107" i="78"/>
  <c r="AF107" i="78"/>
  <c r="AE108" i="78"/>
  <c r="AE109" i="78"/>
  <c r="AE110" i="78"/>
  <c r="AF110" i="78"/>
  <c r="AE111" i="78"/>
  <c r="AE112" i="78"/>
  <c r="AE113" i="78"/>
  <c r="AE114" i="78"/>
  <c r="AF114" i="78"/>
  <c r="AE115" i="78"/>
  <c r="AE116" i="78"/>
  <c r="AE117" i="78"/>
  <c r="AE118" i="78"/>
  <c r="AF118" i="78"/>
  <c r="AE119" i="78"/>
  <c r="AF119" i="78"/>
  <c r="AA93" i="78"/>
  <c r="AF93" i="78" s="1"/>
  <c r="AA94" i="78"/>
  <c r="AI94" i="78" s="1"/>
  <c r="AA95" i="78"/>
  <c r="AI95" i="78" s="1"/>
  <c r="AA96" i="78"/>
  <c r="AA97" i="78"/>
  <c r="AI97" i="78" s="1"/>
  <c r="AA98" i="78"/>
  <c r="AA99" i="78"/>
  <c r="AA100" i="78"/>
  <c r="AA101" i="78"/>
  <c r="AF101" i="78" s="1"/>
  <c r="AA102" i="78"/>
  <c r="AI102" i="78" s="1"/>
  <c r="AA103" i="78"/>
  <c r="AI103" i="78" s="1"/>
  <c r="AA104" i="78"/>
  <c r="AA105" i="78"/>
  <c r="AA106" i="78"/>
  <c r="AA107" i="78"/>
  <c r="AA108" i="78"/>
  <c r="AA109" i="78"/>
  <c r="AA110" i="78"/>
  <c r="AA111" i="78"/>
  <c r="AA112" i="78"/>
  <c r="AA113" i="78"/>
  <c r="AI113" i="78" s="1"/>
  <c r="AA114" i="78"/>
  <c r="AA115" i="78"/>
  <c r="AA116" i="78"/>
  <c r="AA117" i="78"/>
  <c r="AA118" i="78"/>
  <c r="AJ118" i="78" s="1"/>
  <c r="AA119" i="78"/>
  <c r="AI119" i="78" s="1"/>
  <c r="K93" i="78"/>
  <c r="K94" i="78"/>
  <c r="K95" i="78"/>
  <c r="K96" i="78"/>
  <c r="K97" i="78"/>
  <c r="K98" i="78"/>
  <c r="K99" i="78"/>
  <c r="K100" i="78"/>
  <c r="K101" i="78"/>
  <c r="K102" i="78"/>
  <c r="K103" i="78"/>
  <c r="K104" i="78"/>
  <c r="K105" i="78"/>
  <c r="K106" i="78"/>
  <c r="K107" i="78"/>
  <c r="K108" i="78"/>
  <c r="K109" i="78"/>
  <c r="K110" i="78"/>
  <c r="K111" i="78"/>
  <c r="K112" i="78"/>
  <c r="K113" i="78"/>
  <c r="K114" i="78"/>
  <c r="K115" i="78"/>
  <c r="K116" i="78"/>
  <c r="K117" i="78"/>
  <c r="K118" i="78"/>
  <c r="AH76" i="78"/>
  <c r="AK76" i="78"/>
  <c r="AL76" i="78"/>
  <c r="AH77" i="78"/>
  <c r="AK77" i="78"/>
  <c r="AL77" i="78"/>
  <c r="AH78" i="78"/>
  <c r="AK78" i="78"/>
  <c r="AL78" i="78"/>
  <c r="AH79" i="78"/>
  <c r="AI79" i="78"/>
  <c r="AK79" i="78"/>
  <c r="AL79" i="78"/>
  <c r="AH80" i="78"/>
  <c r="AK80" i="78"/>
  <c r="AL80" i="78"/>
  <c r="AH81" i="78"/>
  <c r="AI81" i="78"/>
  <c r="AK81" i="78"/>
  <c r="AL81" i="78"/>
  <c r="AH82" i="78"/>
  <c r="AK82" i="78"/>
  <c r="AL82" i="78"/>
  <c r="AH83" i="78"/>
  <c r="AK83" i="78"/>
  <c r="AL83" i="78"/>
  <c r="AH84" i="78"/>
  <c r="AK84" i="78"/>
  <c r="AL84" i="78"/>
  <c r="AH85" i="78"/>
  <c r="AK85" i="78"/>
  <c r="AL85" i="78"/>
  <c r="AH86" i="78"/>
  <c r="AI86" i="78"/>
  <c r="AK86" i="78"/>
  <c r="AL86" i="78"/>
  <c r="AH87" i="78"/>
  <c r="AJ87" i="78"/>
  <c r="AK87" i="78"/>
  <c r="AL87" i="78"/>
  <c r="AH88" i="78"/>
  <c r="AK88" i="78"/>
  <c r="AL88" i="78"/>
  <c r="AH89" i="78"/>
  <c r="AI89" i="78"/>
  <c r="AK89" i="78"/>
  <c r="AL89" i="78"/>
  <c r="AH90" i="78"/>
  <c r="AK90" i="78"/>
  <c r="AL90" i="78"/>
  <c r="AE76" i="78"/>
  <c r="AE77" i="78"/>
  <c r="AF77" i="78"/>
  <c r="AE78" i="78"/>
  <c r="AF78" i="78"/>
  <c r="AE79" i="78"/>
  <c r="AE80" i="78"/>
  <c r="AE81" i="78"/>
  <c r="AE82" i="78"/>
  <c r="AF82" i="78"/>
  <c r="AE83" i="78"/>
  <c r="AE84" i="78"/>
  <c r="AE85" i="78"/>
  <c r="AE86" i="78"/>
  <c r="AF86" i="78"/>
  <c r="AE87" i="78"/>
  <c r="AE88" i="78"/>
  <c r="AE89" i="78"/>
  <c r="AF89" i="78"/>
  <c r="AE90" i="78"/>
  <c r="AA76" i="78"/>
  <c r="AA77" i="78"/>
  <c r="AA78" i="78"/>
  <c r="AA79" i="78"/>
  <c r="AA80" i="78"/>
  <c r="AA81" i="78"/>
  <c r="AF81" i="78" s="1"/>
  <c r="AA82" i="78"/>
  <c r="AI82" i="78" s="1"/>
  <c r="AA83" i="78"/>
  <c r="AI83" i="78" s="1"/>
  <c r="AA84" i="78"/>
  <c r="AA85" i="78"/>
  <c r="AA86" i="78"/>
  <c r="AA87" i="78"/>
  <c r="AA88" i="78"/>
  <c r="AJ88" i="78" s="1"/>
  <c r="AA89" i="78"/>
  <c r="AA90" i="78"/>
  <c r="AI90" i="78" s="1"/>
  <c r="K76" i="78"/>
  <c r="K77" i="78"/>
  <c r="K78" i="78"/>
  <c r="K79" i="78"/>
  <c r="K80" i="78"/>
  <c r="K81" i="78"/>
  <c r="K82" i="78"/>
  <c r="K83" i="78"/>
  <c r="K84" i="78"/>
  <c r="K85" i="78"/>
  <c r="K86" i="78"/>
  <c r="K87" i="78"/>
  <c r="K88" i="78"/>
  <c r="K89" i="78"/>
  <c r="K90" i="78"/>
  <c r="AD72" i="78"/>
  <c r="AD125" i="78" s="1"/>
  <c r="AG72" i="78"/>
  <c r="O72" i="78"/>
  <c r="P72" i="78"/>
  <c r="P125" i="78" s="1"/>
  <c r="Q72" i="78"/>
  <c r="Q125" i="78" s="1"/>
  <c r="R72" i="78"/>
  <c r="R125" i="78" s="1"/>
  <c r="S72" i="78"/>
  <c r="S125" i="78" s="1"/>
  <c r="T72" i="78"/>
  <c r="T125" i="78" s="1"/>
  <c r="U72" i="78"/>
  <c r="U125" i="78" s="1"/>
  <c r="V72" i="78"/>
  <c r="V125" i="78" s="1"/>
  <c r="W72" i="78"/>
  <c r="W125" i="78" s="1"/>
  <c r="X72" i="78"/>
  <c r="X125" i="78" s="1"/>
  <c r="Y72" i="78"/>
  <c r="Y125" i="78" s="1"/>
  <c r="Z72" i="78"/>
  <c r="Z125" i="78" s="1"/>
  <c r="AI71" i="78"/>
  <c r="K71" i="78"/>
  <c r="K72" i="78"/>
  <c r="AA62" i="78"/>
  <c r="AF62" i="78" s="1"/>
  <c r="AA63" i="78"/>
  <c r="AA64" i="78"/>
  <c r="AF64" i="78" s="1"/>
  <c r="AA65" i="78"/>
  <c r="AI65" i="78" s="1"/>
  <c r="AA66" i="78"/>
  <c r="AI66" i="78" s="1"/>
  <c r="AA67" i="78"/>
  <c r="AA68" i="78"/>
  <c r="AA69" i="78"/>
  <c r="AA70" i="78"/>
  <c r="AF70" i="78" s="1"/>
  <c r="AK62" i="78"/>
  <c r="AL62" i="78"/>
  <c r="AM62" i="78"/>
  <c r="AN62" i="78"/>
  <c r="AK63" i="78"/>
  <c r="AL63" i="78"/>
  <c r="AM63" i="78"/>
  <c r="AN63" i="78"/>
  <c r="AI64" i="78"/>
  <c r="AK64" i="78"/>
  <c r="AL64" i="78"/>
  <c r="AM64" i="78"/>
  <c r="AN64" i="78"/>
  <c r="AK65" i="78"/>
  <c r="AL65" i="78"/>
  <c r="AM65" i="78"/>
  <c r="AN65" i="78"/>
  <c r="AK66" i="78"/>
  <c r="AL66" i="78"/>
  <c r="AM66" i="78"/>
  <c r="AN66" i="78"/>
  <c r="AI67" i="78"/>
  <c r="AK67" i="78"/>
  <c r="AL67" i="78"/>
  <c r="AM67" i="78"/>
  <c r="AN67" i="78"/>
  <c r="AK68" i="78"/>
  <c r="AL68" i="78"/>
  <c r="AM68" i="78"/>
  <c r="AN68" i="78"/>
  <c r="AK69" i="78"/>
  <c r="AL69" i="78"/>
  <c r="AM69" i="78"/>
  <c r="AN69" i="78"/>
  <c r="AK70" i="78"/>
  <c r="AL70" i="78"/>
  <c r="AM70" i="78"/>
  <c r="AN70" i="78"/>
  <c r="AF67" i="78"/>
  <c r="AF71" i="78"/>
  <c r="K62" i="78"/>
  <c r="K63" i="78"/>
  <c r="K64" i="78"/>
  <c r="K65" i="78"/>
  <c r="K66" i="78"/>
  <c r="K67" i="78"/>
  <c r="K68" i="78"/>
  <c r="K69" i="78"/>
  <c r="K70" i="78"/>
  <c r="B62" i="78"/>
  <c r="AH35" i="78"/>
  <c r="AK35" i="78"/>
  <c r="AL35" i="78"/>
  <c r="AH36" i="78"/>
  <c r="AK36" i="78"/>
  <c r="AL36" i="78"/>
  <c r="AH37" i="78"/>
  <c r="AK37" i="78"/>
  <c r="AL37" i="78"/>
  <c r="AH38" i="78"/>
  <c r="AK38" i="78"/>
  <c r="AL38" i="78"/>
  <c r="AH39" i="78"/>
  <c r="AK39" i="78"/>
  <c r="AL39" i="78"/>
  <c r="AH40" i="78"/>
  <c r="AI40" i="78"/>
  <c r="AK40" i="78"/>
  <c r="AL40" i="78"/>
  <c r="AH41" i="78"/>
  <c r="AK41" i="78"/>
  <c r="AL41" i="78"/>
  <c r="AH42" i="78"/>
  <c r="AK42" i="78"/>
  <c r="AL42" i="78"/>
  <c r="AH43" i="78"/>
  <c r="AK43" i="78"/>
  <c r="AL43" i="78"/>
  <c r="AH44" i="78"/>
  <c r="AK44" i="78"/>
  <c r="AL44" i="78"/>
  <c r="AH45" i="78"/>
  <c r="AK45" i="78"/>
  <c r="AL45" i="78"/>
  <c r="AH46" i="78"/>
  <c r="AK46" i="78"/>
  <c r="AL46" i="78"/>
  <c r="AH47" i="78"/>
  <c r="AJ47" i="78"/>
  <c r="AK47" i="78"/>
  <c r="AL47" i="78"/>
  <c r="AH48" i="78"/>
  <c r="AK48" i="78"/>
  <c r="AL48" i="78"/>
  <c r="AH49" i="78"/>
  <c r="AI49" i="78"/>
  <c r="AK49" i="78"/>
  <c r="AL49" i="78"/>
  <c r="AH50" i="78"/>
  <c r="AK50" i="78"/>
  <c r="AL50" i="78"/>
  <c r="AH51" i="78"/>
  <c r="AK51" i="78"/>
  <c r="AL51" i="78"/>
  <c r="AH52" i="78"/>
  <c r="AK52" i="78"/>
  <c r="AL52" i="78"/>
  <c r="AH53" i="78"/>
  <c r="AK53" i="78"/>
  <c r="AL53" i="78"/>
  <c r="AH54" i="78"/>
  <c r="AK54" i="78"/>
  <c r="AL54" i="78"/>
  <c r="AH55" i="78"/>
  <c r="AI55" i="78"/>
  <c r="AJ55" i="78"/>
  <c r="AK55" i="78"/>
  <c r="AL55" i="78"/>
  <c r="AH56" i="78"/>
  <c r="AK56" i="78"/>
  <c r="AL56" i="78"/>
  <c r="AH57" i="78"/>
  <c r="AI57" i="78"/>
  <c r="AK57" i="78"/>
  <c r="AL57" i="78"/>
  <c r="AH58" i="78"/>
  <c r="AK58" i="78"/>
  <c r="AL58" i="78"/>
  <c r="AE35" i="78"/>
  <c r="AF35" i="78"/>
  <c r="AE36" i="78"/>
  <c r="AF36" i="78"/>
  <c r="AE37" i="78"/>
  <c r="AE38" i="78"/>
  <c r="AE39" i="78"/>
  <c r="AF39" i="78"/>
  <c r="AE40" i="78"/>
  <c r="AE41" i="78"/>
  <c r="AE42" i="78"/>
  <c r="AE43" i="78"/>
  <c r="AE44" i="78"/>
  <c r="AF44" i="78"/>
  <c r="AE45" i="78"/>
  <c r="AE46" i="78"/>
  <c r="AE47" i="78"/>
  <c r="AF47" i="78"/>
  <c r="AE48" i="78"/>
  <c r="AE49" i="78"/>
  <c r="AE50" i="78"/>
  <c r="AE51" i="78"/>
  <c r="AE52" i="78"/>
  <c r="AF52" i="78"/>
  <c r="AE53" i="78"/>
  <c r="AE54" i="78"/>
  <c r="AE55" i="78"/>
  <c r="AF55" i="78"/>
  <c r="AE56" i="78"/>
  <c r="AE57" i="78"/>
  <c r="AE58" i="78"/>
  <c r="AA35" i="78"/>
  <c r="AI35" i="78" s="1"/>
  <c r="AA36" i="78"/>
  <c r="AI36" i="78" s="1"/>
  <c r="AB36" i="78"/>
  <c r="AN36" i="78" s="1"/>
  <c r="AA37" i="78"/>
  <c r="AA38" i="78"/>
  <c r="AI38" i="78" s="1"/>
  <c r="AA39" i="78"/>
  <c r="AI39" i="78" s="1"/>
  <c r="AB39" i="78"/>
  <c r="AM39" i="78" s="1"/>
  <c r="AA40" i="78"/>
  <c r="AB40" i="78" s="1"/>
  <c r="AA41" i="78"/>
  <c r="AA42" i="78"/>
  <c r="AF42" i="78" s="1"/>
  <c r="AA43" i="78"/>
  <c r="AA44" i="78"/>
  <c r="AI44" i="78" s="1"/>
  <c r="AB44" i="78"/>
  <c r="AN44" i="78" s="1"/>
  <c r="AA45" i="78"/>
  <c r="AA46" i="78"/>
  <c r="AI46" i="78" s="1"/>
  <c r="AA47" i="78"/>
  <c r="AI47" i="78" s="1"/>
  <c r="AA48" i="78"/>
  <c r="AB48" i="78"/>
  <c r="AA49" i="78"/>
  <c r="AJ49" i="78" s="1"/>
  <c r="AA50" i="78"/>
  <c r="AF50" i="78" s="1"/>
  <c r="AA51" i="78"/>
  <c r="AJ51" i="78" s="1"/>
  <c r="AA52" i="78"/>
  <c r="AI52" i="78" s="1"/>
  <c r="AA53" i="78"/>
  <c r="AA54" i="78"/>
  <c r="AI54" i="78" s="1"/>
  <c r="AA55" i="78"/>
  <c r="AA56" i="78"/>
  <c r="AB56" i="78"/>
  <c r="AA57" i="78"/>
  <c r="AJ57" i="78" s="1"/>
  <c r="AA58" i="78"/>
  <c r="AF58" i="78" s="1"/>
  <c r="K35" i="78"/>
  <c r="K36" i="78"/>
  <c r="K37" i="78"/>
  <c r="K38" i="78"/>
  <c r="K39" i="78"/>
  <c r="K40" i="78"/>
  <c r="K41" i="78"/>
  <c r="K42" i="78"/>
  <c r="K43" i="78"/>
  <c r="K44" i="78"/>
  <c r="K45" i="78"/>
  <c r="K46" i="78"/>
  <c r="K47" i="78"/>
  <c r="K48" i="78"/>
  <c r="K49" i="78"/>
  <c r="K50" i="78"/>
  <c r="K51" i="78"/>
  <c r="K52" i="78"/>
  <c r="K53" i="78"/>
  <c r="K54" i="78"/>
  <c r="K55" i="78"/>
  <c r="K56" i="78"/>
  <c r="K57" i="78"/>
  <c r="K58" i="78"/>
  <c r="AJ32" i="78"/>
  <c r="AK32" i="78"/>
  <c r="AL32" i="78"/>
  <c r="AM31" i="78"/>
  <c r="AN31" i="78"/>
  <c r="AA31" i="78"/>
  <c r="B29" i="78"/>
  <c r="AG17" i="78"/>
  <c r="AG18" i="78" s="1"/>
  <c r="AD16" i="78"/>
  <c r="AD17" i="78"/>
  <c r="AD18" i="78"/>
  <c r="G19" i="78"/>
  <c r="G20" i="78"/>
  <c r="AA19" i="78"/>
  <c r="AA20" i="78"/>
  <c r="AJ35" i="78" s="1"/>
  <c r="Z16" i="78"/>
  <c r="AA16" i="78"/>
  <c r="AA17" i="78"/>
  <c r="AA11" i="78"/>
  <c r="M11" i="78"/>
  <c r="B10" i="78"/>
  <c r="B9" i="78"/>
  <c r="B4" i="78"/>
  <c r="H2" i="78"/>
  <c r="AG173" i="77"/>
  <c r="AG174" i="77"/>
  <c r="AG175" i="77"/>
  <c r="AD173" i="77"/>
  <c r="AD174" i="77"/>
  <c r="AD175" i="77"/>
  <c r="N173" i="77"/>
  <c r="N174" i="77"/>
  <c r="O173" i="77"/>
  <c r="P173" i="77"/>
  <c r="Q173" i="77"/>
  <c r="R173" i="77"/>
  <c r="S173" i="77"/>
  <c r="T173" i="77"/>
  <c r="U173" i="77"/>
  <c r="V173" i="77"/>
  <c r="W173" i="77"/>
  <c r="X173" i="77"/>
  <c r="Y173" i="77"/>
  <c r="Z173" i="77"/>
  <c r="O174" i="77"/>
  <c r="P174" i="77"/>
  <c r="Q174" i="77"/>
  <c r="R174" i="77"/>
  <c r="S174" i="77"/>
  <c r="T174" i="77"/>
  <c r="U174" i="77"/>
  <c r="V174" i="77"/>
  <c r="W174" i="77"/>
  <c r="X174" i="77"/>
  <c r="Y174" i="77"/>
  <c r="Z174" i="77"/>
  <c r="O175" i="77"/>
  <c r="P175" i="77"/>
  <c r="Q175" i="77"/>
  <c r="R175" i="77"/>
  <c r="S175" i="77"/>
  <c r="T175" i="77"/>
  <c r="U175" i="77"/>
  <c r="V175" i="77"/>
  <c r="W175" i="77"/>
  <c r="X175" i="77"/>
  <c r="Y175" i="77"/>
  <c r="Z175" i="77"/>
  <c r="AG171" i="77"/>
  <c r="AD171" i="77"/>
  <c r="O171" i="77"/>
  <c r="P171" i="77"/>
  <c r="Q171" i="77"/>
  <c r="R171" i="77"/>
  <c r="S171" i="77"/>
  <c r="T171" i="77"/>
  <c r="U171" i="77"/>
  <c r="V171" i="77"/>
  <c r="W171" i="77"/>
  <c r="X171" i="77"/>
  <c r="Y171" i="77"/>
  <c r="Z171" i="77"/>
  <c r="AA170" i="77"/>
  <c r="AI160" i="77"/>
  <c r="AI162" i="77"/>
  <c r="AI164" i="77"/>
  <c r="AI165" i="77"/>
  <c r="AI166" i="77"/>
  <c r="AG168" i="77"/>
  <c r="AD168" i="77"/>
  <c r="O168" i="77"/>
  <c r="P168" i="77"/>
  <c r="Q168" i="77"/>
  <c r="R168" i="77"/>
  <c r="S168" i="77"/>
  <c r="T168" i="77"/>
  <c r="U168" i="77"/>
  <c r="V168" i="77"/>
  <c r="W168" i="77"/>
  <c r="X168" i="77"/>
  <c r="Y168" i="77"/>
  <c r="Z168" i="77"/>
  <c r="AF167" i="77"/>
  <c r="AA167" i="77"/>
  <c r="AI167" i="77" s="1"/>
  <c r="AF160" i="77"/>
  <c r="AF162" i="77"/>
  <c r="AF163" i="77"/>
  <c r="AF164" i="77"/>
  <c r="AF165" i="77"/>
  <c r="AF166" i="77"/>
  <c r="AA165" i="77"/>
  <c r="AA163" i="77"/>
  <c r="AI163" i="77" s="1"/>
  <c r="AA161" i="77"/>
  <c r="AI161" i="77" s="1"/>
  <c r="AA159" i="77"/>
  <c r="AF159" i="77" s="1"/>
  <c r="AI152" i="77"/>
  <c r="AI153" i="77"/>
  <c r="AI155" i="77"/>
  <c r="AI157" i="77"/>
  <c r="AF153" i="77"/>
  <c r="AF155" i="77"/>
  <c r="AF156" i="77"/>
  <c r="AF157" i="77"/>
  <c r="AA156" i="77"/>
  <c r="AI156" i="77" s="1"/>
  <c r="AA154" i="77"/>
  <c r="AA152" i="77"/>
  <c r="AD141" i="77"/>
  <c r="AG141" i="77"/>
  <c r="AH141" i="77" s="1"/>
  <c r="AD142" i="77"/>
  <c r="AE142" i="77" s="1"/>
  <c r="AG142" i="77"/>
  <c r="AH142" i="77" s="1"/>
  <c r="AD143" i="77"/>
  <c r="AE143" i="77" s="1"/>
  <c r="AG143" i="77"/>
  <c r="AH143" i="77"/>
  <c r="AD144" i="77"/>
  <c r="AE144" i="77" s="1"/>
  <c r="AG144" i="77"/>
  <c r="AH144" i="77"/>
  <c r="AD145" i="77"/>
  <c r="AE145" i="77" s="1"/>
  <c r="AG145" i="77"/>
  <c r="AH145" i="77" s="1"/>
  <c r="AD146" i="77"/>
  <c r="AE146" i="77" s="1"/>
  <c r="AG146" i="77"/>
  <c r="AH146" i="77" s="1"/>
  <c r="AD147" i="77"/>
  <c r="AE147" i="77"/>
  <c r="AG147" i="77"/>
  <c r="AH147" i="77" s="1"/>
  <c r="O141" i="77"/>
  <c r="P141" i="77"/>
  <c r="Q141" i="77"/>
  <c r="R141" i="77"/>
  <c r="S141" i="77"/>
  <c r="T141" i="77"/>
  <c r="U141" i="77"/>
  <c r="V141" i="77"/>
  <c r="V148" i="77" s="1"/>
  <c r="W141" i="77"/>
  <c r="X141" i="77"/>
  <c r="Y141" i="77"/>
  <c r="Z141" i="77"/>
  <c r="O142" i="77"/>
  <c r="P142" i="77"/>
  <c r="Q142" i="77"/>
  <c r="R142" i="77"/>
  <c r="S142" i="77"/>
  <c r="T142" i="77"/>
  <c r="U142" i="77"/>
  <c r="V142" i="77"/>
  <c r="W142" i="77"/>
  <c r="X142" i="77"/>
  <c r="Y142" i="77"/>
  <c r="Z142" i="77"/>
  <c r="O143" i="77"/>
  <c r="AA143" i="77" s="1"/>
  <c r="P143" i="77"/>
  <c r="Q143" i="77"/>
  <c r="R143" i="77"/>
  <c r="S143" i="77"/>
  <c r="T143" i="77"/>
  <c r="U143" i="77"/>
  <c r="V143" i="77"/>
  <c r="W143" i="77"/>
  <c r="X143" i="77"/>
  <c r="Y143" i="77"/>
  <c r="Z143" i="77"/>
  <c r="O144" i="77"/>
  <c r="P144" i="77"/>
  <c r="Q144" i="77"/>
  <c r="R144" i="77"/>
  <c r="S144" i="77"/>
  <c r="T144" i="77"/>
  <c r="U144" i="77"/>
  <c r="V144" i="77"/>
  <c r="W144" i="77"/>
  <c r="X144" i="77"/>
  <c r="Y144" i="77"/>
  <c r="Z144" i="77"/>
  <c r="O145" i="77"/>
  <c r="P145" i="77"/>
  <c r="Q145" i="77"/>
  <c r="R145" i="77"/>
  <c r="S145" i="77"/>
  <c r="T145" i="77"/>
  <c r="U145" i="77"/>
  <c r="V145" i="77"/>
  <c r="W145" i="77"/>
  <c r="X145" i="77"/>
  <c r="Y145" i="77"/>
  <c r="Z145" i="77"/>
  <c r="O146" i="77"/>
  <c r="P146" i="77"/>
  <c r="Q146" i="77"/>
  <c r="R146" i="77"/>
  <c r="S146" i="77"/>
  <c r="T146" i="77"/>
  <c r="U146" i="77"/>
  <c r="V146" i="77"/>
  <c r="W146" i="77"/>
  <c r="X146" i="77"/>
  <c r="Y146" i="77"/>
  <c r="Z146" i="77"/>
  <c r="O147" i="77"/>
  <c r="P147" i="77"/>
  <c r="Q147" i="77"/>
  <c r="R147" i="77"/>
  <c r="S147" i="77"/>
  <c r="T147" i="77"/>
  <c r="AA147" i="77" s="1"/>
  <c r="U147" i="77"/>
  <c r="V147" i="77"/>
  <c r="W147" i="77"/>
  <c r="X147" i="77"/>
  <c r="Y147" i="77"/>
  <c r="Z147" i="77"/>
  <c r="AH133" i="77"/>
  <c r="AI133" i="77"/>
  <c r="AH134" i="77"/>
  <c r="AH135" i="77"/>
  <c r="AH136" i="77"/>
  <c r="AH137" i="77"/>
  <c r="AI137" i="77"/>
  <c r="AH138" i="77"/>
  <c r="AH139" i="77"/>
  <c r="AE133" i="77"/>
  <c r="AF133" i="77"/>
  <c r="AE134" i="77"/>
  <c r="AE135" i="77"/>
  <c r="AE136" i="77"/>
  <c r="AE137" i="77"/>
  <c r="AE138" i="77"/>
  <c r="AE139" i="77"/>
  <c r="AA133" i="77"/>
  <c r="AA134" i="77"/>
  <c r="AI134" i="77" s="1"/>
  <c r="AA135" i="77"/>
  <c r="AA136" i="77"/>
  <c r="AA137" i="77"/>
  <c r="AF137" i="77" s="1"/>
  <c r="AB137" i="77"/>
  <c r="AA138" i="77"/>
  <c r="AI138" i="77" s="1"/>
  <c r="AA139" i="77"/>
  <c r="AH124" i="77"/>
  <c r="AH125" i="77"/>
  <c r="AH126" i="77"/>
  <c r="AI126" i="77"/>
  <c r="AH127" i="77"/>
  <c r="AI127" i="77"/>
  <c r="AH128" i="77"/>
  <c r="AH129" i="77"/>
  <c r="AH130" i="77"/>
  <c r="AI130" i="77"/>
  <c r="AE124" i="77"/>
  <c r="AF124" i="77"/>
  <c r="AE125" i="77"/>
  <c r="AE126" i="77"/>
  <c r="AE127" i="77"/>
  <c r="AF127" i="77"/>
  <c r="AE128" i="77"/>
  <c r="AE129" i="77"/>
  <c r="AE130" i="77"/>
  <c r="AA124" i="77"/>
  <c r="AI124" i="77" s="1"/>
  <c r="AA125" i="77"/>
  <c r="AB125" i="77" s="1"/>
  <c r="AA126" i="77"/>
  <c r="AF126" i="77" s="1"/>
  <c r="AA127" i="77"/>
  <c r="AA128" i="77"/>
  <c r="AI128" i="77" s="1"/>
  <c r="AA129" i="77"/>
  <c r="AB129" i="77" s="1"/>
  <c r="AA130" i="77"/>
  <c r="AF130" i="77" s="1"/>
  <c r="AH115" i="77"/>
  <c r="AH116" i="77"/>
  <c r="AH117" i="77"/>
  <c r="AH118" i="77"/>
  <c r="AH119" i="77"/>
  <c r="AH120" i="77"/>
  <c r="AI120" i="77"/>
  <c r="AH121" i="77"/>
  <c r="AE115" i="77"/>
  <c r="AE116" i="77"/>
  <c r="AE117" i="77"/>
  <c r="AE118" i="77"/>
  <c r="AF118" i="77"/>
  <c r="AE119" i="77"/>
  <c r="AE120" i="77"/>
  <c r="AE121" i="77"/>
  <c r="AA115" i="77"/>
  <c r="AB115" i="77"/>
  <c r="AA116" i="77"/>
  <c r="AF116" i="77" s="1"/>
  <c r="AA117" i="77"/>
  <c r="AA118" i="77"/>
  <c r="AI118" i="77" s="1"/>
  <c r="AA119" i="77"/>
  <c r="AB119" i="77" s="1"/>
  <c r="AA120" i="77"/>
  <c r="AF120" i="77" s="1"/>
  <c r="AA121" i="77"/>
  <c r="AI121" i="77" s="1"/>
  <c r="AI108" i="77"/>
  <c r="AI109" i="77"/>
  <c r="AD110" i="77"/>
  <c r="AD111" i="77"/>
  <c r="AG110" i="77"/>
  <c r="AG111" i="77"/>
  <c r="O110" i="77"/>
  <c r="P110" i="77"/>
  <c r="Q110" i="77"/>
  <c r="R110" i="77"/>
  <c r="S110" i="77"/>
  <c r="T110" i="77"/>
  <c r="U110" i="77"/>
  <c r="V110" i="77"/>
  <c r="W110" i="77"/>
  <c r="X110" i="77"/>
  <c r="Y110" i="77"/>
  <c r="Z110" i="77"/>
  <c r="O111" i="77"/>
  <c r="P111" i="77"/>
  <c r="Q111" i="77"/>
  <c r="R111" i="77"/>
  <c r="S111" i="77"/>
  <c r="T111" i="77"/>
  <c r="U111" i="77"/>
  <c r="V111" i="77"/>
  <c r="W111" i="77"/>
  <c r="X111" i="77"/>
  <c r="Y111" i="77"/>
  <c r="Z111" i="77"/>
  <c r="AA108" i="77"/>
  <c r="AF108" i="77" s="1"/>
  <c r="AA109" i="77"/>
  <c r="AF109" i="77" s="1"/>
  <c r="AI104" i="77"/>
  <c r="AA102" i="77"/>
  <c r="AI102" i="77" s="1"/>
  <c r="AA103" i="77"/>
  <c r="AF103" i="77" s="1"/>
  <c r="AA104" i="77"/>
  <c r="AA105" i="77" s="1"/>
  <c r="AH104" i="77"/>
  <c r="AE104" i="77"/>
  <c r="AH102" i="77"/>
  <c r="AE102" i="77"/>
  <c r="AH99" i="77"/>
  <c r="AI99" i="77"/>
  <c r="AE99" i="77"/>
  <c r="AF99" i="77"/>
  <c r="AA99" i="77"/>
  <c r="AH95" i="77"/>
  <c r="AH96" i="77"/>
  <c r="AH97" i="77"/>
  <c r="AE95" i="77"/>
  <c r="AE96" i="77"/>
  <c r="AE97" i="77"/>
  <c r="AF97" i="77"/>
  <c r="AA95" i="77"/>
  <c r="AA96" i="77"/>
  <c r="AF96" i="77" s="1"/>
  <c r="AA97" i="77"/>
  <c r="AI97" i="77" s="1"/>
  <c r="AH94" i="77"/>
  <c r="AE94" i="77"/>
  <c r="AG93" i="77"/>
  <c r="AD93" i="77"/>
  <c r="O93" i="77"/>
  <c r="P93" i="77"/>
  <c r="P94" i="77" s="1"/>
  <c r="Q93" i="77"/>
  <c r="Q94" i="77" s="1"/>
  <c r="R93" i="77"/>
  <c r="R94" i="77" s="1"/>
  <c r="S93" i="77"/>
  <c r="S94" i="77" s="1"/>
  <c r="T93" i="77"/>
  <c r="T94" i="77" s="1"/>
  <c r="U93" i="77"/>
  <c r="U94" i="77" s="1"/>
  <c r="V93" i="77"/>
  <c r="W93" i="77"/>
  <c r="X93" i="77"/>
  <c r="Y93" i="77"/>
  <c r="Y94" i="77" s="1"/>
  <c r="Z93" i="77"/>
  <c r="Z94" i="77" s="1"/>
  <c r="O94" i="77"/>
  <c r="V94" i="77"/>
  <c r="W94" i="77"/>
  <c r="X94" i="77"/>
  <c r="AI89" i="77"/>
  <c r="AF89" i="77"/>
  <c r="AA35" i="77"/>
  <c r="AA36" i="77"/>
  <c r="AF36" i="77" s="1"/>
  <c r="AA37" i="77"/>
  <c r="AF37" i="77" s="1"/>
  <c r="AA38" i="77"/>
  <c r="AA39" i="77"/>
  <c r="AA40" i="77"/>
  <c r="AA44" i="77"/>
  <c r="AI44" i="77" s="1"/>
  <c r="AA45" i="77"/>
  <c r="AA46" i="77"/>
  <c r="AA47" i="77"/>
  <c r="AA48" i="77"/>
  <c r="AA49" i="77"/>
  <c r="AB49" i="77" s="1"/>
  <c r="AA53" i="77"/>
  <c r="AI53" i="77" s="1"/>
  <c r="AA54" i="77"/>
  <c r="AI54" i="77" s="1"/>
  <c r="AA55" i="77"/>
  <c r="AA56" i="77"/>
  <c r="AF56" i="77" s="1"/>
  <c r="AA57" i="77"/>
  <c r="AA58" i="77"/>
  <c r="AA62" i="77"/>
  <c r="AI62" i="77" s="1"/>
  <c r="AA63" i="77"/>
  <c r="AA64" i="77"/>
  <c r="AI64" i="77" s="1"/>
  <c r="AA65" i="77"/>
  <c r="AA66" i="77"/>
  <c r="AF66" i="77" s="1"/>
  <c r="AA67" i="77"/>
  <c r="AA68" i="77"/>
  <c r="AA70" i="77" s="1"/>
  <c r="AA69" i="77"/>
  <c r="AA71" i="77"/>
  <c r="AI71" i="77" s="1"/>
  <c r="AA72" i="77"/>
  <c r="AA73" i="77"/>
  <c r="AI73" i="77" s="1"/>
  <c r="AA74" i="77"/>
  <c r="AA75" i="77"/>
  <c r="AB75" i="77" s="1"/>
  <c r="AA76" i="77"/>
  <c r="AB76" i="77" s="1"/>
  <c r="AA80" i="77"/>
  <c r="AA81" i="77"/>
  <c r="AA82" i="77"/>
  <c r="AI82" i="77" s="1"/>
  <c r="AA83" i="77"/>
  <c r="AI83" i="77" s="1"/>
  <c r="AA84" i="77"/>
  <c r="AA85" i="77"/>
  <c r="AA89" i="77"/>
  <c r="AA90" i="77"/>
  <c r="AA91" i="77"/>
  <c r="AI91" i="77" s="1"/>
  <c r="AH89" i="77"/>
  <c r="AH90" i="77"/>
  <c r="AH91" i="77"/>
  <c r="AE89" i="77"/>
  <c r="AE90" i="77"/>
  <c r="AE91" i="77"/>
  <c r="AB89" i="77"/>
  <c r="AG87" i="77"/>
  <c r="AH88" i="77" s="1"/>
  <c r="AD87" i="77"/>
  <c r="AE88" i="77" s="1"/>
  <c r="O87" i="77"/>
  <c r="O88" i="77" s="1"/>
  <c r="P87" i="77"/>
  <c r="P88" i="77" s="1"/>
  <c r="Q87" i="77"/>
  <c r="Q88" i="77" s="1"/>
  <c r="R87" i="77"/>
  <c r="R88" i="77" s="1"/>
  <c r="S87" i="77"/>
  <c r="T87" i="77"/>
  <c r="U87" i="77"/>
  <c r="V87" i="77"/>
  <c r="W87" i="77"/>
  <c r="W88" i="77" s="1"/>
  <c r="X87" i="77"/>
  <c r="X88" i="77" s="1"/>
  <c r="Y87" i="77"/>
  <c r="Y88" i="77" s="1"/>
  <c r="Z87" i="77"/>
  <c r="Z88" i="77" s="1"/>
  <c r="S88" i="77"/>
  <c r="T88" i="77"/>
  <c r="U88" i="77"/>
  <c r="V88" i="77"/>
  <c r="AF82" i="77"/>
  <c r="AF83" i="77"/>
  <c r="AH80" i="77"/>
  <c r="AH81" i="77"/>
  <c r="AH82" i="77"/>
  <c r="AH83" i="77"/>
  <c r="AH84" i="77"/>
  <c r="AH85" i="77"/>
  <c r="AE79" i="77"/>
  <c r="AE80" i="77"/>
  <c r="AE81" i="77"/>
  <c r="AE82" i="77"/>
  <c r="AE83" i="77"/>
  <c r="AE84" i="77"/>
  <c r="AE85" i="77"/>
  <c r="AB84" i="77"/>
  <c r="AG78" i="77"/>
  <c r="AH79" i="77" s="1"/>
  <c r="AD78" i="77"/>
  <c r="O78" i="77"/>
  <c r="O79" i="77" s="1"/>
  <c r="P78" i="77"/>
  <c r="Q78" i="77"/>
  <c r="R78" i="77"/>
  <c r="R79" i="77" s="1"/>
  <c r="S78" i="77"/>
  <c r="S79" i="77" s="1"/>
  <c r="T78" i="77"/>
  <c r="T79" i="77" s="1"/>
  <c r="U78" i="77"/>
  <c r="U79" i="77" s="1"/>
  <c r="V78" i="77"/>
  <c r="W78" i="77"/>
  <c r="W79" i="77" s="1"/>
  <c r="X78" i="77"/>
  <c r="Y78" i="77"/>
  <c r="Z78" i="77"/>
  <c r="Z79" i="77" s="1"/>
  <c r="P79" i="77"/>
  <c r="Q79" i="77"/>
  <c r="V79" i="77"/>
  <c r="X79" i="77"/>
  <c r="Y79" i="77"/>
  <c r="AI74" i="77"/>
  <c r="AI75" i="77"/>
  <c r="AF71" i="77"/>
  <c r="AF72" i="77"/>
  <c r="AF73" i="77"/>
  <c r="AF74" i="77"/>
  <c r="AF75" i="77"/>
  <c r="AF76" i="77"/>
  <c r="AH71" i="77"/>
  <c r="AH72" i="77"/>
  <c r="AH73" i="77"/>
  <c r="AH74" i="77"/>
  <c r="AH75" i="77"/>
  <c r="AH76" i="77"/>
  <c r="AE71" i="77"/>
  <c r="AE72" i="77"/>
  <c r="AE73" i="77"/>
  <c r="AE74" i="77"/>
  <c r="AE75" i="77"/>
  <c r="AE76" i="77"/>
  <c r="AB74" i="77"/>
  <c r="AG69" i="77"/>
  <c r="AH70" i="77" s="1"/>
  <c r="AD69" i="77"/>
  <c r="AE70" i="77" s="1"/>
  <c r="O69" i="77"/>
  <c r="O70" i="77" s="1"/>
  <c r="P69" i="77"/>
  <c r="P70" i="77" s="1"/>
  <c r="Q69" i="77"/>
  <c r="R69" i="77"/>
  <c r="R70" i="77" s="1"/>
  <c r="S69" i="77"/>
  <c r="T69" i="77"/>
  <c r="T70" i="77" s="1"/>
  <c r="U69" i="77"/>
  <c r="U70" i="77" s="1"/>
  <c r="V69" i="77"/>
  <c r="V70" i="77" s="1"/>
  <c r="W69" i="77"/>
  <c r="W70" i="77" s="1"/>
  <c r="X69" i="77"/>
  <c r="Y69" i="77"/>
  <c r="Z69" i="77"/>
  <c r="Z70" i="77" s="1"/>
  <c r="Q70" i="77"/>
  <c r="S70" i="77"/>
  <c r="X70" i="77"/>
  <c r="Y70" i="77"/>
  <c r="AI65" i="77"/>
  <c r="AI67" i="77"/>
  <c r="AF62" i="77"/>
  <c r="AF63" i="77"/>
  <c r="AF64" i="77"/>
  <c r="AF65" i="77"/>
  <c r="AH62" i="77"/>
  <c r="AH63" i="77"/>
  <c r="AH64" i="77"/>
  <c r="AH65" i="77"/>
  <c r="AH66" i="77"/>
  <c r="AH67" i="77"/>
  <c r="AE62" i="77"/>
  <c r="AE63" i="77"/>
  <c r="AE64" i="77"/>
  <c r="AE65" i="77"/>
  <c r="AE66" i="77"/>
  <c r="AE67" i="77"/>
  <c r="AB66" i="77"/>
  <c r="AG60" i="77"/>
  <c r="AH61" i="77" s="1"/>
  <c r="AD60" i="77"/>
  <c r="AE61" i="77" s="1"/>
  <c r="O60" i="77"/>
  <c r="O61" i="77" s="1"/>
  <c r="P60" i="77"/>
  <c r="P61" i="77" s="1"/>
  <c r="Q60" i="77"/>
  <c r="R60" i="77"/>
  <c r="R61" i="77" s="1"/>
  <c r="S60" i="77"/>
  <c r="S61" i="77" s="1"/>
  <c r="T60" i="77"/>
  <c r="U60" i="77"/>
  <c r="U61" i="77" s="1"/>
  <c r="V60" i="77"/>
  <c r="W60" i="77"/>
  <c r="X60" i="77"/>
  <c r="X61" i="77" s="1"/>
  <c r="Y60" i="77"/>
  <c r="Z60" i="77"/>
  <c r="Z61" i="77" s="1"/>
  <c r="Q61" i="77"/>
  <c r="T61" i="77"/>
  <c r="V61" i="77"/>
  <c r="W61" i="77"/>
  <c r="Y61" i="77"/>
  <c r="AI55" i="77"/>
  <c r="AI56" i="77"/>
  <c r="AI57" i="77"/>
  <c r="AF54" i="77"/>
  <c r="AF55" i="77"/>
  <c r="AH53" i="77"/>
  <c r="AH54" i="77"/>
  <c r="AH55" i="77"/>
  <c r="AH56" i="77"/>
  <c r="AH57" i="77"/>
  <c r="AH58" i="77"/>
  <c r="AE53" i="77"/>
  <c r="AE54" i="77"/>
  <c r="AE55" i="77"/>
  <c r="AE56" i="77"/>
  <c r="AE57" i="77"/>
  <c r="AE58" i="77"/>
  <c r="AB55" i="77"/>
  <c r="AG51" i="77"/>
  <c r="AH52" i="77" s="1"/>
  <c r="AD51" i="77"/>
  <c r="AE52" i="77" s="1"/>
  <c r="O51" i="77"/>
  <c r="O52" i="77" s="1"/>
  <c r="P51" i="77"/>
  <c r="P52" i="77" s="1"/>
  <c r="Q51" i="77"/>
  <c r="Q52" i="77" s="1"/>
  <c r="R51" i="77"/>
  <c r="S51" i="77"/>
  <c r="S52" i="77" s="1"/>
  <c r="T51" i="77"/>
  <c r="U51" i="77"/>
  <c r="U52" i="77" s="1"/>
  <c r="V51" i="77"/>
  <c r="V52" i="77" s="1"/>
  <c r="W51" i="77"/>
  <c r="W52" i="77" s="1"/>
  <c r="X51" i="77"/>
  <c r="X52" i="77" s="1"/>
  <c r="Y51" i="77"/>
  <c r="Y52" i="77" s="1"/>
  <c r="Z51" i="77"/>
  <c r="Z52" i="77" s="1"/>
  <c r="R52" i="77"/>
  <c r="T52" i="77"/>
  <c r="AI45" i="77"/>
  <c r="AI46" i="77"/>
  <c r="AI47" i="77"/>
  <c r="AF44" i="77"/>
  <c r="AF45" i="77"/>
  <c r="AF46" i="77"/>
  <c r="AF47" i="77"/>
  <c r="AF48" i="77"/>
  <c r="AH44" i="77"/>
  <c r="AH45" i="77"/>
  <c r="AH46" i="77"/>
  <c r="AH47" i="77"/>
  <c r="AH48" i="77"/>
  <c r="AH49" i="77"/>
  <c r="AE44" i="77"/>
  <c r="AE45" i="77"/>
  <c r="AE46" i="77"/>
  <c r="AE47" i="77"/>
  <c r="AE48" i="77"/>
  <c r="AE49" i="77"/>
  <c r="AB47" i="77"/>
  <c r="AG42" i="77"/>
  <c r="AH43" i="77" s="1"/>
  <c r="AD42" i="77"/>
  <c r="AE43" i="77" s="1"/>
  <c r="O42" i="77"/>
  <c r="P42" i="77"/>
  <c r="Q42" i="77"/>
  <c r="Q43" i="77" s="1"/>
  <c r="R42" i="77"/>
  <c r="R43" i="77" s="1"/>
  <c r="S42" i="77"/>
  <c r="S43" i="77" s="1"/>
  <c r="T42" i="77"/>
  <c r="T43" i="77" s="1"/>
  <c r="U42" i="77"/>
  <c r="V42" i="77"/>
  <c r="W42" i="77"/>
  <c r="X42" i="77"/>
  <c r="Y42" i="77"/>
  <c r="Y43" i="77" s="1"/>
  <c r="Z42" i="77"/>
  <c r="Z43" i="77" s="1"/>
  <c r="O43" i="77"/>
  <c r="P43" i="77"/>
  <c r="U43" i="77"/>
  <c r="V43" i="77"/>
  <c r="W43" i="77"/>
  <c r="X43" i="77"/>
  <c r="AI35" i="77"/>
  <c r="AI36" i="77"/>
  <c r="AI37" i="77"/>
  <c r="AI40" i="77"/>
  <c r="AF35" i="77"/>
  <c r="AF40" i="77"/>
  <c r="AH35" i="77"/>
  <c r="AH36" i="77"/>
  <c r="AH37" i="77"/>
  <c r="AH38" i="77"/>
  <c r="AH39" i="77"/>
  <c r="AH40" i="77"/>
  <c r="AE35" i="77"/>
  <c r="AE36" i="77"/>
  <c r="AE37" i="77"/>
  <c r="AE38" i="77"/>
  <c r="AE39" i="77"/>
  <c r="AE40" i="77"/>
  <c r="AB37" i="77"/>
  <c r="AB40" i="77"/>
  <c r="AA31" i="77"/>
  <c r="AG17" i="77"/>
  <c r="AG18" i="77" s="1"/>
  <c r="AD16" i="77"/>
  <c r="AD17" i="77"/>
  <c r="AD18" i="77" s="1"/>
  <c r="G19" i="77"/>
  <c r="G20" i="77"/>
  <c r="AA19" i="77"/>
  <c r="AB56" i="77" s="1"/>
  <c r="AA20" i="77"/>
  <c r="AA16" i="77"/>
  <c r="AA17" i="77"/>
  <c r="AA11" i="77" s="1"/>
  <c r="AA18" i="77" s="1"/>
  <c r="Z16" i="77"/>
  <c r="M11" i="77"/>
  <c r="B10" i="77"/>
  <c r="B9" i="77"/>
  <c r="B4" i="77"/>
  <c r="AG124" i="76"/>
  <c r="AD124" i="76"/>
  <c r="N124" i="76"/>
  <c r="O124" i="76"/>
  <c r="P124" i="76"/>
  <c r="Q124" i="76"/>
  <c r="R124" i="76"/>
  <c r="S124" i="76"/>
  <c r="T124" i="76"/>
  <c r="U124" i="76"/>
  <c r="V124" i="76"/>
  <c r="W124" i="76"/>
  <c r="X124" i="76"/>
  <c r="Y124" i="76"/>
  <c r="Z124" i="76"/>
  <c r="N125" i="76"/>
  <c r="R125" i="76"/>
  <c r="Z125" i="76"/>
  <c r="AH121" i="76"/>
  <c r="AI121" i="76"/>
  <c r="AK121" i="76"/>
  <c r="AL121" i="76"/>
  <c r="AH122" i="76"/>
  <c r="AK122" i="76"/>
  <c r="AL122" i="76"/>
  <c r="AE121" i="76"/>
  <c r="AE122" i="76"/>
  <c r="AF122" i="76"/>
  <c r="AA121" i="76"/>
  <c r="AA122" i="76"/>
  <c r="AI122" i="76" s="1"/>
  <c r="AH92" i="76"/>
  <c r="AK92" i="76"/>
  <c r="AL92" i="76"/>
  <c r="AH93" i="76"/>
  <c r="AI93" i="76"/>
  <c r="AK93" i="76"/>
  <c r="AL93" i="76"/>
  <c r="AH94" i="76"/>
  <c r="AK94" i="76"/>
  <c r="AL94" i="76"/>
  <c r="AH95" i="76"/>
  <c r="AK95" i="76"/>
  <c r="AL95" i="76"/>
  <c r="AH96" i="76"/>
  <c r="AK96" i="76"/>
  <c r="AL96" i="76"/>
  <c r="AH97" i="76"/>
  <c r="AK97" i="76"/>
  <c r="AL97" i="76"/>
  <c r="AH98" i="76"/>
  <c r="AK98" i="76"/>
  <c r="AL98" i="76"/>
  <c r="AH99" i="76"/>
  <c r="AK99" i="76"/>
  <c r="AL99" i="76"/>
  <c r="AH100" i="76"/>
  <c r="AI100" i="76"/>
  <c r="AK100" i="76"/>
  <c r="AL100" i="76"/>
  <c r="AH101" i="76"/>
  <c r="AI101" i="76"/>
  <c r="AK101" i="76"/>
  <c r="AL101" i="76"/>
  <c r="AH102" i="76"/>
  <c r="AK102" i="76"/>
  <c r="AL102" i="76"/>
  <c r="AH103" i="76"/>
  <c r="AK103" i="76"/>
  <c r="AL103" i="76"/>
  <c r="AH104" i="76"/>
  <c r="AK104" i="76"/>
  <c r="AL104" i="76"/>
  <c r="AH105" i="76"/>
  <c r="AK105" i="76"/>
  <c r="AL105" i="76"/>
  <c r="AH106" i="76"/>
  <c r="AK106" i="76"/>
  <c r="AL106" i="76"/>
  <c r="AH107" i="76"/>
  <c r="AI107" i="76"/>
  <c r="AK107" i="76"/>
  <c r="AL107" i="76"/>
  <c r="AH108" i="76"/>
  <c r="AI108" i="76"/>
  <c r="AK108" i="76"/>
  <c r="AL108" i="76"/>
  <c r="AH109" i="76"/>
  <c r="AK109" i="76"/>
  <c r="AL109" i="76"/>
  <c r="AH110" i="76"/>
  <c r="AK110" i="76"/>
  <c r="AL110" i="76"/>
  <c r="AH111" i="76"/>
  <c r="AK111" i="76"/>
  <c r="AL111" i="76"/>
  <c r="AH112" i="76"/>
  <c r="AK112" i="76"/>
  <c r="AL112" i="76"/>
  <c r="AH113" i="76"/>
  <c r="AI113" i="76"/>
  <c r="AK113" i="76"/>
  <c r="AL113" i="76"/>
  <c r="AH114" i="76"/>
  <c r="AK114" i="76"/>
  <c r="AL114" i="76"/>
  <c r="AH115" i="76"/>
  <c r="AK115" i="76"/>
  <c r="AL115" i="76"/>
  <c r="AH116" i="76"/>
  <c r="AK116" i="76"/>
  <c r="AL116" i="76"/>
  <c r="AH117" i="76"/>
  <c r="AK117" i="76"/>
  <c r="AL117" i="76"/>
  <c r="AH118" i="76"/>
  <c r="AK118" i="76"/>
  <c r="AL118" i="76"/>
  <c r="AH119" i="76"/>
  <c r="AK119" i="76"/>
  <c r="AL119" i="76"/>
  <c r="AE92" i="76"/>
  <c r="AE93" i="76"/>
  <c r="AF93" i="76"/>
  <c r="AE94" i="76"/>
  <c r="AE95" i="76"/>
  <c r="AE96" i="76"/>
  <c r="AE97" i="76"/>
  <c r="AE98" i="76"/>
  <c r="AF98" i="76"/>
  <c r="AE99" i="76"/>
  <c r="AE100" i="76"/>
  <c r="AE101" i="76"/>
  <c r="AF101" i="76"/>
  <c r="AE102" i="76"/>
  <c r="AF102" i="76"/>
  <c r="AE103" i="76"/>
  <c r="AE104" i="76"/>
  <c r="AE105" i="76"/>
  <c r="AE106" i="76"/>
  <c r="AF106" i="76"/>
  <c r="AE107" i="76"/>
  <c r="AE108" i="76"/>
  <c r="AE109" i="76"/>
  <c r="AE110" i="76"/>
  <c r="AE111" i="76"/>
  <c r="AE112" i="76"/>
  <c r="AE113" i="76"/>
  <c r="AF113" i="76"/>
  <c r="AE114" i="76"/>
  <c r="AF114" i="76"/>
  <c r="AE115" i="76"/>
  <c r="AE116" i="76"/>
  <c r="AE117" i="76"/>
  <c r="AE118" i="76"/>
  <c r="AE119" i="76"/>
  <c r="AA92" i="76"/>
  <c r="AA93" i="76"/>
  <c r="AA94" i="76"/>
  <c r="AI94" i="76" s="1"/>
  <c r="AA95" i="76"/>
  <c r="AA96" i="76"/>
  <c r="AI96" i="76" s="1"/>
  <c r="AA97" i="76"/>
  <c r="AF97" i="76" s="1"/>
  <c r="AA98" i="76"/>
  <c r="AB98" i="76"/>
  <c r="AM98" i="76" s="1"/>
  <c r="AA99" i="76"/>
  <c r="AA100" i="76"/>
  <c r="AF100" i="76" s="1"/>
  <c r="AA101" i="76"/>
  <c r="AA102" i="76"/>
  <c r="AI102" i="76" s="1"/>
  <c r="AB102" i="76"/>
  <c r="AN102" i="76" s="1"/>
  <c r="AA103" i="76"/>
  <c r="AA104" i="76"/>
  <c r="AI104" i="76" s="1"/>
  <c r="AA105" i="76"/>
  <c r="AB105" i="76"/>
  <c r="AM105" i="76" s="1"/>
  <c r="AA106" i="76"/>
  <c r="AB106" i="76" s="1"/>
  <c r="AM106" i="76" s="1"/>
  <c r="AA107" i="76"/>
  <c r="AA108" i="76"/>
  <c r="AA109" i="76"/>
  <c r="AJ109" i="76" s="1"/>
  <c r="AA110" i="76"/>
  <c r="AI110" i="76" s="1"/>
  <c r="AB110" i="76"/>
  <c r="AN110" i="76" s="1"/>
  <c r="AA111" i="76"/>
  <c r="AA112" i="76"/>
  <c r="AI112" i="76" s="1"/>
  <c r="AA113" i="76"/>
  <c r="AA114" i="76"/>
  <c r="AB114" i="76"/>
  <c r="AM114" i="76" s="1"/>
  <c r="AA115" i="76"/>
  <c r="AI115" i="76" s="1"/>
  <c r="AA116" i="76"/>
  <c r="AF116" i="76" s="1"/>
  <c r="AA117" i="76"/>
  <c r="AA118" i="76"/>
  <c r="AA119" i="76"/>
  <c r="K92" i="76"/>
  <c r="K93" i="76"/>
  <c r="K94" i="76"/>
  <c r="K95" i="76"/>
  <c r="K96" i="76"/>
  <c r="K97" i="76"/>
  <c r="K98" i="76"/>
  <c r="K99" i="76"/>
  <c r="K100" i="76"/>
  <c r="K101" i="76"/>
  <c r="K102" i="76"/>
  <c r="K103" i="76"/>
  <c r="K104" i="76"/>
  <c r="K105" i="76"/>
  <c r="K106" i="76"/>
  <c r="K107" i="76"/>
  <c r="K108" i="76"/>
  <c r="K109" i="76"/>
  <c r="K110" i="76"/>
  <c r="K111" i="76"/>
  <c r="K112" i="76"/>
  <c r="K113" i="76"/>
  <c r="K114" i="76"/>
  <c r="K115" i="76"/>
  <c r="K116" i="76"/>
  <c r="K117" i="76"/>
  <c r="K118" i="76"/>
  <c r="AH74" i="76"/>
  <c r="AI74" i="76"/>
  <c r="AK74" i="76"/>
  <c r="AL74" i="76"/>
  <c r="AH75" i="76"/>
  <c r="AK75" i="76"/>
  <c r="AL75" i="76"/>
  <c r="AH76" i="76"/>
  <c r="AK76" i="76"/>
  <c r="AL76" i="76"/>
  <c r="AH77" i="76"/>
  <c r="AK77" i="76"/>
  <c r="AL77" i="76"/>
  <c r="AH78" i="76"/>
  <c r="AI78" i="76"/>
  <c r="AK78" i="76"/>
  <c r="AL78" i="76"/>
  <c r="AH79" i="76"/>
  <c r="AK79" i="76"/>
  <c r="AL79" i="76"/>
  <c r="AH80" i="76"/>
  <c r="AI80" i="76"/>
  <c r="AK80" i="76"/>
  <c r="AL80" i="76"/>
  <c r="AH81" i="76"/>
  <c r="AK81" i="76"/>
  <c r="AL81" i="76"/>
  <c r="AH82" i="76"/>
  <c r="AI82" i="76"/>
  <c r="AJ82" i="76"/>
  <c r="AK82" i="76"/>
  <c r="AL82" i="76"/>
  <c r="AH83" i="76"/>
  <c r="AK83" i="76"/>
  <c r="AL83" i="76"/>
  <c r="AH84" i="76"/>
  <c r="AK84" i="76"/>
  <c r="AL84" i="76"/>
  <c r="AH85" i="76"/>
  <c r="AK85" i="76"/>
  <c r="AL85" i="76"/>
  <c r="AH86" i="76"/>
  <c r="AI86" i="76"/>
  <c r="AK86" i="76"/>
  <c r="AL86" i="76"/>
  <c r="AH87" i="76"/>
  <c r="AK87" i="76"/>
  <c r="AL87" i="76"/>
  <c r="AH88" i="76"/>
  <c r="AI88" i="76"/>
  <c r="AK88" i="76"/>
  <c r="AL88" i="76"/>
  <c r="AH89" i="76"/>
  <c r="AI89" i="76"/>
  <c r="AK89" i="76"/>
  <c r="AL89" i="76"/>
  <c r="AE74" i="76"/>
  <c r="AF74" i="76"/>
  <c r="AE75" i="76"/>
  <c r="AF75" i="76"/>
  <c r="AE76" i="76"/>
  <c r="AE77" i="76"/>
  <c r="AE78" i="76"/>
  <c r="AF78" i="76"/>
  <c r="AE79" i="76"/>
  <c r="AE80" i="76"/>
  <c r="AE81" i="76"/>
  <c r="AF81" i="76"/>
  <c r="AE82" i="76"/>
  <c r="AE83" i="76"/>
  <c r="AE84" i="76"/>
  <c r="AE85" i="76"/>
  <c r="AF85" i="76"/>
  <c r="AE86" i="76"/>
  <c r="AE87" i="76"/>
  <c r="AF87" i="76"/>
  <c r="AE88" i="76"/>
  <c r="AE89" i="76"/>
  <c r="AA74" i="76"/>
  <c r="AJ74" i="76" s="1"/>
  <c r="AA75" i="76"/>
  <c r="AI75" i="76" s="1"/>
  <c r="AA76" i="76"/>
  <c r="AF76" i="76" s="1"/>
  <c r="AA77" i="76"/>
  <c r="AA78" i="76"/>
  <c r="AA79" i="76"/>
  <c r="AB79" i="76" s="1"/>
  <c r="AA80" i="76"/>
  <c r="AF80" i="76" s="1"/>
  <c r="AA81" i="76"/>
  <c r="AI81" i="76" s="1"/>
  <c r="AA82" i="76"/>
  <c r="AF82" i="76" s="1"/>
  <c r="AA83" i="76"/>
  <c r="AI83" i="76" s="1"/>
  <c r="AA84" i="76"/>
  <c r="AF84" i="76" s="1"/>
  <c r="AA85" i="76"/>
  <c r="AI85" i="76" s="1"/>
  <c r="AA86" i="76"/>
  <c r="AA87" i="76"/>
  <c r="AB87" i="76" s="1"/>
  <c r="AA88" i="76"/>
  <c r="AF88" i="76" s="1"/>
  <c r="AA89" i="76"/>
  <c r="K74" i="76"/>
  <c r="K75" i="76"/>
  <c r="K76" i="76"/>
  <c r="K77" i="76"/>
  <c r="K78" i="76"/>
  <c r="K79" i="76"/>
  <c r="K80" i="76"/>
  <c r="K81" i="76"/>
  <c r="K82" i="76"/>
  <c r="K83" i="76"/>
  <c r="K84" i="76"/>
  <c r="K85" i="76"/>
  <c r="K86" i="76"/>
  <c r="K87" i="76"/>
  <c r="K88" i="76"/>
  <c r="K89" i="76"/>
  <c r="AD70" i="76"/>
  <c r="AD125" i="76" s="1"/>
  <c r="AG70" i="76"/>
  <c r="O70" i="76"/>
  <c r="P70" i="76"/>
  <c r="P125" i="76" s="1"/>
  <c r="Q70" i="76"/>
  <c r="Q125" i="76" s="1"/>
  <c r="R70" i="76"/>
  <c r="S70" i="76"/>
  <c r="S125" i="76" s="1"/>
  <c r="T70" i="76"/>
  <c r="T125" i="76" s="1"/>
  <c r="U70" i="76"/>
  <c r="U125" i="76" s="1"/>
  <c r="V70" i="76"/>
  <c r="V125" i="76" s="1"/>
  <c r="W70" i="76"/>
  <c r="W125" i="76" s="1"/>
  <c r="X70" i="76"/>
  <c r="X125" i="76" s="1"/>
  <c r="Y70" i="76"/>
  <c r="Y125" i="76" s="1"/>
  <c r="Z70" i="76"/>
  <c r="AI69" i="76"/>
  <c r="K69" i="76"/>
  <c r="K70" i="76"/>
  <c r="AA60" i="76"/>
  <c r="AI60" i="76" s="1"/>
  <c r="AA61" i="76"/>
  <c r="AA62" i="76"/>
  <c r="AA63" i="76"/>
  <c r="AA64" i="76"/>
  <c r="AI64" i="76" s="1"/>
  <c r="AA65" i="76"/>
  <c r="AA66" i="76"/>
  <c r="AI66" i="76" s="1"/>
  <c r="AA67" i="76"/>
  <c r="AF67" i="76" s="1"/>
  <c r="AA68" i="76"/>
  <c r="AI68" i="76" s="1"/>
  <c r="AK60" i="76"/>
  <c r="AL60" i="76"/>
  <c r="AM60" i="76"/>
  <c r="AN60" i="76"/>
  <c r="AK61" i="76"/>
  <c r="AL61" i="76"/>
  <c r="AM61" i="76"/>
  <c r="AN61" i="76"/>
  <c r="AI62" i="76"/>
  <c r="AK62" i="76"/>
  <c r="AL62" i="76"/>
  <c r="AM62" i="76"/>
  <c r="AN62" i="76"/>
  <c r="AI63" i="76"/>
  <c r="AK63" i="76"/>
  <c r="AL63" i="76"/>
  <c r="AM63" i="76"/>
  <c r="AN63" i="76"/>
  <c r="AK64" i="76"/>
  <c r="AL64" i="76"/>
  <c r="AM64" i="76"/>
  <c r="AN64" i="76"/>
  <c r="AI65" i="76"/>
  <c r="AK65" i="76"/>
  <c r="AL65" i="76"/>
  <c r="AM65" i="76"/>
  <c r="AN65" i="76"/>
  <c r="AK66" i="76"/>
  <c r="AL66" i="76"/>
  <c r="AM66" i="76"/>
  <c r="AN66" i="76"/>
  <c r="AK67" i="76"/>
  <c r="AL67" i="76"/>
  <c r="AM67" i="76"/>
  <c r="AN67" i="76"/>
  <c r="AK68" i="76"/>
  <c r="AL68" i="76"/>
  <c r="AM68" i="76"/>
  <c r="AN68" i="76"/>
  <c r="AF63" i="76"/>
  <c r="AF65" i="76"/>
  <c r="AF68" i="76"/>
  <c r="AF69" i="76"/>
  <c r="K60" i="76"/>
  <c r="K61" i="76"/>
  <c r="K62" i="76"/>
  <c r="K63" i="76"/>
  <c r="K64" i="76"/>
  <c r="K65" i="76"/>
  <c r="K66" i="76"/>
  <c r="K67" i="76"/>
  <c r="K68" i="76"/>
  <c r="B51" i="76"/>
  <c r="AH49" i="76"/>
  <c r="AI49" i="76"/>
  <c r="AK49" i="76"/>
  <c r="AL49" i="76"/>
  <c r="AH50" i="76"/>
  <c r="AK50" i="76"/>
  <c r="AL50" i="76"/>
  <c r="AH51" i="76"/>
  <c r="AK51" i="76"/>
  <c r="AL51" i="76"/>
  <c r="AH52" i="76"/>
  <c r="AK52" i="76"/>
  <c r="AL52" i="76"/>
  <c r="AH53" i="76"/>
  <c r="AK53" i="76"/>
  <c r="AL53" i="76"/>
  <c r="AH54" i="76"/>
  <c r="AI54" i="76"/>
  <c r="AK54" i="76"/>
  <c r="AL54" i="76"/>
  <c r="AH55" i="76"/>
  <c r="AK55" i="76"/>
  <c r="AL55" i="76"/>
  <c r="AH56" i="76"/>
  <c r="AK56" i="76"/>
  <c r="AL56" i="76"/>
  <c r="AE49" i="76"/>
  <c r="AF49" i="76"/>
  <c r="AE50" i="76"/>
  <c r="AE51" i="76"/>
  <c r="AE52" i="76"/>
  <c r="AE53" i="76"/>
  <c r="AE54" i="76"/>
  <c r="AE55" i="76"/>
  <c r="AE56" i="76"/>
  <c r="AA49" i="76"/>
  <c r="AA50" i="76"/>
  <c r="AI50" i="76" s="1"/>
  <c r="AB50" i="76"/>
  <c r="AN50" i="76" s="1"/>
  <c r="AA51" i="76"/>
  <c r="AA52" i="76"/>
  <c r="AI52" i="76" s="1"/>
  <c r="AA53" i="76"/>
  <c r="AI53" i="76" s="1"/>
  <c r="AA54" i="76"/>
  <c r="AB54" i="76"/>
  <c r="AA55" i="76"/>
  <c r="AI55" i="76" s="1"/>
  <c r="AA56" i="76"/>
  <c r="AA35" i="76"/>
  <c r="AI35" i="76" s="1"/>
  <c r="AA36" i="76"/>
  <c r="AI36" i="76" s="1"/>
  <c r="AA37" i="76"/>
  <c r="AA38" i="76"/>
  <c r="AI38" i="76" s="1"/>
  <c r="AA39" i="76"/>
  <c r="AB39" i="76" s="1"/>
  <c r="AA40" i="76"/>
  <c r="AA41" i="76"/>
  <c r="AI41" i="76" s="1"/>
  <c r="AA42" i="76"/>
  <c r="AA43" i="76"/>
  <c r="AF43" i="76" s="1"/>
  <c r="AA44" i="76"/>
  <c r="AI44" i="76" s="1"/>
  <c r="AA45" i="76"/>
  <c r="AF45" i="76" s="1"/>
  <c r="AA46" i="76"/>
  <c r="AA47" i="76"/>
  <c r="AA48" i="76"/>
  <c r="AB46" i="76"/>
  <c r="AB47" i="76"/>
  <c r="AN47" i="76" s="1"/>
  <c r="K47" i="76"/>
  <c r="K48" i="76"/>
  <c r="AH41" i="76"/>
  <c r="AH42" i="76"/>
  <c r="AH43" i="76"/>
  <c r="AI43" i="76"/>
  <c r="AH44" i="76"/>
  <c r="AH45" i="76"/>
  <c r="AH46" i="76"/>
  <c r="AH47" i="76"/>
  <c r="AI47" i="76"/>
  <c r="AE41" i="76"/>
  <c r="AF41" i="76"/>
  <c r="AE42" i="76"/>
  <c r="AE43" i="76"/>
  <c r="AE44" i="76"/>
  <c r="AF44" i="76"/>
  <c r="AE45" i="76"/>
  <c r="AE46" i="76"/>
  <c r="AE47" i="76"/>
  <c r="K41" i="76"/>
  <c r="K42" i="76"/>
  <c r="K43" i="76"/>
  <c r="K44" i="76"/>
  <c r="K45" i="76"/>
  <c r="AB36" i="76"/>
  <c r="AN36" i="76" s="1"/>
  <c r="AK35" i="76"/>
  <c r="AL35" i="76"/>
  <c r="AK36" i="76"/>
  <c r="AL36" i="76"/>
  <c r="AK37" i="76"/>
  <c r="AL37" i="76"/>
  <c r="AK38" i="76"/>
  <c r="AL38" i="76"/>
  <c r="AK39" i="76"/>
  <c r="AL39" i="76"/>
  <c r="AK40" i="76"/>
  <c r="AL40" i="76"/>
  <c r="AM40" i="76"/>
  <c r="AN40" i="76"/>
  <c r="AK41" i="76"/>
  <c r="AL41" i="76"/>
  <c r="AK42" i="76"/>
  <c r="AL42" i="76"/>
  <c r="AK43" i="76"/>
  <c r="AL43" i="76"/>
  <c r="AK44" i="76"/>
  <c r="AL44" i="76"/>
  <c r="AK45" i="76"/>
  <c r="AL45" i="76"/>
  <c r="AK46" i="76"/>
  <c r="AL46" i="76"/>
  <c r="AK47" i="76"/>
  <c r="AL47" i="76"/>
  <c r="AK48" i="76"/>
  <c r="AL48" i="76"/>
  <c r="AM48" i="76"/>
  <c r="AN48" i="76"/>
  <c r="AH35" i="76"/>
  <c r="AH36" i="76"/>
  <c r="AH37" i="76"/>
  <c r="AH38" i="76"/>
  <c r="AH39" i="76"/>
  <c r="AE35" i="76"/>
  <c r="AF35" i="76"/>
  <c r="AE36" i="76"/>
  <c r="AE37" i="76"/>
  <c r="AF37" i="76"/>
  <c r="AE38" i="76"/>
  <c r="AE39" i="76"/>
  <c r="K35" i="76"/>
  <c r="K36" i="76"/>
  <c r="K37" i="76"/>
  <c r="K38" i="76"/>
  <c r="K39" i="76"/>
  <c r="AJ32" i="76"/>
  <c r="AK32" i="76"/>
  <c r="AL32" i="76"/>
  <c r="AM31" i="76"/>
  <c r="AN31" i="76"/>
  <c r="AA31" i="76"/>
  <c r="AG17" i="76"/>
  <c r="AG18" i="76" s="1"/>
  <c r="AD16" i="76"/>
  <c r="AD17" i="76"/>
  <c r="AD18" i="76" s="1"/>
  <c r="G19" i="76"/>
  <c r="G20" i="76"/>
  <c r="AA19" i="76"/>
  <c r="AB41" i="76" s="1"/>
  <c r="AA20" i="76"/>
  <c r="AJ116" i="76" s="1"/>
  <c r="Z16" i="76"/>
  <c r="AA16" i="76"/>
  <c r="AA17" i="76"/>
  <c r="AA11" i="76" s="1"/>
  <c r="M11" i="76"/>
  <c r="B10" i="76"/>
  <c r="B9" i="76"/>
  <c r="B4" i="76"/>
  <c r="AG76" i="75"/>
  <c r="AD76" i="75"/>
  <c r="N76" i="75"/>
  <c r="O76" i="75"/>
  <c r="P76" i="75"/>
  <c r="Q76" i="75"/>
  <c r="R76" i="75"/>
  <c r="S76" i="75"/>
  <c r="T76" i="75"/>
  <c r="U76" i="75"/>
  <c r="V76" i="75"/>
  <c r="W76" i="75"/>
  <c r="X76" i="75"/>
  <c r="Y76" i="75"/>
  <c r="Z76" i="75"/>
  <c r="AI71" i="75"/>
  <c r="AD72" i="75"/>
  <c r="AD73" i="75"/>
  <c r="AD74" i="75"/>
  <c r="AG72" i="75"/>
  <c r="AG73" i="75"/>
  <c r="AG74" i="75"/>
  <c r="O72" i="75"/>
  <c r="P72" i="75"/>
  <c r="Q72" i="75"/>
  <c r="R72" i="75"/>
  <c r="S72" i="75"/>
  <c r="T72" i="75"/>
  <c r="U72" i="75"/>
  <c r="V72" i="75"/>
  <c r="W72" i="75"/>
  <c r="X72" i="75"/>
  <c r="Y72" i="75"/>
  <c r="Z72" i="75"/>
  <c r="O73" i="75"/>
  <c r="P73" i="75"/>
  <c r="Q73" i="75"/>
  <c r="R73" i="75"/>
  <c r="S73" i="75"/>
  <c r="T73" i="75"/>
  <c r="U73" i="75"/>
  <c r="V73" i="75"/>
  <c r="W73" i="75"/>
  <c r="X73" i="75"/>
  <c r="Y73" i="75"/>
  <c r="Z73" i="75"/>
  <c r="O74" i="75"/>
  <c r="P74" i="75"/>
  <c r="Q74" i="75"/>
  <c r="R74" i="75"/>
  <c r="S74" i="75"/>
  <c r="T74" i="75"/>
  <c r="U74" i="75"/>
  <c r="V74" i="75"/>
  <c r="W74" i="75"/>
  <c r="X74" i="75"/>
  <c r="Y74" i="75"/>
  <c r="Z74" i="75"/>
  <c r="AF71" i="75"/>
  <c r="AG65" i="75"/>
  <c r="AG66" i="75"/>
  <c r="AG68" i="75"/>
  <c r="AG69" i="75"/>
  <c r="AG70" i="75"/>
  <c r="AD65" i="75"/>
  <c r="AD66" i="75"/>
  <c r="AD68" i="75"/>
  <c r="AD69" i="75"/>
  <c r="AD70" i="75"/>
  <c r="O65" i="75"/>
  <c r="P65" i="75"/>
  <c r="Q65" i="75"/>
  <c r="R65" i="75"/>
  <c r="S65" i="75"/>
  <c r="T65" i="75"/>
  <c r="U65" i="75"/>
  <c r="V65" i="75"/>
  <c r="W65" i="75"/>
  <c r="X65" i="75"/>
  <c r="Y65" i="75"/>
  <c r="Z65" i="75"/>
  <c r="O66" i="75"/>
  <c r="P66" i="75"/>
  <c r="Q66" i="75"/>
  <c r="R66" i="75"/>
  <c r="S66" i="75"/>
  <c r="T66" i="75"/>
  <c r="U66" i="75"/>
  <c r="V66" i="75"/>
  <c r="W66" i="75"/>
  <c r="X66" i="75"/>
  <c r="Y66" i="75"/>
  <c r="Z66" i="75"/>
  <c r="X67" i="75"/>
  <c r="O68" i="75"/>
  <c r="P68" i="75"/>
  <c r="Q68" i="75"/>
  <c r="R68" i="75"/>
  <c r="S68" i="75"/>
  <c r="T68" i="75"/>
  <c r="U68" i="75"/>
  <c r="V68" i="75"/>
  <c r="W68" i="75"/>
  <c r="X68" i="75"/>
  <c r="Y68" i="75"/>
  <c r="Z68" i="75"/>
  <c r="O69" i="75"/>
  <c r="P69" i="75"/>
  <c r="Q69" i="75"/>
  <c r="R69" i="75"/>
  <c r="S69" i="75"/>
  <c r="T69" i="75"/>
  <c r="U69" i="75"/>
  <c r="V69" i="75"/>
  <c r="W69" i="75"/>
  <c r="X69" i="75"/>
  <c r="Y69" i="75"/>
  <c r="Z69" i="75"/>
  <c r="O70" i="75"/>
  <c r="P70" i="75"/>
  <c r="Q70" i="75"/>
  <c r="R70" i="75"/>
  <c r="S70" i="75"/>
  <c r="T70" i="75"/>
  <c r="U70" i="75"/>
  <c r="V70" i="75"/>
  <c r="W70" i="75"/>
  <c r="X70" i="75"/>
  <c r="Y70" i="75"/>
  <c r="Z70" i="75"/>
  <c r="AG63" i="75"/>
  <c r="AG67" i="75" s="1"/>
  <c r="AD63" i="75"/>
  <c r="AD67" i="75" s="1"/>
  <c r="N63" i="75"/>
  <c r="O63" i="75"/>
  <c r="O67" i="75" s="1"/>
  <c r="P63" i="75"/>
  <c r="P67" i="75" s="1"/>
  <c r="Q63" i="75"/>
  <c r="Q67" i="75" s="1"/>
  <c r="R63" i="75"/>
  <c r="R67" i="75" s="1"/>
  <c r="S63" i="75"/>
  <c r="S67" i="75" s="1"/>
  <c r="T63" i="75"/>
  <c r="T67" i="75" s="1"/>
  <c r="U63" i="75"/>
  <c r="U67" i="75" s="1"/>
  <c r="V63" i="75"/>
  <c r="V67" i="75" s="1"/>
  <c r="W63" i="75"/>
  <c r="W67" i="75" s="1"/>
  <c r="X63" i="75"/>
  <c r="Y63" i="75"/>
  <c r="Y67" i="75" s="1"/>
  <c r="Z63" i="75"/>
  <c r="Z67" i="75" s="1"/>
  <c r="AH54" i="75"/>
  <c r="AI54" i="75"/>
  <c r="AH55" i="75"/>
  <c r="AH56" i="75"/>
  <c r="AI56" i="75"/>
  <c r="AH57" i="75"/>
  <c r="AH58" i="75"/>
  <c r="AH59" i="75"/>
  <c r="AH60" i="75"/>
  <c r="AI60" i="75"/>
  <c r="AH61" i="75"/>
  <c r="AE54" i="75"/>
  <c r="AF54" i="75"/>
  <c r="AE55" i="75"/>
  <c r="AE56" i="75"/>
  <c r="AF56" i="75"/>
  <c r="AE57" i="75"/>
  <c r="AE58" i="75"/>
  <c r="AF58" i="75"/>
  <c r="AE59" i="75"/>
  <c r="AE60" i="75"/>
  <c r="AE61" i="75"/>
  <c r="AA54" i="75"/>
  <c r="AB54" i="75"/>
  <c r="AA55" i="75"/>
  <c r="AI55" i="75" s="1"/>
  <c r="AA56" i="75"/>
  <c r="AB56" i="75"/>
  <c r="AA57" i="75"/>
  <c r="AA58" i="75"/>
  <c r="AI58" i="75" s="1"/>
  <c r="AA59" i="75"/>
  <c r="AI59" i="75" s="1"/>
  <c r="AA60" i="75"/>
  <c r="AF60" i="75" s="1"/>
  <c r="AB60" i="75"/>
  <c r="AA61" i="75"/>
  <c r="K54" i="75"/>
  <c r="K55" i="75"/>
  <c r="K56" i="75"/>
  <c r="K57" i="75"/>
  <c r="K58" i="75"/>
  <c r="K59" i="75"/>
  <c r="K60" i="75"/>
  <c r="K61" i="75"/>
  <c r="AA50" i="75"/>
  <c r="AF50" i="75" s="1"/>
  <c r="AA51" i="75"/>
  <c r="AJ50" i="75"/>
  <c r="AK50" i="75"/>
  <c r="AM50" i="75"/>
  <c r="AK51" i="75"/>
  <c r="AM51" i="75"/>
  <c r="AE48" i="75"/>
  <c r="AH47" i="75"/>
  <c r="AH48" i="75"/>
  <c r="AK48" i="75"/>
  <c r="AM48" i="75"/>
  <c r="AD47" i="75"/>
  <c r="AK47" i="75" s="1"/>
  <c r="AE47" i="75"/>
  <c r="AG47" i="75"/>
  <c r="AM47" i="75" s="1"/>
  <c r="AA48" i="75"/>
  <c r="O47" i="75"/>
  <c r="P47" i="75"/>
  <c r="Q47" i="75"/>
  <c r="R47" i="75"/>
  <c r="S47" i="75"/>
  <c r="T47" i="75"/>
  <c r="U47" i="75"/>
  <c r="V47" i="75"/>
  <c r="W47" i="75"/>
  <c r="X47" i="75"/>
  <c r="Y47" i="75"/>
  <c r="Z47" i="75"/>
  <c r="AH34" i="75"/>
  <c r="AI34" i="75"/>
  <c r="AK34" i="75"/>
  <c r="AM34" i="75"/>
  <c r="AH35" i="75"/>
  <c r="AK35" i="75"/>
  <c r="AM35" i="75"/>
  <c r="AH36" i="75"/>
  <c r="AI36" i="75"/>
  <c r="AK36" i="75"/>
  <c r="AL36" i="75" s="1"/>
  <c r="AM36" i="75"/>
  <c r="AH37" i="75"/>
  <c r="AK37" i="75"/>
  <c r="AM37" i="75"/>
  <c r="AH38" i="75"/>
  <c r="AK38" i="75"/>
  <c r="AM38" i="75"/>
  <c r="AH39" i="75"/>
  <c r="AK39" i="75"/>
  <c r="AM39" i="75"/>
  <c r="AH40" i="75"/>
  <c r="AK40" i="75"/>
  <c r="AM40" i="75"/>
  <c r="AH41" i="75"/>
  <c r="AK41" i="75"/>
  <c r="AM41" i="75"/>
  <c r="AH42" i="75"/>
  <c r="AI42" i="75"/>
  <c r="AJ42" i="75"/>
  <c r="AK42" i="75"/>
  <c r="AM42" i="75"/>
  <c r="AH43" i="75"/>
  <c r="AK43" i="75"/>
  <c r="AM43" i="75"/>
  <c r="AH44" i="75"/>
  <c r="AI44" i="75"/>
  <c r="AK44" i="75"/>
  <c r="AM44" i="75"/>
  <c r="AH45" i="75"/>
  <c r="AK45" i="75"/>
  <c r="AM45" i="75"/>
  <c r="AE34" i="75"/>
  <c r="AF34" i="75"/>
  <c r="AE35" i="75"/>
  <c r="AE36" i="75"/>
  <c r="AF36" i="75"/>
  <c r="AE37" i="75"/>
  <c r="AE38" i="75"/>
  <c r="AE39" i="75"/>
  <c r="AE40" i="75"/>
  <c r="AE41" i="75"/>
  <c r="AE42" i="75"/>
  <c r="AF42" i="75"/>
  <c r="AE43" i="75"/>
  <c r="AE44" i="75"/>
  <c r="AE45" i="75"/>
  <c r="AA34" i="75"/>
  <c r="AJ34" i="75" s="1"/>
  <c r="AA35" i="75"/>
  <c r="AA36" i="75"/>
  <c r="AJ36" i="75" s="1"/>
  <c r="AA37" i="75"/>
  <c r="AA38" i="75"/>
  <c r="AA68" i="75" s="1"/>
  <c r="AA39" i="75"/>
  <c r="AI39" i="75" s="1"/>
  <c r="AA40" i="75"/>
  <c r="AJ40" i="75" s="1"/>
  <c r="AA41" i="75"/>
  <c r="AA42" i="75"/>
  <c r="AB42" i="75"/>
  <c r="AA43" i="75"/>
  <c r="AA44" i="75"/>
  <c r="AJ44" i="75" s="1"/>
  <c r="AL44" i="75" s="1"/>
  <c r="AB44" i="75"/>
  <c r="AA45" i="75"/>
  <c r="K34" i="75"/>
  <c r="K35" i="75"/>
  <c r="K36" i="75"/>
  <c r="K37" i="75"/>
  <c r="K38" i="75"/>
  <c r="K39" i="75"/>
  <c r="K40" i="75"/>
  <c r="K41" i="75"/>
  <c r="K42" i="75"/>
  <c r="K43" i="75"/>
  <c r="K44" i="75"/>
  <c r="K45" i="75"/>
  <c r="AM32" i="75"/>
  <c r="AJ32" i="75"/>
  <c r="AK32" i="75"/>
  <c r="AA31" i="75"/>
  <c r="AG17" i="75"/>
  <c r="AG18" i="75" s="1"/>
  <c r="AD16" i="75"/>
  <c r="AD17" i="75"/>
  <c r="AD18" i="75" s="1"/>
  <c r="G19" i="75"/>
  <c r="G20" i="75"/>
  <c r="AA19" i="75"/>
  <c r="AA20" i="75"/>
  <c r="AB58" i="75" s="1"/>
  <c r="AA21" i="75"/>
  <c r="AA63" i="75" s="1"/>
  <c r="AA22" i="75"/>
  <c r="Z16" i="75"/>
  <c r="AA16" i="75"/>
  <c r="M11" i="75"/>
  <c r="B10" i="75"/>
  <c r="B9" i="75"/>
  <c r="B4" i="75"/>
  <c r="I21" i="75" s="1"/>
  <c r="AG154" i="74"/>
  <c r="AH154" i="74"/>
  <c r="AD154" i="74"/>
  <c r="AE154" i="74"/>
  <c r="N154" i="74"/>
  <c r="O154" i="74"/>
  <c r="P154" i="74"/>
  <c r="Q154" i="74"/>
  <c r="R154" i="74"/>
  <c r="S154" i="74"/>
  <c r="T154" i="74"/>
  <c r="U154" i="74"/>
  <c r="V154" i="74"/>
  <c r="W154" i="74"/>
  <c r="X154" i="74"/>
  <c r="Y154" i="74"/>
  <c r="Z154" i="74"/>
  <c r="AF152" i="74"/>
  <c r="AI152" i="74"/>
  <c r="G119" i="74"/>
  <c r="G120" i="74"/>
  <c r="G121" i="74"/>
  <c r="G122" i="74"/>
  <c r="G123" i="74"/>
  <c r="G124" i="74"/>
  <c r="G125" i="74"/>
  <c r="G126" i="74"/>
  <c r="G127" i="74"/>
  <c r="G128" i="74"/>
  <c r="G129" i="74"/>
  <c r="G130" i="74"/>
  <c r="G131" i="74"/>
  <c r="G132" i="74"/>
  <c r="G133" i="74"/>
  <c r="G134" i="74"/>
  <c r="G135" i="74"/>
  <c r="G136" i="74"/>
  <c r="G137" i="74"/>
  <c r="G138" i="74"/>
  <c r="G139" i="74"/>
  <c r="G140" i="74"/>
  <c r="G141" i="74"/>
  <c r="G142" i="74"/>
  <c r="G143" i="74"/>
  <c r="G144" i="74"/>
  <c r="G145" i="74"/>
  <c r="G146" i="74"/>
  <c r="G147" i="74"/>
  <c r="G148" i="74"/>
  <c r="G149" i="74"/>
  <c r="G150" i="74"/>
  <c r="G151" i="74"/>
  <c r="AA141" i="74"/>
  <c r="AF141" i="74" s="1"/>
  <c r="AA149" i="74"/>
  <c r="AF149" i="74" s="1"/>
  <c r="AI149" i="74"/>
  <c r="AI151" i="74"/>
  <c r="AF151" i="74"/>
  <c r="AH72" i="74"/>
  <c r="AH73" i="74"/>
  <c r="AI73" i="74"/>
  <c r="AH74" i="74"/>
  <c r="AH75" i="74"/>
  <c r="AH76" i="74"/>
  <c r="AH77" i="74"/>
  <c r="AI77" i="74"/>
  <c r="AH78" i="74"/>
  <c r="AH79" i="74"/>
  <c r="AH80" i="74"/>
  <c r="AH81" i="74"/>
  <c r="AH82" i="74"/>
  <c r="AH83" i="74"/>
  <c r="AH84" i="74"/>
  <c r="AH85" i="74"/>
  <c r="AH86" i="74"/>
  <c r="AH87" i="74"/>
  <c r="AH88" i="74"/>
  <c r="AH89" i="74"/>
  <c r="AH90" i="74"/>
  <c r="AH91" i="74"/>
  <c r="AH92" i="74"/>
  <c r="AH93" i="74"/>
  <c r="AI93" i="74"/>
  <c r="AH94" i="74"/>
  <c r="AH95" i="74"/>
  <c r="AH96" i="74"/>
  <c r="AH97" i="74"/>
  <c r="AH98" i="74"/>
  <c r="AH99" i="74"/>
  <c r="AH100" i="74"/>
  <c r="AH101" i="74"/>
  <c r="AI101" i="74"/>
  <c r="AH102" i="74"/>
  <c r="AH103" i="74"/>
  <c r="AH104" i="74"/>
  <c r="AH105" i="74"/>
  <c r="AI105" i="74"/>
  <c r="AH106" i="74"/>
  <c r="AH107" i="74"/>
  <c r="AH108" i="74"/>
  <c r="AH109" i="74"/>
  <c r="AI109" i="74"/>
  <c r="AH110" i="74"/>
  <c r="AH111" i="74"/>
  <c r="AH112" i="74"/>
  <c r="AH113" i="74"/>
  <c r="AH114" i="74"/>
  <c r="AH115" i="74"/>
  <c r="AH116" i="74"/>
  <c r="AE72" i="74"/>
  <c r="AE73" i="74"/>
  <c r="AE74" i="74"/>
  <c r="AE75" i="74"/>
  <c r="AE76" i="74"/>
  <c r="AF76" i="74"/>
  <c r="AE77" i="74"/>
  <c r="AE78" i="74"/>
  <c r="AE79" i="74"/>
  <c r="AE80" i="74"/>
  <c r="AE81" i="74"/>
  <c r="AE82" i="74"/>
  <c r="AE83" i="74"/>
  <c r="AE84" i="74"/>
  <c r="AE85" i="74"/>
  <c r="AE86" i="74"/>
  <c r="AE87" i="74"/>
  <c r="AE88" i="74"/>
  <c r="AE89" i="74"/>
  <c r="AE90" i="74"/>
  <c r="AE91" i="74"/>
  <c r="AE92" i="74"/>
  <c r="AE93" i="74"/>
  <c r="AE94" i="74"/>
  <c r="AE95" i="74"/>
  <c r="AE96" i="74"/>
  <c r="AE97" i="74"/>
  <c r="AE98" i="74"/>
  <c r="AE99" i="74"/>
  <c r="AE100" i="74"/>
  <c r="AE101" i="74"/>
  <c r="AE102" i="74"/>
  <c r="AE103" i="74"/>
  <c r="AE104" i="74"/>
  <c r="AE105" i="74"/>
  <c r="AE106" i="74"/>
  <c r="AE107" i="74"/>
  <c r="AE108" i="74"/>
  <c r="AE109" i="74"/>
  <c r="AE110" i="74"/>
  <c r="AE111" i="74"/>
  <c r="AE112" i="74"/>
  <c r="AF112" i="74"/>
  <c r="AE113" i="74"/>
  <c r="AE114" i="74"/>
  <c r="AE115" i="74"/>
  <c r="AE116" i="74"/>
  <c r="AA72" i="74"/>
  <c r="AA73" i="74"/>
  <c r="AF73" i="74" s="1"/>
  <c r="AB73" i="74"/>
  <c r="AA74" i="74"/>
  <c r="AF74" i="74" s="1"/>
  <c r="AA75" i="74"/>
  <c r="AI75" i="74" s="1"/>
  <c r="AA76" i="74"/>
  <c r="AA77" i="74"/>
  <c r="AF77" i="74" s="1"/>
  <c r="AB77" i="74"/>
  <c r="AA78" i="74"/>
  <c r="AF78" i="74" s="1"/>
  <c r="AA79" i="74"/>
  <c r="AI79" i="74" s="1"/>
  <c r="AA80" i="74"/>
  <c r="AF80" i="74" s="1"/>
  <c r="AA81" i="74"/>
  <c r="AA82" i="74"/>
  <c r="AF82" i="74" s="1"/>
  <c r="AA83" i="74"/>
  <c r="AI83" i="74" s="1"/>
  <c r="AB83" i="74"/>
  <c r="AA84" i="74"/>
  <c r="AA85" i="74"/>
  <c r="AA86" i="74"/>
  <c r="AF86" i="74" s="1"/>
  <c r="AA87" i="74"/>
  <c r="AA88" i="74"/>
  <c r="AA89" i="74"/>
  <c r="AF89" i="74" s="1"/>
  <c r="AB89" i="74"/>
  <c r="AA90" i="74"/>
  <c r="AF90" i="74" s="1"/>
  <c r="AA91" i="74"/>
  <c r="AI91" i="74" s="1"/>
  <c r="AA92" i="74"/>
  <c r="AF92" i="74" s="1"/>
  <c r="AA93" i="74"/>
  <c r="AF93" i="74" s="1"/>
  <c r="AB93" i="74"/>
  <c r="AA94" i="74"/>
  <c r="AF94" i="74" s="1"/>
  <c r="AA95" i="74"/>
  <c r="AI95" i="74" s="1"/>
  <c r="AA96" i="74"/>
  <c r="AF96" i="74" s="1"/>
  <c r="AA97" i="74"/>
  <c r="AB97" i="74"/>
  <c r="AA98" i="74"/>
  <c r="AF98" i="74" s="1"/>
  <c r="AA99" i="74"/>
  <c r="AI99" i="74" s="1"/>
  <c r="AB99" i="74"/>
  <c r="AA100" i="74"/>
  <c r="AA101" i="74"/>
  <c r="AF101" i="74" s="1"/>
  <c r="AB101" i="74"/>
  <c r="AA102" i="74"/>
  <c r="AF102" i="74" s="1"/>
  <c r="AA103" i="74"/>
  <c r="AA104" i="74"/>
  <c r="AA105" i="74"/>
  <c r="AB105" i="74"/>
  <c r="AA106" i="74"/>
  <c r="AF106" i="74" s="1"/>
  <c r="AA107" i="74"/>
  <c r="AI107" i="74" s="1"/>
  <c r="AB107" i="74"/>
  <c r="AA108" i="74"/>
  <c r="AF108" i="74" s="1"/>
  <c r="AA109" i="74"/>
  <c r="AF109" i="74" s="1"/>
  <c r="AB109" i="74"/>
  <c r="AA110" i="74"/>
  <c r="AF110" i="74" s="1"/>
  <c r="AA111" i="74"/>
  <c r="AI111" i="74" s="1"/>
  <c r="AB111" i="74"/>
  <c r="AA112" i="74"/>
  <c r="AA113" i="74"/>
  <c r="AF113" i="74" s="1"/>
  <c r="AA114" i="74"/>
  <c r="AF114" i="74" s="1"/>
  <c r="AA115" i="74"/>
  <c r="AI115" i="74" s="1"/>
  <c r="AA116" i="74"/>
  <c r="AA54" i="74"/>
  <c r="AI54" i="74" s="1"/>
  <c r="AA55" i="74"/>
  <c r="AA56" i="74"/>
  <c r="AA57" i="74"/>
  <c r="AF57" i="74" s="1"/>
  <c r="AA58" i="74"/>
  <c r="AB58" i="74" s="1"/>
  <c r="AA59" i="74"/>
  <c r="AA144" i="74" s="1"/>
  <c r="AA60" i="74"/>
  <c r="AF60" i="74" s="1"/>
  <c r="AA61" i="74"/>
  <c r="AI61" i="74" s="1"/>
  <c r="AA62" i="74"/>
  <c r="AB62" i="74"/>
  <c r="AA63" i="74"/>
  <c r="AB63" i="74" s="1"/>
  <c r="AA64" i="74"/>
  <c r="AA65" i="74"/>
  <c r="AI65" i="74" s="1"/>
  <c r="AA66" i="74"/>
  <c r="AB66" i="74"/>
  <c r="AA67" i="74"/>
  <c r="AA68" i="74"/>
  <c r="AB68" i="74" s="1"/>
  <c r="AA69" i="74"/>
  <c r="AB38" i="74"/>
  <c r="AB40" i="74"/>
  <c r="AB53" i="74"/>
  <c r="AA34" i="74"/>
  <c r="AA35" i="74"/>
  <c r="AA36" i="74"/>
  <c r="AA37" i="74"/>
  <c r="AA38" i="74"/>
  <c r="AF38" i="74" s="1"/>
  <c r="AA39" i="74"/>
  <c r="AI39" i="74" s="1"/>
  <c r="AA40" i="74"/>
  <c r="AI40" i="74" s="1"/>
  <c r="AA41" i="74"/>
  <c r="AA42" i="74"/>
  <c r="AA43" i="74"/>
  <c r="AA44" i="74"/>
  <c r="AA45" i="74"/>
  <c r="AB45" i="74" s="1"/>
  <c r="AA46" i="74"/>
  <c r="AB46" i="74" s="1"/>
  <c r="AA47" i="74"/>
  <c r="AA132" i="74" s="1"/>
  <c r="AA48" i="74"/>
  <c r="AA49" i="74"/>
  <c r="AA50" i="74"/>
  <c r="AA51" i="74"/>
  <c r="AA52" i="74"/>
  <c r="AH34" i="74"/>
  <c r="AH35" i="74"/>
  <c r="AH36" i="74"/>
  <c r="AH37" i="74"/>
  <c r="AI37" i="74"/>
  <c r="AH38" i="74"/>
  <c r="AI38" i="74"/>
  <c r="AH39" i="74"/>
  <c r="AH40" i="74"/>
  <c r="AH41" i="74"/>
  <c r="AI41" i="74"/>
  <c r="AH42" i="74"/>
  <c r="AH43" i="74"/>
  <c r="AH44" i="74"/>
  <c r="AH45" i="74"/>
  <c r="AI45" i="74"/>
  <c r="AH46" i="74"/>
  <c r="AI46" i="74"/>
  <c r="AH47" i="74"/>
  <c r="AH48" i="74"/>
  <c r="AH49" i="74"/>
  <c r="AI49" i="74"/>
  <c r="AH50" i="74"/>
  <c r="AH51" i="74"/>
  <c r="AH52" i="74"/>
  <c r="AH53" i="74"/>
  <c r="AI53" i="74"/>
  <c r="AH54" i="74"/>
  <c r="AH55" i="74"/>
  <c r="AH56" i="74"/>
  <c r="AI56" i="74"/>
  <c r="AH57" i="74"/>
  <c r="AH58" i="74"/>
  <c r="AI58" i="74"/>
  <c r="AH59" i="74"/>
  <c r="AI59" i="74"/>
  <c r="AH60" i="74"/>
  <c r="AH61" i="74"/>
  <c r="AH62" i="74"/>
  <c r="AI62" i="74"/>
  <c r="AH63" i="74"/>
  <c r="AH64" i="74"/>
  <c r="AI64" i="74"/>
  <c r="AH65" i="74"/>
  <c r="AH66" i="74"/>
  <c r="AI66" i="74"/>
  <c r="AH67" i="74"/>
  <c r="AI67" i="74"/>
  <c r="AH68" i="74"/>
  <c r="AH69" i="74"/>
  <c r="AE34" i="74"/>
  <c r="AE35" i="74"/>
  <c r="AE36" i="74"/>
  <c r="AE37" i="74"/>
  <c r="AF37" i="74"/>
  <c r="AE38" i="74"/>
  <c r="AE39" i="74"/>
  <c r="AE40" i="74"/>
  <c r="AE41" i="74"/>
  <c r="AF41" i="74"/>
  <c r="AE42" i="74"/>
  <c r="AE43" i="74"/>
  <c r="AE44" i="74"/>
  <c r="AE45" i="74"/>
  <c r="AF45" i="74"/>
  <c r="AE46" i="74"/>
  <c r="AF46" i="74"/>
  <c r="AE47" i="74"/>
  <c r="AE48" i="74"/>
  <c r="AE49" i="74"/>
  <c r="AF49" i="74"/>
  <c r="AE50" i="74"/>
  <c r="AE51" i="74"/>
  <c r="AE52" i="74"/>
  <c r="AE53" i="74"/>
  <c r="AF53" i="74"/>
  <c r="AE54" i="74"/>
  <c r="AE55" i="74"/>
  <c r="AE56" i="74"/>
  <c r="AF56" i="74"/>
  <c r="AE57" i="74"/>
  <c r="AE58" i="74"/>
  <c r="AE59" i="74"/>
  <c r="AE60" i="74"/>
  <c r="AE61" i="74"/>
  <c r="AE62" i="74"/>
  <c r="AF62" i="74"/>
  <c r="AE63" i="74"/>
  <c r="AE64" i="74"/>
  <c r="AF64" i="74"/>
  <c r="AE65" i="74"/>
  <c r="AE66" i="74"/>
  <c r="AF66" i="74"/>
  <c r="AE67" i="74"/>
  <c r="AF67" i="74"/>
  <c r="AE68" i="74"/>
  <c r="AE69" i="74"/>
  <c r="AA31" i="74"/>
  <c r="AG17" i="74"/>
  <c r="AG18" i="74"/>
  <c r="AD16" i="74"/>
  <c r="AD17" i="74"/>
  <c r="AD18" i="74"/>
  <c r="G19" i="74"/>
  <c r="G20" i="74"/>
  <c r="AA19" i="74"/>
  <c r="AB64" i="74" s="1"/>
  <c r="AA20" i="74"/>
  <c r="AA16" i="74"/>
  <c r="AA17" i="74"/>
  <c r="AA18" i="74" s="1"/>
  <c r="Z16" i="74"/>
  <c r="M11" i="74"/>
  <c r="B10" i="74"/>
  <c r="B9" i="74"/>
  <c r="B4" i="74"/>
  <c r="AG99" i="73"/>
  <c r="AG100" i="73"/>
  <c r="AD99" i="73"/>
  <c r="AD100" i="73"/>
  <c r="N99" i="73"/>
  <c r="O99" i="73"/>
  <c r="P99" i="73"/>
  <c r="Q99" i="73"/>
  <c r="R99" i="73"/>
  <c r="S99" i="73"/>
  <c r="T99" i="73"/>
  <c r="U99" i="73"/>
  <c r="V99" i="73"/>
  <c r="W99" i="73"/>
  <c r="X99" i="73"/>
  <c r="Y99" i="73"/>
  <c r="Z99" i="73"/>
  <c r="N100" i="73"/>
  <c r="O100" i="73"/>
  <c r="P100" i="73"/>
  <c r="Q100" i="73"/>
  <c r="R100" i="73"/>
  <c r="S100" i="73"/>
  <c r="T100" i="73"/>
  <c r="U100" i="73"/>
  <c r="V100" i="73"/>
  <c r="W100" i="73"/>
  <c r="X100" i="73"/>
  <c r="Y100" i="73"/>
  <c r="Z100" i="73"/>
  <c r="AH96" i="73"/>
  <c r="AK96" i="73"/>
  <c r="AM96" i="73"/>
  <c r="AH97" i="73"/>
  <c r="AK97" i="73"/>
  <c r="AM97" i="73"/>
  <c r="AE96" i="73"/>
  <c r="AE97" i="73"/>
  <c r="AA96" i="73"/>
  <c r="AF96" i="73" s="1"/>
  <c r="AA97" i="73"/>
  <c r="AB97" i="73" s="1"/>
  <c r="AH71" i="73"/>
  <c r="AK71" i="73"/>
  <c r="AM71" i="73"/>
  <c r="AH72" i="73"/>
  <c r="AK72" i="73"/>
  <c r="AM72" i="73"/>
  <c r="AH73" i="73"/>
  <c r="AI73" i="73"/>
  <c r="AK73" i="73"/>
  <c r="AM73" i="73"/>
  <c r="AH74" i="73"/>
  <c r="AI74" i="73"/>
  <c r="AK74" i="73"/>
  <c r="AM74" i="73"/>
  <c r="AH75" i="73"/>
  <c r="AI75" i="73"/>
  <c r="AK75" i="73"/>
  <c r="AM75" i="73"/>
  <c r="AH76" i="73"/>
  <c r="AK76" i="73"/>
  <c r="AM76" i="73"/>
  <c r="AH77" i="73"/>
  <c r="AK77" i="73"/>
  <c r="AM77" i="73"/>
  <c r="AH78" i="73"/>
  <c r="AK78" i="73"/>
  <c r="AM78" i="73"/>
  <c r="AH79" i="73"/>
  <c r="AK79" i="73"/>
  <c r="AM79" i="73"/>
  <c r="AH80" i="73"/>
  <c r="AK80" i="73"/>
  <c r="AM80" i="73"/>
  <c r="AH81" i="73"/>
  <c r="AI81" i="73"/>
  <c r="AK81" i="73"/>
  <c r="AM81" i="73"/>
  <c r="AH82" i="73"/>
  <c r="AI82" i="73"/>
  <c r="AK82" i="73"/>
  <c r="AM82" i="73"/>
  <c r="AH83" i="73"/>
  <c r="AI83" i="73"/>
  <c r="AK83" i="73"/>
  <c r="AM83" i="73"/>
  <c r="AH84" i="73"/>
  <c r="AI84" i="73"/>
  <c r="AK84" i="73"/>
  <c r="AM84" i="73"/>
  <c r="AH85" i="73"/>
  <c r="AI85" i="73"/>
  <c r="AK85" i="73"/>
  <c r="AM85" i="73"/>
  <c r="AH86" i="73"/>
  <c r="AK86" i="73"/>
  <c r="AM86" i="73"/>
  <c r="AH87" i="73"/>
  <c r="AK87" i="73"/>
  <c r="AM87" i="73"/>
  <c r="AH88" i="73"/>
  <c r="AK88" i="73"/>
  <c r="AM88" i="73"/>
  <c r="AH89" i="73"/>
  <c r="AK89" i="73"/>
  <c r="AM89" i="73"/>
  <c r="AH90" i="73"/>
  <c r="AK90" i="73"/>
  <c r="AM90" i="73"/>
  <c r="AH91" i="73"/>
  <c r="AK91" i="73"/>
  <c r="AM91" i="73"/>
  <c r="AH92" i="73"/>
  <c r="AK92" i="73"/>
  <c r="AM92" i="73"/>
  <c r="AH93" i="73"/>
  <c r="AI93" i="73"/>
  <c r="AK93" i="73"/>
  <c r="AM93" i="73"/>
  <c r="AH94" i="73"/>
  <c r="AK94" i="73"/>
  <c r="AM94" i="73"/>
  <c r="AE71" i="73"/>
  <c r="AE72" i="73"/>
  <c r="AE73" i="73"/>
  <c r="AF73" i="73"/>
  <c r="AE74" i="73"/>
  <c r="AF74" i="73"/>
  <c r="AE75" i="73"/>
  <c r="AE76" i="73"/>
  <c r="AE77" i="73"/>
  <c r="AE78" i="73"/>
  <c r="AE79" i="73"/>
  <c r="AE80" i="73"/>
  <c r="AE81" i="73"/>
  <c r="AF81" i="73"/>
  <c r="AE82" i="73"/>
  <c r="AE83" i="73"/>
  <c r="AE84" i="73"/>
  <c r="AE85" i="73"/>
  <c r="AE86" i="73"/>
  <c r="AE87" i="73"/>
  <c r="AE88" i="73"/>
  <c r="AE89" i="73"/>
  <c r="AF89" i="73"/>
  <c r="AE90" i="73"/>
  <c r="AE91" i="73"/>
  <c r="AE92" i="73"/>
  <c r="AE93" i="73"/>
  <c r="AE94" i="73"/>
  <c r="AA71" i="73"/>
  <c r="AI71" i="73" s="1"/>
  <c r="AA72" i="73"/>
  <c r="AF72" i="73" s="1"/>
  <c r="AA73" i="73"/>
  <c r="AA74" i="73"/>
  <c r="AA75" i="73"/>
  <c r="AF75" i="73" s="1"/>
  <c r="AA76" i="73"/>
  <c r="AJ76" i="73" s="1"/>
  <c r="AA77" i="73"/>
  <c r="AF77" i="73" s="1"/>
  <c r="AA78" i="73"/>
  <c r="AA79" i="73"/>
  <c r="AI79" i="73" s="1"/>
  <c r="AA80" i="73"/>
  <c r="AF80" i="73" s="1"/>
  <c r="AA81" i="73"/>
  <c r="AA82" i="73"/>
  <c r="AJ82" i="73" s="1"/>
  <c r="AA83" i="73"/>
  <c r="AF83" i="73" s="1"/>
  <c r="AA84" i="73"/>
  <c r="AJ84" i="73" s="1"/>
  <c r="AA85" i="73"/>
  <c r="AF85" i="73" s="1"/>
  <c r="AA86" i="73"/>
  <c r="AI86" i="73" s="1"/>
  <c r="AA87" i="73"/>
  <c r="AI87" i="73" s="1"/>
  <c r="AA88" i="73"/>
  <c r="AF88" i="73" s="1"/>
  <c r="AA89" i="73"/>
  <c r="AI89" i="73" s="1"/>
  <c r="AA90" i="73"/>
  <c r="AJ90" i="73" s="1"/>
  <c r="AA91" i="73"/>
  <c r="AF91" i="73" s="1"/>
  <c r="AA92" i="73"/>
  <c r="AI92" i="73" s="1"/>
  <c r="AA93" i="73"/>
  <c r="AF93" i="73" s="1"/>
  <c r="AA94" i="73"/>
  <c r="AF94" i="73" s="1"/>
  <c r="K71" i="73"/>
  <c r="K72" i="73"/>
  <c r="K73" i="73"/>
  <c r="K74" i="73"/>
  <c r="K75" i="73"/>
  <c r="K76" i="73"/>
  <c r="K77" i="73"/>
  <c r="K78" i="73"/>
  <c r="K79" i="73"/>
  <c r="K80" i="73"/>
  <c r="K81" i="73"/>
  <c r="K82" i="73"/>
  <c r="K83" i="73"/>
  <c r="K84" i="73"/>
  <c r="K85" i="73"/>
  <c r="K86" i="73"/>
  <c r="K87" i="73"/>
  <c r="K88" i="73"/>
  <c r="K89" i="73"/>
  <c r="K90" i="73"/>
  <c r="K91" i="73"/>
  <c r="K92" i="73"/>
  <c r="K93" i="73"/>
  <c r="AH58" i="73"/>
  <c r="AK58" i="73"/>
  <c r="AM58" i="73"/>
  <c r="AH59" i="73"/>
  <c r="AK59" i="73"/>
  <c r="AM59" i="73"/>
  <c r="AH60" i="73"/>
  <c r="AK60" i="73"/>
  <c r="AM60" i="73"/>
  <c r="AH61" i="73"/>
  <c r="AJ61" i="73"/>
  <c r="AL61" i="73" s="1"/>
  <c r="AK61" i="73"/>
  <c r="AM61" i="73"/>
  <c r="AH62" i="73"/>
  <c r="AK62" i="73"/>
  <c r="AM62" i="73"/>
  <c r="AH63" i="73"/>
  <c r="AJ63" i="73"/>
  <c r="AN63" i="73" s="1"/>
  <c r="AK63" i="73"/>
  <c r="AL63" i="73"/>
  <c r="AM63" i="73"/>
  <c r="AH64" i="73"/>
  <c r="AK64" i="73"/>
  <c r="AM64" i="73"/>
  <c r="AH65" i="73"/>
  <c r="AJ65" i="73"/>
  <c r="AL65" i="73" s="1"/>
  <c r="AK65" i="73"/>
  <c r="AM65" i="73"/>
  <c r="AH66" i="73"/>
  <c r="AK66" i="73"/>
  <c r="AM66" i="73"/>
  <c r="AH67" i="73"/>
  <c r="AK67" i="73"/>
  <c r="AM67" i="73"/>
  <c r="AH68" i="73"/>
  <c r="AK68" i="73"/>
  <c r="AM68" i="73"/>
  <c r="AE58" i="73"/>
  <c r="AF58" i="73"/>
  <c r="AE59" i="73"/>
  <c r="AE60" i="73"/>
  <c r="AE61" i="73"/>
  <c r="AF61" i="73"/>
  <c r="AE62" i="73"/>
  <c r="AE63" i="73"/>
  <c r="AF63" i="73"/>
  <c r="AE64" i="73"/>
  <c r="AE65" i="73"/>
  <c r="AE66" i="73"/>
  <c r="AE67" i="73"/>
  <c r="AE68" i="73"/>
  <c r="AA58" i="73"/>
  <c r="AA59" i="73"/>
  <c r="AA60" i="73"/>
  <c r="AF60" i="73" s="1"/>
  <c r="AA61" i="73"/>
  <c r="AI61" i="73" s="1"/>
  <c r="AA62" i="73"/>
  <c r="AB62" i="73" s="1"/>
  <c r="AA63" i="73"/>
  <c r="AI63" i="73" s="1"/>
  <c r="AA64" i="73"/>
  <c r="AF64" i="73" s="1"/>
  <c r="AA65" i="73"/>
  <c r="AI65" i="73" s="1"/>
  <c r="AA66" i="73"/>
  <c r="AA67" i="73"/>
  <c r="AF67" i="73" s="1"/>
  <c r="AA68" i="73"/>
  <c r="AF68" i="73" s="1"/>
  <c r="AK55" i="73"/>
  <c r="AM55" i="73"/>
  <c r="AK56" i="73"/>
  <c r="AM56" i="73"/>
  <c r="AK57" i="73"/>
  <c r="AM57" i="73"/>
  <c r="AH55" i="73"/>
  <c r="AH56" i="73"/>
  <c r="AI56" i="73"/>
  <c r="AE55" i="73"/>
  <c r="AE56" i="73"/>
  <c r="AF56" i="73"/>
  <c r="AA55" i="73"/>
  <c r="AF55" i="73" s="1"/>
  <c r="AA56" i="73"/>
  <c r="AB56" i="73"/>
  <c r="K55" i="73"/>
  <c r="K56" i="73"/>
  <c r="K57" i="73"/>
  <c r="K58" i="73"/>
  <c r="K59" i="73"/>
  <c r="K60" i="73"/>
  <c r="K61" i="73"/>
  <c r="K62" i="73"/>
  <c r="K63" i="73"/>
  <c r="K64" i="73"/>
  <c r="K65" i="73"/>
  <c r="K66" i="73"/>
  <c r="K67" i="73"/>
  <c r="K68" i="73"/>
  <c r="AH35" i="73"/>
  <c r="AK35" i="73"/>
  <c r="AM35" i="73"/>
  <c r="AH36" i="73"/>
  <c r="AK36" i="73"/>
  <c r="AM36" i="73"/>
  <c r="AH37" i="73"/>
  <c r="AK37" i="73"/>
  <c r="AM37" i="73"/>
  <c r="AH38" i="73"/>
  <c r="AK38" i="73"/>
  <c r="AM38" i="73"/>
  <c r="AH39" i="73"/>
  <c r="AJ39" i="73"/>
  <c r="AK39" i="73"/>
  <c r="AM39" i="73"/>
  <c r="AH40" i="73"/>
  <c r="AK40" i="73"/>
  <c r="AM40" i="73"/>
  <c r="AH41" i="73"/>
  <c r="AK41" i="73"/>
  <c r="AM41" i="73"/>
  <c r="AH42" i="73"/>
  <c r="AI42" i="73"/>
  <c r="AJ42" i="73"/>
  <c r="AN42" i="73" s="1"/>
  <c r="AK42" i="73"/>
  <c r="AM42" i="73"/>
  <c r="AH43" i="73"/>
  <c r="AK43" i="73"/>
  <c r="AM43" i="73"/>
  <c r="AH44" i="73"/>
  <c r="AK44" i="73"/>
  <c r="AM44" i="73"/>
  <c r="AH45" i="73"/>
  <c r="AK45" i="73"/>
  <c r="AM45" i="73"/>
  <c r="AH46" i="73"/>
  <c r="AK46" i="73"/>
  <c r="AM46" i="73"/>
  <c r="AH47" i="73"/>
  <c r="AJ47" i="73"/>
  <c r="AL47" i="73" s="1"/>
  <c r="AK47" i="73"/>
  <c r="AM47" i="73"/>
  <c r="AH48" i="73"/>
  <c r="AK48" i="73"/>
  <c r="AM48" i="73"/>
  <c r="AH49" i="73"/>
  <c r="AJ49" i="73"/>
  <c r="AN49" i="73" s="1"/>
  <c r="AK49" i="73"/>
  <c r="AM49" i="73"/>
  <c r="AH50" i="73"/>
  <c r="AI50" i="73"/>
  <c r="AK50" i="73"/>
  <c r="AM50" i="73"/>
  <c r="AH51" i="73"/>
  <c r="AJ51" i="73"/>
  <c r="AL51" i="73" s="1"/>
  <c r="AK51" i="73"/>
  <c r="AM51" i="73"/>
  <c r="AE35" i="73"/>
  <c r="AE36" i="73"/>
  <c r="AE37" i="73"/>
  <c r="AE38" i="73"/>
  <c r="AE39" i="73"/>
  <c r="AE40" i="73"/>
  <c r="AE41" i="73"/>
  <c r="AE42" i="73"/>
  <c r="AF42" i="73"/>
  <c r="AE43" i="73"/>
  <c r="AE44" i="73"/>
  <c r="AE45" i="73"/>
  <c r="AE46" i="73"/>
  <c r="AF46" i="73"/>
  <c r="AE47" i="73"/>
  <c r="AE48" i="73"/>
  <c r="AF48" i="73"/>
  <c r="AE49" i="73"/>
  <c r="AE50" i="73"/>
  <c r="AF50" i="73"/>
  <c r="AE51" i="73"/>
  <c r="AA35" i="73"/>
  <c r="AF35" i="73" s="1"/>
  <c r="AA36" i="73"/>
  <c r="AI36" i="73" s="1"/>
  <c r="AA37" i="73"/>
  <c r="AB37" i="73" s="1"/>
  <c r="AA38" i="73"/>
  <c r="AI38" i="73" s="1"/>
  <c r="AA39" i="73"/>
  <c r="AF39" i="73" s="1"/>
  <c r="AA40" i="73"/>
  <c r="AI40" i="73" s="1"/>
  <c r="AA41" i="73"/>
  <c r="AF41" i="73" s="1"/>
  <c r="AA42" i="73"/>
  <c r="AA43" i="73"/>
  <c r="AF43" i="73" s="1"/>
  <c r="AA44" i="73"/>
  <c r="AI44" i="73" s="1"/>
  <c r="AA45" i="73"/>
  <c r="AB45" i="73" s="1"/>
  <c r="AA46" i="73"/>
  <c r="AI46" i="73" s="1"/>
  <c r="AA47" i="73"/>
  <c r="AF47" i="73" s="1"/>
  <c r="AA48" i="73"/>
  <c r="AI48" i="73" s="1"/>
  <c r="AB48" i="73"/>
  <c r="AA49" i="73"/>
  <c r="AF49" i="73" s="1"/>
  <c r="AA50" i="73"/>
  <c r="AJ50" i="73" s="1"/>
  <c r="AN50" i="73" s="1"/>
  <c r="AA51" i="73"/>
  <c r="AI51" i="73" s="1"/>
  <c r="K35" i="73"/>
  <c r="K36" i="73"/>
  <c r="K37" i="73"/>
  <c r="K38" i="73"/>
  <c r="K39" i="73"/>
  <c r="K40" i="73"/>
  <c r="K41" i="73"/>
  <c r="K42" i="73"/>
  <c r="K43" i="73"/>
  <c r="K44" i="73"/>
  <c r="K45" i="73"/>
  <c r="K46" i="73"/>
  <c r="K47" i="73"/>
  <c r="K48" i="73"/>
  <c r="K49" i="73"/>
  <c r="K50" i="73"/>
  <c r="K51" i="73"/>
  <c r="AM32" i="73"/>
  <c r="AJ32" i="73"/>
  <c r="AK32" i="73"/>
  <c r="AA31" i="73"/>
  <c r="AG17" i="73"/>
  <c r="AG18" i="73"/>
  <c r="AD16" i="73"/>
  <c r="AD17" i="73"/>
  <c r="AD18" i="73" s="1"/>
  <c r="AA19" i="73"/>
  <c r="AB73" i="73" s="1"/>
  <c r="AA20" i="73"/>
  <c r="G19" i="73"/>
  <c r="Z16" i="73"/>
  <c r="AA16" i="73"/>
  <c r="M11" i="73"/>
  <c r="B10" i="73"/>
  <c r="B9" i="73"/>
  <c r="B4" i="73"/>
  <c r="AH102" i="72"/>
  <c r="AE97" i="72"/>
  <c r="AE99" i="72"/>
  <c r="AD103" i="72"/>
  <c r="AD104" i="72"/>
  <c r="AE105" i="72"/>
  <c r="Z97" i="72"/>
  <c r="AH97" i="72" s="1"/>
  <c r="Z98" i="72"/>
  <c r="AE98" i="72" s="1"/>
  <c r="Z99" i="72"/>
  <c r="AH99" i="72" s="1"/>
  <c r="Z100" i="72"/>
  <c r="AE100" i="72" s="1"/>
  <c r="Z101" i="72"/>
  <c r="AH101" i="72" s="1"/>
  <c r="Z102" i="72"/>
  <c r="AE102" i="72" s="1"/>
  <c r="Z103" i="72"/>
  <c r="AH103" i="72" s="1"/>
  <c r="Z104" i="72"/>
  <c r="AH104" i="72" s="1"/>
  <c r="Z105" i="72"/>
  <c r="AH105" i="72" s="1"/>
  <c r="AA105" i="72"/>
  <c r="AC95" i="72"/>
  <c r="AF95" i="72"/>
  <c r="AF71" i="72" s="1"/>
  <c r="Z94" i="72"/>
  <c r="AE94" i="72" s="1"/>
  <c r="N95" i="72"/>
  <c r="N71" i="72" s="1"/>
  <c r="N72" i="72" s="1"/>
  <c r="Z72" i="72" s="1"/>
  <c r="O95" i="72"/>
  <c r="P95" i="72"/>
  <c r="P71" i="72" s="1"/>
  <c r="P72" i="72" s="1"/>
  <c r="Q95" i="72"/>
  <c r="R95" i="72"/>
  <c r="S95" i="72"/>
  <c r="T95" i="72"/>
  <c r="U95" i="72"/>
  <c r="V95" i="72"/>
  <c r="W95" i="72"/>
  <c r="X95" i="72"/>
  <c r="X71" i="72" s="1"/>
  <c r="X72" i="72" s="1"/>
  <c r="Y95" i="72"/>
  <c r="Y71" i="72" s="1"/>
  <c r="Y72" i="72" s="1"/>
  <c r="Z93" i="72"/>
  <c r="AH93" i="72" s="1"/>
  <c r="M91" i="72"/>
  <c r="AE87" i="72"/>
  <c r="AD83" i="72"/>
  <c r="AG83" i="72"/>
  <c r="Z83" i="72"/>
  <c r="AH83" i="72" s="1"/>
  <c r="Z87" i="72"/>
  <c r="AH87" i="72" s="1"/>
  <c r="AC80" i="72"/>
  <c r="AD80" i="72" s="1"/>
  <c r="AF80" i="72"/>
  <c r="AG80" i="72" s="1"/>
  <c r="M80" i="72"/>
  <c r="N80" i="72"/>
  <c r="O80" i="72"/>
  <c r="P80" i="72"/>
  <c r="Q80" i="72"/>
  <c r="R80" i="72"/>
  <c r="S80" i="72"/>
  <c r="T80" i="72"/>
  <c r="U80" i="72"/>
  <c r="V80" i="72"/>
  <c r="W80" i="72"/>
  <c r="X80" i="72"/>
  <c r="Y80" i="72"/>
  <c r="AG78" i="72"/>
  <c r="AG79" i="72"/>
  <c r="AD78" i="72"/>
  <c r="AD79" i="72"/>
  <c r="Z77" i="72"/>
  <c r="AH77" i="72" s="1"/>
  <c r="Z78" i="72"/>
  <c r="AH78" i="72" s="1"/>
  <c r="Z79" i="72"/>
  <c r="AH79" i="72" s="1"/>
  <c r="M72" i="72"/>
  <c r="R72" i="72"/>
  <c r="W72" i="72"/>
  <c r="AC71" i="72"/>
  <c r="AD71" i="72" s="1"/>
  <c r="O71" i="72"/>
  <c r="O72" i="72" s="1"/>
  <c r="Q71" i="72"/>
  <c r="Q72" i="72" s="1"/>
  <c r="R71" i="72"/>
  <c r="S71" i="72"/>
  <c r="S72" i="72" s="1"/>
  <c r="T71" i="72"/>
  <c r="T72" i="72" s="1"/>
  <c r="U71" i="72"/>
  <c r="U72" i="72" s="1"/>
  <c r="V71" i="72"/>
  <c r="V72" i="72" s="1"/>
  <c r="W71" i="72"/>
  <c r="AG67" i="72"/>
  <c r="AD67" i="72"/>
  <c r="AD68" i="72"/>
  <c r="AD70" i="72"/>
  <c r="Z67" i="72"/>
  <c r="AH67" i="72" s="1"/>
  <c r="Z68" i="72"/>
  <c r="AE68" i="72" s="1"/>
  <c r="Z69" i="72"/>
  <c r="AE69" i="72" s="1"/>
  <c r="Z70" i="72"/>
  <c r="AH70" i="72" s="1"/>
  <c r="AG63" i="72"/>
  <c r="AD63" i="72"/>
  <c r="M59" i="72"/>
  <c r="AC59" i="72"/>
  <c r="AD59" i="72" s="1"/>
  <c r="AF59" i="72"/>
  <c r="AF60" i="72" s="1"/>
  <c r="AG60" i="72" s="1"/>
  <c r="N59" i="72"/>
  <c r="N60" i="72" s="1"/>
  <c r="O59" i="72"/>
  <c r="O60" i="72" s="1"/>
  <c r="P59" i="72"/>
  <c r="Q59" i="72"/>
  <c r="R59" i="72"/>
  <c r="S59" i="72"/>
  <c r="S60" i="72" s="1"/>
  <c r="T59" i="72"/>
  <c r="U59" i="72"/>
  <c r="U60" i="72" s="1"/>
  <c r="V59" i="72"/>
  <c r="V60" i="72" s="1"/>
  <c r="W59" i="72"/>
  <c r="W60" i="72" s="1"/>
  <c r="X59" i="72"/>
  <c r="Y59" i="72"/>
  <c r="P60" i="72"/>
  <c r="Q60" i="72"/>
  <c r="R60" i="72"/>
  <c r="X60" i="72"/>
  <c r="Y60" i="72"/>
  <c r="T61" i="72"/>
  <c r="T62" i="72" s="1"/>
  <c r="AG55" i="72"/>
  <c r="AD54" i="72"/>
  <c r="AD56" i="72"/>
  <c r="AD58" i="72"/>
  <c r="Z54" i="72"/>
  <c r="AH54" i="72" s="1"/>
  <c r="Z55" i="72"/>
  <c r="Z56" i="72"/>
  <c r="AH56" i="72" s="1"/>
  <c r="Z57" i="72"/>
  <c r="AE57" i="72" s="1"/>
  <c r="Z58" i="72"/>
  <c r="AH58" i="72" s="1"/>
  <c r="Z63" i="72"/>
  <c r="AE63" i="72" s="1"/>
  <c r="AC49" i="72"/>
  <c r="AC50" i="72" s="1"/>
  <c r="AD50" i="72" s="1"/>
  <c r="AF49" i="72"/>
  <c r="N49" i="72"/>
  <c r="O49" i="72"/>
  <c r="O50" i="72" s="1"/>
  <c r="P49" i="72"/>
  <c r="P61" i="72" s="1"/>
  <c r="Q49" i="72"/>
  <c r="R49" i="72"/>
  <c r="R50" i="72" s="1"/>
  <c r="S49" i="72"/>
  <c r="S50" i="72" s="1"/>
  <c r="T49" i="72"/>
  <c r="T50" i="72" s="1"/>
  <c r="U49" i="72"/>
  <c r="U50" i="72" s="1"/>
  <c r="V49" i="72"/>
  <c r="V50" i="72" s="1"/>
  <c r="W49" i="72"/>
  <c r="W50" i="72" s="1"/>
  <c r="X49" i="72"/>
  <c r="X61" i="72" s="1"/>
  <c r="Y49" i="72"/>
  <c r="Q50" i="72"/>
  <c r="Y50" i="72"/>
  <c r="M43" i="72"/>
  <c r="M49" i="72"/>
  <c r="AG46" i="72"/>
  <c r="AG47" i="72"/>
  <c r="AG48" i="72"/>
  <c r="AD46" i="72"/>
  <c r="AD47" i="72"/>
  <c r="AD48" i="72"/>
  <c r="Z46" i="72"/>
  <c r="AH46" i="72" s="1"/>
  <c r="Z47" i="72"/>
  <c r="AH47" i="72" s="1"/>
  <c r="Z48" i="72"/>
  <c r="AH48" i="72" s="1"/>
  <c r="AF44" i="72"/>
  <c r="AG44" i="72" s="1"/>
  <c r="AK39" i="72"/>
  <c r="AK41" i="72"/>
  <c r="AK42" i="72"/>
  <c r="AC43" i="72"/>
  <c r="AF43" i="72"/>
  <c r="AG97" i="72" s="1"/>
  <c r="N43" i="72"/>
  <c r="AA101" i="72" s="1"/>
  <c r="O43" i="72"/>
  <c r="O44" i="72" s="1"/>
  <c r="P43" i="72"/>
  <c r="Q43" i="72"/>
  <c r="Q44" i="72" s="1"/>
  <c r="R43" i="72"/>
  <c r="R44" i="72" s="1"/>
  <c r="S43" i="72"/>
  <c r="S44" i="72" s="1"/>
  <c r="T43" i="72"/>
  <c r="T44" i="72" s="1"/>
  <c r="U43" i="72"/>
  <c r="V43" i="72"/>
  <c r="V61" i="72" s="1"/>
  <c r="W43" i="72"/>
  <c r="X43" i="72"/>
  <c r="Y43" i="72"/>
  <c r="Y44" i="72" s="1"/>
  <c r="N44" i="72"/>
  <c r="P44" i="72"/>
  <c r="U44" i="72"/>
  <c r="V44" i="72"/>
  <c r="W44" i="72"/>
  <c r="X44" i="72"/>
  <c r="AG39" i="72"/>
  <c r="AH39" i="72"/>
  <c r="AG40" i="72"/>
  <c r="AI40" i="72"/>
  <c r="AG41" i="72"/>
  <c r="AG42" i="72"/>
  <c r="AI42" i="72"/>
  <c r="AD39" i="72"/>
  <c r="AE39" i="72"/>
  <c r="AD40" i="72"/>
  <c r="AE40" i="72"/>
  <c r="AD41" i="72"/>
  <c r="AD42" i="72"/>
  <c r="AE42" i="72"/>
  <c r="Z39" i="72"/>
  <c r="AI39" i="72" s="1"/>
  <c r="Z40" i="72"/>
  <c r="AH40" i="72" s="1"/>
  <c r="Z41" i="72"/>
  <c r="AI41" i="72" s="1"/>
  <c r="Z42" i="72"/>
  <c r="AH42" i="72" s="1"/>
  <c r="AE36" i="72"/>
  <c r="Z33" i="72"/>
  <c r="AE33" i="72" s="1"/>
  <c r="Z34" i="72"/>
  <c r="Z35" i="72" s="1"/>
  <c r="AH35" i="72" s="1"/>
  <c r="Z36" i="72"/>
  <c r="AK36" i="72" s="1"/>
  <c r="Z37" i="72"/>
  <c r="AE37" i="72" s="1"/>
  <c r="AI36" i="72"/>
  <c r="AH33" i="72"/>
  <c r="Z31" i="72"/>
  <c r="AF17" i="72"/>
  <c r="AF18" i="72" s="1"/>
  <c r="AC16" i="72"/>
  <c r="AC17" i="72"/>
  <c r="AC18" i="72" s="1"/>
  <c r="Z19" i="72"/>
  <c r="AA42" i="72" s="1"/>
  <c r="Y16" i="72"/>
  <c r="Z16" i="72"/>
  <c r="L11" i="72"/>
  <c r="B10" i="72"/>
  <c r="B9" i="72"/>
  <c r="B4" i="72"/>
  <c r="I28" i="71"/>
  <c r="I29" i="71"/>
  <c r="I30" i="71"/>
  <c r="I31" i="71"/>
  <c r="I32" i="71"/>
  <c r="I33" i="71"/>
  <c r="I34" i="71"/>
  <c r="I35" i="71"/>
  <c r="I36" i="71"/>
  <c r="I37" i="71"/>
  <c r="I38" i="71"/>
  <c r="I39" i="71"/>
  <c r="I40" i="71"/>
  <c r="I41" i="71"/>
  <c r="I42" i="71"/>
  <c r="I43" i="71"/>
  <c r="I44" i="71"/>
  <c r="I45" i="71"/>
  <c r="I46" i="71"/>
  <c r="I47" i="71"/>
  <c r="I48" i="71"/>
  <c r="I49" i="71"/>
  <c r="I50" i="71"/>
  <c r="K24" i="71"/>
  <c r="I24" i="71"/>
  <c r="E24" i="71"/>
  <c r="D1" i="71"/>
  <c r="AA35" i="58"/>
  <c r="AE35" i="58"/>
  <c r="AF35" i="58"/>
  <c r="AA36" i="58"/>
  <c r="AB36" i="58" s="1"/>
  <c r="AE36" i="58"/>
  <c r="AA37" i="58"/>
  <c r="AB37" i="58" s="1"/>
  <c r="AE37" i="58"/>
  <c r="AA38" i="58"/>
  <c r="AB38" i="58" s="1"/>
  <c r="AE38" i="58"/>
  <c r="AA39" i="58"/>
  <c r="AF39" i="58" s="1"/>
  <c r="AE39" i="58"/>
  <c r="AA40" i="58"/>
  <c r="AF40" i="58" s="1"/>
  <c r="AA41" i="58"/>
  <c r="AE41" i="58"/>
  <c r="AF41" i="58"/>
  <c r="O43" i="58"/>
  <c r="O44" i="58" s="1"/>
  <c r="P43" i="58"/>
  <c r="P44" i="58" s="1"/>
  <c r="Q43" i="58"/>
  <c r="Q44" i="58" s="1"/>
  <c r="R43" i="58"/>
  <c r="R44" i="58" s="1"/>
  <c r="S43" i="58"/>
  <c r="S44" i="58" s="1"/>
  <c r="T43" i="58"/>
  <c r="T44" i="58" s="1"/>
  <c r="U43" i="58"/>
  <c r="V43" i="58"/>
  <c r="V44" i="58" s="1"/>
  <c r="W43" i="58"/>
  <c r="W44" i="58" s="1"/>
  <c r="X43" i="58"/>
  <c r="X44" i="58" s="1"/>
  <c r="Y43" i="58"/>
  <c r="Y44" i="58" s="1"/>
  <c r="Z43" i="58"/>
  <c r="Z44" i="58" s="1"/>
  <c r="AD43" i="58"/>
  <c r="AE44" i="58" s="1"/>
  <c r="AG43" i="58"/>
  <c r="U44" i="58"/>
  <c r="AA45" i="58"/>
  <c r="AB45" i="58" s="1"/>
  <c r="AE45" i="58"/>
  <c r="AA46" i="58"/>
  <c r="AF46" i="58" s="1"/>
  <c r="AE46" i="58"/>
  <c r="AA47" i="58"/>
  <c r="AE47" i="58"/>
  <c r="AA48" i="58"/>
  <c r="AF48" i="58" s="1"/>
  <c r="AE48" i="58"/>
  <c r="AA49" i="58"/>
  <c r="AE49" i="58"/>
  <c r="AA50" i="58"/>
  <c r="AF50" i="58" s="1"/>
  <c r="AA51" i="58"/>
  <c r="AB51" i="58" s="1"/>
  <c r="AE51" i="58"/>
  <c r="O53" i="58"/>
  <c r="O54" i="58" s="1"/>
  <c r="P53" i="58"/>
  <c r="P54" i="58" s="1"/>
  <c r="Q53" i="58"/>
  <c r="Q54" i="58" s="1"/>
  <c r="R53" i="58"/>
  <c r="R54" i="58" s="1"/>
  <c r="S53" i="58"/>
  <c r="S54" i="58" s="1"/>
  <c r="T53" i="58"/>
  <c r="T54" i="58" s="1"/>
  <c r="U53" i="58"/>
  <c r="U54" i="58" s="1"/>
  <c r="V53" i="58"/>
  <c r="V54" i="58" s="1"/>
  <c r="W53" i="58"/>
  <c r="W54" i="58" s="1"/>
  <c r="X53" i="58"/>
  <c r="X54" i="58" s="1"/>
  <c r="Y53" i="58"/>
  <c r="Y54" i="58" s="1"/>
  <c r="Z53" i="58"/>
  <c r="Z54" i="58" s="1"/>
  <c r="AD53" i="58"/>
  <c r="AE54" i="58" s="1"/>
  <c r="AG53" i="58"/>
  <c r="AA55" i="58"/>
  <c r="AF55" i="58" s="1"/>
  <c r="AE55" i="58"/>
  <c r="AA56" i="58"/>
  <c r="AB56" i="58" s="1"/>
  <c r="AE56" i="58"/>
  <c r="AA57" i="58"/>
  <c r="AB57" i="58" s="1"/>
  <c r="AE57" i="58"/>
  <c r="AF57" i="58"/>
  <c r="AA58" i="58"/>
  <c r="AB58" i="58" s="1"/>
  <c r="AE58" i="58"/>
  <c r="AA59" i="58"/>
  <c r="AF59" i="58" s="1"/>
  <c r="AE59" i="58"/>
  <c r="AA60" i="58"/>
  <c r="AF60" i="58" s="1"/>
  <c r="AA61" i="58"/>
  <c r="AF61" i="58" s="1"/>
  <c r="AE61" i="58"/>
  <c r="O63" i="58"/>
  <c r="O64" i="58" s="1"/>
  <c r="P63" i="58"/>
  <c r="P64" i="58" s="1"/>
  <c r="Q63" i="58"/>
  <c r="Q64" i="58" s="1"/>
  <c r="R63" i="58"/>
  <c r="R64" i="58" s="1"/>
  <c r="S63" i="58"/>
  <c r="S64" i="58" s="1"/>
  <c r="T63" i="58"/>
  <c r="T64" i="58" s="1"/>
  <c r="U63" i="58"/>
  <c r="U64" i="58" s="1"/>
  <c r="V63" i="58"/>
  <c r="V64" i="58" s="1"/>
  <c r="W63" i="58"/>
  <c r="W64" i="58" s="1"/>
  <c r="X63" i="58"/>
  <c r="X64" i="58" s="1"/>
  <c r="Y63" i="58"/>
  <c r="Y64" i="58" s="1"/>
  <c r="Z63" i="58"/>
  <c r="Z64" i="58" s="1"/>
  <c r="AD63" i="58"/>
  <c r="AE64" i="58" s="1"/>
  <c r="AG63" i="58"/>
  <c r="AA65" i="58"/>
  <c r="AF65" i="58"/>
  <c r="AA66" i="58"/>
  <c r="AA67" i="58"/>
  <c r="AF67" i="58" s="1"/>
  <c r="AA68" i="58"/>
  <c r="AA69" i="58"/>
  <c r="AF69" i="58" s="1"/>
  <c r="AA70" i="58"/>
  <c r="AF70" i="58" s="1"/>
  <c r="AA71" i="58"/>
  <c r="AE71" i="58"/>
  <c r="O73" i="58"/>
  <c r="O74" i="58" s="1"/>
  <c r="P73" i="58"/>
  <c r="P74" i="58" s="1"/>
  <c r="Q73" i="58"/>
  <c r="Q74" i="58" s="1"/>
  <c r="R73" i="58"/>
  <c r="R74" i="58" s="1"/>
  <c r="S73" i="58"/>
  <c r="S74" i="58" s="1"/>
  <c r="T73" i="58"/>
  <c r="T74" i="58" s="1"/>
  <c r="U73" i="58"/>
  <c r="U74" i="58" s="1"/>
  <c r="V73" i="58"/>
  <c r="V74" i="58" s="1"/>
  <c r="W73" i="58"/>
  <c r="W74" i="58" s="1"/>
  <c r="X73" i="58"/>
  <c r="X74" i="58" s="1"/>
  <c r="Y73" i="58"/>
  <c r="Y74" i="58" s="1"/>
  <c r="Z73" i="58"/>
  <c r="AD73" i="58"/>
  <c r="AE74" i="58" s="1"/>
  <c r="AG73" i="58"/>
  <c r="Z74" i="58"/>
  <c r="AA75" i="58"/>
  <c r="AB75" i="58" s="1"/>
  <c r="AE75" i="58"/>
  <c r="AA76" i="58"/>
  <c r="AF76" i="58" s="1"/>
  <c r="AE76" i="58"/>
  <c r="AA77" i="58"/>
  <c r="AB77" i="58" s="1"/>
  <c r="AE77" i="58"/>
  <c r="AA78" i="58"/>
  <c r="AF78" i="58" s="1"/>
  <c r="AE78" i="58"/>
  <c r="AA79" i="58"/>
  <c r="AB79" i="58" s="1"/>
  <c r="AE79" i="58"/>
  <c r="AA80" i="58"/>
  <c r="AF80" i="58" s="1"/>
  <c r="AE80" i="58"/>
  <c r="O82" i="58"/>
  <c r="P82" i="58"/>
  <c r="P84" i="58" s="1"/>
  <c r="Q82" i="58"/>
  <c r="Q84" i="58" s="1"/>
  <c r="R82" i="58"/>
  <c r="R84" i="58" s="1"/>
  <c r="S82" i="58"/>
  <c r="S84" i="58" s="1"/>
  <c r="T82" i="58"/>
  <c r="T84" i="58" s="1"/>
  <c r="U82" i="58"/>
  <c r="V82" i="58"/>
  <c r="V84" i="58" s="1"/>
  <c r="W82" i="58"/>
  <c r="W84" i="58" s="1"/>
  <c r="X82" i="58"/>
  <c r="X84" i="58" s="1"/>
  <c r="Y82" i="58"/>
  <c r="Y84" i="58" s="1"/>
  <c r="Z82" i="58"/>
  <c r="Z84" i="58" s="1"/>
  <c r="AD82" i="58"/>
  <c r="AE84" i="58" s="1"/>
  <c r="AG82" i="58"/>
  <c r="AA83" i="58"/>
  <c r="AF83" i="58" s="1"/>
  <c r="AE83" i="58"/>
  <c r="O84" i="58"/>
  <c r="U84" i="58"/>
  <c r="AA85" i="58"/>
  <c r="AA86" i="58"/>
  <c r="AF86" i="58" s="1"/>
  <c r="AA87" i="58"/>
  <c r="AF87" i="58" s="1"/>
  <c r="AA91" i="58"/>
  <c r="AF91" i="58" s="1"/>
  <c r="AA92" i="58"/>
  <c r="AF92" i="58"/>
  <c r="O93" i="58"/>
  <c r="P93" i="58"/>
  <c r="Q93" i="58"/>
  <c r="R93" i="58"/>
  <c r="S93" i="58"/>
  <c r="T93" i="58"/>
  <c r="U93" i="58"/>
  <c r="V93" i="58"/>
  <c r="W93" i="58"/>
  <c r="X93" i="58"/>
  <c r="Y93" i="58"/>
  <c r="Z93" i="58"/>
  <c r="AD93" i="58"/>
  <c r="AG93" i="58"/>
  <c r="O94" i="58"/>
  <c r="P94" i="58"/>
  <c r="Q94" i="58"/>
  <c r="R94" i="58"/>
  <c r="S94" i="58"/>
  <c r="T94" i="58"/>
  <c r="U94" i="58"/>
  <c r="V94" i="58"/>
  <c r="W94" i="58"/>
  <c r="X94" i="58"/>
  <c r="Y94" i="58"/>
  <c r="Z94" i="58"/>
  <c r="AD94" i="58"/>
  <c r="AG94" i="58"/>
  <c r="AA98" i="58"/>
  <c r="AB98" i="58" s="1"/>
  <c r="AE98" i="58"/>
  <c r="AA99" i="58"/>
  <c r="AF99" i="58" s="1"/>
  <c r="AB99" i="58"/>
  <c r="AE99" i="58"/>
  <c r="AA100" i="58"/>
  <c r="AB100" i="58" s="1"/>
  <c r="AE100" i="58"/>
  <c r="AA101" i="58"/>
  <c r="AF101" i="58" s="1"/>
  <c r="AA102" i="58"/>
  <c r="AB102" i="58" s="1"/>
  <c r="AE102" i="58"/>
  <c r="AA103" i="58"/>
  <c r="AF103" i="58" s="1"/>
  <c r="AA106" i="58"/>
  <c r="AB106" i="58" s="1"/>
  <c r="AE106" i="58"/>
  <c r="AA107" i="58"/>
  <c r="AF107" i="58" s="1"/>
  <c r="AE107" i="58"/>
  <c r="AA108" i="58"/>
  <c r="AB108" i="58" s="1"/>
  <c r="AE108" i="58"/>
  <c r="AA109" i="58"/>
  <c r="AF109" i="58" s="1"/>
  <c r="AA110" i="58"/>
  <c r="AB110" i="58" s="1"/>
  <c r="AE110" i="58"/>
  <c r="AA111" i="58"/>
  <c r="AF111" i="58" s="1"/>
  <c r="AA114" i="58"/>
  <c r="AB114" i="58" s="1"/>
  <c r="AE114" i="58"/>
  <c r="AA115" i="58"/>
  <c r="AF115" i="58" s="1"/>
  <c r="AE115" i="58"/>
  <c r="AA116" i="58"/>
  <c r="AB116" i="58" s="1"/>
  <c r="AE116" i="58"/>
  <c r="AA117" i="58"/>
  <c r="AF117" i="58"/>
  <c r="AA118" i="58"/>
  <c r="AB118" i="58" s="1"/>
  <c r="AE118" i="58"/>
  <c r="AA119" i="58"/>
  <c r="AF119" i="58" s="1"/>
  <c r="O121" i="58"/>
  <c r="P121" i="58"/>
  <c r="Q121" i="58"/>
  <c r="R121" i="58"/>
  <c r="S121" i="58"/>
  <c r="T121" i="58"/>
  <c r="U121" i="58"/>
  <c r="V121" i="58"/>
  <c r="W121" i="58"/>
  <c r="X121" i="58"/>
  <c r="Y121" i="58"/>
  <c r="Z121" i="58"/>
  <c r="AD121" i="58"/>
  <c r="AE121" i="58" s="1"/>
  <c r="AG121" i="58"/>
  <c r="O122" i="58"/>
  <c r="P122" i="58"/>
  <c r="Q122" i="58"/>
  <c r="R122" i="58"/>
  <c r="S122" i="58"/>
  <c r="T122" i="58"/>
  <c r="U122" i="58"/>
  <c r="V122" i="58"/>
  <c r="W122" i="58"/>
  <c r="X122" i="58"/>
  <c r="Y122" i="58"/>
  <c r="Z122" i="58"/>
  <c r="AD122" i="58"/>
  <c r="AE122" i="58" s="1"/>
  <c r="AG122" i="58"/>
  <c r="O123" i="58"/>
  <c r="P123" i="58"/>
  <c r="Q123" i="58"/>
  <c r="R123" i="58"/>
  <c r="S123" i="58"/>
  <c r="T123" i="58"/>
  <c r="U123" i="58"/>
  <c r="V123" i="58"/>
  <c r="W123" i="58"/>
  <c r="X123" i="58"/>
  <c r="Y123" i="58"/>
  <c r="Z123" i="58"/>
  <c r="AD123" i="58"/>
  <c r="AG123" i="58"/>
  <c r="O124" i="58"/>
  <c r="P124" i="58"/>
  <c r="Q124" i="58"/>
  <c r="R124" i="58"/>
  <c r="S124" i="58"/>
  <c r="T124" i="58"/>
  <c r="U124" i="58"/>
  <c r="V124" i="58"/>
  <c r="W124" i="58"/>
  <c r="X124" i="58"/>
  <c r="Y124" i="58"/>
  <c r="Z124" i="58"/>
  <c r="AD124" i="58"/>
  <c r="AG124" i="58"/>
  <c r="O125" i="58"/>
  <c r="P125" i="58"/>
  <c r="Q125" i="58"/>
  <c r="R125" i="58"/>
  <c r="S125" i="58"/>
  <c r="T125" i="58"/>
  <c r="U125" i="58"/>
  <c r="V125" i="58"/>
  <c r="W125" i="58"/>
  <c r="X125" i="58"/>
  <c r="Y125" i="58"/>
  <c r="Z125" i="58"/>
  <c r="AD125" i="58"/>
  <c r="AE125" i="58" s="1"/>
  <c r="AG125" i="58"/>
  <c r="AA130" i="58"/>
  <c r="AF130" i="58"/>
  <c r="AF131" i="58"/>
  <c r="AA132" i="58"/>
  <c r="AF133" i="58"/>
  <c r="AA134" i="58"/>
  <c r="AF134" i="58" s="1"/>
  <c r="AF135" i="58"/>
  <c r="AA136" i="58"/>
  <c r="AF137" i="58"/>
  <c r="AA138" i="58"/>
  <c r="AF138" i="58" s="1"/>
  <c r="AF139" i="58"/>
  <c r="AA140" i="58"/>
  <c r="AF140" i="58" s="1"/>
  <c r="AE90" i="54"/>
  <c r="AE98" i="54"/>
  <c r="AE99" i="54"/>
  <c r="AE84" i="54"/>
  <c r="AE65" i="54"/>
  <c r="AE66" i="54"/>
  <c r="AE67" i="54"/>
  <c r="AE68" i="54"/>
  <c r="AE69" i="54"/>
  <c r="AE35" i="54"/>
  <c r="AE36" i="54"/>
  <c r="AE37" i="54"/>
  <c r="AE39" i="54"/>
  <c r="AE41" i="54"/>
  <c r="AE42" i="54"/>
  <c r="AE43" i="54"/>
  <c r="AE44" i="54"/>
  <c r="AE46" i="54"/>
  <c r="AE48" i="54"/>
  <c r="AE50" i="54"/>
  <c r="AE51" i="54"/>
  <c r="AE52" i="54"/>
  <c r="AE53" i="54"/>
  <c r="AE55" i="54"/>
  <c r="AE56" i="54"/>
  <c r="AA35" i="64"/>
  <c r="AB35" i="64" s="1"/>
  <c r="AE35" i="64"/>
  <c r="AA36" i="64"/>
  <c r="AB36" i="64" s="1"/>
  <c r="AE36" i="64"/>
  <c r="AA37" i="64"/>
  <c r="AB37" i="64" s="1"/>
  <c r="AE37" i="64"/>
  <c r="AA38" i="64"/>
  <c r="AB38" i="64" s="1"/>
  <c r="AE38" i="64"/>
  <c r="AA39" i="64"/>
  <c r="AB39" i="64" s="1"/>
  <c r="AE39" i="64"/>
  <c r="AA40" i="64"/>
  <c r="AF40" i="64" s="1"/>
  <c r="AA41" i="64"/>
  <c r="AE41" i="64"/>
  <c r="O43" i="64"/>
  <c r="O44" i="64" s="1"/>
  <c r="P43" i="64"/>
  <c r="Q43" i="64"/>
  <c r="Q44" i="64" s="1"/>
  <c r="R43" i="64"/>
  <c r="R44" i="64" s="1"/>
  <c r="S43" i="64"/>
  <c r="S44" i="64" s="1"/>
  <c r="T43" i="64"/>
  <c r="T44" i="64" s="1"/>
  <c r="U43" i="64"/>
  <c r="U44" i="64" s="1"/>
  <c r="V43" i="64"/>
  <c r="V44" i="64" s="1"/>
  <c r="W43" i="64"/>
  <c r="W44" i="64" s="1"/>
  <c r="X43" i="64"/>
  <c r="X44" i="64" s="1"/>
  <c r="Y43" i="64"/>
  <c r="Y44" i="64" s="1"/>
  <c r="Z43" i="64"/>
  <c r="Z44" i="64" s="1"/>
  <c r="AD43" i="64"/>
  <c r="AE44" i="64" s="1"/>
  <c r="AG43" i="64"/>
  <c r="P44" i="64"/>
  <c r="AA45" i="64"/>
  <c r="AB45" i="64"/>
  <c r="AE45" i="64"/>
  <c r="AF45" i="64"/>
  <c r="AA46" i="64"/>
  <c r="AB46" i="64" s="1"/>
  <c r="AE46" i="64"/>
  <c r="AA47" i="64"/>
  <c r="AB47" i="64" s="1"/>
  <c r="AE47" i="64"/>
  <c r="AA48" i="64"/>
  <c r="AB48" i="64" s="1"/>
  <c r="AE48" i="64"/>
  <c r="AA49" i="64"/>
  <c r="AB49" i="64" s="1"/>
  <c r="AE49" i="64"/>
  <c r="AA50" i="64"/>
  <c r="AF50" i="64" s="1"/>
  <c r="AA51" i="64"/>
  <c r="AB51" i="64" s="1"/>
  <c r="AE51" i="64"/>
  <c r="AA52" i="64"/>
  <c r="O53" i="64"/>
  <c r="O54" i="64" s="1"/>
  <c r="P53" i="64"/>
  <c r="P54" i="64" s="1"/>
  <c r="Q53" i="64"/>
  <c r="Q54" i="64" s="1"/>
  <c r="R53" i="64"/>
  <c r="R54" i="64" s="1"/>
  <c r="S53" i="64"/>
  <c r="S54" i="64" s="1"/>
  <c r="T53" i="64"/>
  <c r="T54" i="64" s="1"/>
  <c r="U53" i="64"/>
  <c r="U54" i="64" s="1"/>
  <c r="V53" i="64"/>
  <c r="V54" i="64" s="1"/>
  <c r="W53" i="64"/>
  <c r="W54" i="64" s="1"/>
  <c r="X53" i="64"/>
  <c r="X54" i="64" s="1"/>
  <c r="Y53" i="64"/>
  <c r="Y54" i="64" s="1"/>
  <c r="Z53" i="64"/>
  <c r="AA53" i="64"/>
  <c r="AD53" i="64"/>
  <c r="AE54" i="64" s="1"/>
  <c r="AG53" i="64"/>
  <c r="Z54" i="64"/>
  <c r="AA55" i="64"/>
  <c r="AF55" i="64" s="1"/>
  <c r="AE55" i="64"/>
  <c r="AA56" i="64"/>
  <c r="AE56" i="64"/>
  <c r="AA57" i="64"/>
  <c r="AF57" i="64" s="1"/>
  <c r="AE57" i="64"/>
  <c r="AA58" i="64"/>
  <c r="AE58" i="64"/>
  <c r="AA59" i="64"/>
  <c r="AE59" i="64"/>
  <c r="AA60" i="64"/>
  <c r="AF60" i="64" s="1"/>
  <c r="AA61" i="64"/>
  <c r="AB61" i="64" s="1"/>
  <c r="AE61" i="64"/>
  <c r="O63" i="64"/>
  <c r="O64" i="64" s="1"/>
  <c r="P63" i="64"/>
  <c r="P64" i="64" s="1"/>
  <c r="Q63" i="64"/>
  <c r="Q64" i="64" s="1"/>
  <c r="R63" i="64"/>
  <c r="S63" i="64"/>
  <c r="S64" i="64" s="1"/>
  <c r="T63" i="64"/>
  <c r="T64" i="64" s="1"/>
  <c r="U63" i="64"/>
  <c r="U64" i="64" s="1"/>
  <c r="V63" i="64"/>
  <c r="V64" i="64" s="1"/>
  <c r="W63" i="64"/>
  <c r="W64" i="64" s="1"/>
  <c r="X63" i="64"/>
  <c r="X64" i="64" s="1"/>
  <c r="Y63" i="64"/>
  <c r="Y64" i="64" s="1"/>
  <c r="Z63" i="64"/>
  <c r="Z64" i="64" s="1"/>
  <c r="AD63" i="64"/>
  <c r="AE64" i="64" s="1"/>
  <c r="AG63" i="64"/>
  <c r="R64" i="64"/>
  <c r="AA65" i="64"/>
  <c r="AB65" i="64" s="1"/>
  <c r="AE65" i="64"/>
  <c r="AF65" i="64"/>
  <c r="AA66" i="64"/>
  <c r="AB66" i="64" s="1"/>
  <c r="AE66" i="64"/>
  <c r="AA67" i="64"/>
  <c r="AE67" i="64"/>
  <c r="AA68" i="64"/>
  <c r="AB68" i="64" s="1"/>
  <c r="AE68" i="64"/>
  <c r="AA69" i="64"/>
  <c r="AE69" i="64"/>
  <c r="AA70" i="64"/>
  <c r="AF70" i="64" s="1"/>
  <c r="AA71" i="64"/>
  <c r="AB71" i="64" s="1"/>
  <c r="AE71" i="64"/>
  <c r="O73" i="64"/>
  <c r="O74" i="64" s="1"/>
  <c r="P73" i="64"/>
  <c r="Q73" i="64"/>
  <c r="Q74" i="64" s="1"/>
  <c r="R73" i="64"/>
  <c r="R74" i="64" s="1"/>
  <c r="S73" i="64"/>
  <c r="S74" i="64" s="1"/>
  <c r="T73" i="64"/>
  <c r="T74" i="64" s="1"/>
  <c r="U73" i="64"/>
  <c r="U74" i="64" s="1"/>
  <c r="V73" i="64"/>
  <c r="V74" i="64" s="1"/>
  <c r="W73" i="64"/>
  <c r="X73" i="64"/>
  <c r="X74" i="64" s="1"/>
  <c r="Y73" i="64"/>
  <c r="Y74" i="64" s="1"/>
  <c r="Z73" i="64"/>
  <c r="Z74" i="64" s="1"/>
  <c r="AD73" i="64"/>
  <c r="AE74" i="64" s="1"/>
  <c r="AG73" i="64"/>
  <c r="P74" i="64"/>
  <c r="W74" i="64"/>
  <c r="AA75" i="64"/>
  <c r="AE75" i="64"/>
  <c r="AA76" i="64"/>
  <c r="AB76" i="64" s="1"/>
  <c r="AE76" i="64"/>
  <c r="AA77" i="64"/>
  <c r="AE77" i="64"/>
  <c r="AA78" i="64"/>
  <c r="AF78" i="64" s="1"/>
  <c r="AE78" i="64"/>
  <c r="AA79" i="64"/>
  <c r="AA81" i="64" s="1"/>
  <c r="AF81" i="64" s="1"/>
  <c r="AE79" i="64"/>
  <c r="AA80" i="64"/>
  <c r="AB80" i="64" s="1"/>
  <c r="AE80" i="64"/>
  <c r="AF80" i="64"/>
  <c r="O82" i="64"/>
  <c r="O84" i="64" s="1"/>
  <c r="P82" i="64"/>
  <c r="P84" i="64" s="1"/>
  <c r="Q82" i="64"/>
  <c r="Q84" i="64" s="1"/>
  <c r="R82" i="64"/>
  <c r="S82" i="64"/>
  <c r="S84" i="64" s="1"/>
  <c r="T82" i="64"/>
  <c r="T84" i="64" s="1"/>
  <c r="U82" i="64"/>
  <c r="U84" i="64" s="1"/>
  <c r="V82" i="64"/>
  <c r="V84" i="64" s="1"/>
  <c r="W82" i="64"/>
  <c r="W84" i="64" s="1"/>
  <c r="X82" i="64"/>
  <c r="X84" i="64" s="1"/>
  <c r="Y82" i="64"/>
  <c r="Y84" i="64" s="1"/>
  <c r="Z82" i="64"/>
  <c r="Z84" i="64" s="1"/>
  <c r="AD82" i="64"/>
  <c r="AE84" i="64" s="1"/>
  <c r="AG82" i="64"/>
  <c r="AA83" i="64"/>
  <c r="AB83" i="64" s="1"/>
  <c r="AE83" i="64"/>
  <c r="R84" i="64"/>
  <c r="AA85" i="64"/>
  <c r="AB85" i="64" s="1"/>
  <c r="AE85" i="64"/>
  <c r="AF85" i="64"/>
  <c r="AA86" i="64"/>
  <c r="AF86" i="64" s="1"/>
  <c r="AA87" i="64"/>
  <c r="AB87" i="64" s="1"/>
  <c r="AE87" i="64"/>
  <c r="AA91" i="64"/>
  <c r="AF91" i="64" s="1"/>
  <c r="AA92" i="64"/>
  <c r="AF92" i="64" s="1"/>
  <c r="O93" i="64"/>
  <c r="P93" i="64"/>
  <c r="Q93" i="64"/>
  <c r="R93" i="64"/>
  <c r="S93" i="64"/>
  <c r="T93" i="64"/>
  <c r="U93" i="64"/>
  <c r="V93" i="64"/>
  <c r="W93" i="64"/>
  <c r="X93" i="64"/>
  <c r="Y93" i="64"/>
  <c r="Z93" i="64"/>
  <c r="AD93" i="64"/>
  <c r="AG93" i="64"/>
  <c r="O94" i="64"/>
  <c r="P94" i="64"/>
  <c r="Q94" i="64"/>
  <c r="R94" i="64"/>
  <c r="S94" i="64"/>
  <c r="T94" i="64"/>
  <c r="U94" i="64"/>
  <c r="V94" i="64"/>
  <c r="W94" i="64"/>
  <c r="X94" i="64"/>
  <c r="Y94" i="64"/>
  <c r="Z94" i="64"/>
  <c r="AD94" i="64"/>
  <c r="AG94" i="64"/>
  <c r="AA98" i="64"/>
  <c r="AB98" i="64" s="1"/>
  <c r="AE98" i="64"/>
  <c r="AF98" i="64"/>
  <c r="AA99" i="64"/>
  <c r="AF99" i="64" s="1"/>
  <c r="AE99" i="64"/>
  <c r="AA100" i="64"/>
  <c r="AB100" i="64" s="1"/>
  <c r="AE100" i="64"/>
  <c r="AF100" i="64"/>
  <c r="AA101" i="64"/>
  <c r="AF101" i="64" s="1"/>
  <c r="AE101" i="64"/>
  <c r="AA102" i="64"/>
  <c r="AB102" i="64" s="1"/>
  <c r="AE102" i="64"/>
  <c r="AA103" i="64"/>
  <c r="AF103" i="64" s="1"/>
  <c r="AE103" i="64"/>
  <c r="AA106" i="64"/>
  <c r="AB106" i="64" s="1"/>
  <c r="AE106" i="64"/>
  <c r="AA107" i="64"/>
  <c r="AF107" i="64" s="1"/>
  <c r="AE107" i="64"/>
  <c r="AA108" i="64"/>
  <c r="AB108" i="64" s="1"/>
  <c r="AE108" i="64"/>
  <c r="AA109" i="64"/>
  <c r="AF109" i="64" s="1"/>
  <c r="AE109" i="64"/>
  <c r="AA110" i="64"/>
  <c r="AB110" i="64" s="1"/>
  <c r="AE110" i="64"/>
  <c r="AA111" i="64"/>
  <c r="AF111" i="64" s="1"/>
  <c r="AE111" i="64"/>
  <c r="AA114" i="64"/>
  <c r="AB114" i="64" s="1"/>
  <c r="AE114" i="64"/>
  <c r="AF114" i="64"/>
  <c r="AA115" i="64"/>
  <c r="AF115" i="64" s="1"/>
  <c r="AE115" i="64"/>
  <c r="AA116" i="64"/>
  <c r="AB116" i="64" s="1"/>
  <c r="AE116" i="64"/>
  <c r="AA117" i="64"/>
  <c r="AF117" i="64" s="1"/>
  <c r="AE117" i="64"/>
  <c r="AA118" i="64"/>
  <c r="AB118" i="64" s="1"/>
  <c r="AE118" i="64"/>
  <c r="AF118" i="64"/>
  <c r="AA119" i="64"/>
  <c r="AF119" i="64" s="1"/>
  <c r="AE119" i="64"/>
  <c r="O121" i="64"/>
  <c r="P121" i="64"/>
  <c r="Q121" i="64"/>
  <c r="R121" i="64"/>
  <c r="S121" i="64"/>
  <c r="T121" i="64"/>
  <c r="U121" i="64"/>
  <c r="V121" i="64"/>
  <c r="W121" i="64"/>
  <c r="X121" i="64"/>
  <c r="Y121" i="64"/>
  <c r="Z121" i="64"/>
  <c r="AD121" i="64"/>
  <c r="AE121" i="64" s="1"/>
  <c r="AG121" i="64"/>
  <c r="AG126" i="64" s="1"/>
  <c r="AG127" i="64" s="1"/>
  <c r="O122" i="64"/>
  <c r="P122" i="64"/>
  <c r="Q122" i="64"/>
  <c r="R122" i="64"/>
  <c r="S122" i="64"/>
  <c r="T122" i="64"/>
  <c r="U122" i="64"/>
  <c r="V122" i="64"/>
  <c r="W122" i="64"/>
  <c r="X122" i="64"/>
  <c r="Y122" i="64"/>
  <c r="Z122" i="64"/>
  <c r="AD122" i="64"/>
  <c r="AE122" i="64"/>
  <c r="AG122" i="64"/>
  <c r="O123" i="64"/>
  <c r="P123" i="64"/>
  <c r="Q123" i="64"/>
  <c r="R123" i="64"/>
  <c r="S123" i="64"/>
  <c r="T123" i="64"/>
  <c r="U123" i="64"/>
  <c r="V123" i="64"/>
  <c r="W123" i="64"/>
  <c r="X123" i="64"/>
  <c r="Y123" i="64"/>
  <c r="Z123" i="64"/>
  <c r="AD123" i="64"/>
  <c r="AE123" i="64" s="1"/>
  <c r="AG123" i="64"/>
  <c r="O124" i="64"/>
  <c r="P124" i="64"/>
  <c r="Q124" i="64"/>
  <c r="R124" i="64"/>
  <c r="S124" i="64"/>
  <c r="T124" i="64"/>
  <c r="U124" i="64"/>
  <c r="V124" i="64"/>
  <c r="W124" i="64"/>
  <c r="X124" i="64"/>
  <c r="Y124" i="64"/>
  <c r="Z124" i="64"/>
  <c r="AD124" i="64"/>
  <c r="AE124" i="64" s="1"/>
  <c r="AG124" i="64"/>
  <c r="O125" i="64"/>
  <c r="P125" i="64"/>
  <c r="Q125" i="64"/>
  <c r="R125" i="64"/>
  <c r="S125" i="64"/>
  <c r="T125" i="64"/>
  <c r="U125" i="64"/>
  <c r="V125" i="64"/>
  <c r="W125" i="64"/>
  <c r="X125" i="64"/>
  <c r="Y125" i="64"/>
  <c r="Z125" i="64"/>
  <c r="AD125" i="64"/>
  <c r="AE125" i="64" s="1"/>
  <c r="AG125" i="64"/>
  <c r="AA130" i="64"/>
  <c r="AE130" i="64"/>
  <c r="AF131" i="64"/>
  <c r="AA132" i="64"/>
  <c r="AF132" i="64" s="1"/>
  <c r="AB132" i="64"/>
  <c r="AE132" i="64"/>
  <c r="AF133" i="64"/>
  <c r="AA134" i="64"/>
  <c r="AB134" i="64" s="1"/>
  <c r="AE134" i="64"/>
  <c r="AF135" i="64"/>
  <c r="AA136" i="64"/>
  <c r="AF136" i="64" s="1"/>
  <c r="AE136" i="64"/>
  <c r="AF137" i="64"/>
  <c r="AA138" i="64"/>
  <c r="AB138" i="64" s="1"/>
  <c r="AE138" i="64"/>
  <c r="AF139" i="64"/>
  <c r="AA140" i="64"/>
  <c r="AF140" i="64" s="1"/>
  <c r="AE140" i="64"/>
  <c r="AE85" i="63"/>
  <c r="AE87" i="63"/>
  <c r="AE88" i="63"/>
  <c r="AE62" i="63"/>
  <c r="AE63" i="63"/>
  <c r="AE64" i="63"/>
  <c r="AE65" i="63"/>
  <c r="AE66" i="63"/>
  <c r="AE67" i="63"/>
  <c r="AE68" i="63"/>
  <c r="AE69" i="63"/>
  <c r="AE70"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35" i="62"/>
  <c r="AF35" i="62" s="1"/>
  <c r="AB35" i="62"/>
  <c r="AE35" i="62"/>
  <c r="AA36" i="62"/>
  <c r="AB36" i="62" s="1"/>
  <c r="AE36" i="62"/>
  <c r="AA37" i="62"/>
  <c r="AF37" i="62" s="1"/>
  <c r="AB37" i="62"/>
  <c r="AE37" i="62"/>
  <c r="AA38" i="62"/>
  <c r="AB38" i="62" s="1"/>
  <c r="AE38" i="62"/>
  <c r="AA39" i="62"/>
  <c r="AF39" i="62" s="1"/>
  <c r="AE39" i="62"/>
  <c r="AA40" i="62"/>
  <c r="AF40" i="62" s="1"/>
  <c r="AA41" i="62"/>
  <c r="AB41" i="62" s="1"/>
  <c r="AE41" i="62"/>
  <c r="O43" i="62"/>
  <c r="O44" i="62" s="1"/>
  <c r="P43" i="62"/>
  <c r="P44" i="62" s="1"/>
  <c r="Q43" i="62"/>
  <c r="Q44" i="62" s="1"/>
  <c r="R43" i="62"/>
  <c r="R44" i="62" s="1"/>
  <c r="S43" i="62"/>
  <c r="S44" i="62" s="1"/>
  <c r="T43" i="62"/>
  <c r="T44" i="62" s="1"/>
  <c r="U43" i="62"/>
  <c r="U44" i="62" s="1"/>
  <c r="V43" i="62"/>
  <c r="V44" i="62" s="1"/>
  <c r="W43" i="62"/>
  <c r="W44" i="62" s="1"/>
  <c r="X43" i="62"/>
  <c r="X44" i="62" s="1"/>
  <c r="Y43" i="62"/>
  <c r="Z43" i="62"/>
  <c r="Z44" i="62" s="1"/>
  <c r="AD43" i="62"/>
  <c r="AE44" i="62" s="1"/>
  <c r="AG43" i="62"/>
  <c r="Y44" i="62"/>
  <c r="AA45" i="62"/>
  <c r="AF45" i="62" s="1"/>
  <c r="AE45" i="62"/>
  <c r="AA46" i="62"/>
  <c r="AB46" i="62" s="1"/>
  <c r="AE46" i="62"/>
  <c r="AA47" i="62"/>
  <c r="AF47" i="62" s="1"/>
  <c r="AE47" i="62"/>
  <c r="AA48" i="62"/>
  <c r="AB48" i="62" s="1"/>
  <c r="AE48" i="62"/>
  <c r="AA49" i="62"/>
  <c r="AF49" i="62" s="1"/>
  <c r="AE49" i="62"/>
  <c r="AA50" i="62"/>
  <c r="AF50" i="62" s="1"/>
  <c r="AA51" i="62"/>
  <c r="AB51" i="62" s="1"/>
  <c r="AE51" i="62"/>
  <c r="AF51" i="62"/>
  <c r="O53" i="62"/>
  <c r="O54" i="62" s="1"/>
  <c r="P53" i="62"/>
  <c r="Q53" i="62"/>
  <c r="Q54" i="62" s="1"/>
  <c r="R53" i="62"/>
  <c r="R54" i="62" s="1"/>
  <c r="S53" i="62"/>
  <c r="S54" i="62" s="1"/>
  <c r="T53" i="62"/>
  <c r="T54" i="62" s="1"/>
  <c r="U53" i="62"/>
  <c r="U54" i="62" s="1"/>
  <c r="V53" i="62"/>
  <c r="V54" i="62" s="1"/>
  <c r="W53" i="62"/>
  <c r="W54" i="62" s="1"/>
  <c r="X53" i="62"/>
  <c r="Y53" i="62"/>
  <c r="Y54" i="62" s="1"/>
  <c r="Z53" i="62"/>
  <c r="Z54" i="62" s="1"/>
  <c r="AD53" i="62"/>
  <c r="AE54" i="62" s="1"/>
  <c r="AG53" i="62"/>
  <c r="P54" i="62"/>
  <c r="X54" i="62"/>
  <c r="AA55" i="62"/>
  <c r="AF55" i="62" s="1"/>
  <c r="AE55" i="62"/>
  <c r="AA56" i="62"/>
  <c r="AB56" i="62" s="1"/>
  <c r="AE56" i="62"/>
  <c r="AA57" i="62"/>
  <c r="AF57" i="62" s="1"/>
  <c r="AE57" i="62"/>
  <c r="AA58" i="62"/>
  <c r="AB58" i="62" s="1"/>
  <c r="AE58" i="62"/>
  <c r="AF58" i="62"/>
  <c r="AA59" i="62"/>
  <c r="AE59" i="62"/>
  <c r="AA60" i="62"/>
  <c r="AF60" i="62" s="1"/>
  <c r="AA61" i="62"/>
  <c r="AB61" i="62" s="1"/>
  <c r="AE61" i="62"/>
  <c r="AF61" i="62"/>
  <c r="O63" i="62"/>
  <c r="P63" i="62"/>
  <c r="P64" i="62" s="1"/>
  <c r="Q63" i="62"/>
  <c r="Q64" i="62" s="1"/>
  <c r="R63" i="62"/>
  <c r="R64" i="62" s="1"/>
  <c r="S63" i="62"/>
  <c r="S64" i="62" s="1"/>
  <c r="T63" i="62"/>
  <c r="T64" i="62" s="1"/>
  <c r="U63" i="62"/>
  <c r="U64" i="62" s="1"/>
  <c r="V63" i="62"/>
  <c r="V64" i="62" s="1"/>
  <c r="W63" i="62"/>
  <c r="X63" i="62"/>
  <c r="X64" i="62" s="1"/>
  <c r="Y63" i="62"/>
  <c r="Y64" i="62" s="1"/>
  <c r="Z63" i="62"/>
  <c r="Z64" i="62" s="1"/>
  <c r="AD63" i="62"/>
  <c r="AE64" i="62" s="1"/>
  <c r="AG63" i="62"/>
  <c r="O64" i="62"/>
  <c r="W64" i="62"/>
  <c r="AA65" i="62"/>
  <c r="AE65" i="62"/>
  <c r="AA66" i="62"/>
  <c r="AB66" i="62" s="1"/>
  <c r="AE66" i="62"/>
  <c r="AA67" i="62"/>
  <c r="AE67" i="62"/>
  <c r="AA68" i="62"/>
  <c r="AB68" i="62" s="1"/>
  <c r="AE68" i="62"/>
  <c r="AA69" i="62"/>
  <c r="AE69" i="62"/>
  <c r="AA70" i="62"/>
  <c r="AF70" i="62" s="1"/>
  <c r="AA71" i="62"/>
  <c r="AE71" i="62"/>
  <c r="O73" i="62"/>
  <c r="P73" i="62"/>
  <c r="P74" i="62" s="1"/>
  <c r="Q73" i="62"/>
  <c r="Q74" i="62" s="1"/>
  <c r="R73" i="62"/>
  <c r="R74" i="62" s="1"/>
  <c r="S73" i="62"/>
  <c r="S74" i="62" s="1"/>
  <c r="T73" i="62"/>
  <c r="T74" i="62" s="1"/>
  <c r="U73" i="62"/>
  <c r="U74" i="62" s="1"/>
  <c r="V73" i="62"/>
  <c r="V74" i="62" s="1"/>
  <c r="W73" i="62"/>
  <c r="X73" i="62"/>
  <c r="X74" i="62" s="1"/>
  <c r="Y73" i="62"/>
  <c r="Y74" i="62" s="1"/>
  <c r="Z73" i="62"/>
  <c r="Z74" i="62" s="1"/>
  <c r="AD73" i="62"/>
  <c r="AE74" i="62" s="1"/>
  <c r="AG73" i="62"/>
  <c r="O74" i="62"/>
  <c r="W74" i="62"/>
  <c r="AA75" i="62"/>
  <c r="AB75" i="62" s="1"/>
  <c r="AE75" i="62"/>
  <c r="AA76" i="62"/>
  <c r="AF76" i="62" s="1"/>
  <c r="AE76" i="62"/>
  <c r="AA77" i="62"/>
  <c r="AB77" i="62" s="1"/>
  <c r="AE77" i="62"/>
  <c r="AA78" i="62"/>
  <c r="AF78" i="62" s="1"/>
  <c r="AE78" i="62"/>
  <c r="AA79" i="62"/>
  <c r="AB79" i="62" s="1"/>
  <c r="AE79" i="62"/>
  <c r="AA80" i="62"/>
  <c r="AE80" i="62"/>
  <c r="O82" i="62"/>
  <c r="O84" i="62" s="1"/>
  <c r="P82" i="62"/>
  <c r="Q82" i="62"/>
  <c r="R82" i="62"/>
  <c r="R84" i="62" s="1"/>
  <c r="S82" i="62"/>
  <c r="S84" i="62" s="1"/>
  <c r="T82" i="62"/>
  <c r="T84" i="62" s="1"/>
  <c r="U82" i="62"/>
  <c r="U84" i="62" s="1"/>
  <c r="V82" i="62"/>
  <c r="V84" i="62" s="1"/>
  <c r="W82" i="62"/>
  <c r="W84" i="62" s="1"/>
  <c r="X82" i="62"/>
  <c r="X84" i="62" s="1"/>
  <c r="Y82" i="62"/>
  <c r="Z82" i="62"/>
  <c r="Z84" i="62" s="1"/>
  <c r="AA82" i="62"/>
  <c r="AD82" i="62"/>
  <c r="AE84" i="62" s="1"/>
  <c r="AG82" i="62"/>
  <c r="AA83" i="62"/>
  <c r="AB83" i="62" s="1"/>
  <c r="AE83" i="62"/>
  <c r="P84" i="62"/>
  <c r="Q84" i="62"/>
  <c r="Y84" i="62"/>
  <c r="AA85" i="62"/>
  <c r="AB85" i="62" s="1"/>
  <c r="AE85" i="62"/>
  <c r="AA86" i="62"/>
  <c r="AF86" i="62" s="1"/>
  <c r="AA87" i="62"/>
  <c r="AB87" i="62" s="1"/>
  <c r="AE87" i="62"/>
  <c r="AA91" i="62"/>
  <c r="AF91" i="62" s="1"/>
  <c r="AA92" i="62"/>
  <c r="AF92" i="62" s="1"/>
  <c r="O93" i="62"/>
  <c r="P93" i="62"/>
  <c r="Q93" i="62"/>
  <c r="R93" i="62"/>
  <c r="S93" i="62"/>
  <c r="T93" i="62"/>
  <c r="U93" i="62"/>
  <c r="V93" i="62"/>
  <c r="W93" i="62"/>
  <c r="X93" i="62"/>
  <c r="Y93" i="62"/>
  <c r="Z93" i="62"/>
  <c r="AD93" i="62"/>
  <c r="AG93" i="62"/>
  <c r="O94" i="62"/>
  <c r="P94" i="62"/>
  <c r="Q94" i="62"/>
  <c r="R94" i="62"/>
  <c r="S94" i="62"/>
  <c r="T94" i="62"/>
  <c r="U94" i="62"/>
  <c r="V94" i="62"/>
  <c r="W94" i="62"/>
  <c r="X94" i="62"/>
  <c r="Y94" i="62"/>
  <c r="Z94" i="62"/>
  <c r="AD94" i="62"/>
  <c r="AG94" i="62"/>
  <c r="AA98" i="62"/>
  <c r="AB98" i="62" s="1"/>
  <c r="AE98" i="62"/>
  <c r="AA99" i="62"/>
  <c r="AE99" i="62"/>
  <c r="AA100" i="62"/>
  <c r="AB100" i="62" s="1"/>
  <c r="AE100" i="62"/>
  <c r="AA101" i="62"/>
  <c r="AE101" i="62"/>
  <c r="AA102" i="62"/>
  <c r="AB102" i="62" s="1"/>
  <c r="AE102" i="62"/>
  <c r="AA103" i="62"/>
  <c r="AE103" i="62"/>
  <c r="AA106" i="62"/>
  <c r="AB106" i="62" s="1"/>
  <c r="AE106" i="62"/>
  <c r="AA107" i="62"/>
  <c r="AE107" i="62"/>
  <c r="AA108" i="62"/>
  <c r="AF108" i="62" s="1"/>
  <c r="AE108" i="62"/>
  <c r="AA109" i="62"/>
  <c r="AE109" i="62"/>
  <c r="AA110" i="62"/>
  <c r="AB110" i="62"/>
  <c r="AE110" i="62"/>
  <c r="AF110" i="62"/>
  <c r="AA111" i="62"/>
  <c r="AE111" i="62"/>
  <c r="AA114" i="62"/>
  <c r="AF114" i="62" s="1"/>
  <c r="AB114" i="62"/>
  <c r="AE114" i="62"/>
  <c r="AA115" i="62"/>
  <c r="AE115" i="62"/>
  <c r="AA116" i="62"/>
  <c r="AB116" i="62" s="1"/>
  <c r="AE116" i="62"/>
  <c r="AA117" i="62"/>
  <c r="AE117" i="62"/>
  <c r="AA118" i="62"/>
  <c r="AF118" i="62" s="1"/>
  <c r="AB118" i="62"/>
  <c r="AE118" i="62"/>
  <c r="AA119" i="62"/>
  <c r="AE119" i="62"/>
  <c r="O121" i="62"/>
  <c r="P121" i="62"/>
  <c r="Q121" i="62"/>
  <c r="R121" i="62"/>
  <c r="S121" i="62"/>
  <c r="T121" i="62"/>
  <c r="U121" i="62"/>
  <c r="V121" i="62"/>
  <c r="W121" i="62"/>
  <c r="X121" i="62"/>
  <c r="X126" i="62" s="1"/>
  <c r="X127" i="62" s="1"/>
  <c r="Y121" i="62"/>
  <c r="Z121" i="62"/>
  <c r="AD121" i="62"/>
  <c r="AE121" i="62" s="1"/>
  <c r="AG121" i="62"/>
  <c r="O122" i="62"/>
  <c r="P122" i="62"/>
  <c r="Q122" i="62"/>
  <c r="R122" i="62"/>
  <c r="S122" i="62"/>
  <c r="T122" i="62"/>
  <c r="U122" i="62"/>
  <c r="V122" i="62"/>
  <c r="W122" i="62"/>
  <c r="X122" i="62"/>
  <c r="Y122" i="62"/>
  <c r="Z122" i="62"/>
  <c r="AD122" i="62"/>
  <c r="AE122" i="62" s="1"/>
  <c r="AG122" i="62"/>
  <c r="O123" i="62"/>
  <c r="P123" i="62"/>
  <c r="Q123" i="62"/>
  <c r="R123" i="62"/>
  <c r="S123" i="62"/>
  <c r="T123" i="62"/>
  <c r="U123" i="62"/>
  <c r="V123" i="62"/>
  <c r="W123" i="62"/>
  <c r="X123" i="62"/>
  <c r="Y123" i="62"/>
  <c r="Z123" i="62"/>
  <c r="AD123" i="62"/>
  <c r="AE123" i="62" s="1"/>
  <c r="AG123" i="62"/>
  <c r="O124" i="62"/>
  <c r="P124" i="62"/>
  <c r="Q124" i="62"/>
  <c r="R124" i="62"/>
  <c r="S124" i="62"/>
  <c r="T124" i="62"/>
  <c r="U124" i="62"/>
  <c r="V124" i="62"/>
  <c r="W124" i="62"/>
  <c r="X124" i="62"/>
  <c r="Y124" i="62"/>
  <c r="Z124" i="62"/>
  <c r="AD124" i="62"/>
  <c r="AE124" i="62" s="1"/>
  <c r="AG124" i="62"/>
  <c r="O125" i="62"/>
  <c r="P125" i="62"/>
  <c r="Q125" i="62"/>
  <c r="R125" i="62"/>
  <c r="S125" i="62"/>
  <c r="T125" i="62"/>
  <c r="U125" i="62"/>
  <c r="V125" i="62"/>
  <c r="W125" i="62"/>
  <c r="X125" i="62"/>
  <c r="Y125" i="62"/>
  <c r="Z125" i="62"/>
  <c r="AD125" i="62"/>
  <c r="AE125" i="62" s="1"/>
  <c r="AG125" i="62"/>
  <c r="AA130" i="62"/>
  <c r="AF130" i="62" s="1"/>
  <c r="AB130" i="62"/>
  <c r="AE130" i="62"/>
  <c r="AF131" i="62"/>
  <c r="AA132" i="62"/>
  <c r="AB132" i="62" s="1"/>
  <c r="AE132" i="62"/>
  <c r="AF133" i="62"/>
  <c r="AA134" i="62"/>
  <c r="AF134" i="62" s="1"/>
  <c r="AE134" i="62"/>
  <c r="AF135" i="62"/>
  <c r="AA136" i="62"/>
  <c r="AE136" i="62"/>
  <c r="AF137" i="62"/>
  <c r="AA138" i="62"/>
  <c r="AB138" i="62" s="1"/>
  <c r="AE138" i="62"/>
  <c r="AF139" i="62"/>
  <c r="AA140" i="62"/>
  <c r="AE140" i="62"/>
  <c r="AE85" i="61"/>
  <c r="AE87" i="61"/>
  <c r="AE88" i="61"/>
  <c r="AE62" i="61"/>
  <c r="AE63" i="61"/>
  <c r="AE64" i="61"/>
  <c r="AE65" i="61"/>
  <c r="AE66" i="61"/>
  <c r="AE67" i="61"/>
  <c r="AE68" i="61"/>
  <c r="AE69" i="61"/>
  <c r="AE70"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35" i="57"/>
  <c r="AB35" i="57" s="1"/>
  <c r="AE35" i="57"/>
  <c r="AA36" i="57"/>
  <c r="AE36" i="57"/>
  <c r="AA37" i="57"/>
  <c r="AB37" i="57" s="1"/>
  <c r="AE37" i="57"/>
  <c r="AF37" i="57"/>
  <c r="AA38" i="57"/>
  <c r="AE38" i="57"/>
  <c r="AA39" i="57"/>
  <c r="AF39" i="57" s="1"/>
  <c r="AE39" i="57"/>
  <c r="AA40" i="57"/>
  <c r="AF40" i="57" s="1"/>
  <c r="AA41" i="57"/>
  <c r="AB41" i="57" s="1"/>
  <c r="AE41" i="57"/>
  <c r="O43" i="57"/>
  <c r="O44" i="57" s="1"/>
  <c r="P43" i="57"/>
  <c r="P44" i="57" s="1"/>
  <c r="Q43" i="57"/>
  <c r="Q44" i="57" s="1"/>
  <c r="R43" i="57"/>
  <c r="R44" i="57" s="1"/>
  <c r="S43" i="57"/>
  <c r="S44" i="57" s="1"/>
  <c r="T43" i="57"/>
  <c r="T44" i="57" s="1"/>
  <c r="U43" i="57"/>
  <c r="U44" i="57" s="1"/>
  <c r="V43" i="57"/>
  <c r="V44" i="57" s="1"/>
  <c r="W43" i="57"/>
  <c r="W44" i="57" s="1"/>
  <c r="X43" i="57"/>
  <c r="X44" i="57" s="1"/>
  <c r="Y43" i="57"/>
  <c r="Y44" i="57" s="1"/>
  <c r="Z43" i="57"/>
  <c r="Z44" i="57" s="1"/>
  <c r="AD43" i="57"/>
  <c r="AE44" i="57" s="1"/>
  <c r="AG43" i="57"/>
  <c r="AA45" i="57"/>
  <c r="AB45" i="57" s="1"/>
  <c r="AE45" i="57"/>
  <c r="AA46" i="57"/>
  <c r="AF46" i="57" s="1"/>
  <c r="AE46" i="57"/>
  <c r="AA47" i="57"/>
  <c r="AB47" i="57" s="1"/>
  <c r="AE47" i="57"/>
  <c r="AA48" i="57"/>
  <c r="AB48" i="57" s="1"/>
  <c r="AE48" i="57"/>
  <c r="AA49" i="57"/>
  <c r="AB49" i="57" s="1"/>
  <c r="AE49" i="57"/>
  <c r="AA50" i="57"/>
  <c r="AF50" i="57" s="1"/>
  <c r="AA51" i="57"/>
  <c r="AE51" i="57"/>
  <c r="O53" i="57"/>
  <c r="O54" i="57" s="1"/>
  <c r="P53" i="57"/>
  <c r="P54" i="57" s="1"/>
  <c r="Q53" i="57"/>
  <c r="Q54" i="57" s="1"/>
  <c r="R53" i="57"/>
  <c r="R54" i="57" s="1"/>
  <c r="S53" i="57"/>
  <c r="S54" i="57" s="1"/>
  <c r="T53" i="57"/>
  <c r="T54" i="57" s="1"/>
  <c r="U53" i="57"/>
  <c r="U54" i="57" s="1"/>
  <c r="V53" i="57"/>
  <c r="V54" i="57" s="1"/>
  <c r="W53" i="57"/>
  <c r="W54" i="57" s="1"/>
  <c r="X53" i="57"/>
  <c r="X54" i="57" s="1"/>
  <c r="Y53" i="57"/>
  <c r="Y54" i="57" s="1"/>
  <c r="Z53" i="57"/>
  <c r="AD53" i="57"/>
  <c r="AE54" i="57" s="1"/>
  <c r="AG53" i="57"/>
  <c r="Z54" i="57"/>
  <c r="AA55" i="57"/>
  <c r="AE55" i="57"/>
  <c r="AA56" i="57"/>
  <c r="AF56" i="57" s="1"/>
  <c r="AB56" i="57"/>
  <c r="AE56" i="57"/>
  <c r="AA57" i="57"/>
  <c r="AE57" i="57"/>
  <c r="AA58" i="57"/>
  <c r="AF58" i="57" s="1"/>
  <c r="AE58" i="57"/>
  <c r="AA59" i="57"/>
  <c r="AE59" i="57"/>
  <c r="AA60" i="57"/>
  <c r="AF60" i="57" s="1"/>
  <c r="AA61" i="57"/>
  <c r="AB61" i="57" s="1"/>
  <c r="AE61" i="57"/>
  <c r="O63" i="57"/>
  <c r="O64" i="57" s="1"/>
  <c r="P63" i="57"/>
  <c r="P64" i="57" s="1"/>
  <c r="Q63" i="57"/>
  <c r="R63" i="57"/>
  <c r="R64" i="57" s="1"/>
  <c r="S63" i="57"/>
  <c r="S64" i="57" s="1"/>
  <c r="T63" i="57"/>
  <c r="T64" i="57" s="1"/>
  <c r="U63" i="57"/>
  <c r="U64" i="57" s="1"/>
  <c r="V63" i="57"/>
  <c r="V64" i="57" s="1"/>
  <c r="W63" i="57"/>
  <c r="W64" i="57" s="1"/>
  <c r="X63" i="57"/>
  <c r="X64" i="57" s="1"/>
  <c r="Y63" i="57"/>
  <c r="Z63" i="57"/>
  <c r="AD63" i="57"/>
  <c r="AE64" i="57" s="1"/>
  <c r="AG63" i="57"/>
  <c r="Q64" i="57"/>
  <c r="Y64" i="57"/>
  <c r="Z64" i="57"/>
  <c r="AA65" i="57"/>
  <c r="AF65" i="57" s="1"/>
  <c r="AE65" i="57"/>
  <c r="AA66" i="57"/>
  <c r="AB66" i="57" s="1"/>
  <c r="AE66" i="57"/>
  <c r="AA67" i="57"/>
  <c r="AF67" i="57" s="1"/>
  <c r="AE67" i="57"/>
  <c r="AA68" i="57"/>
  <c r="AF68" i="57" s="1"/>
  <c r="AE68" i="57"/>
  <c r="AA69" i="57"/>
  <c r="AF69" i="57" s="1"/>
  <c r="AE69" i="57"/>
  <c r="AA70" i="57"/>
  <c r="AF70" i="57" s="1"/>
  <c r="AA71" i="57"/>
  <c r="AB71" i="57" s="1"/>
  <c r="AE71" i="57"/>
  <c r="AA72" i="57"/>
  <c r="O73" i="57"/>
  <c r="O74" i="57" s="1"/>
  <c r="P73" i="57"/>
  <c r="P74" i="57" s="1"/>
  <c r="Q73" i="57"/>
  <c r="Q74" i="57" s="1"/>
  <c r="R73" i="57"/>
  <c r="R74" i="57" s="1"/>
  <c r="S73" i="57"/>
  <c r="T73" i="57"/>
  <c r="T74" i="57" s="1"/>
  <c r="U73" i="57"/>
  <c r="U74" i="57" s="1"/>
  <c r="V73" i="57"/>
  <c r="V74" i="57" s="1"/>
  <c r="W73" i="57"/>
  <c r="W74" i="57" s="1"/>
  <c r="X73" i="57"/>
  <c r="X74" i="57" s="1"/>
  <c r="Y73" i="57"/>
  <c r="Z73" i="57"/>
  <c r="Z74" i="57" s="1"/>
  <c r="AD73" i="57"/>
  <c r="AE74" i="57" s="1"/>
  <c r="AG73" i="57"/>
  <c r="S74" i="57"/>
  <c r="Y74" i="57"/>
  <c r="AA75" i="57"/>
  <c r="AF75" i="57" s="1"/>
  <c r="AE75" i="57"/>
  <c r="AA76" i="57"/>
  <c r="AB76" i="57" s="1"/>
  <c r="AE76" i="57"/>
  <c r="AA77" i="57"/>
  <c r="AF77" i="57" s="1"/>
  <c r="AE77" i="57"/>
  <c r="AA78" i="57"/>
  <c r="AB78" i="57" s="1"/>
  <c r="AE78" i="57"/>
  <c r="AA79" i="57"/>
  <c r="AF79" i="57" s="1"/>
  <c r="AE79" i="57"/>
  <c r="AA80" i="57"/>
  <c r="AF80" i="57" s="1"/>
  <c r="AE80" i="57"/>
  <c r="O82" i="57"/>
  <c r="O84" i="57" s="1"/>
  <c r="P82" i="57"/>
  <c r="Q82" i="57"/>
  <c r="R82" i="57"/>
  <c r="R84" i="57" s="1"/>
  <c r="S82" i="57"/>
  <c r="T82" i="57"/>
  <c r="T84" i="57" s="1"/>
  <c r="U82" i="57"/>
  <c r="U84" i="57" s="1"/>
  <c r="V82" i="57"/>
  <c r="V84" i="57" s="1"/>
  <c r="W82" i="57"/>
  <c r="W84" i="57" s="1"/>
  <c r="X82" i="57"/>
  <c r="X84" i="57" s="1"/>
  <c r="Y82" i="57"/>
  <c r="Y84" i="57" s="1"/>
  <c r="Z82" i="57"/>
  <c r="Z84" i="57" s="1"/>
  <c r="AD82" i="57"/>
  <c r="AE84" i="57" s="1"/>
  <c r="AG82" i="57"/>
  <c r="AA83" i="57"/>
  <c r="AF83" i="57" s="1"/>
  <c r="AB83" i="57"/>
  <c r="AE83" i="57"/>
  <c r="P84" i="57"/>
  <c r="Q84" i="57"/>
  <c r="S84" i="57"/>
  <c r="AA85" i="57"/>
  <c r="AB85" i="57" s="1"/>
  <c r="AE85" i="57"/>
  <c r="AA86" i="57"/>
  <c r="AF86" i="57" s="1"/>
  <c r="AA87" i="57"/>
  <c r="AF87" i="57" s="1"/>
  <c r="AE87" i="57"/>
  <c r="AA91" i="57"/>
  <c r="AF91" i="57" s="1"/>
  <c r="AA92" i="57"/>
  <c r="AF92" i="57" s="1"/>
  <c r="O93" i="57"/>
  <c r="P93" i="57"/>
  <c r="Q93" i="57"/>
  <c r="R93" i="57"/>
  <c r="S93" i="57"/>
  <c r="T93" i="57"/>
  <c r="U93" i="57"/>
  <c r="V93" i="57"/>
  <c r="W93" i="57"/>
  <c r="X93" i="57"/>
  <c r="Y93" i="57"/>
  <c r="Z93" i="57"/>
  <c r="AD93" i="57"/>
  <c r="AG93" i="57"/>
  <c r="O94" i="57"/>
  <c r="P94" i="57"/>
  <c r="Q94" i="57"/>
  <c r="R94" i="57"/>
  <c r="S94" i="57"/>
  <c r="T94" i="57"/>
  <c r="U94" i="57"/>
  <c r="V94" i="57"/>
  <c r="W94" i="57"/>
  <c r="X94" i="57"/>
  <c r="Y94" i="57"/>
  <c r="Z94" i="57"/>
  <c r="AD94" i="57"/>
  <c r="AG94" i="57"/>
  <c r="AA98" i="57"/>
  <c r="AB98" i="57" s="1"/>
  <c r="AE98" i="57"/>
  <c r="AF98" i="57"/>
  <c r="AA99" i="57"/>
  <c r="AB99" i="57" s="1"/>
  <c r="AE99" i="57"/>
  <c r="AF99" i="57"/>
  <c r="AA100" i="57"/>
  <c r="AF100" i="57" s="1"/>
  <c r="AE100" i="57"/>
  <c r="AA101" i="57"/>
  <c r="AB101" i="57" s="1"/>
  <c r="AE101" i="57"/>
  <c r="AA102" i="57"/>
  <c r="AB102" i="57" s="1"/>
  <c r="AE102" i="57"/>
  <c r="AA103" i="57"/>
  <c r="AB103" i="57" s="1"/>
  <c r="AE103" i="57"/>
  <c r="AA106" i="57"/>
  <c r="AB106" i="57" s="1"/>
  <c r="AE106" i="57"/>
  <c r="AA107" i="57"/>
  <c r="AB107" i="57" s="1"/>
  <c r="AE107" i="57"/>
  <c r="AA108" i="57"/>
  <c r="AB108" i="57" s="1"/>
  <c r="AE108" i="57"/>
  <c r="AA109" i="57"/>
  <c r="AB109" i="57" s="1"/>
  <c r="AE109" i="57"/>
  <c r="AA110" i="57"/>
  <c r="AB110" i="57" s="1"/>
  <c r="AE110" i="57"/>
  <c r="AA111" i="57"/>
  <c r="AB111" i="57" s="1"/>
  <c r="AE111" i="57"/>
  <c r="AA114" i="57"/>
  <c r="AF114" i="57" s="1"/>
  <c r="AB114" i="57"/>
  <c r="AE114" i="57"/>
  <c r="AA115" i="57"/>
  <c r="AB115" i="57" s="1"/>
  <c r="AE115" i="57"/>
  <c r="AA116" i="57"/>
  <c r="AF116" i="57" s="1"/>
  <c r="AE116" i="57"/>
  <c r="AA117" i="57"/>
  <c r="AB117" i="57" s="1"/>
  <c r="AE117" i="57"/>
  <c r="AA118" i="57"/>
  <c r="AB118" i="57" s="1"/>
  <c r="AE118" i="57"/>
  <c r="AF118" i="57"/>
  <c r="AA119" i="57"/>
  <c r="AB119" i="57" s="1"/>
  <c r="AE119" i="57"/>
  <c r="O121" i="57"/>
  <c r="P121" i="57"/>
  <c r="Q121" i="57"/>
  <c r="R121" i="57"/>
  <c r="S121" i="57"/>
  <c r="T121" i="57"/>
  <c r="U121" i="57"/>
  <c r="V121" i="57"/>
  <c r="W121" i="57"/>
  <c r="X121" i="57"/>
  <c r="Y121" i="57"/>
  <c r="Z121" i="57"/>
  <c r="AD121" i="57"/>
  <c r="AE121" i="57" s="1"/>
  <c r="AG121" i="57"/>
  <c r="O122" i="57"/>
  <c r="P122" i="57"/>
  <c r="Q122" i="57"/>
  <c r="R122" i="57"/>
  <c r="S122" i="57"/>
  <c r="T122" i="57"/>
  <c r="U122" i="57"/>
  <c r="V122" i="57"/>
  <c r="W122" i="57"/>
  <c r="X122" i="57"/>
  <c r="Y122" i="57"/>
  <c r="Z122" i="57"/>
  <c r="AD122" i="57"/>
  <c r="AE122" i="57" s="1"/>
  <c r="AG122" i="57"/>
  <c r="O123" i="57"/>
  <c r="P123" i="57"/>
  <c r="Q123" i="57"/>
  <c r="R123" i="57"/>
  <c r="S123" i="57"/>
  <c r="T123" i="57"/>
  <c r="U123" i="57"/>
  <c r="V123" i="57"/>
  <c r="W123" i="57"/>
  <c r="X123" i="57"/>
  <c r="Y123" i="57"/>
  <c r="Z123" i="57"/>
  <c r="AD123" i="57"/>
  <c r="AE123" i="57" s="1"/>
  <c r="AG123" i="57"/>
  <c r="O124" i="57"/>
  <c r="P124" i="57"/>
  <c r="Q124" i="57"/>
  <c r="R124" i="57"/>
  <c r="S124" i="57"/>
  <c r="T124" i="57"/>
  <c r="U124" i="57"/>
  <c r="V124" i="57"/>
  <c r="W124" i="57"/>
  <c r="X124" i="57"/>
  <c r="Y124" i="57"/>
  <c r="Z124" i="57"/>
  <c r="AD124" i="57"/>
  <c r="AE124" i="57" s="1"/>
  <c r="AG124" i="57"/>
  <c r="O125" i="57"/>
  <c r="P125" i="57"/>
  <c r="Q125" i="57"/>
  <c r="R125" i="57"/>
  <c r="S125" i="57"/>
  <c r="T125" i="57"/>
  <c r="U125" i="57"/>
  <c r="V125" i="57"/>
  <c r="W125" i="57"/>
  <c r="X125" i="57"/>
  <c r="Y125" i="57"/>
  <c r="Z125" i="57"/>
  <c r="AD125" i="57"/>
  <c r="AE125" i="57" s="1"/>
  <c r="AG125" i="57"/>
  <c r="AA130" i="57"/>
  <c r="AF130" i="57" s="1"/>
  <c r="AB130" i="57"/>
  <c r="AE130" i="57"/>
  <c r="AF131" i="57"/>
  <c r="AA132" i="57"/>
  <c r="AF132" i="57" s="1"/>
  <c r="AE132" i="57"/>
  <c r="AF133" i="57"/>
  <c r="AA134" i="57"/>
  <c r="AF134" i="57" s="1"/>
  <c r="AE134" i="57"/>
  <c r="AF135" i="57"/>
  <c r="AA136" i="57"/>
  <c r="AB136" i="57" s="1"/>
  <c r="AE136" i="57"/>
  <c r="AF137" i="57"/>
  <c r="AA138" i="57"/>
  <c r="AE138" i="57"/>
  <c r="AF139" i="57"/>
  <c r="AA140" i="57"/>
  <c r="AB140" i="57"/>
  <c r="AE140" i="57"/>
  <c r="AF140" i="57"/>
  <c r="AE85" i="53"/>
  <c r="AE87" i="53"/>
  <c r="AE88" i="53"/>
  <c r="AE62" i="53"/>
  <c r="AE63" i="53"/>
  <c r="AE64" i="53"/>
  <c r="AE65" i="53"/>
  <c r="AE66" i="53"/>
  <c r="AE67" i="53"/>
  <c r="AE68" i="53"/>
  <c r="AE69" i="53"/>
  <c r="AE70" i="53"/>
  <c r="AE35" i="53"/>
  <c r="AE36" i="53"/>
  <c r="AE37" i="53"/>
  <c r="AE38" i="53"/>
  <c r="AE39" i="53"/>
  <c r="AE40" i="53"/>
  <c r="AE41" i="53"/>
  <c r="AE42" i="53"/>
  <c r="AE43" i="53"/>
  <c r="AE44" i="53"/>
  <c r="AE45" i="53"/>
  <c r="AE46" i="53"/>
  <c r="AE47" i="53"/>
  <c r="AE48" i="53"/>
  <c r="AE49" i="53"/>
  <c r="AE50" i="53"/>
  <c r="AE51" i="53"/>
  <c r="AE52" i="53"/>
  <c r="AE53" i="53"/>
  <c r="AE54" i="53"/>
  <c r="AE55" i="53"/>
  <c r="AE56" i="53"/>
  <c r="AE57" i="53"/>
  <c r="AE58" i="53"/>
  <c r="AA35" i="56"/>
  <c r="AB35" i="56" s="1"/>
  <c r="AE35" i="56"/>
  <c r="AA36" i="56"/>
  <c r="AF36" i="56" s="1"/>
  <c r="AE36" i="56"/>
  <c r="AA37" i="56"/>
  <c r="AB37" i="56" s="1"/>
  <c r="AE37" i="56"/>
  <c r="AF37" i="56"/>
  <c r="AA38" i="56"/>
  <c r="AB38" i="56" s="1"/>
  <c r="AE38" i="56"/>
  <c r="AF38" i="56"/>
  <c r="AA39" i="56"/>
  <c r="AB39" i="56" s="1"/>
  <c r="AE39" i="56"/>
  <c r="AA40" i="56"/>
  <c r="AF40" i="56" s="1"/>
  <c r="AA41" i="56"/>
  <c r="AB41" i="56" s="1"/>
  <c r="AE41" i="56"/>
  <c r="O43" i="56"/>
  <c r="O44" i="56" s="1"/>
  <c r="P43" i="56"/>
  <c r="P44" i="56" s="1"/>
  <c r="Q43" i="56"/>
  <c r="Q44" i="56" s="1"/>
  <c r="R43" i="56"/>
  <c r="R44" i="56" s="1"/>
  <c r="S43" i="56"/>
  <c r="S44" i="56" s="1"/>
  <c r="T43" i="56"/>
  <c r="T44" i="56" s="1"/>
  <c r="U43" i="56"/>
  <c r="U44" i="56" s="1"/>
  <c r="V43" i="56"/>
  <c r="V44" i="56" s="1"/>
  <c r="W43" i="56"/>
  <c r="W44" i="56" s="1"/>
  <c r="X43" i="56"/>
  <c r="X44" i="56" s="1"/>
  <c r="Y43" i="56"/>
  <c r="Y44" i="56" s="1"/>
  <c r="Z43" i="56"/>
  <c r="Z44" i="56" s="1"/>
  <c r="AD43" i="56"/>
  <c r="AE44" i="56" s="1"/>
  <c r="AG43" i="56"/>
  <c r="AA45" i="56"/>
  <c r="AF45" i="56" s="1"/>
  <c r="AE45" i="56"/>
  <c r="AA46" i="56"/>
  <c r="AF46" i="56" s="1"/>
  <c r="AE46" i="56"/>
  <c r="AA47" i="56"/>
  <c r="AF47" i="56" s="1"/>
  <c r="AE47" i="56"/>
  <c r="AA48" i="56"/>
  <c r="AF48" i="56" s="1"/>
  <c r="AE48" i="56"/>
  <c r="AA49" i="56"/>
  <c r="AB49" i="56"/>
  <c r="AE49" i="56"/>
  <c r="AF49" i="56"/>
  <c r="AA50" i="56"/>
  <c r="AF50" i="56" s="1"/>
  <c r="AA51" i="56"/>
  <c r="AE51" i="56"/>
  <c r="O53" i="56"/>
  <c r="O54" i="56" s="1"/>
  <c r="P53" i="56"/>
  <c r="P54" i="56" s="1"/>
  <c r="Q53" i="56"/>
  <c r="Q54" i="56" s="1"/>
  <c r="R53" i="56"/>
  <c r="S53" i="56"/>
  <c r="S54" i="56" s="1"/>
  <c r="T53" i="56"/>
  <c r="T54" i="56" s="1"/>
  <c r="U53" i="56"/>
  <c r="U54" i="56" s="1"/>
  <c r="V53" i="56"/>
  <c r="W53" i="56"/>
  <c r="W54" i="56" s="1"/>
  <c r="X53" i="56"/>
  <c r="X54" i="56" s="1"/>
  <c r="Y53" i="56"/>
  <c r="Y54" i="56" s="1"/>
  <c r="Z53" i="56"/>
  <c r="AD53" i="56"/>
  <c r="AE54" i="56" s="1"/>
  <c r="AG53" i="56"/>
  <c r="R54" i="56"/>
  <c r="V54" i="56"/>
  <c r="Z54" i="56"/>
  <c r="AA55" i="56"/>
  <c r="AB55" i="56" s="1"/>
  <c r="AE55" i="56"/>
  <c r="AA56" i="56"/>
  <c r="AF56" i="56" s="1"/>
  <c r="AE56" i="56"/>
  <c r="AA57" i="56"/>
  <c r="AB57" i="56" s="1"/>
  <c r="AE57" i="56"/>
  <c r="AF57" i="56"/>
  <c r="AA58" i="56"/>
  <c r="AF58" i="56" s="1"/>
  <c r="AE58" i="56"/>
  <c r="AA59" i="56"/>
  <c r="AF59" i="56" s="1"/>
  <c r="AE59" i="56"/>
  <c r="AA60" i="56"/>
  <c r="AF60" i="56" s="1"/>
  <c r="AA61" i="56"/>
  <c r="AB61" i="56" s="1"/>
  <c r="AE61" i="56"/>
  <c r="O63" i="56"/>
  <c r="O64" i="56" s="1"/>
  <c r="P63" i="56"/>
  <c r="P64" i="56" s="1"/>
  <c r="Q63" i="56"/>
  <c r="Q64" i="56" s="1"/>
  <c r="R63" i="56"/>
  <c r="R64" i="56" s="1"/>
  <c r="S63" i="56"/>
  <c r="S64" i="56" s="1"/>
  <c r="T63" i="56"/>
  <c r="T64" i="56" s="1"/>
  <c r="U63" i="56"/>
  <c r="U64" i="56" s="1"/>
  <c r="V63" i="56"/>
  <c r="V64" i="56" s="1"/>
  <c r="W63" i="56"/>
  <c r="W64" i="56" s="1"/>
  <c r="X63" i="56"/>
  <c r="X64" i="56" s="1"/>
  <c r="Y63" i="56"/>
  <c r="Y64" i="56" s="1"/>
  <c r="Z63" i="56"/>
  <c r="AD63" i="56"/>
  <c r="AE64" i="56" s="1"/>
  <c r="AG63" i="56"/>
  <c r="Z64" i="56"/>
  <c r="AA65" i="56"/>
  <c r="AB65" i="56" s="1"/>
  <c r="AE65" i="56"/>
  <c r="AA66" i="56"/>
  <c r="AE66" i="56"/>
  <c r="AA67" i="56"/>
  <c r="AB67" i="56" s="1"/>
  <c r="AE67" i="56"/>
  <c r="AA68" i="56"/>
  <c r="AE68" i="56"/>
  <c r="AA69" i="56"/>
  <c r="AB69" i="56" s="1"/>
  <c r="AE69" i="56"/>
  <c r="AA70" i="56"/>
  <c r="AF70" i="56" s="1"/>
  <c r="AA71" i="56"/>
  <c r="AB71" i="56" s="1"/>
  <c r="AE71" i="56"/>
  <c r="O73" i="56"/>
  <c r="O74" i="56" s="1"/>
  <c r="P73" i="56"/>
  <c r="Q73" i="56"/>
  <c r="Q74" i="56" s="1"/>
  <c r="R73" i="56"/>
  <c r="R74" i="56" s="1"/>
  <c r="S73" i="56"/>
  <c r="S74" i="56" s="1"/>
  <c r="T73" i="56"/>
  <c r="T74" i="56" s="1"/>
  <c r="U73" i="56"/>
  <c r="U74" i="56" s="1"/>
  <c r="V73" i="56"/>
  <c r="V74" i="56" s="1"/>
  <c r="W73" i="56"/>
  <c r="W74" i="56" s="1"/>
  <c r="X73" i="56"/>
  <c r="X74" i="56" s="1"/>
  <c r="Y73" i="56"/>
  <c r="Y74" i="56" s="1"/>
  <c r="Z73" i="56"/>
  <c r="Z74" i="56" s="1"/>
  <c r="AD73" i="56"/>
  <c r="AE74" i="56" s="1"/>
  <c r="AG73" i="56"/>
  <c r="P74" i="56"/>
  <c r="AA75" i="56"/>
  <c r="AB75" i="56" s="1"/>
  <c r="AE75" i="56"/>
  <c r="AF75" i="56"/>
  <c r="AA76" i="56"/>
  <c r="AB76" i="56" s="1"/>
  <c r="AE76" i="56"/>
  <c r="AF76" i="56"/>
  <c r="AA77" i="56"/>
  <c r="AF77" i="56" s="1"/>
  <c r="AE77" i="56"/>
  <c r="AA78" i="56"/>
  <c r="AB78" i="56" s="1"/>
  <c r="AE78" i="56"/>
  <c r="AA79" i="56"/>
  <c r="AF79" i="56" s="1"/>
  <c r="AE79" i="56"/>
  <c r="AA80" i="56"/>
  <c r="AB80" i="56" s="1"/>
  <c r="AE80" i="56"/>
  <c r="O82" i="56"/>
  <c r="O84" i="56" s="1"/>
  <c r="P82" i="56"/>
  <c r="P84" i="56" s="1"/>
  <c r="Q82" i="56"/>
  <c r="Q84" i="56" s="1"/>
  <c r="R82" i="56"/>
  <c r="R84" i="56" s="1"/>
  <c r="S82" i="56"/>
  <c r="S84" i="56" s="1"/>
  <c r="T82" i="56"/>
  <c r="T84" i="56" s="1"/>
  <c r="U82" i="56"/>
  <c r="U84" i="56" s="1"/>
  <c r="V82" i="56"/>
  <c r="V84" i="56" s="1"/>
  <c r="W82" i="56"/>
  <c r="W84" i="56" s="1"/>
  <c r="X82" i="56"/>
  <c r="X84" i="56" s="1"/>
  <c r="Y82" i="56"/>
  <c r="Y84" i="56" s="1"/>
  <c r="Z82" i="56"/>
  <c r="Z84" i="56" s="1"/>
  <c r="AD82" i="56"/>
  <c r="AE84" i="56" s="1"/>
  <c r="AG82" i="56"/>
  <c r="AA83" i="56"/>
  <c r="AF83" i="56" s="1"/>
  <c r="AE83" i="56"/>
  <c r="AA85" i="56"/>
  <c r="AE85" i="56"/>
  <c r="AA86" i="56"/>
  <c r="AF86" i="56" s="1"/>
  <c r="AA87" i="56"/>
  <c r="AF87" i="56" s="1"/>
  <c r="AE87" i="56"/>
  <c r="AA91" i="56"/>
  <c r="AF91" i="56" s="1"/>
  <c r="AA92" i="56"/>
  <c r="AF92" i="56" s="1"/>
  <c r="O93" i="56"/>
  <c r="P93" i="56"/>
  <c r="Q93" i="56"/>
  <c r="R93" i="56"/>
  <c r="S93" i="56"/>
  <c r="T93" i="56"/>
  <c r="U93" i="56"/>
  <c r="V93" i="56"/>
  <c r="W93" i="56"/>
  <c r="X93" i="56"/>
  <c r="Y93" i="56"/>
  <c r="Z93" i="56"/>
  <c r="AD93" i="56"/>
  <c r="AG93" i="56"/>
  <c r="O94" i="56"/>
  <c r="P94" i="56"/>
  <c r="Q94" i="56"/>
  <c r="R94" i="56"/>
  <c r="S94" i="56"/>
  <c r="T94" i="56"/>
  <c r="U94" i="56"/>
  <c r="V94" i="56"/>
  <c r="W94" i="56"/>
  <c r="X94" i="56"/>
  <c r="Y94" i="56"/>
  <c r="Z94" i="56"/>
  <c r="AD94" i="56"/>
  <c r="AG94" i="56"/>
  <c r="AA98" i="56"/>
  <c r="AE98" i="56"/>
  <c r="AA99" i="56"/>
  <c r="AB99" i="56" s="1"/>
  <c r="AE99" i="56"/>
  <c r="AA100" i="56"/>
  <c r="AE100" i="56"/>
  <c r="AA101" i="56"/>
  <c r="AB101" i="56" s="1"/>
  <c r="AE101" i="56"/>
  <c r="AF101" i="56"/>
  <c r="AA102" i="56"/>
  <c r="AE102" i="56"/>
  <c r="AA103" i="56"/>
  <c r="AB103" i="56" s="1"/>
  <c r="AE103" i="56"/>
  <c r="AA106" i="56"/>
  <c r="AE106" i="56"/>
  <c r="AA107" i="56"/>
  <c r="AB107" i="56" s="1"/>
  <c r="AE107" i="56"/>
  <c r="AF107" i="56"/>
  <c r="AA108" i="56"/>
  <c r="AE108" i="56"/>
  <c r="AA109" i="56"/>
  <c r="AB109" i="56" s="1"/>
  <c r="AE109" i="56"/>
  <c r="AA110" i="56"/>
  <c r="AE110" i="56"/>
  <c r="AA111" i="56"/>
  <c r="AB111" i="56" s="1"/>
  <c r="AE111" i="56"/>
  <c r="AA114" i="56"/>
  <c r="AE114" i="56"/>
  <c r="AA115" i="56"/>
  <c r="AB115" i="56" s="1"/>
  <c r="AE115" i="56"/>
  <c r="AA116" i="56"/>
  <c r="AE116" i="56"/>
  <c r="AA117" i="56"/>
  <c r="AB117" i="56" s="1"/>
  <c r="AE117" i="56"/>
  <c r="AA118" i="56"/>
  <c r="AE118" i="56"/>
  <c r="AA119" i="56"/>
  <c r="AB119" i="56" s="1"/>
  <c r="AE119" i="56"/>
  <c r="O121" i="56"/>
  <c r="P121" i="56"/>
  <c r="Q121" i="56"/>
  <c r="R121" i="56"/>
  <c r="S121" i="56"/>
  <c r="T121" i="56"/>
  <c r="T126" i="56" s="1"/>
  <c r="T127" i="56" s="1"/>
  <c r="U121" i="56"/>
  <c r="V121" i="56"/>
  <c r="W121" i="56"/>
  <c r="X121" i="56"/>
  <c r="Y121" i="56"/>
  <c r="Z121" i="56"/>
  <c r="AD121" i="56"/>
  <c r="AE121" i="56" s="1"/>
  <c r="AG121" i="56"/>
  <c r="O122" i="56"/>
  <c r="P122" i="56"/>
  <c r="Q122" i="56"/>
  <c r="R122" i="56"/>
  <c r="S122" i="56"/>
  <c r="T122" i="56"/>
  <c r="U122" i="56"/>
  <c r="V122" i="56"/>
  <c r="W122" i="56"/>
  <c r="X122" i="56"/>
  <c r="Y122" i="56"/>
  <c r="Z122" i="56"/>
  <c r="AD122" i="56"/>
  <c r="AE122" i="56" s="1"/>
  <c r="AG122" i="56"/>
  <c r="O123" i="56"/>
  <c r="P123" i="56"/>
  <c r="Q123" i="56"/>
  <c r="R123" i="56"/>
  <c r="S123" i="56"/>
  <c r="T123" i="56"/>
  <c r="U123" i="56"/>
  <c r="V123" i="56"/>
  <c r="W123" i="56"/>
  <c r="X123" i="56"/>
  <c r="Y123" i="56"/>
  <c r="Z123" i="56"/>
  <c r="AD123" i="56"/>
  <c r="AE123" i="56" s="1"/>
  <c r="AG123" i="56"/>
  <c r="O124" i="56"/>
  <c r="P124" i="56"/>
  <c r="Q124" i="56"/>
  <c r="R124" i="56"/>
  <c r="S124" i="56"/>
  <c r="T124" i="56"/>
  <c r="U124" i="56"/>
  <c r="V124" i="56"/>
  <c r="W124" i="56"/>
  <c r="X124" i="56"/>
  <c r="Y124" i="56"/>
  <c r="Z124" i="56"/>
  <c r="AD124" i="56"/>
  <c r="AE124" i="56" s="1"/>
  <c r="AG124" i="56"/>
  <c r="O125" i="56"/>
  <c r="P125" i="56"/>
  <c r="Q125" i="56"/>
  <c r="R125" i="56"/>
  <c r="S125" i="56"/>
  <c r="T125" i="56"/>
  <c r="U125" i="56"/>
  <c r="V125" i="56"/>
  <c r="W125" i="56"/>
  <c r="X125" i="56"/>
  <c r="Y125" i="56"/>
  <c r="Z125" i="56"/>
  <c r="AD125" i="56"/>
  <c r="AE125" i="56" s="1"/>
  <c r="AG125" i="56"/>
  <c r="AA130" i="56"/>
  <c r="AB130" i="56" s="1"/>
  <c r="AE130" i="56"/>
  <c r="AF131" i="56"/>
  <c r="AA132" i="56"/>
  <c r="AE132" i="56"/>
  <c r="AF133" i="56"/>
  <c r="AA134" i="56"/>
  <c r="AB134" i="56" s="1"/>
  <c r="AE134" i="56"/>
  <c r="AF135" i="56"/>
  <c r="AA136" i="56"/>
  <c r="AB136" i="56" s="1"/>
  <c r="AE136" i="56"/>
  <c r="AF137" i="56"/>
  <c r="AA138" i="56"/>
  <c r="AF138" i="56" s="1"/>
  <c r="AE138" i="56"/>
  <c r="AF139" i="56"/>
  <c r="AA140" i="56"/>
  <c r="AB140" i="56" s="1"/>
  <c r="AE140" i="56"/>
  <c r="AE85" i="52"/>
  <c r="AE87" i="52"/>
  <c r="AE88" i="52"/>
  <c r="AE62" i="52"/>
  <c r="AE63" i="52"/>
  <c r="AE64" i="52"/>
  <c r="AE65" i="52"/>
  <c r="AE66" i="52"/>
  <c r="AE67" i="52"/>
  <c r="AE68" i="52"/>
  <c r="AE69" i="52"/>
  <c r="AE70"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35" i="55"/>
  <c r="AE35" i="55"/>
  <c r="AA36" i="55"/>
  <c r="AF36" i="55" s="1"/>
  <c r="AE36" i="55"/>
  <c r="AA37" i="55"/>
  <c r="AE37" i="55"/>
  <c r="AA38" i="55"/>
  <c r="AB38" i="55" s="1"/>
  <c r="AE38" i="55"/>
  <c r="AA39" i="55"/>
  <c r="AE39" i="55"/>
  <c r="AA40" i="55"/>
  <c r="AF40" i="55" s="1"/>
  <c r="AA41" i="55"/>
  <c r="AE41" i="55"/>
  <c r="O43" i="55"/>
  <c r="O44" i="55" s="1"/>
  <c r="P43" i="55"/>
  <c r="P44" i="55" s="1"/>
  <c r="Q43" i="55"/>
  <c r="Q44" i="55" s="1"/>
  <c r="R43" i="55"/>
  <c r="R44" i="55" s="1"/>
  <c r="S43" i="55"/>
  <c r="S44" i="55" s="1"/>
  <c r="T43" i="55"/>
  <c r="T44" i="55" s="1"/>
  <c r="U43" i="55"/>
  <c r="U44" i="55" s="1"/>
  <c r="V43" i="55"/>
  <c r="W43" i="55"/>
  <c r="W44" i="55" s="1"/>
  <c r="X43" i="55"/>
  <c r="X44" i="55" s="1"/>
  <c r="Y43" i="55"/>
  <c r="Y44" i="55" s="1"/>
  <c r="Z43" i="55"/>
  <c r="Z44" i="55" s="1"/>
  <c r="AD43" i="55"/>
  <c r="AE44" i="55" s="1"/>
  <c r="AG43" i="55"/>
  <c r="V44" i="55"/>
  <c r="AA45" i="55"/>
  <c r="AF45" i="55" s="1"/>
  <c r="AA46" i="55"/>
  <c r="AF46" i="55" s="1"/>
  <c r="AA47" i="55"/>
  <c r="AF47" i="55" s="1"/>
  <c r="AA48" i="55"/>
  <c r="AF48" i="55" s="1"/>
  <c r="AA49" i="55"/>
  <c r="AA50" i="55"/>
  <c r="AF50" i="55" s="1"/>
  <c r="AA51" i="55"/>
  <c r="AE51" i="55"/>
  <c r="O53" i="55"/>
  <c r="O54" i="55" s="1"/>
  <c r="P53" i="55"/>
  <c r="P54" i="55" s="1"/>
  <c r="Q53" i="55"/>
  <c r="Q54" i="55" s="1"/>
  <c r="R53" i="55"/>
  <c r="R54" i="55" s="1"/>
  <c r="S53" i="55"/>
  <c r="S54" i="55" s="1"/>
  <c r="T53" i="55"/>
  <c r="T54" i="55" s="1"/>
  <c r="U53" i="55"/>
  <c r="U54" i="55" s="1"/>
  <c r="V53" i="55"/>
  <c r="V54" i="55" s="1"/>
  <c r="W53" i="55"/>
  <c r="W54" i="55" s="1"/>
  <c r="X53" i="55"/>
  <c r="X54" i="55" s="1"/>
  <c r="Y53" i="55"/>
  <c r="Z53" i="55"/>
  <c r="Z54" i="55" s="1"/>
  <c r="AD53" i="55"/>
  <c r="AE54" i="55" s="1"/>
  <c r="AG53" i="55"/>
  <c r="Y54" i="55"/>
  <c r="AA55" i="55"/>
  <c r="AF55" i="55" s="1"/>
  <c r="AA56" i="55"/>
  <c r="AA57" i="55"/>
  <c r="AF57" i="55" s="1"/>
  <c r="AA58" i="55"/>
  <c r="AA59" i="55"/>
  <c r="AF59" i="55" s="1"/>
  <c r="AA60" i="55"/>
  <c r="AF60" i="55" s="1"/>
  <c r="AA61" i="55"/>
  <c r="AA63" i="55" s="1"/>
  <c r="AE61" i="55"/>
  <c r="O63" i="55"/>
  <c r="O64" i="55" s="1"/>
  <c r="P63" i="55"/>
  <c r="Q63" i="55"/>
  <c r="Q64" i="55" s="1"/>
  <c r="R63" i="55"/>
  <c r="R64" i="55" s="1"/>
  <c r="S63" i="55"/>
  <c r="S64" i="55" s="1"/>
  <c r="T63" i="55"/>
  <c r="T64" i="55" s="1"/>
  <c r="U63" i="55"/>
  <c r="U64" i="55" s="1"/>
  <c r="V63" i="55"/>
  <c r="V64" i="55" s="1"/>
  <c r="W63" i="55"/>
  <c r="W64" i="55" s="1"/>
  <c r="X63" i="55"/>
  <c r="X64" i="55" s="1"/>
  <c r="Y63" i="55"/>
  <c r="Y64" i="55" s="1"/>
  <c r="Z63" i="55"/>
  <c r="AD63" i="55"/>
  <c r="AE64" i="55" s="1"/>
  <c r="AG63" i="55"/>
  <c r="P64" i="55"/>
  <c r="Z64" i="55"/>
  <c r="AA65" i="55"/>
  <c r="AB65" i="55" s="1"/>
  <c r="AE65" i="55"/>
  <c r="AF65" i="55"/>
  <c r="AA66" i="55"/>
  <c r="AB66" i="55" s="1"/>
  <c r="AE66" i="55"/>
  <c r="AA67" i="55"/>
  <c r="AF67" i="55" s="1"/>
  <c r="AE67" i="55"/>
  <c r="AA68" i="55"/>
  <c r="AB68" i="55" s="1"/>
  <c r="AE68" i="55"/>
  <c r="AA69" i="55"/>
  <c r="AE69" i="55"/>
  <c r="AA70" i="55"/>
  <c r="AF70" i="55" s="1"/>
  <c r="AA71" i="55"/>
  <c r="AB71" i="55" s="1"/>
  <c r="AE71" i="55"/>
  <c r="O73" i="55"/>
  <c r="O74" i="55" s="1"/>
  <c r="P73" i="55"/>
  <c r="P74" i="55" s="1"/>
  <c r="Q73" i="55"/>
  <c r="Q74" i="55" s="1"/>
  <c r="R73" i="55"/>
  <c r="R74" i="55" s="1"/>
  <c r="S73" i="55"/>
  <c r="S74" i="55" s="1"/>
  <c r="T73" i="55"/>
  <c r="T74" i="55" s="1"/>
  <c r="U73" i="55"/>
  <c r="V73" i="55"/>
  <c r="V74" i="55" s="1"/>
  <c r="W73" i="55"/>
  <c r="W74" i="55" s="1"/>
  <c r="X73" i="55"/>
  <c r="Y73" i="55"/>
  <c r="Y74" i="55" s="1"/>
  <c r="Z73" i="55"/>
  <c r="Z74" i="55" s="1"/>
  <c r="AD73" i="55"/>
  <c r="AE74" i="55" s="1"/>
  <c r="AG73" i="55"/>
  <c r="U74" i="55"/>
  <c r="X74" i="55"/>
  <c r="AA75" i="55"/>
  <c r="AF75" i="55" s="1"/>
  <c r="AE75" i="55"/>
  <c r="AA76" i="55"/>
  <c r="AB76" i="55" s="1"/>
  <c r="AE76" i="55"/>
  <c r="AA77" i="55"/>
  <c r="AF77" i="55" s="1"/>
  <c r="AE77" i="55"/>
  <c r="AA78" i="55"/>
  <c r="AB78" i="55" s="1"/>
  <c r="AE78" i="55"/>
  <c r="AA79" i="55"/>
  <c r="AF79" i="55" s="1"/>
  <c r="AE79" i="55"/>
  <c r="AA80" i="55"/>
  <c r="AB80" i="55" s="1"/>
  <c r="AE80" i="55"/>
  <c r="AA81" i="55"/>
  <c r="AF81" i="55" s="1"/>
  <c r="O82" i="55"/>
  <c r="O84" i="55" s="1"/>
  <c r="P82" i="55"/>
  <c r="P84" i="55" s="1"/>
  <c r="Q82" i="55"/>
  <c r="Q84" i="55" s="1"/>
  <c r="R82" i="55"/>
  <c r="R84" i="55" s="1"/>
  <c r="S82" i="55"/>
  <c r="S84" i="55" s="1"/>
  <c r="T82" i="55"/>
  <c r="U82" i="55"/>
  <c r="U84" i="55" s="1"/>
  <c r="V82" i="55"/>
  <c r="V84" i="55" s="1"/>
  <c r="W82" i="55"/>
  <c r="W84" i="55" s="1"/>
  <c r="X82" i="55"/>
  <c r="X84" i="55" s="1"/>
  <c r="Y82" i="55"/>
  <c r="Y84" i="55" s="1"/>
  <c r="Z82" i="55"/>
  <c r="AD82" i="55"/>
  <c r="AE84" i="55" s="1"/>
  <c r="AG82" i="55"/>
  <c r="AA83" i="55"/>
  <c r="AF83" i="55" s="1"/>
  <c r="AE83" i="55"/>
  <c r="T84" i="55"/>
  <c r="Z84" i="55"/>
  <c r="AA85" i="55"/>
  <c r="AA86" i="55"/>
  <c r="AF86" i="55"/>
  <c r="AA87" i="55"/>
  <c r="AF87" i="55" s="1"/>
  <c r="AA91" i="55"/>
  <c r="AF91" i="55" s="1"/>
  <c r="AA92" i="55"/>
  <c r="AF92" i="55" s="1"/>
  <c r="O93" i="55"/>
  <c r="P93" i="55"/>
  <c r="Q93" i="55"/>
  <c r="R93" i="55"/>
  <c r="S93" i="55"/>
  <c r="T93" i="55"/>
  <c r="U93" i="55"/>
  <c r="V93" i="55"/>
  <c r="W93" i="55"/>
  <c r="X93" i="55"/>
  <c r="Y93" i="55"/>
  <c r="Z93" i="55"/>
  <c r="AD93" i="55"/>
  <c r="AG93" i="55"/>
  <c r="O94" i="55"/>
  <c r="P94" i="55"/>
  <c r="Q94" i="55"/>
  <c r="R94" i="55"/>
  <c r="S94" i="55"/>
  <c r="T94" i="55"/>
  <c r="U94" i="55"/>
  <c r="V94" i="55"/>
  <c r="W94" i="55"/>
  <c r="X94" i="55"/>
  <c r="Y94" i="55"/>
  <c r="Z94" i="55"/>
  <c r="AD94" i="55"/>
  <c r="AG94" i="55"/>
  <c r="AA98" i="55"/>
  <c r="AE98" i="55"/>
  <c r="AA99" i="55"/>
  <c r="AF99" i="55" s="1"/>
  <c r="AA100" i="55"/>
  <c r="AA101" i="55"/>
  <c r="AB101" i="55" s="1"/>
  <c r="AE101" i="55"/>
  <c r="AA102" i="55"/>
  <c r="AB102" i="55" s="1"/>
  <c r="AE102" i="55"/>
  <c r="AA103" i="55"/>
  <c r="AF103" i="55" s="1"/>
  <c r="AA106" i="55"/>
  <c r="AB106" i="55" s="1"/>
  <c r="AE106" i="55"/>
  <c r="AA107" i="55"/>
  <c r="AF107" i="55" s="1"/>
  <c r="AA108" i="55"/>
  <c r="AA109" i="55"/>
  <c r="AF109" i="55" s="1"/>
  <c r="AE109" i="55"/>
  <c r="AA110" i="55"/>
  <c r="AB110" i="55" s="1"/>
  <c r="AE110" i="55"/>
  <c r="AA111" i="55"/>
  <c r="AF111" i="55" s="1"/>
  <c r="AA114" i="55"/>
  <c r="AB114" i="55" s="1"/>
  <c r="AE114" i="55"/>
  <c r="AA115" i="55"/>
  <c r="AF115" i="55" s="1"/>
  <c r="AA116" i="55"/>
  <c r="AA117" i="55"/>
  <c r="AB117" i="55" s="1"/>
  <c r="AE117" i="55"/>
  <c r="AA118" i="55"/>
  <c r="AB118" i="55" s="1"/>
  <c r="AE118" i="55"/>
  <c r="AA119" i="55"/>
  <c r="AF119" i="55" s="1"/>
  <c r="O121" i="55"/>
  <c r="P121" i="55"/>
  <c r="Q121" i="55"/>
  <c r="R121" i="55"/>
  <c r="S121" i="55"/>
  <c r="T121" i="55"/>
  <c r="U121" i="55"/>
  <c r="V121" i="55"/>
  <c r="W121" i="55"/>
  <c r="X121" i="55"/>
  <c r="Y121" i="55"/>
  <c r="Z121" i="55"/>
  <c r="AD121" i="55"/>
  <c r="AE121" i="55" s="1"/>
  <c r="AG121" i="55"/>
  <c r="O122" i="55"/>
  <c r="P122" i="55"/>
  <c r="Q122" i="55"/>
  <c r="R122" i="55"/>
  <c r="S122" i="55"/>
  <c r="T122" i="55"/>
  <c r="U122" i="55"/>
  <c r="V122" i="55"/>
  <c r="W122" i="55"/>
  <c r="X122" i="55"/>
  <c r="Y122" i="55"/>
  <c r="Z122" i="55"/>
  <c r="AD122" i="55"/>
  <c r="AG122" i="55"/>
  <c r="O123" i="55"/>
  <c r="P123" i="55"/>
  <c r="Q123" i="55"/>
  <c r="R123" i="55"/>
  <c r="S123" i="55"/>
  <c r="T123" i="55"/>
  <c r="U123" i="55"/>
  <c r="V123" i="55"/>
  <c r="W123" i="55"/>
  <c r="X123" i="55"/>
  <c r="Y123" i="55"/>
  <c r="Z123" i="55"/>
  <c r="AD123" i="55"/>
  <c r="AG123" i="55"/>
  <c r="O124" i="55"/>
  <c r="P124" i="55"/>
  <c r="Q124" i="55"/>
  <c r="R124" i="55"/>
  <c r="S124" i="55"/>
  <c r="T124" i="55"/>
  <c r="U124" i="55"/>
  <c r="V124" i="55"/>
  <c r="W124" i="55"/>
  <c r="X124" i="55"/>
  <c r="Y124" i="55"/>
  <c r="Z124" i="55"/>
  <c r="AD124" i="55"/>
  <c r="AE124" i="55" s="1"/>
  <c r="AG124" i="55"/>
  <c r="O125" i="55"/>
  <c r="P125" i="55"/>
  <c r="Q125" i="55"/>
  <c r="R125" i="55"/>
  <c r="S125" i="55"/>
  <c r="T125" i="55"/>
  <c r="U125" i="55"/>
  <c r="V125" i="55"/>
  <c r="W125" i="55"/>
  <c r="X125" i="55"/>
  <c r="Y125" i="55"/>
  <c r="Z125" i="55"/>
  <c r="AD125" i="55"/>
  <c r="AE125" i="55"/>
  <c r="AG125" i="55"/>
  <c r="AA130" i="55"/>
  <c r="AF130" i="55" s="1"/>
  <c r="AF131" i="55"/>
  <c r="AA132" i="55"/>
  <c r="AF133" i="55"/>
  <c r="AA134" i="55"/>
  <c r="AF134" i="55" s="1"/>
  <c r="AF135" i="55"/>
  <c r="AA136" i="55"/>
  <c r="AF136" i="55" s="1"/>
  <c r="AF137" i="55"/>
  <c r="AA138" i="55"/>
  <c r="AF139" i="55"/>
  <c r="AA140" i="55"/>
  <c r="AF140" i="55" s="1"/>
  <c r="AE88" i="51"/>
  <c r="AE89" i="51"/>
  <c r="AE90" i="51"/>
  <c r="AE92" i="51"/>
  <c r="AE93" i="51"/>
  <c r="AE94" i="51"/>
  <c r="AE65" i="51"/>
  <c r="AE66" i="51"/>
  <c r="AE67" i="51"/>
  <c r="AE68" i="51"/>
  <c r="AE69" i="51"/>
  <c r="AE35" i="51"/>
  <c r="AE38" i="51"/>
  <c r="AE39" i="51"/>
  <c r="AE41" i="51"/>
  <c r="AE42" i="51"/>
  <c r="AE45" i="51"/>
  <c r="AE46" i="51"/>
  <c r="AE48" i="51"/>
  <c r="AE50" i="51"/>
  <c r="AE51" i="51"/>
  <c r="AE52" i="51"/>
  <c r="AE53" i="51"/>
  <c r="AE56" i="51"/>
  <c r="AA35" i="39"/>
  <c r="AF35" i="39" s="1"/>
  <c r="AA36" i="39"/>
  <c r="AA37" i="39"/>
  <c r="AF37" i="39" s="1"/>
  <c r="AA38" i="39"/>
  <c r="AA39" i="39"/>
  <c r="AF39" i="39" s="1"/>
  <c r="AA40" i="39"/>
  <c r="AF40" i="39" s="1"/>
  <c r="AA41" i="39"/>
  <c r="AF41" i="39" s="1"/>
  <c r="AE41" i="39"/>
  <c r="O43" i="39"/>
  <c r="P43" i="39"/>
  <c r="P44" i="39" s="1"/>
  <c r="Q43" i="39"/>
  <c r="Q44" i="39" s="1"/>
  <c r="R43" i="39"/>
  <c r="S43" i="39"/>
  <c r="S44" i="39" s="1"/>
  <c r="T43" i="39"/>
  <c r="T44" i="39" s="1"/>
  <c r="U43" i="39"/>
  <c r="U44" i="39" s="1"/>
  <c r="V43" i="39"/>
  <c r="V44" i="39" s="1"/>
  <c r="W43" i="39"/>
  <c r="X43" i="39"/>
  <c r="Y43" i="39"/>
  <c r="Y44" i="39" s="1"/>
  <c r="Z43" i="39"/>
  <c r="Z44" i="39" s="1"/>
  <c r="AD43" i="39"/>
  <c r="AE44" i="39" s="1"/>
  <c r="AG43" i="39"/>
  <c r="O44" i="39"/>
  <c r="R44" i="39"/>
  <c r="W44" i="39"/>
  <c r="X44" i="39"/>
  <c r="AA45" i="39"/>
  <c r="AF45" i="39" s="1"/>
  <c r="AE45" i="39"/>
  <c r="AA46" i="39"/>
  <c r="AF46" i="39" s="1"/>
  <c r="AE46" i="39"/>
  <c r="AA47" i="39"/>
  <c r="AF47" i="39" s="1"/>
  <c r="AE47" i="39"/>
  <c r="AA48" i="39"/>
  <c r="AF48" i="39" s="1"/>
  <c r="AE48" i="39"/>
  <c r="AA49" i="39"/>
  <c r="AF49" i="39" s="1"/>
  <c r="AE49" i="39"/>
  <c r="AA50" i="39"/>
  <c r="AF50" i="39" s="1"/>
  <c r="AA51" i="39"/>
  <c r="AB51" i="39" s="1"/>
  <c r="AE51" i="39"/>
  <c r="AA52" i="39"/>
  <c r="AF52" i="39" s="1"/>
  <c r="O53" i="39"/>
  <c r="O54" i="39" s="1"/>
  <c r="P53" i="39"/>
  <c r="P54" i="39" s="1"/>
  <c r="Q53" i="39"/>
  <c r="Q54" i="39" s="1"/>
  <c r="R53" i="39"/>
  <c r="R54" i="39" s="1"/>
  <c r="S53" i="39"/>
  <c r="S54" i="39" s="1"/>
  <c r="T53" i="39"/>
  <c r="T54" i="39" s="1"/>
  <c r="U53" i="39"/>
  <c r="U54" i="39" s="1"/>
  <c r="V53" i="39"/>
  <c r="V54" i="39" s="1"/>
  <c r="W53" i="39"/>
  <c r="W54" i="39" s="1"/>
  <c r="X53" i="39"/>
  <c r="X54" i="39" s="1"/>
  <c r="Y53" i="39"/>
  <c r="Y54" i="39" s="1"/>
  <c r="Z53" i="39"/>
  <c r="Z54" i="39" s="1"/>
  <c r="AD53" i="39"/>
  <c r="AE54" i="39" s="1"/>
  <c r="AG53" i="39"/>
  <c r="AA55" i="39"/>
  <c r="AF55" i="39" s="1"/>
  <c r="AA56" i="39"/>
  <c r="AF56" i="39" s="1"/>
  <c r="AA57" i="39"/>
  <c r="AF57" i="39" s="1"/>
  <c r="AA58" i="39"/>
  <c r="AF58" i="39" s="1"/>
  <c r="AA59" i="39"/>
  <c r="AA60" i="39"/>
  <c r="AF60" i="39" s="1"/>
  <c r="AA61" i="39"/>
  <c r="AE61" i="39"/>
  <c r="AF61" i="39"/>
  <c r="O63" i="39"/>
  <c r="O64" i="39" s="1"/>
  <c r="P63" i="39"/>
  <c r="P64" i="39" s="1"/>
  <c r="Q63" i="39"/>
  <c r="Q64" i="39" s="1"/>
  <c r="R63" i="39"/>
  <c r="R64" i="39" s="1"/>
  <c r="S63" i="39"/>
  <c r="S64" i="39" s="1"/>
  <c r="T63" i="39"/>
  <c r="T64" i="39" s="1"/>
  <c r="U63" i="39"/>
  <c r="V63" i="39"/>
  <c r="V64" i="39" s="1"/>
  <c r="W63" i="39"/>
  <c r="W64" i="39" s="1"/>
  <c r="X63" i="39"/>
  <c r="Y63" i="39"/>
  <c r="Y64" i="39" s="1"/>
  <c r="Z63" i="39"/>
  <c r="Z64" i="39" s="1"/>
  <c r="AA63" i="39"/>
  <c r="AD63" i="39"/>
  <c r="AE64" i="39" s="1"/>
  <c r="AG63" i="39"/>
  <c r="U64" i="39"/>
  <c r="X64" i="39"/>
  <c r="AA65" i="39"/>
  <c r="AE65" i="39"/>
  <c r="AA66" i="39"/>
  <c r="AB66" i="39" s="1"/>
  <c r="AE66" i="39"/>
  <c r="AA67" i="39"/>
  <c r="AE67" i="39"/>
  <c r="AA68" i="39"/>
  <c r="AB68" i="39" s="1"/>
  <c r="AE68" i="39"/>
  <c r="AA69" i="39"/>
  <c r="AE69" i="39"/>
  <c r="AA70" i="39"/>
  <c r="AF70" i="39" s="1"/>
  <c r="AA71" i="39"/>
  <c r="AF71" i="39" s="1"/>
  <c r="AE71" i="39"/>
  <c r="O73" i="39"/>
  <c r="O74" i="39" s="1"/>
  <c r="P73" i="39"/>
  <c r="P74" i="39" s="1"/>
  <c r="Q73" i="39"/>
  <c r="Q74" i="39" s="1"/>
  <c r="R73" i="39"/>
  <c r="R74" i="39" s="1"/>
  <c r="S73" i="39"/>
  <c r="S74" i="39" s="1"/>
  <c r="T73" i="39"/>
  <c r="T74" i="39" s="1"/>
  <c r="U73" i="39"/>
  <c r="U74" i="39" s="1"/>
  <c r="V73" i="39"/>
  <c r="V74" i="39" s="1"/>
  <c r="W73" i="39"/>
  <c r="W74" i="39" s="1"/>
  <c r="X73" i="39"/>
  <c r="X74" i="39" s="1"/>
  <c r="Y73" i="39"/>
  <c r="Y74" i="39" s="1"/>
  <c r="Z73" i="39"/>
  <c r="AD73" i="39"/>
  <c r="AE74" i="39" s="1"/>
  <c r="AG73" i="39"/>
  <c r="Z74" i="39"/>
  <c r="AA75" i="39"/>
  <c r="AB75" i="39" s="1"/>
  <c r="AE75" i="39"/>
  <c r="AA76" i="39"/>
  <c r="AB76" i="39" s="1"/>
  <c r="AE76" i="39"/>
  <c r="AA77" i="39"/>
  <c r="AB77" i="39" s="1"/>
  <c r="AE77" i="39"/>
  <c r="AA78" i="39"/>
  <c r="AF78" i="39" s="1"/>
  <c r="AE78" i="39"/>
  <c r="AA79" i="39"/>
  <c r="AB79" i="39" s="1"/>
  <c r="AE79" i="39"/>
  <c r="AA80" i="39"/>
  <c r="AB80" i="39" s="1"/>
  <c r="AE80" i="39"/>
  <c r="O82" i="39"/>
  <c r="P82" i="39"/>
  <c r="P84" i="39" s="1"/>
  <c r="Q82" i="39"/>
  <c r="Q84" i="39" s="1"/>
  <c r="R82" i="39"/>
  <c r="R84" i="39" s="1"/>
  <c r="S82" i="39"/>
  <c r="S84" i="39" s="1"/>
  <c r="T82" i="39"/>
  <c r="T84" i="39" s="1"/>
  <c r="U82" i="39"/>
  <c r="U84" i="39" s="1"/>
  <c r="V82" i="39"/>
  <c r="V84" i="39" s="1"/>
  <c r="W82" i="39"/>
  <c r="W84" i="39" s="1"/>
  <c r="X82" i="39"/>
  <c r="X84" i="39" s="1"/>
  <c r="Y82" i="39"/>
  <c r="Y84" i="39" s="1"/>
  <c r="Z82" i="39"/>
  <c r="Z84" i="39" s="1"/>
  <c r="AD82" i="39"/>
  <c r="AE84" i="39" s="1"/>
  <c r="AG82" i="39"/>
  <c r="AA83" i="39"/>
  <c r="AE83" i="39"/>
  <c r="O84" i="39"/>
  <c r="AA85" i="39"/>
  <c r="AF85" i="39" s="1"/>
  <c r="AA86" i="39"/>
  <c r="AF86" i="39" s="1"/>
  <c r="AA87" i="39"/>
  <c r="AA94" i="39" s="1"/>
  <c r="AA88" i="39"/>
  <c r="AF88" i="39" s="1"/>
  <c r="AA91" i="39"/>
  <c r="AF91" i="39" s="1"/>
  <c r="AA92" i="39"/>
  <c r="AF92" i="39" s="1"/>
  <c r="O93" i="39"/>
  <c r="P93" i="39"/>
  <c r="Q93" i="39"/>
  <c r="R93" i="39"/>
  <c r="S93" i="39"/>
  <c r="T93" i="39"/>
  <c r="U93" i="39"/>
  <c r="V93" i="39"/>
  <c r="W93" i="39"/>
  <c r="X93" i="39"/>
  <c r="Y93" i="39"/>
  <c r="Z93" i="39"/>
  <c r="AD93" i="39"/>
  <c r="AG93" i="39"/>
  <c r="O94" i="39"/>
  <c r="P94" i="39"/>
  <c r="Q94" i="39"/>
  <c r="R94" i="39"/>
  <c r="S94" i="39"/>
  <c r="T94" i="39"/>
  <c r="U94" i="39"/>
  <c r="V94" i="39"/>
  <c r="W94" i="39"/>
  <c r="X94" i="39"/>
  <c r="Y94" i="39"/>
  <c r="Z94" i="39"/>
  <c r="AD94" i="39"/>
  <c r="AG94" i="39"/>
  <c r="AA98" i="39"/>
  <c r="AF98" i="39" s="1"/>
  <c r="AA99" i="39"/>
  <c r="AF99" i="39" s="1"/>
  <c r="AE99" i="39"/>
  <c r="AA100" i="39"/>
  <c r="AF100" i="39"/>
  <c r="AA101" i="39"/>
  <c r="AF101" i="39" s="1"/>
  <c r="AE101" i="39"/>
  <c r="AA102" i="39"/>
  <c r="AB102" i="39" s="1"/>
  <c r="AE102" i="39"/>
  <c r="AA103" i="39"/>
  <c r="AF103" i="39" s="1"/>
  <c r="AA106" i="39"/>
  <c r="AA107" i="39"/>
  <c r="AB107" i="39" s="1"/>
  <c r="AE107" i="39"/>
  <c r="AA108" i="39"/>
  <c r="AF108" i="39" s="1"/>
  <c r="AA109" i="39"/>
  <c r="AF109" i="39" s="1"/>
  <c r="AB109" i="39"/>
  <c r="AE109" i="39"/>
  <c r="AA110" i="39"/>
  <c r="AF110" i="39" s="1"/>
  <c r="AE110" i="39"/>
  <c r="AA111" i="39"/>
  <c r="AF111" i="39" s="1"/>
  <c r="AA114" i="39"/>
  <c r="AF114" i="39" s="1"/>
  <c r="AA115" i="39"/>
  <c r="AF115" i="39" s="1"/>
  <c r="AB115" i="39"/>
  <c r="AE115" i="39"/>
  <c r="AA116" i="39"/>
  <c r="AF116" i="39" s="1"/>
  <c r="AA117" i="39"/>
  <c r="AF117" i="39" s="1"/>
  <c r="AE117" i="39"/>
  <c r="AA118" i="39"/>
  <c r="AB118" i="39" s="1"/>
  <c r="AE118" i="39"/>
  <c r="AF118" i="39"/>
  <c r="AA119" i="39"/>
  <c r="AF119" i="39" s="1"/>
  <c r="O121" i="39"/>
  <c r="P121" i="39"/>
  <c r="Q121" i="39"/>
  <c r="R121" i="39"/>
  <c r="S121" i="39"/>
  <c r="T121" i="39"/>
  <c r="U121" i="39"/>
  <c r="V121" i="39"/>
  <c r="W121" i="39"/>
  <c r="X121" i="39"/>
  <c r="Y121" i="39"/>
  <c r="Z121" i="39"/>
  <c r="AD121" i="39"/>
  <c r="AG121" i="39"/>
  <c r="O122" i="39"/>
  <c r="P122" i="39"/>
  <c r="Q122" i="39"/>
  <c r="R122" i="39"/>
  <c r="S122" i="39"/>
  <c r="T122" i="39"/>
  <c r="U122" i="39"/>
  <c r="V122" i="39"/>
  <c r="W122" i="39"/>
  <c r="X122" i="39"/>
  <c r="Y122" i="39"/>
  <c r="Z122" i="39"/>
  <c r="AD122" i="39"/>
  <c r="AE122" i="39" s="1"/>
  <c r="AG122" i="39"/>
  <c r="O123" i="39"/>
  <c r="P123" i="39"/>
  <c r="Q123" i="39"/>
  <c r="R123" i="39"/>
  <c r="S123" i="39"/>
  <c r="T123" i="39"/>
  <c r="U123" i="39"/>
  <c r="V123" i="39"/>
  <c r="W123" i="39"/>
  <c r="X123" i="39"/>
  <c r="Y123" i="39"/>
  <c r="Z123" i="39"/>
  <c r="AD123" i="39"/>
  <c r="AG123" i="39"/>
  <c r="O124" i="39"/>
  <c r="P124" i="39"/>
  <c r="Q124" i="39"/>
  <c r="R124" i="39"/>
  <c r="S124" i="39"/>
  <c r="T124" i="39"/>
  <c r="U124" i="39"/>
  <c r="V124" i="39"/>
  <c r="W124" i="39"/>
  <c r="X124" i="39"/>
  <c r="Y124" i="39"/>
  <c r="Z124" i="39"/>
  <c r="AD124" i="39"/>
  <c r="AE124" i="39" s="1"/>
  <c r="AG124" i="39"/>
  <c r="O125" i="39"/>
  <c r="P125" i="39"/>
  <c r="Q125" i="39"/>
  <c r="R125" i="39"/>
  <c r="S125" i="39"/>
  <c r="T125" i="39"/>
  <c r="U125" i="39"/>
  <c r="V125" i="39"/>
  <c r="W125" i="39"/>
  <c r="X125" i="39"/>
  <c r="Y125" i="39"/>
  <c r="Z125" i="39"/>
  <c r="AD125" i="39"/>
  <c r="AE125" i="39" s="1"/>
  <c r="AG125" i="39"/>
  <c r="AA130" i="39"/>
  <c r="AF131" i="39"/>
  <c r="AA132" i="39"/>
  <c r="AF132" i="39" s="1"/>
  <c r="AF133" i="39"/>
  <c r="AA134" i="39"/>
  <c r="AF134" i="39" s="1"/>
  <c r="AF135" i="39"/>
  <c r="AA136" i="39"/>
  <c r="AF136" i="39" s="1"/>
  <c r="AF137" i="39"/>
  <c r="AA138" i="39"/>
  <c r="AF138" i="39" s="1"/>
  <c r="AF139" i="39"/>
  <c r="AA140" i="39"/>
  <c r="AF140" i="39" s="1"/>
  <c r="AE93" i="9"/>
  <c r="AE94" i="9"/>
  <c r="AE99" i="9"/>
  <c r="AE115" i="9"/>
  <c r="AE118" i="9"/>
  <c r="AE65" i="9"/>
  <c r="AE66" i="9"/>
  <c r="AE67" i="9"/>
  <c r="AE68" i="9"/>
  <c r="AE69" i="9"/>
  <c r="AE36" i="9"/>
  <c r="AE38" i="9"/>
  <c r="AE39" i="9"/>
  <c r="AE41" i="9"/>
  <c r="AE43" i="9"/>
  <c r="AE45" i="9"/>
  <c r="AE46" i="9"/>
  <c r="AE48" i="9"/>
  <c r="AE50" i="9"/>
  <c r="AE51" i="9"/>
  <c r="AE52" i="9"/>
  <c r="AE53" i="9"/>
  <c r="AE55" i="9"/>
  <c r="AE56" i="9"/>
  <c r="AE61" i="18"/>
  <c r="AE63" i="18"/>
  <c r="AE64" i="18"/>
  <c r="AE42" i="18"/>
  <c r="AE43" i="18"/>
  <c r="AE44" i="18"/>
  <c r="AE45" i="18"/>
  <c r="AE46" i="18"/>
  <c r="AE34" i="18"/>
  <c r="AE35" i="18"/>
  <c r="AE36" i="18"/>
  <c r="AE37" i="18"/>
  <c r="AE38" i="18"/>
  <c r="AE39" i="18"/>
  <c r="Z93" i="37"/>
  <c r="AE93" i="37" s="1"/>
  <c r="Z97" i="37"/>
  <c r="AE97" i="37" s="1"/>
  <c r="Z98" i="37"/>
  <c r="AE98" i="37" s="1"/>
  <c r="Z99" i="37"/>
  <c r="AE99" i="37" s="1"/>
  <c r="Z100" i="37"/>
  <c r="AE100" i="37" s="1"/>
  <c r="Z101" i="37"/>
  <c r="AE101" i="37" s="1"/>
  <c r="Z102" i="37"/>
  <c r="AE102" i="37" s="1"/>
  <c r="Z103" i="37"/>
  <c r="AE103" i="37" s="1"/>
  <c r="Z104" i="37"/>
  <c r="AE104" i="37" s="1"/>
  <c r="Z105" i="37"/>
  <c r="AE105" i="37" s="1"/>
  <c r="Z33" i="37"/>
  <c r="AE33" i="37" s="1"/>
  <c r="Z34" i="37"/>
  <c r="AE34" i="37" s="1"/>
  <c r="Z39" i="37"/>
  <c r="Z40" i="37"/>
  <c r="Z41" i="37"/>
  <c r="AE41" i="37" s="1"/>
  <c r="Z42" i="37"/>
  <c r="N43" i="37"/>
  <c r="AA98" i="37" s="1"/>
  <c r="O43" i="37"/>
  <c r="O44" i="37" s="1"/>
  <c r="P43" i="37"/>
  <c r="Q43" i="37"/>
  <c r="Q61" i="37" s="1"/>
  <c r="Q62" i="37" s="1"/>
  <c r="R43" i="37"/>
  <c r="R44" i="37" s="1"/>
  <c r="S43" i="37"/>
  <c r="S44" i="37" s="1"/>
  <c r="T43" i="37"/>
  <c r="T51" i="37" s="1"/>
  <c r="T52" i="37" s="1"/>
  <c r="U43" i="37"/>
  <c r="V43" i="37"/>
  <c r="V44" i="37" s="1"/>
  <c r="W43" i="37"/>
  <c r="W44" i="37" s="1"/>
  <c r="X43" i="37"/>
  <c r="Y43" i="37"/>
  <c r="Y61" i="37" s="1"/>
  <c r="Y64" i="37" s="1"/>
  <c r="AC43" i="37"/>
  <c r="AD97" i="37" s="1"/>
  <c r="AF43" i="37"/>
  <c r="AF44" i="37" s="1"/>
  <c r="P44" i="37"/>
  <c r="U44" i="37"/>
  <c r="X44" i="37"/>
  <c r="Y44" i="37"/>
  <c r="Z46" i="37"/>
  <c r="AA46" i="37" s="1"/>
  <c r="AD46" i="37"/>
  <c r="Z47" i="37"/>
  <c r="AA47" i="37" s="1"/>
  <c r="AD47" i="37"/>
  <c r="Z48" i="37"/>
  <c r="AD48" i="37"/>
  <c r="N49" i="37"/>
  <c r="O49" i="37"/>
  <c r="O50" i="37" s="1"/>
  <c r="P49" i="37"/>
  <c r="Q49" i="37"/>
  <c r="Q50" i="37" s="1"/>
  <c r="R49" i="37"/>
  <c r="R50" i="37" s="1"/>
  <c r="S49" i="37"/>
  <c r="S50" i="37" s="1"/>
  <c r="T49" i="37"/>
  <c r="T50" i="37" s="1"/>
  <c r="U49" i="37"/>
  <c r="U50" i="37" s="1"/>
  <c r="V49" i="37"/>
  <c r="W49" i="37"/>
  <c r="W50" i="37" s="1"/>
  <c r="X49" i="37"/>
  <c r="X50" i="37" s="1"/>
  <c r="Y49" i="37"/>
  <c r="Y50" i="37" s="1"/>
  <c r="AC49" i="37"/>
  <c r="AF49" i="37"/>
  <c r="AF50" i="37" s="1"/>
  <c r="AC50" i="37"/>
  <c r="AD50" i="37" s="1"/>
  <c r="O51" i="37"/>
  <c r="O52" i="37" s="1"/>
  <c r="U51" i="37"/>
  <c r="U52" i="37" s="1"/>
  <c r="Z54" i="37"/>
  <c r="AD54" i="37"/>
  <c r="Z55" i="37"/>
  <c r="AE55" i="37" s="1"/>
  <c r="Z56" i="37"/>
  <c r="Z57" i="37"/>
  <c r="AE57" i="37" s="1"/>
  <c r="AD57" i="37"/>
  <c r="Z58" i="37"/>
  <c r="AD58" i="37"/>
  <c r="N59" i="37"/>
  <c r="N60" i="37" s="1"/>
  <c r="O59" i="37"/>
  <c r="O60" i="37" s="1"/>
  <c r="P59" i="37"/>
  <c r="Q59" i="37"/>
  <c r="Q60" i="37" s="1"/>
  <c r="R59" i="37"/>
  <c r="R60" i="37" s="1"/>
  <c r="S59" i="37"/>
  <c r="S60" i="37" s="1"/>
  <c r="T59" i="37"/>
  <c r="T60" i="37" s="1"/>
  <c r="U59" i="37"/>
  <c r="U60" i="37" s="1"/>
  <c r="V59" i="37"/>
  <c r="V60" i="37" s="1"/>
  <c r="W59" i="37"/>
  <c r="W60" i="37" s="1"/>
  <c r="X59" i="37"/>
  <c r="Y59" i="37"/>
  <c r="Y60" i="37" s="1"/>
  <c r="AC59" i="37"/>
  <c r="AC60" i="37" s="1"/>
  <c r="AD60" i="37" s="1"/>
  <c r="AF59" i="37"/>
  <c r="AF60" i="37" s="1"/>
  <c r="U61" i="37"/>
  <c r="U62" i="37" s="1"/>
  <c r="Z63" i="37"/>
  <c r="AE63" i="37" s="1"/>
  <c r="Z67" i="37"/>
  <c r="AD67" i="37"/>
  <c r="Z68" i="37"/>
  <c r="AE68" i="37" s="1"/>
  <c r="AD68" i="37"/>
  <c r="Z69" i="37"/>
  <c r="AD69" i="37"/>
  <c r="Z70" i="37"/>
  <c r="AE70" i="37" s="1"/>
  <c r="AD70" i="37"/>
  <c r="Z77" i="37"/>
  <c r="AD77" i="37"/>
  <c r="Z78" i="37"/>
  <c r="AE78" i="37" s="1"/>
  <c r="AD78" i="37"/>
  <c r="Z79" i="37"/>
  <c r="AA79" i="37" s="1"/>
  <c r="AD79" i="37"/>
  <c r="N80" i="37"/>
  <c r="O80" i="37"/>
  <c r="P80" i="37"/>
  <c r="Q80" i="37"/>
  <c r="R80" i="37"/>
  <c r="S80" i="37"/>
  <c r="T80" i="37"/>
  <c r="U80" i="37"/>
  <c r="V80" i="37"/>
  <c r="W80" i="37"/>
  <c r="X80" i="37"/>
  <c r="Y80" i="37"/>
  <c r="AC80" i="37"/>
  <c r="AD80" i="37" s="1"/>
  <c r="AF80" i="37"/>
  <c r="Z83" i="37"/>
  <c r="AA83" i="37" s="1"/>
  <c r="AD83" i="37"/>
  <c r="Z87" i="37"/>
  <c r="AE87" i="37" s="1"/>
  <c r="AD87" i="37"/>
  <c r="AE52" i="29"/>
  <c r="AE60" i="29"/>
  <c r="AE66" i="29"/>
  <c r="AE78" i="4"/>
  <c r="AE79" i="4"/>
  <c r="AE82" i="4"/>
  <c r="AE90" i="4"/>
  <c r="AE91" i="4"/>
  <c r="AE41" i="4"/>
  <c r="AE44" i="4"/>
  <c r="AE45" i="4"/>
  <c r="AE48" i="4"/>
  <c r="AE71" i="21"/>
  <c r="AE73" i="21"/>
  <c r="AE74" i="21"/>
  <c r="AE47" i="21"/>
  <c r="AE48" i="21"/>
  <c r="AE49" i="21"/>
  <c r="AE50" i="21"/>
  <c r="AE51" i="21"/>
  <c r="AE52" i="21"/>
  <c r="AE53" i="21"/>
  <c r="AE54" i="21"/>
  <c r="AE55" i="21"/>
  <c r="AE56" i="21"/>
  <c r="AE34" i="21"/>
  <c r="AE35" i="21"/>
  <c r="AE36" i="21"/>
  <c r="AE37" i="21"/>
  <c r="AE38" i="21"/>
  <c r="AE39" i="21"/>
  <c r="AE40" i="21"/>
  <c r="AE41" i="21"/>
  <c r="AE42" i="21"/>
  <c r="AE43" i="21"/>
  <c r="AE44" i="21"/>
  <c r="AE54" i="7"/>
  <c r="AE55" i="7"/>
  <c r="AE56" i="7"/>
  <c r="AE57" i="7"/>
  <c r="AE59" i="7"/>
  <c r="AE60" i="7"/>
  <c r="AE34" i="7"/>
  <c r="AE35" i="7"/>
  <c r="AE36" i="7"/>
  <c r="AE37" i="7"/>
  <c r="AE39" i="7"/>
  <c r="AE40" i="7"/>
  <c r="AE42" i="7"/>
  <c r="AE43" i="7"/>
  <c r="AE44" i="7"/>
  <c r="AE52" i="36"/>
  <c r="AE43" i="36"/>
  <c r="AE44" i="36"/>
  <c r="AE45" i="36"/>
  <c r="AE39" i="36"/>
  <c r="AE53" i="30"/>
  <c r="AE56" i="30"/>
  <c r="AE40" i="30"/>
  <c r="AE57" i="20"/>
  <c r="AE59" i="20"/>
  <c r="AE60" i="20"/>
  <c r="AE41" i="20"/>
  <c r="AE42" i="20"/>
  <c r="AE34" i="20"/>
  <c r="AE35" i="20"/>
  <c r="AE36" i="20"/>
  <c r="AE37" i="20"/>
  <c r="AE38" i="20"/>
  <c r="AD43" i="24"/>
  <c r="AD44" i="24"/>
  <c r="AD45" i="24"/>
  <c r="AD46" i="24"/>
  <c r="AD47" i="24"/>
  <c r="AD48" i="24"/>
  <c r="AD34" i="24"/>
  <c r="AD35" i="24"/>
  <c r="AD36" i="24"/>
  <c r="AD37" i="24"/>
  <c r="AD38" i="24"/>
  <c r="AE34" i="33"/>
  <c r="AE35" i="33"/>
  <c r="AE36" i="33"/>
  <c r="AE37" i="33"/>
  <c r="AE38" i="33"/>
  <c r="AE39" i="33"/>
  <c r="AE42" i="33"/>
  <c r="AE46" i="33"/>
  <c r="AE47" i="33"/>
  <c r="AE49" i="33"/>
  <c r="AE50" i="33"/>
  <c r="AE56" i="33"/>
  <c r="AE57" i="33"/>
  <c r="AE58" i="33"/>
  <c r="AE59" i="33"/>
  <c r="AE60" i="33"/>
  <c r="AE61" i="33"/>
  <c r="AE62" i="33"/>
  <c r="AE63" i="33"/>
  <c r="AE64" i="33"/>
  <c r="AE65" i="33"/>
  <c r="AF151" i="6"/>
  <c r="AA72" i="6"/>
  <c r="AF72" i="6" s="1"/>
  <c r="AA73" i="6"/>
  <c r="AF73" i="6" s="1"/>
  <c r="AA74" i="6"/>
  <c r="AF74" i="6" s="1"/>
  <c r="AA75" i="6"/>
  <c r="AA76" i="6"/>
  <c r="AF76" i="6" s="1"/>
  <c r="AA77" i="6"/>
  <c r="AF77" i="6" s="1"/>
  <c r="AA78" i="6"/>
  <c r="AF78" i="6" s="1"/>
  <c r="AA79" i="6"/>
  <c r="AF79" i="6" s="1"/>
  <c r="AA80" i="6"/>
  <c r="AF80" i="6" s="1"/>
  <c r="AA81" i="6"/>
  <c r="AF81" i="6" s="1"/>
  <c r="AB81" i="6"/>
  <c r="AE81" i="6"/>
  <c r="AA82" i="6"/>
  <c r="AF82" i="6" s="1"/>
  <c r="AA83" i="6"/>
  <c r="AF83" i="6" s="1"/>
  <c r="AA84" i="6"/>
  <c r="AF84" i="6" s="1"/>
  <c r="AA85" i="6"/>
  <c r="AF85" i="6" s="1"/>
  <c r="AA86" i="6"/>
  <c r="AF86" i="6" s="1"/>
  <c r="AA87" i="6"/>
  <c r="AF87" i="6" s="1"/>
  <c r="AA88" i="6"/>
  <c r="AF88" i="6" s="1"/>
  <c r="AA89" i="6"/>
  <c r="AF89" i="6" s="1"/>
  <c r="AA90" i="6"/>
  <c r="AF90" i="6"/>
  <c r="AA91" i="6"/>
  <c r="AA138" i="6" s="1"/>
  <c r="AF138" i="6" s="1"/>
  <c r="AE91" i="6"/>
  <c r="AF91" i="6"/>
  <c r="AA92" i="6"/>
  <c r="AF92" i="6" s="1"/>
  <c r="AA93" i="6"/>
  <c r="AF93" i="6"/>
  <c r="AA94" i="6"/>
  <c r="AF94" i="6" s="1"/>
  <c r="AA95" i="6"/>
  <c r="AF95" i="6" s="1"/>
  <c r="AA96" i="6"/>
  <c r="AF96" i="6" s="1"/>
  <c r="AA97" i="6"/>
  <c r="AF97" i="6" s="1"/>
  <c r="AA98" i="6"/>
  <c r="AB98" i="6" s="1"/>
  <c r="AE98" i="6"/>
  <c r="AA99" i="6"/>
  <c r="AB99" i="6" s="1"/>
  <c r="AE99" i="6"/>
  <c r="AA100" i="6"/>
  <c r="AB100" i="6" s="1"/>
  <c r="AE100" i="6"/>
  <c r="AA101" i="6"/>
  <c r="AF101" i="6" s="1"/>
  <c r="AB101" i="6"/>
  <c r="AE101" i="6"/>
  <c r="AA102" i="6"/>
  <c r="AF102" i="6" s="1"/>
  <c r="AA103" i="6"/>
  <c r="AF103" i="6" s="1"/>
  <c r="AA104" i="6"/>
  <c r="AB104" i="6" s="1"/>
  <c r="AA105" i="6"/>
  <c r="AF105" i="6" s="1"/>
  <c r="AA106" i="6"/>
  <c r="AF106" i="6" s="1"/>
  <c r="AA107" i="6"/>
  <c r="AF107" i="6" s="1"/>
  <c r="AA108" i="6"/>
  <c r="AB108" i="6" s="1"/>
  <c r="AE108" i="6"/>
  <c r="AA109" i="6"/>
  <c r="AF109" i="6" s="1"/>
  <c r="AA110" i="6"/>
  <c r="AB110" i="6" s="1"/>
  <c r="AE110" i="6"/>
  <c r="AA111" i="6"/>
  <c r="AF111" i="6" s="1"/>
  <c r="AE111" i="6"/>
  <c r="AA112" i="6"/>
  <c r="AF112" i="6" s="1"/>
  <c r="AE112" i="6"/>
  <c r="AA113" i="6"/>
  <c r="AE113" i="6"/>
  <c r="AF113" i="6"/>
  <c r="AA114" i="6"/>
  <c r="AF114" i="6" s="1"/>
  <c r="AE114" i="6"/>
  <c r="AA115" i="6"/>
  <c r="AF115" i="6" s="1"/>
  <c r="AA116" i="6"/>
  <c r="AF116" i="6" s="1"/>
  <c r="AA34" i="6"/>
  <c r="AF34" i="6" s="1"/>
  <c r="AA35" i="6"/>
  <c r="AA36" i="6"/>
  <c r="AA37" i="6"/>
  <c r="AA122" i="6" s="1"/>
  <c r="AF122" i="6" s="1"/>
  <c r="AA38" i="6"/>
  <c r="AA123" i="6" s="1"/>
  <c r="AF123" i="6" s="1"/>
  <c r="AA39" i="6"/>
  <c r="AA124" i="6" s="1"/>
  <c r="AF124" i="6" s="1"/>
  <c r="AA40" i="6"/>
  <c r="AA41" i="6"/>
  <c r="AA126" i="6" s="1"/>
  <c r="AF126" i="6" s="1"/>
  <c r="AA42" i="6"/>
  <c r="AA127" i="6" s="1"/>
  <c r="AF127" i="6" s="1"/>
  <c r="AA43" i="6"/>
  <c r="AA128" i="6" s="1"/>
  <c r="AF128" i="6" s="1"/>
  <c r="AE43" i="6"/>
  <c r="AF43" i="6"/>
  <c r="AA44" i="6"/>
  <c r="AA45" i="6"/>
  <c r="AA46" i="6"/>
  <c r="AA131" i="6" s="1"/>
  <c r="AF131" i="6" s="1"/>
  <c r="AA47" i="6"/>
  <c r="AA132" i="6" s="1"/>
  <c r="AF132" i="6" s="1"/>
  <c r="AA48" i="6"/>
  <c r="AA49" i="6"/>
  <c r="AA50" i="6"/>
  <c r="AA135" i="6" s="1"/>
  <c r="AF135" i="6" s="1"/>
  <c r="AA51" i="6"/>
  <c r="AA136" i="6" s="1"/>
  <c r="AF136" i="6" s="1"/>
  <c r="AA52" i="6"/>
  <c r="AA137" i="6" s="1"/>
  <c r="AF137" i="6" s="1"/>
  <c r="AB53" i="6"/>
  <c r="AE53" i="6"/>
  <c r="AF53" i="6"/>
  <c r="AA54" i="6"/>
  <c r="AA55" i="6"/>
  <c r="AA56" i="6"/>
  <c r="AA57" i="6"/>
  <c r="AF57" i="6" s="1"/>
  <c r="AA58" i="6"/>
  <c r="AA59" i="6"/>
  <c r="AF59" i="6" s="1"/>
  <c r="AA60" i="6"/>
  <c r="AE60" i="6"/>
  <c r="AA61" i="6"/>
  <c r="AF61" i="6" s="1"/>
  <c r="AE61" i="6"/>
  <c r="AA62" i="6"/>
  <c r="AE62" i="6"/>
  <c r="AA63" i="6"/>
  <c r="AE63" i="6"/>
  <c r="AF63" i="6"/>
  <c r="AA64" i="6"/>
  <c r="AA65" i="6"/>
  <c r="AA66" i="6"/>
  <c r="AE66" i="6"/>
  <c r="AA67" i="6"/>
  <c r="AF67" i="6" s="1"/>
  <c r="AA68" i="6"/>
  <c r="AA69" i="6"/>
  <c r="AF69" i="6" s="1"/>
  <c r="AE34" i="25"/>
  <c r="AE37" i="25"/>
  <c r="AE39" i="25"/>
  <c r="AE40" i="25"/>
  <c r="AE41" i="25"/>
  <c r="AE42" i="25"/>
  <c r="AE43" i="25"/>
  <c r="AE44" i="25"/>
  <c r="AE47" i="25"/>
  <c r="AE48" i="25"/>
  <c r="AE49" i="25"/>
  <c r="AE57" i="23"/>
  <c r="AE59" i="23"/>
  <c r="AE60" i="23"/>
  <c r="AE61" i="23"/>
  <c r="AE62" i="23"/>
  <c r="AE63" i="23"/>
  <c r="AE64" i="23"/>
  <c r="AE65" i="23"/>
  <c r="AE66" i="23"/>
  <c r="AE67" i="23"/>
  <c r="AE68" i="23"/>
  <c r="AE69" i="23"/>
  <c r="AE70" i="23"/>
  <c r="AE71" i="23"/>
  <c r="AE72" i="23"/>
  <c r="AE73" i="23"/>
  <c r="AE35" i="23"/>
  <c r="AE37" i="23"/>
  <c r="AE39" i="23"/>
  <c r="AE40" i="23"/>
  <c r="AE41" i="23"/>
  <c r="AE42" i="23"/>
  <c r="AE43" i="23"/>
  <c r="AE44" i="23"/>
  <c r="AE45" i="23"/>
  <c r="AE46" i="23"/>
  <c r="AE47" i="23"/>
  <c r="AE48" i="23"/>
  <c r="AE49" i="23"/>
  <c r="AE50" i="23"/>
  <c r="AE51" i="23"/>
  <c r="AE52" i="23"/>
  <c r="AE64" i="15"/>
  <c r="AE66" i="15"/>
  <c r="AE62" i="15"/>
  <c r="AE48" i="15"/>
  <c r="AE37" i="15"/>
  <c r="AE39" i="15"/>
  <c r="AE40" i="15"/>
  <c r="AE49" i="34"/>
  <c r="AE50" i="34"/>
  <c r="AE57" i="28"/>
  <c r="AE41" i="28"/>
  <c r="AE42" i="28"/>
  <c r="AE35" i="28"/>
  <c r="AA35" i="59"/>
  <c r="AB35" i="59" s="1"/>
  <c r="AE35" i="59"/>
  <c r="AA36" i="59"/>
  <c r="AF36" i="59" s="1"/>
  <c r="AE36" i="59"/>
  <c r="AA37" i="59"/>
  <c r="AF37" i="59" s="1"/>
  <c r="AB37" i="59"/>
  <c r="AE37" i="59"/>
  <c r="AA38" i="59"/>
  <c r="AB38" i="59"/>
  <c r="AE38" i="59"/>
  <c r="AF38" i="59"/>
  <c r="AA39" i="59"/>
  <c r="AF39" i="59" s="1"/>
  <c r="AB39" i="59"/>
  <c r="AE39" i="59"/>
  <c r="AA40" i="59"/>
  <c r="AF40" i="59"/>
  <c r="AA41" i="59"/>
  <c r="AB41" i="59" s="1"/>
  <c r="AE41" i="59"/>
  <c r="O43" i="59"/>
  <c r="O44" i="59" s="1"/>
  <c r="P43" i="59"/>
  <c r="P44" i="59" s="1"/>
  <c r="Q43" i="59"/>
  <c r="Q44" i="59" s="1"/>
  <c r="R43" i="59"/>
  <c r="R44" i="59" s="1"/>
  <c r="S43" i="59"/>
  <c r="S44" i="59" s="1"/>
  <c r="T43" i="59"/>
  <c r="T44" i="59" s="1"/>
  <c r="U43" i="59"/>
  <c r="U44" i="59" s="1"/>
  <c r="V43" i="59"/>
  <c r="V44" i="59" s="1"/>
  <c r="W43" i="59"/>
  <c r="W44" i="59" s="1"/>
  <c r="X43" i="59"/>
  <c r="X44" i="59" s="1"/>
  <c r="Y43" i="59"/>
  <c r="Y44" i="59" s="1"/>
  <c r="Z43" i="59"/>
  <c r="Z44" i="59" s="1"/>
  <c r="AD43" i="59"/>
  <c r="AE44" i="59" s="1"/>
  <c r="AG43" i="59"/>
  <c r="AA45" i="59"/>
  <c r="AF45" i="59" s="1"/>
  <c r="AE45" i="59"/>
  <c r="AA46" i="59"/>
  <c r="AB46" i="59" s="1"/>
  <c r="AE46" i="59"/>
  <c r="AA47" i="59"/>
  <c r="AF47" i="59" s="1"/>
  <c r="AE47" i="59"/>
  <c r="AA48" i="59"/>
  <c r="AB48" i="59" s="1"/>
  <c r="AE48" i="59"/>
  <c r="AA49" i="59"/>
  <c r="AF49" i="59" s="1"/>
  <c r="AE49" i="59"/>
  <c r="AA50" i="59"/>
  <c r="AF50" i="59" s="1"/>
  <c r="AA51" i="59"/>
  <c r="AB51" i="59" s="1"/>
  <c r="AE51" i="59"/>
  <c r="O53" i="59"/>
  <c r="O54" i="59" s="1"/>
  <c r="P53" i="59"/>
  <c r="Q53" i="59"/>
  <c r="Q54" i="59" s="1"/>
  <c r="R53" i="59"/>
  <c r="R54" i="59" s="1"/>
  <c r="S53" i="59"/>
  <c r="S54" i="59" s="1"/>
  <c r="T53" i="59"/>
  <c r="T54" i="59" s="1"/>
  <c r="U53" i="59"/>
  <c r="V53" i="59"/>
  <c r="V54" i="59" s="1"/>
  <c r="W53" i="59"/>
  <c r="W54" i="59" s="1"/>
  <c r="X53" i="59"/>
  <c r="Y53" i="59"/>
  <c r="Y54" i="59" s="1"/>
  <c r="Z53" i="59"/>
  <c r="Z54" i="59" s="1"/>
  <c r="AA53" i="59"/>
  <c r="AD53" i="59"/>
  <c r="AE54" i="59" s="1"/>
  <c r="AG53" i="59"/>
  <c r="P54" i="59"/>
  <c r="U54" i="59"/>
  <c r="X54" i="59"/>
  <c r="AA55" i="59"/>
  <c r="AF55" i="59" s="1"/>
  <c r="AE55" i="59"/>
  <c r="AA56" i="59"/>
  <c r="AB56" i="59" s="1"/>
  <c r="AE56" i="59"/>
  <c r="AA57" i="59"/>
  <c r="AF57" i="59" s="1"/>
  <c r="AE57" i="59"/>
  <c r="AA58" i="59"/>
  <c r="AB58" i="59" s="1"/>
  <c r="AE58" i="59"/>
  <c r="AA59" i="59"/>
  <c r="AA63" i="59" s="1"/>
  <c r="AE59" i="59"/>
  <c r="AA60" i="59"/>
  <c r="AF60" i="59" s="1"/>
  <c r="AA61" i="59"/>
  <c r="AB61" i="59" s="1"/>
  <c r="AE61" i="59"/>
  <c r="AF61" i="59"/>
  <c r="O63" i="59"/>
  <c r="O64" i="59" s="1"/>
  <c r="P63" i="59"/>
  <c r="Q63" i="59"/>
  <c r="Q64" i="59" s="1"/>
  <c r="R63" i="59"/>
  <c r="R64" i="59" s="1"/>
  <c r="S63" i="59"/>
  <c r="S64" i="59" s="1"/>
  <c r="T63" i="59"/>
  <c r="U63" i="59"/>
  <c r="V63" i="59"/>
  <c r="V64" i="59" s="1"/>
  <c r="W63" i="59"/>
  <c r="W64" i="59" s="1"/>
  <c r="X63" i="59"/>
  <c r="X64" i="59" s="1"/>
  <c r="Y63" i="59"/>
  <c r="Y64" i="59" s="1"/>
  <c r="Z63" i="59"/>
  <c r="Z64" i="59" s="1"/>
  <c r="AD63" i="59"/>
  <c r="AE64" i="59" s="1"/>
  <c r="AG63" i="59"/>
  <c r="P64" i="59"/>
  <c r="T64" i="59"/>
  <c r="U64" i="59"/>
  <c r="AA65" i="59"/>
  <c r="AB65" i="59" s="1"/>
  <c r="AE65" i="59"/>
  <c r="AA66" i="59"/>
  <c r="AB66" i="59" s="1"/>
  <c r="AE66" i="59"/>
  <c r="AF66" i="59"/>
  <c r="AA67" i="59"/>
  <c r="AB67" i="59" s="1"/>
  <c r="AE67" i="59"/>
  <c r="AA68" i="59"/>
  <c r="AB68" i="59" s="1"/>
  <c r="AE68" i="59"/>
  <c r="AA69" i="59"/>
  <c r="AB69" i="59" s="1"/>
  <c r="AE69" i="59"/>
  <c r="AA70" i="59"/>
  <c r="AF70" i="59" s="1"/>
  <c r="AA71" i="59"/>
  <c r="AF71" i="59" s="1"/>
  <c r="AB71" i="59"/>
  <c r="AE71" i="59"/>
  <c r="O73" i="59"/>
  <c r="O74" i="59" s="1"/>
  <c r="P73" i="59"/>
  <c r="P74" i="59" s="1"/>
  <c r="Q73" i="59"/>
  <c r="Q74" i="59" s="1"/>
  <c r="R73" i="59"/>
  <c r="R74" i="59" s="1"/>
  <c r="S73" i="59"/>
  <c r="T73" i="59"/>
  <c r="T74" i="59" s="1"/>
  <c r="U73" i="59"/>
  <c r="U74" i="59" s="1"/>
  <c r="V73" i="59"/>
  <c r="V74" i="59" s="1"/>
  <c r="W73" i="59"/>
  <c r="W74" i="59" s="1"/>
  <c r="X73" i="59"/>
  <c r="X74" i="59" s="1"/>
  <c r="Y73" i="59"/>
  <c r="Y74" i="59" s="1"/>
  <c r="Z73" i="59"/>
  <c r="Z74" i="59" s="1"/>
  <c r="AD73" i="59"/>
  <c r="AE74" i="59" s="1"/>
  <c r="AG73" i="59"/>
  <c r="S74" i="59"/>
  <c r="AA75" i="59"/>
  <c r="AF75" i="59" s="1"/>
  <c r="AB75" i="59"/>
  <c r="AE75" i="59"/>
  <c r="AA76" i="59"/>
  <c r="AF76" i="59" s="1"/>
  <c r="AE76" i="59"/>
  <c r="AA77" i="59"/>
  <c r="AF77" i="59" s="1"/>
  <c r="AE77" i="59"/>
  <c r="AA78" i="59"/>
  <c r="AF78" i="59" s="1"/>
  <c r="AE78" i="59"/>
  <c r="AA79" i="59"/>
  <c r="AF79" i="59" s="1"/>
  <c r="AE79" i="59"/>
  <c r="AA80" i="59"/>
  <c r="AE80" i="59"/>
  <c r="O82" i="59"/>
  <c r="P82" i="59"/>
  <c r="P84" i="59" s="1"/>
  <c r="Q82" i="59"/>
  <c r="R82" i="59"/>
  <c r="R84" i="59" s="1"/>
  <c r="S82" i="59"/>
  <c r="S84" i="59" s="1"/>
  <c r="T82" i="59"/>
  <c r="T84" i="59" s="1"/>
  <c r="U82" i="59"/>
  <c r="U84" i="59" s="1"/>
  <c r="V82" i="59"/>
  <c r="V84" i="59" s="1"/>
  <c r="W82" i="59"/>
  <c r="X82" i="59"/>
  <c r="X84" i="59" s="1"/>
  <c r="Y82" i="59"/>
  <c r="Y84" i="59" s="1"/>
  <c r="Z82" i="59"/>
  <c r="Z84" i="59" s="1"/>
  <c r="AD82" i="59"/>
  <c r="AE84" i="59" s="1"/>
  <c r="AG82" i="59"/>
  <c r="AA83" i="59"/>
  <c r="AB83" i="59" s="1"/>
  <c r="AE83" i="59"/>
  <c r="O84" i="59"/>
  <c r="Q84" i="59"/>
  <c r="W84" i="59"/>
  <c r="AA85" i="59"/>
  <c r="AB85" i="59" s="1"/>
  <c r="AE85" i="59"/>
  <c r="AA86" i="59"/>
  <c r="AF86" i="59" s="1"/>
  <c r="AA87" i="59"/>
  <c r="AB87" i="59" s="1"/>
  <c r="AE87" i="59"/>
  <c r="AA91" i="59"/>
  <c r="AF91" i="59" s="1"/>
  <c r="AA92" i="59"/>
  <c r="AF92" i="59" s="1"/>
  <c r="O93" i="59"/>
  <c r="P93" i="59"/>
  <c r="Q93" i="59"/>
  <c r="R93" i="59"/>
  <c r="S93" i="59"/>
  <c r="T93" i="59"/>
  <c r="U93" i="59"/>
  <c r="V93" i="59"/>
  <c r="W93" i="59"/>
  <c r="X93" i="59"/>
  <c r="Y93" i="59"/>
  <c r="Z93" i="59"/>
  <c r="AD93" i="59"/>
  <c r="AG93" i="59"/>
  <c r="O94" i="59"/>
  <c r="P94" i="59"/>
  <c r="Q94" i="59"/>
  <c r="R94" i="59"/>
  <c r="S94" i="59"/>
  <c r="T94" i="59"/>
  <c r="U94" i="59"/>
  <c r="V94" i="59"/>
  <c r="W94" i="59"/>
  <c r="X94" i="59"/>
  <c r="Y94" i="59"/>
  <c r="Z94" i="59"/>
  <c r="AD94" i="59"/>
  <c r="AG94" i="59"/>
  <c r="AA98" i="59"/>
  <c r="AF98" i="59" s="1"/>
  <c r="AE98" i="59"/>
  <c r="AA99" i="59"/>
  <c r="AB99" i="59" s="1"/>
  <c r="AE99" i="59"/>
  <c r="AA100" i="59"/>
  <c r="AF100" i="59" s="1"/>
  <c r="AE100" i="59"/>
  <c r="AA101" i="59"/>
  <c r="AB101" i="59" s="1"/>
  <c r="AE101" i="59"/>
  <c r="AA102" i="59"/>
  <c r="AB102" i="59" s="1"/>
  <c r="AE102" i="59"/>
  <c r="AA103" i="59"/>
  <c r="AB103" i="59" s="1"/>
  <c r="AE103" i="59"/>
  <c r="AA106" i="59"/>
  <c r="AB106" i="59" s="1"/>
  <c r="AE106" i="59"/>
  <c r="AF106" i="59"/>
  <c r="AA107" i="59"/>
  <c r="AB107" i="59" s="1"/>
  <c r="AE107" i="59"/>
  <c r="AA108" i="59"/>
  <c r="AB108" i="59" s="1"/>
  <c r="AE108" i="59"/>
  <c r="AA109" i="59"/>
  <c r="AB109" i="59" s="1"/>
  <c r="AE109" i="59"/>
  <c r="AA110" i="59"/>
  <c r="AF110" i="59" s="1"/>
  <c r="AE110" i="59"/>
  <c r="AA111" i="59"/>
  <c r="AB111" i="59" s="1"/>
  <c r="AE111" i="59"/>
  <c r="AA114" i="59"/>
  <c r="AB114" i="59" s="1"/>
  <c r="AE114" i="59"/>
  <c r="AA115" i="59"/>
  <c r="AB115" i="59" s="1"/>
  <c r="AE115" i="59"/>
  <c r="AF115" i="59"/>
  <c r="AA116" i="59"/>
  <c r="AF116" i="59" s="1"/>
  <c r="AE116" i="59"/>
  <c r="AA117" i="59"/>
  <c r="AB117" i="59" s="1"/>
  <c r="AE117" i="59"/>
  <c r="AA118" i="59"/>
  <c r="AF118" i="59" s="1"/>
  <c r="AE118" i="59"/>
  <c r="AA119" i="59"/>
  <c r="AB119" i="59" s="1"/>
  <c r="AE119" i="59"/>
  <c r="O121" i="59"/>
  <c r="P121" i="59"/>
  <c r="Q121" i="59"/>
  <c r="R121" i="59"/>
  <c r="S121" i="59"/>
  <c r="T121" i="59"/>
  <c r="U121" i="59"/>
  <c r="V121" i="59"/>
  <c r="W121" i="59"/>
  <c r="X121" i="59"/>
  <c r="Y121" i="59"/>
  <c r="Z121" i="59"/>
  <c r="AD121" i="59"/>
  <c r="AE121" i="59" s="1"/>
  <c r="AG121" i="59"/>
  <c r="O122" i="59"/>
  <c r="P122" i="59"/>
  <c r="Q122" i="59"/>
  <c r="R122" i="59"/>
  <c r="S122" i="59"/>
  <c r="S126" i="59" s="1"/>
  <c r="S127" i="59" s="1"/>
  <c r="T122" i="59"/>
  <c r="U122" i="59"/>
  <c r="V122" i="59"/>
  <c r="W122" i="59"/>
  <c r="X122" i="59"/>
  <c r="Y122" i="59"/>
  <c r="Z122" i="59"/>
  <c r="AD122" i="59"/>
  <c r="AE122" i="59" s="1"/>
  <c r="AG122" i="59"/>
  <c r="O123" i="59"/>
  <c r="P123" i="59"/>
  <c r="Q123" i="59"/>
  <c r="R123" i="59"/>
  <c r="S123" i="59"/>
  <c r="T123" i="59"/>
  <c r="U123" i="59"/>
  <c r="V123" i="59"/>
  <c r="W123" i="59"/>
  <c r="X123" i="59"/>
  <c r="Y123" i="59"/>
  <c r="Z123" i="59"/>
  <c r="AD123" i="59"/>
  <c r="AE123" i="59" s="1"/>
  <c r="AG123" i="59"/>
  <c r="O124" i="59"/>
  <c r="P124" i="59"/>
  <c r="Q124" i="59"/>
  <c r="R124" i="59"/>
  <c r="S124" i="59"/>
  <c r="T124" i="59"/>
  <c r="U124" i="59"/>
  <c r="V124" i="59"/>
  <c r="W124" i="59"/>
  <c r="X124" i="59"/>
  <c r="Y124" i="59"/>
  <c r="Z124" i="59"/>
  <c r="AD124" i="59"/>
  <c r="AE124" i="59" s="1"/>
  <c r="AG124" i="59"/>
  <c r="O125" i="59"/>
  <c r="P125" i="59"/>
  <c r="Q125" i="59"/>
  <c r="R125" i="59"/>
  <c r="S125" i="59"/>
  <c r="T125" i="59"/>
  <c r="U125" i="59"/>
  <c r="V125" i="59"/>
  <c r="W125" i="59"/>
  <c r="X125" i="59"/>
  <c r="Y125" i="59"/>
  <c r="Z125" i="59"/>
  <c r="AD125" i="59"/>
  <c r="AE125" i="59" s="1"/>
  <c r="AG125" i="59"/>
  <c r="AA130" i="59"/>
  <c r="AF130" i="59" s="1"/>
  <c r="AE130" i="59"/>
  <c r="AF131" i="59"/>
  <c r="AA132" i="59"/>
  <c r="AB132" i="59" s="1"/>
  <c r="AE132" i="59"/>
  <c r="AF133" i="59"/>
  <c r="AA134" i="59"/>
  <c r="AF134" i="59" s="1"/>
  <c r="AE134" i="59"/>
  <c r="AF135" i="59"/>
  <c r="AA136" i="59"/>
  <c r="AF136" i="59" s="1"/>
  <c r="AE136" i="59"/>
  <c r="AF137" i="59"/>
  <c r="AA138" i="59"/>
  <c r="AB138" i="59" s="1"/>
  <c r="AE138" i="59"/>
  <c r="AF139" i="59"/>
  <c r="AA140" i="59"/>
  <c r="AB140" i="59" s="1"/>
  <c r="AE140" i="59"/>
  <c r="AE76" i="11"/>
  <c r="AE78" i="11"/>
  <c r="AE79" i="11"/>
  <c r="AE55" i="11"/>
  <c r="AE56" i="11"/>
  <c r="AE57" i="11"/>
  <c r="AE58" i="11"/>
  <c r="AE59" i="11"/>
  <c r="AE60" i="11"/>
  <c r="AE61" i="11"/>
  <c r="AE35" i="11"/>
  <c r="AE36" i="11"/>
  <c r="AE37" i="11"/>
  <c r="AE38" i="11"/>
  <c r="AE39" i="11"/>
  <c r="AE40" i="11"/>
  <c r="AE41" i="11"/>
  <c r="AE42" i="11"/>
  <c r="AE43" i="11"/>
  <c r="AE44" i="11"/>
  <c r="AE45" i="11"/>
  <c r="AE46" i="11"/>
  <c r="AE47" i="11"/>
  <c r="AE48" i="11"/>
  <c r="AE49" i="11"/>
  <c r="AE50" i="11"/>
  <c r="AE51" i="11"/>
  <c r="AE36" i="27"/>
  <c r="AE43" i="27"/>
  <c r="AE64" i="19"/>
  <c r="AE66" i="19"/>
  <c r="AE67" i="19"/>
  <c r="AE47" i="19"/>
  <c r="AE48" i="19"/>
  <c r="AE49" i="19"/>
  <c r="AE34" i="19"/>
  <c r="AE35" i="19"/>
  <c r="AE36" i="19"/>
  <c r="AE37" i="19"/>
  <c r="AE38" i="19"/>
  <c r="AE39" i="19"/>
  <c r="AE40" i="19"/>
  <c r="AE41" i="19"/>
  <c r="AE42" i="19"/>
  <c r="AE43" i="19"/>
  <c r="AE44" i="19"/>
  <c r="AE69" i="22"/>
  <c r="AE71" i="22"/>
  <c r="AE72" i="22"/>
  <c r="AE46" i="22"/>
  <c r="AE47" i="22"/>
  <c r="AE48" i="22"/>
  <c r="AE49" i="22"/>
  <c r="AE50" i="22"/>
  <c r="AE51" i="22"/>
  <c r="AE52" i="22"/>
  <c r="AE53" i="22"/>
  <c r="AE54" i="22"/>
  <c r="AE34" i="22"/>
  <c r="AE35" i="22"/>
  <c r="AE36" i="22"/>
  <c r="AE37" i="22"/>
  <c r="AE38" i="22"/>
  <c r="AE39" i="22"/>
  <c r="AE40" i="22"/>
  <c r="AE41" i="22"/>
  <c r="AE42" i="22"/>
  <c r="AE43" i="22"/>
  <c r="AA35" i="17"/>
  <c r="AF35" i="17" s="1"/>
  <c r="AA36" i="17"/>
  <c r="AA37" i="17"/>
  <c r="AF37" i="17" s="1"/>
  <c r="AA38" i="17"/>
  <c r="AA39" i="17"/>
  <c r="AF39" i="17" s="1"/>
  <c r="AA40" i="17"/>
  <c r="AF40" i="17" s="1"/>
  <c r="AE40" i="17"/>
  <c r="O42" i="17"/>
  <c r="O43" i="17" s="1"/>
  <c r="P42" i="17"/>
  <c r="P43" i="17" s="1"/>
  <c r="Q42" i="17"/>
  <c r="Q43" i="17" s="1"/>
  <c r="R42" i="17"/>
  <c r="R43" i="17" s="1"/>
  <c r="S42" i="17"/>
  <c r="S43" i="17" s="1"/>
  <c r="T42" i="17"/>
  <c r="U42" i="17"/>
  <c r="U43" i="17" s="1"/>
  <c r="V42" i="17"/>
  <c r="V43" i="17" s="1"/>
  <c r="W42" i="17"/>
  <c r="W43" i="17" s="1"/>
  <c r="X42" i="17"/>
  <c r="X43" i="17" s="1"/>
  <c r="Y42" i="17"/>
  <c r="Z42" i="17"/>
  <c r="Z43" i="17" s="1"/>
  <c r="AD42" i="17"/>
  <c r="AE43" i="17" s="1"/>
  <c r="AG42" i="17"/>
  <c r="T43" i="17"/>
  <c r="Y43" i="17"/>
  <c r="AA44" i="17"/>
  <c r="AF44" i="17"/>
  <c r="AA45" i="17"/>
  <c r="AF45" i="17" s="1"/>
  <c r="AA46" i="17"/>
  <c r="AF46" i="17"/>
  <c r="AA47" i="17"/>
  <c r="AF47" i="17" s="1"/>
  <c r="AA48" i="17"/>
  <c r="AF48" i="17" s="1"/>
  <c r="AA49" i="17"/>
  <c r="AE49" i="17"/>
  <c r="O51" i="17"/>
  <c r="O52" i="17" s="1"/>
  <c r="P51" i="17"/>
  <c r="P52" i="17" s="1"/>
  <c r="Q51" i="17"/>
  <c r="Q52" i="17" s="1"/>
  <c r="R51" i="17"/>
  <c r="R52" i="17" s="1"/>
  <c r="S51" i="17"/>
  <c r="S52" i="17" s="1"/>
  <c r="T51" i="17"/>
  <c r="T52" i="17" s="1"/>
  <c r="U51" i="17"/>
  <c r="U52" i="17" s="1"/>
  <c r="V51" i="17"/>
  <c r="W51" i="17"/>
  <c r="W52" i="17" s="1"/>
  <c r="X51" i="17"/>
  <c r="X52" i="17" s="1"/>
  <c r="Y51" i="17"/>
  <c r="Y52" i="17" s="1"/>
  <c r="Z51" i="17"/>
  <c r="Z52" i="17" s="1"/>
  <c r="AD51" i="17"/>
  <c r="AE52" i="17" s="1"/>
  <c r="AG51" i="17"/>
  <c r="V52" i="17"/>
  <c r="AA53" i="17"/>
  <c r="AA54" i="17"/>
  <c r="AF54" i="17" s="1"/>
  <c r="AA55" i="17"/>
  <c r="AA56" i="17"/>
  <c r="AF56" i="17" s="1"/>
  <c r="AA57" i="17"/>
  <c r="AA58" i="17"/>
  <c r="AF58" i="17" s="1"/>
  <c r="AE58" i="17"/>
  <c r="O60" i="17"/>
  <c r="O61" i="17" s="1"/>
  <c r="P60" i="17"/>
  <c r="P61" i="17" s="1"/>
  <c r="Q60" i="17"/>
  <c r="Q61" i="17" s="1"/>
  <c r="R60" i="17"/>
  <c r="R61" i="17" s="1"/>
  <c r="S60" i="17"/>
  <c r="S61" i="17" s="1"/>
  <c r="T60" i="17"/>
  <c r="U60" i="17"/>
  <c r="U61" i="17" s="1"/>
  <c r="V60" i="17"/>
  <c r="W60" i="17"/>
  <c r="W61" i="17" s="1"/>
  <c r="X60" i="17"/>
  <c r="X61" i="17" s="1"/>
  <c r="Y60" i="17"/>
  <c r="Y61" i="17" s="1"/>
  <c r="Z60" i="17"/>
  <c r="Z61" i="17" s="1"/>
  <c r="AD60" i="17"/>
  <c r="AE61" i="17" s="1"/>
  <c r="AG60" i="17"/>
  <c r="T61" i="17"/>
  <c r="V61" i="17"/>
  <c r="AA62" i="17"/>
  <c r="AF62" i="17" s="1"/>
  <c r="AA63" i="17"/>
  <c r="AF63" i="17" s="1"/>
  <c r="AA64" i="17"/>
  <c r="AF64" i="17" s="1"/>
  <c r="AA65" i="17"/>
  <c r="AF65" i="17" s="1"/>
  <c r="AA66" i="17"/>
  <c r="AF66" i="17" s="1"/>
  <c r="AA67" i="17"/>
  <c r="AF67" i="17" s="1"/>
  <c r="AE67" i="17"/>
  <c r="O69" i="17"/>
  <c r="P69" i="17"/>
  <c r="Q69" i="17"/>
  <c r="Q70" i="17" s="1"/>
  <c r="R69" i="17"/>
  <c r="R70" i="17" s="1"/>
  <c r="S69" i="17"/>
  <c r="S70" i="17" s="1"/>
  <c r="T69" i="17"/>
  <c r="T70" i="17" s="1"/>
  <c r="U69" i="17"/>
  <c r="U70" i="17" s="1"/>
  <c r="V69" i="17"/>
  <c r="V70" i="17" s="1"/>
  <c r="W69" i="17"/>
  <c r="W70" i="17" s="1"/>
  <c r="X69" i="17"/>
  <c r="Y69" i="17"/>
  <c r="Z69" i="17"/>
  <c r="Z70" i="17" s="1"/>
  <c r="AD69" i="17"/>
  <c r="AE70" i="17" s="1"/>
  <c r="AG69" i="17"/>
  <c r="O70" i="17"/>
  <c r="P70" i="17"/>
  <c r="X70" i="17"/>
  <c r="Y70" i="17"/>
  <c r="AA71" i="17"/>
  <c r="AB71" i="17" s="1"/>
  <c r="AE71" i="17"/>
  <c r="AA72" i="17"/>
  <c r="AB72" i="17" s="1"/>
  <c r="AE72" i="17"/>
  <c r="AA73" i="17"/>
  <c r="AF73" i="17" s="1"/>
  <c r="AB73" i="17"/>
  <c r="AE73" i="17"/>
  <c r="AA74" i="17"/>
  <c r="AB74" i="17" s="1"/>
  <c r="AE74" i="17"/>
  <c r="AA75" i="17"/>
  <c r="AF75" i="17" s="1"/>
  <c r="AB75" i="17"/>
  <c r="AE75" i="17"/>
  <c r="AA76" i="17"/>
  <c r="AB76" i="17" s="1"/>
  <c r="AE76" i="17"/>
  <c r="AA77" i="17"/>
  <c r="AF77" i="17" s="1"/>
  <c r="O78" i="17"/>
  <c r="O79" i="17" s="1"/>
  <c r="P78" i="17"/>
  <c r="P79" i="17" s="1"/>
  <c r="Q78" i="17"/>
  <c r="R78" i="17"/>
  <c r="R79" i="17" s="1"/>
  <c r="S78" i="17"/>
  <c r="S79" i="17" s="1"/>
  <c r="T78" i="17"/>
  <c r="T79" i="17" s="1"/>
  <c r="U78" i="17"/>
  <c r="U79" i="17" s="1"/>
  <c r="V78" i="17"/>
  <c r="V79" i="17" s="1"/>
  <c r="W78" i="17"/>
  <c r="W79" i="17" s="1"/>
  <c r="X78" i="17"/>
  <c r="X79" i="17" s="1"/>
  <c r="Y78" i="17"/>
  <c r="Z78" i="17"/>
  <c r="Z79" i="17" s="1"/>
  <c r="AD78" i="17"/>
  <c r="AG78" i="17"/>
  <c r="Q79" i="17"/>
  <c r="Y79" i="17"/>
  <c r="AE79" i="17"/>
  <c r="AA80" i="17"/>
  <c r="AF80" i="17" s="1"/>
  <c r="AA81" i="17"/>
  <c r="AA82" i="17"/>
  <c r="AF82" i="17" s="1"/>
  <c r="AA83" i="17"/>
  <c r="AE83" i="17"/>
  <c r="AA84" i="17"/>
  <c r="AF84" i="17" s="1"/>
  <c r="AA85" i="17"/>
  <c r="AE85" i="17"/>
  <c r="O87" i="17"/>
  <c r="O88" i="17" s="1"/>
  <c r="P87" i="17"/>
  <c r="P88" i="17" s="1"/>
  <c r="Q87" i="17"/>
  <c r="Q88" i="17" s="1"/>
  <c r="R87" i="17"/>
  <c r="R88" i="17" s="1"/>
  <c r="S87" i="17"/>
  <c r="T87" i="17"/>
  <c r="U87" i="17"/>
  <c r="V87" i="17"/>
  <c r="V88" i="17" s="1"/>
  <c r="W87" i="17"/>
  <c r="W88" i="17" s="1"/>
  <c r="X87" i="17"/>
  <c r="X88" i="17" s="1"/>
  <c r="Y87" i="17"/>
  <c r="Y88" i="17" s="1"/>
  <c r="Z87" i="17"/>
  <c r="Z88" i="17" s="1"/>
  <c r="AD87" i="17"/>
  <c r="AE88" i="17" s="1"/>
  <c r="AG87" i="17"/>
  <c r="S88" i="17"/>
  <c r="T88" i="17"/>
  <c r="U88" i="17"/>
  <c r="AA89" i="17"/>
  <c r="AF89" i="17" s="1"/>
  <c r="AE89" i="17"/>
  <c r="AA90" i="17"/>
  <c r="AE90" i="17"/>
  <c r="AA91" i="17"/>
  <c r="AB91" i="17" s="1"/>
  <c r="AE91" i="17"/>
  <c r="O93" i="17"/>
  <c r="O94" i="17" s="1"/>
  <c r="P93" i="17"/>
  <c r="P94" i="17" s="1"/>
  <c r="Q93" i="17"/>
  <c r="Q94" i="17" s="1"/>
  <c r="R93" i="17"/>
  <c r="S93" i="17"/>
  <c r="S94" i="17" s="1"/>
  <c r="T93" i="17"/>
  <c r="T94" i="17" s="1"/>
  <c r="U93" i="17"/>
  <c r="U94" i="17" s="1"/>
  <c r="V93" i="17"/>
  <c r="V94" i="17" s="1"/>
  <c r="W93" i="17"/>
  <c r="X93" i="17"/>
  <c r="X94" i="17" s="1"/>
  <c r="Y93" i="17"/>
  <c r="Y94" i="17" s="1"/>
  <c r="Z93" i="17"/>
  <c r="Z94" i="17" s="1"/>
  <c r="AA93" i="17"/>
  <c r="AD93" i="17"/>
  <c r="AE94" i="17" s="1"/>
  <c r="AG93" i="17"/>
  <c r="R94" i="17"/>
  <c r="W94" i="17"/>
  <c r="AA95" i="17"/>
  <c r="AF95" i="17" s="1"/>
  <c r="AA96" i="17"/>
  <c r="AF96" i="17"/>
  <c r="AA97" i="17"/>
  <c r="AF97" i="17" s="1"/>
  <c r="AA99" i="17"/>
  <c r="AF99" i="17" s="1"/>
  <c r="AE99" i="17"/>
  <c r="AA102" i="17"/>
  <c r="AF102" i="17" s="1"/>
  <c r="AA103" i="17"/>
  <c r="AF103" i="17" s="1"/>
  <c r="AA104" i="17"/>
  <c r="AB58" i="17" s="1"/>
  <c r="AA108" i="17"/>
  <c r="AF108" i="17" s="1"/>
  <c r="AA109" i="17"/>
  <c r="AF109" i="17" s="1"/>
  <c r="O110" i="17"/>
  <c r="P110" i="17"/>
  <c r="Q110" i="17"/>
  <c r="R110" i="17"/>
  <c r="S110" i="17"/>
  <c r="T110" i="17"/>
  <c r="U110" i="17"/>
  <c r="V110" i="17"/>
  <c r="W110" i="17"/>
  <c r="X110" i="17"/>
  <c r="Y110" i="17"/>
  <c r="Z110" i="17"/>
  <c r="AD110" i="17"/>
  <c r="AG110" i="17"/>
  <c r="O111" i="17"/>
  <c r="P111" i="17"/>
  <c r="Q111" i="17"/>
  <c r="R111" i="17"/>
  <c r="S111" i="17"/>
  <c r="T111" i="17"/>
  <c r="U111" i="17"/>
  <c r="V111" i="17"/>
  <c r="W111" i="17"/>
  <c r="X111" i="17"/>
  <c r="Y111" i="17"/>
  <c r="Z111" i="17"/>
  <c r="AD111" i="17"/>
  <c r="AG111" i="17"/>
  <c r="AA115" i="17"/>
  <c r="AF115" i="17" s="1"/>
  <c r="AA116" i="17"/>
  <c r="AA117" i="17"/>
  <c r="AF117" i="17" s="1"/>
  <c r="AA118" i="17"/>
  <c r="AA119" i="17"/>
  <c r="AF119" i="17" s="1"/>
  <c r="AE119" i="17"/>
  <c r="AA120" i="17"/>
  <c r="AA121" i="17"/>
  <c r="AF121" i="17" s="1"/>
  <c r="AA124" i="17"/>
  <c r="AF124" i="17" s="1"/>
  <c r="AA125" i="17"/>
  <c r="AF125" i="17" s="1"/>
  <c r="AA126" i="17"/>
  <c r="AF126" i="17"/>
  <c r="AA127" i="17"/>
  <c r="AF127" i="17" s="1"/>
  <c r="AA128" i="17"/>
  <c r="AB128" i="17" s="1"/>
  <c r="AE128" i="17"/>
  <c r="AA129" i="17"/>
  <c r="AF129" i="17" s="1"/>
  <c r="AA130" i="17"/>
  <c r="AF130" i="17" s="1"/>
  <c r="AA133" i="17"/>
  <c r="AF133" i="17" s="1"/>
  <c r="AA134" i="17"/>
  <c r="AF134" i="17"/>
  <c r="AA135" i="17"/>
  <c r="AF135" i="17" s="1"/>
  <c r="AA136" i="17"/>
  <c r="AF136" i="17" s="1"/>
  <c r="AA137" i="17"/>
  <c r="AF137" i="17" s="1"/>
  <c r="AE137" i="17"/>
  <c r="AA138" i="17"/>
  <c r="AF138" i="17" s="1"/>
  <c r="AE138" i="17"/>
  <c r="AA139" i="17"/>
  <c r="AF139" i="17" s="1"/>
  <c r="O141" i="17"/>
  <c r="P141" i="17"/>
  <c r="Q141" i="17"/>
  <c r="R141" i="17"/>
  <c r="S141" i="17"/>
  <c r="T141" i="17"/>
  <c r="U141" i="17"/>
  <c r="V141" i="17"/>
  <c r="W141" i="17"/>
  <c r="X141" i="17"/>
  <c r="Y141" i="17"/>
  <c r="Z141" i="17"/>
  <c r="AD141" i="17"/>
  <c r="AG141" i="17"/>
  <c r="O142" i="17"/>
  <c r="P142" i="17"/>
  <c r="Q142" i="17"/>
  <c r="R142" i="17"/>
  <c r="S142" i="17"/>
  <c r="T142" i="17"/>
  <c r="U142" i="17"/>
  <c r="V142" i="17"/>
  <c r="W142" i="17"/>
  <c r="X142" i="17"/>
  <c r="Y142" i="17"/>
  <c r="Z142" i="17"/>
  <c r="AD142" i="17"/>
  <c r="AG142" i="17"/>
  <c r="O143" i="17"/>
  <c r="P143" i="17"/>
  <c r="Q143" i="17"/>
  <c r="R143" i="17"/>
  <c r="S143" i="17"/>
  <c r="T143" i="17"/>
  <c r="U143" i="17"/>
  <c r="V143" i="17"/>
  <c r="W143" i="17"/>
  <c r="X143" i="17"/>
  <c r="Y143" i="17"/>
  <c r="Z143" i="17"/>
  <c r="AD143" i="17"/>
  <c r="AG143" i="17"/>
  <c r="O144" i="17"/>
  <c r="P144" i="17"/>
  <c r="Q144" i="17"/>
  <c r="R144" i="17"/>
  <c r="S144" i="17"/>
  <c r="T144" i="17"/>
  <c r="U144" i="17"/>
  <c r="V144" i="17"/>
  <c r="W144" i="17"/>
  <c r="X144" i="17"/>
  <c r="Y144" i="17"/>
  <c r="Z144" i="17"/>
  <c r="AD144" i="17"/>
  <c r="AG144" i="17"/>
  <c r="O145" i="17"/>
  <c r="P145" i="17"/>
  <c r="Q145" i="17"/>
  <c r="R145" i="17"/>
  <c r="S145" i="17"/>
  <c r="T145" i="17"/>
  <c r="U145" i="17"/>
  <c r="V145" i="17"/>
  <c r="W145" i="17"/>
  <c r="X145" i="17"/>
  <c r="Y145" i="17"/>
  <c r="Z145" i="17"/>
  <c r="AD145" i="17"/>
  <c r="AE145" i="17" s="1"/>
  <c r="AG145" i="17"/>
  <c r="O146" i="17"/>
  <c r="P146" i="17"/>
  <c r="Q146" i="17"/>
  <c r="R146" i="17"/>
  <c r="S146" i="17"/>
  <c r="T146" i="17"/>
  <c r="U146" i="17"/>
  <c r="V146" i="17"/>
  <c r="W146" i="17"/>
  <c r="X146" i="17"/>
  <c r="Y146" i="17"/>
  <c r="Z146" i="17"/>
  <c r="AD146" i="17"/>
  <c r="AG146" i="17"/>
  <c r="O147" i="17"/>
  <c r="O148" i="17" s="1"/>
  <c r="P147" i="17"/>
  <c r="Q147" i="17"/>
  <c r="R147" i="17"/>
  <c r="S147" i="17"/>
  <c r="T147" i="17"/>
  <c r="U147" i="17"/>
  <c r="V147" i="17"/>
  <c r="W147" i="17"/>
  <c r="X147" i="17"/>
  <c r="Y147" i="17"/>
  <c r="Z147" i="17"/>
  <c r="AD147" i="17"/>
  <c r="AG147" i="17"/>
  <c r="AA152" i="17"/>
  <c r="AF152" i="17"/>
  <c r="AF153" i="17"/>
  <c r="AA154" i="17"/>
  <c r="AF155" i="17"/>
  <c r="AA156" i="17"/>
  <c r="AF156" i="17" s="1"/>
  <c r="AF157" i="17"/>
  <c r="AA159" i="17"/>
  <c r="AF160" i="17"/>
  <c r="AA161" i="17"/>
  <c r="AF161" i="17" s="1"/>
  <c r="AF162" i="17"/>
  <c r="AA163" i="17"/>
  <c r="AF163" i="17" s="1"/>
  <c r="AF164" i="17"/>
  <c r="AA165" i="17"/>
  <c r="AF166" i="17"/>
  <c r="AA167" i="17"/>
  <c r="AA168" i="17" s="1"/>
  <c r="O168" i="17"/>
  <c r="P168" i="17"/>
  <c r="Q168" i="17"/>
  <c r="R168" i="17"/>
  <c r="S168" i="17"/>
  <c r="T168" i="17"/>
  <c r="U168" i="17"/>
  <c r="V168" i="17"/>
  <c r="W168" i="17"/>
  <c r="X168" i="17"/>
  <c r="Y168" i="17"/>
  <c r="Z168" i="17"/>
  <c r="AD168" i="17"/>
  <c r="AG168" i="17"/>
  <c r="AA170" i="17"/>
  <c r="AE92" i="16"/>
  <c r="AE93" i="16"/>
  <c r="AE98" i="16"/>
  <c r="AE99" i="16"/>
  <c r="AE118" i="16"/>
  <c r="AE63" i="16"/>
  <c r="AE64" i="16"/>
  <c r="AE65" i="16"/>
  <c r="AE66" i="16"/>
  <c r="AE67" i="16"/>
  <c r="AE36" i="16"/>
  <c r="AE42" i="16"/>
  <c r="AA46" i="16"/>
  <c r="AF46" i="16" s="1"/>
  <c r="AE46" i="16"/>
  <c r="AE51" i="16"/>
  <c r="AA55" i="16"/>
  <c r="AE55" i="16"/>
  <c r="AE35" i="69"/>
  <c r="AE38" i="69"/>
  <c r="AE41" i="69"/>
  <c r="AE42" i="69"/>
  <c r="AE43" i="69"/>
  <c r="AE47" i="69"/>
  <c r="AE49" i="69"/>
  <c r="AE54" i="69"/>
  <c r="AA35" i="70"/>
  <c r="AE35" i="70"/>
  <c r="AA36" i="70"/>
  <c r="AE36" i="70"/>
  <c r="AA37" i="70"/>
  <c r="AB37" i="70" s="1"/>
  <c r="AE37" i="70"/>
  <c r="AA38" i="70"/>
  <c r="AE38" i="70"/>
  <c r="AA39" i="70"/>
  <c r="AF39" i="70" s="1"/>
  <c r="AE39" i="70"/>
  <c r="AA40" i="70"/>
  <c r="AF40" i="70" s="1"/>
  <c r="AA41" i="70"/>
  <c r="AA42" i="70" s="1"/>
  <c r="AE41" i="70"/>
  <c r="O43" i="70"/>
  <c r="O44" i="70" s="1"/>
  <c r="P43" i="70"/>
  <c r="P44" i="70" s="1"/>
  <c r="Q43" i="70"/>
  <c r="Q44" i="70" s="1"/>
  <c r="R43" i="70"/>
  <c r="R44" i="70" s="1"/>
  <c r="S43" i="70"/>
  <c r="T43" i="70"/>
  <c r="T44" i="70" s="1"/>
  <c r="U43" i="70"/>
  <c r="U44" i="70" s="1"/>
  <c r="V43" i="70"/>
  <c r="V44" i="70" s="1"/>
  <c r="W43" i="70"/>
  <c r="W44" i="70" s="1"/>
  <c r="X43" i="70"/>
  <c r="X44" i="70" s="1"/>
  <c r="Y43" i="70"/>
  <c r="Y44" i="70" s="1"/>
  <c r="Z43" i="70"/>
  <c r="Z44" i="70" s="1"/>
  <c r="AD43" i="70"/>
  <c r="AG43" i="70"/>
  <c r="S44" i="70"/>
  <c r="AE44" i="70"/>
  <c r="AA45" i="70"/>
  <c r="AB45" i="70" s="1"/>
  <c r="AA46" i="70"/>
  <c r="AF46" i="70" s="1"/>
  <c r="AB46" i="70"/>
  <c r="AE46" i="70"/>
  <c r="AA47" i="70"/>
  <c r="AB47" i="70" s="1"/>
  <c r="AE47" i="70"/>
  <c r="AF47" i="70"/>
  <c r="AA48" i="70"/>
  <c r="AB48" i="70" s="1"/>
  <c r="AE48" i="70"/>
  <c r="AF48" i="70"/>
  <c r="AA49" i="70"/>
  <c r="AB49" i="70" s="1"/>
  <c r="AA50" i="70"/>
  <c r="AF50" i="70" s="1"/>
  <c r="AA51" i="70"/>
  <c r="AB51" i="70" s="1"/>
  <c r="AE51" i="70"/>
  <c r="O53" i="70"/>
  <c r="O54" i="70" s="1"/>
  <c r="P53" i="70"/>
  <c r="P54" i="70" s="1"/>
  <c r="Q53" i="70"/>
  <c r="Q54" i="70" s="1"/>
  <c r="R53" i="70"/>
  <c r="R54" i="70" s="1"/>
  <c r="S53" i="70"/>
  <c r="S54" i="70" s="1"/>
  <c r="T53" i="70"/>
  <c r="T54" i="70" s="1"/>
  <c r="U53" i="70"/>
  <c r="U54" i="70" s="1"/>
  <c r="V53" i="70"/>
  <c r="V54" i="70" s="1"/>
  <c r="W53" i="70"/>
  <c r="W54" i="70" s="1"/>
  <c r="X53" i="70"/>
  <c r="X54" i="70" s="1"/>
  <c r="Y53" i="70"/>
  <c r="Z53" i="70"/>
  <c r="Z54" i="70" s="1"/>
  <c r="AD53" i="70"/>
  <c r="AE54" i="70" s="1"/>
  <c r="AG53" i="70"/>
  <c r="Y54" i="70"/>
  <c r="AA55" i="70"/>
  <c r="AA56" i="70"/>
  <c r="AA57" i="70"/>
  <c r="AE57" i="70"/>
  <c r="AA58" i="70"/>
  <c r="AE58" i="70"/>
  <c r="AA59" i="70"/>
  <c r="AA60" i="70"/>
  <c r="AF60" i="70" s="1"/>
  <c r="AA61" i="70"/>
  <c r="AE61" i="70"/>
  <c r="O63" i="70"/>
  <c r="O64" i="70" s="1"/>
  <c r="P63" i="70"/>
  <c r="P64" i="70" s="1"/>
  <c r="Q63" i="70"/>
  <c r="Q64" i="70" s="1"/>
  <c r="R63" i="70"/>
  <c r="R64" i="70" s="1"/>
  <c r="S63" i="70"/>
  <c r="S64" i="70" s="1"/>
  <c r="T63" i="70"/>
  <c r="T64" i="70" s="1"/>
  <c r="U63" i="70"/>
  <c r="U64" i="70" s="1"/>
  <c r="V63" i="70"/>
  <c r="W63" i="70"/>
  <c r="W64" i="70" s="1"/>
  <c r="X63" i="70"/>
  <c r="X64" i="70" s="1"/>
  <c r="Y63" i="70"/>
  <c r="Y64" i="70" s="1"/>
  <c r="Z63" i="70"/>
  <c r="AD63" i="70"/>
  <c r="AE64" i="70" s="1"/>
  <c r="AG63" i="70"/>
  <c r="V64" i="70"/>
  <c r="Z64" i="70"/>
  <c r="AA65" i="70"/>
  <c r="AF65" i="70" s="1"/>
  <c r="AA66" i="70"/>
  <c r="AF66" i="70" s="1"/>
  <c r="AA67" i="70"/>
  <c r="AF67" i="70" s="1"/>
  <c r="AB67" i="70"/>
  <c r="AE67" i="70"/>
  <c r="AA68" i="70"/>
  <c r="AF68" i="70" s="1"/>
  <c r="AB68" i="70"/>
  <c r="AE68" i="70"/>
  <c r="AA69" i="70"/>
  <c r="AF69" i="70" s="1"/>
  <c r="AA70" i="70"/>
  <c r="AF70" i="70" s="1"/>
  <c r="AE70" i="70"/>
  <c r="O72" i="70"/>
  <c r="O73" i="70" s="1"/>
  <c r="P72" i="70"/>
  <c r="P73" i="70" s="1"/>
  <c r="Q72" i="70"/>
  <c r="Q73" i="70" s="1"/>
  <c r="R72" i="70"/>
  <c r="R73" i="70" s="1"/>
  <c r="S72" i="70"/>
  <c r="S73" i="70" s="1"/>
  <c r="T72" i="70"/>
  <c r="T73" i="70" s="1"/>
  <c r="U72" i="70"/>
  <c r="U73" i="70" s="1"/>
  <c r="V72" i="70"/>
  <c r="V73" i="70" s="1"/>
  <c r="W72" i="70"/>
  <c r="W73" i="70" s="1"/>
  <c r="X72" i="70"/>
  <c r="X73" i="70" s="1"/>
  <c r="Y72" i="70"/>
  <c r="Y73" i="70" s="1"/>
  <c r="Z72" i="70"/>
  <c r="Z73" i="70" s="1"/>
  <c r="AD72" i="70"/>
  <c r="AE73" i="70" s="1"/>
  <c r="AG72" i="70"/>
  <c r="AA74" i="70"/>
  <c r="AE74" i="70"/>
  <c r="AA75" i="70"/>
  <c r="AB75" i="70" s="1"/>
  <c r="AE75" i="70"/>
  <c r="AA76" i="70"/>
  <c r="AE76" i="70"/>
  <c r="O78" i="70"/>
  <c r="O79" i="70" s="1"/>
  <c r="P78" i="70"/>
  <c r="P79" i="70" s="1"/>
  <c r="Q78" i="70"/>
  <c r="Q79" i="70" s="1"/>
  <c r="R78" i="70"/>
  <c r="R79" i="70" s="1"/>
  <c r="S78" i="70"/>
  <c r="S79" i="70" s="1"/>
  <c r="T78" i="70"/>
  <c r="T79" i="70" s="1"/>
  <c r="U78" i="70"/>
  <c r="U79" i="70" s="1"/>
  <c r="V78" i="70"/>
  <c r="W78" i="70"/>
  <c r="W79" i="70" s="1"/>
  <c r="X78" i="70"/>
  <c r="X79" i="70" s="1"/>
  <c r="Y78" i="70"/>
  <c r="Y79" i="70" s="1"/>
  <c r="Z78" i="70"/>
  <c r="AD78" i="70"/>
  <c r="AE79" i="70" s="1"/>
  <c r="AG78" i="70"/>
  <c r="V79" i="70"/>
  <c r="Z79" i="70"/>
  <c r="AA80" i="70"/>
  <c r="AF80" i="70" s="1"/>
  <c r="AE80" i="70"/>
  <c r="AA82" i="70"/>
  <c r="AF82" i="70" s="1"/>
  <c r="AA83" i="70"/>
  <c r="AA88" i="70"/>
  <c r="AB88" i="70" s="1"/>
  <c r="AE88" i="70"/>
  <c r="AA89" i="70"/>
  <c r="AB89" i="70" s="1"/>
  <c r="AE89" i="70"/>
  <c r="AA90" i="70"/>
  <c r="AF90" i="70" s="1"/>
  <c r="AA91" i="70"/>
  <c r="AF91" i="70" s="1"/>
  <c r="AA92" i="70"/>
  <c r="AF92" i="70" s="1"/>
  <c r="AA95" i="70"/>
  <c r="AF95" i="70" s="1"/>
  <c r="AE95" i="70"/>
  <c r="AA96" i="70"/>
  <c r="AB96" i="70" s="1"/>
  <c r="AE96" i="70"/>
  <c r="AA97" i="70"/>
  <c r="AF97" i="70" s="1"/>
  <c r="AE97" i="70"/>
  <c r="AA98" i="70"/>
  <c r="AB98" i="70"/>
  <c r="AE98" i="70"/>
  <c r="AF98" i="70"/>
  <c r="AA99" i="70"/>
  <c r="AF99" i="70" s="1"/>
  <c r="AE99" i="70"/>
  <c r="AA102" i="70"/>
  <c r="AB102" i="70" s="1"/>
  <c r="AE102" i="70"/>
  <c r="AA103" i="70"/>
  <c r="AF103" i="70" s="1"/>
  <c r="AB103" i="70"/>
  <c r="AE103" i="70"/>
  <c r="AA104" i="70"/>
  <c r="AF104" i="70" s="1"/>
  <c r="AE104" i="70"/>
  <c r="AA105" i="70"/>
  <c r="AB105" i="70" s="1"/>
  <c r="AE105" i="70"/>
  <c r="AA106" i="70"/>
  <c r="AF106" i="70" s="1"/>
  <c r="AE106" i="70"/>
  <c r="AA35" i="68"/>
  <c r="AF35" i="68" s="1"/>
  <c r="AA36" i="68"/>
  <c r="AF36" i="68" s="1"/>
  <c r="AE36" i="68"/>
  <c r="AA37" i="68"/>
  <c r="AB37" i="68" s="1"/>
  <c r="AE37" i="68"/>
  <c r="AA38" i="68"/>
  <c r="AF38" i="68" s="1"/>
  <c r="AE38" i="68"/>
  <c r="AA39" i="68"/>
  <c r="AF39" i="68" s="1"/>
  <c r="AA40" i="68"/>
  <c r="AF40" i="68" s="1"/>
  <c r="AA41" i="68"/>
  <c r="AF41" i="68" s="1"/>
  <c r="AE41" i="68"/>
  <c r="O43" i="68"/>
  <c r="O44" i="68" s="1"/>
  <c r="P43" i="68"/>
  <c r="P44" i="68" s="1"/>
  <c r="Q43" i="68"/>
  <c r="Q44" i="68" s="1"/>
  <c r="R43" i="68"/>
  <c r="R44" i="68" s="1"/>
  <c r="S43" i="68"/>
  <c r="T43" i="68"/>
  <c r="T44" i="68" s="1"/>
  <c r="U43" i="68"/>
  <c r="U44" i="68" s="1"/>
  <c r="V43" i="68"/>
  <c r="V44" i="68" s="1"/>
  <c r="W43" i="68"/>
  <c r="X43" i="68"/>
  <c r="X44" i="68" s="1"/>
  <c r="Y43" i="68"/>
  <c r="Y44" i="68" s="1"/>
  <c r="Z43" i="68"/>
  <c r="Z44" i="68" s="1"/>
  <c r="AD43" i="68"/>
  <c r="AE44" i="68" s="1"/>
  <c r="AG43" i="68"/>
  <c r="S44" i="68"/>
  <c r="W44" i="68"/>
  <c r="AA45" i="68"/>
  <c r="AA46" i="68"/>
  <c r="AA47" i="68"/>
  <c r="AA48" i="68"/>
  <c r="AA49" i="68"/>
  <c r="AA50" i="68"/>
  <c r="AF50" i="68" s="1"/>
  <c r="AA51" i="68"/>
  <c r="AE51" i="68"/>
  <c r="O53" i="68"/>
  <c r="O54" i="68" s="1"/>
  <c r="P53" i="68"/>
  <c r="Q53" i="68"/>
  <c r="Q54" i="68" s="1"/>
  <c r="R53" i="68"/>
  <c r="R54" i="68" s="1"/>
  <c r="S53" i="68"/>
  <c r="S54" i="68" s="1"/>
  <c r="T53" i="68"/>
  <c r="T54" i="68" s="1"/>
  <c r="U53" i="68"/>
  <c r="U54" i="68" s="1"/>
  <c r="V53" i="68"/>
  <c r="W53" i="68"/>
  <c r="W54" i="68" s="1"/>
  <c r="X53" i="68"/>
  <c r="X54" i="68" s="1"/>
  <c r="Y53" i="68"/>
  <c r="Y54" i="68" s="1"/>
  <c r="Z53" i="68"/>
  <c r="Z54" i="68" s="1"/>
  <c r="AD53" i="68"/>
  <c r="AE54" i="68" s="1"/>
  <c r="AG53" i="68"/>
  <c r="P54" i="68"/>
  <c r="V54" i="68"/>
  <c r="AA55" i="68"/>
  <c r="AF55" i="68" s="1"/>
  <c r="AA56" i="68"/>
  <c r="AF56" i="68"/>
  <c r="AA57" i="68"/>
  <c r="AF57" i="68" s="1"/>
  <c r="AA58" i="68"/>
  <c r="AF58" i="68" s="1"/>
  <c r="AE58" i="68"/>
  <c r="AA59" i="68"/>
  <c r="AF59" i="68" s="1"/>
  <c r="AA60" i="68"/>
  <c r="AF60" i="68" s="1"/>
  <c r="AA61" i="68"/>
  <c r="AA62" i="68" s="1"/>
  <c r="AF62" i="68" s="1"/>
  <c r="AE61" i="68"/>
  <c r="O63" i="68"/>
  <c r="O64" i="68" s="1"/>
  <c r="P63" i="68"/>
  <c r="P64" i="68" s="1"/>
  <c r="Q63" i="68"/>
  <c r="Q64" i="68" s="1"/>
  <c r="R63" i="68"/>
  <c r="S63" i="68"/>
  <c r="S64" i="68" s="1"/>
  <c r="T63" i="68"/>
  <c r="T64" i="68" s="1"/>
  <c r="U63" i="68"/>
  <c r="U64" i="68" s="1"/>
  <c r="V63" i="68"/>
  <c r="V64" i="68" s="1"/>
  <c r="W63" i="68"/>
  <c r="W64" i="68" s="1"/>
  <c r="X63" i="68"/>
  <c r="X64" i="68" s="1"/>
  <c r="Y63" i="68"/>
  <c r="Y64" i="68" s="1"/>
  <c r="Z63" i="68"/>
  <c r="AD63" i="68"/>
  <c r="AE64" i="68" s="1"/>
  <c r="AG63" i="68"/>
  <c r="R64" i="68"/>
  <c r="Z64" i="68"/>
  <c r="AA65" i="68"/>
  <c r="AA66" i="68"/>
  <c r="AA67" i="68"/>
  <c r="AA68" i="68"/>
  <c r="AE68" i="68"/>
  <c r="AA69" i="68"/>
  <c r="AA70" i="68"/>
  <c r="AE70" i="68"/>
  <c r="O72" i="68"/>
  <c r="O73" i="68" s="1"/>
  <c r="P72" i="68"/>
  <c r="Q72" i="68"/>
  <c r="Q73" i="68" s="1"/>
  <c r="R72" i="68"/>
  <c r="R73" i="68" s="1"/>
  <c r="S72" i="68"/>
  <c r="T72" i="68"/>
  <c r="T73" i="68" s="1"/>
  <c r="U72" i="68"/>
  <c r="U73" i="68" s="1"/>
  <c r="V72" i="68"/>
  <c r="V73" i="68" s="1"/>
  <c r="W72" i="68"/>
  <c r="W73" i="68" s="1"/>
  <c r="X72" i="68"/>
  <c r="Y72" i="68"/>
  <c r="Y73" i="68" s="1"/>
  <c r="Z72" i="68"/>
  <c r="Z73" i="68" s="1"/>
  <c r="AD72" i="68"/>
  <c r="AG72" i="68"/>
  <c r="P73" i="68"/>
  <c r="S73" i="68"/>
  <c r="X73" i="68"/>
  <c r="AE73" i="68"/>
  <c r="AA74" i="68"/>
  <c r="AF74" i="68" s="1"/>
  <c r="AE74" i="68"/>
  <c r="AA75" i="68"/>
  <c r="AE75" i="68"/>
  <c r="AF75" i="68"/>
  <c r="AA76" i="68"/>
  <c r="AF76" i="68" s="1"/>
  <c r="AE76" i="68"/>
  <c r="O78" i="68"/>
  <c r="O79" i="68" s="1"/>
  <c r="P78" i="68"/>
  <c r="Q78" i="68"/>
  <c r="R78" i="68"/>
  <c r="R79" i="68" s="1"/>
  <c r="S78" i="68"/>
  <c r="S79" i="68" s="1"/>
  <c r="T78" i="68"/>
  <c r="T79" i="68" s="1"/>
  <c r="U78" i="68"/>
  <c r="U79" i="68" s="1"/>
  <c r="V78" i="68"/>
  <c r="V79" i="68" s="1"/>
  <c r="W78" i="68"/>
  <c r="W79" i="68" s="1"/>
  <c r="X78" i="68"/>
  <c r="Y78" i="68"/>
  <c r="Y79" i="68" s="1"/>
  <c r="Z78" i="68"/>
  <c r="Z79" i="68" s="1"/>
  <c r="AA78" i="68"/>
  <c r="AD78" i="68"/>
  <c r="AE79" i="68" s="1"/>
  <c r="AG78" i="68"/>
  <c r="P79" i="68"/>
  <c r="Q79" i="68"/>
  <c r="X79" i="68"/>
  <c r="AA80" i="68"/>
  <c r="AE80" i="68"/>
  <c r="AA82" i="68"/>
  <c r="AA83" i="68"/>
  <c r="AA88" i="68"/>
  <c r="AE88" i="68"/>
  <c r="AA89" i="68"/>
  <c r="AA90" i="68"/>
  <c r="AA91" i="68"/>
  <c r="AA92" i="68"/>
  <c r="AA95" i="68"/>
  <c r="AB95" i="68" s="1"/>
  <c r="AE95" i="68"/>
  <c r="AA96" i="68"/>
  <c r="AA97" i="68"/>
  <c r="AA98" i="68"/>
  <c r="AA99" i="68"/>
  <c r="AA102" i="68"/>
  <c r="AE102" i="68"/>
  <c r="AA103" i="68"/>
  <c r="AA104" i="68"/>
  <c r="AE104" i="68"/>
  <c r="AA105" i="68"/>
  <c r="AE105" i="68"/>
  <c r="AA106" i="68"/>
  <c r="AE38" i="67"/>
  <c r="AE41" i="67"/>
  <c r="AE42" i="67"/>
  <c r="AE47" i="67"/>
  <c r="AE49" i="67"/>
  <c r="AE54" i="67"/>
  <c r="AA35" i="66"/>
  <c r="AA36" i="66"/>
  <c r="AE36" i="66"/>
  <c r="AA37" i="66"/>
  <c r="AB37" i="66" s="1"/>
  <c r="AE37" i="66"/>
  <c r="AA38" i="66"/>
  <c r="AE38" i="66"/>
  <c r="AA39" i="66"/>
  <c r="AA40" i="66"/>
  <c r="AF40" i="66" s="1"/>
  <c r="AA41" i="66"/>
  <c r="AE41" i="66"/>
  <c r="O43" i="66"/>
  <c r="O44" i="66" s="1"/>
  <c r="P43" i="66"/>
  <c r="P44" i="66" s="1"/>
  <c r="Q43" i="66"/>
  <c r="Q44" i="66" s="1"/>
  <c r="R43" i="66"/>
  <c r="R44" i="66" s="1"/>
  <c r="S43" i="66"/>
  <c r="S44" i="66" s="1"/>
  <c r="T43" i="66"/>
  <c r="U43" i="66"/>
  <c r="U44" i="66" s="1"/>
  <c r="V43" i="66"/>
  <c r="V44" i="66" s="1"/>
  <c r="W43" i="66"/>
  <c r="W44" i="66" s="1"/>
  <c r="X43" i="66"/>
  <c r="X44" i="66" s="1"/>
  <c r="Y43" i="66"/>
  <c r="Y44" i="66" s="1"/>
  <c r="Z43" i="66"/>
  <c r="AD43" i="66"/>
  <c r="AE44" i="66" s="1"/>
  <c r="AG43" i="66"/>
  <c r="T44" i="66"/>
  <c r="Z44" i="66"/>
  <c r="AA45" i="66"/>
  <c r="AF45" i="66" s="1"/>
  <c r="AA46" i="66"/>
  <c r="AF46" i="66" s="1"/>
  <c r="AA47" i="66"/>
  <c r="AF47" i="66" s="1"/>
  <c r="AA48" i="66"/>
  <c r="AF48" i="66" s="1"/>
  <c r="AA49" i="66"/>
  <c r="AF49" i="66"/>
  <c r="AA50" i="66"/>
  <c r="AF50" i="66" s="1"/>
  <c r="AA51" i="66"/>
  <c r="AF51" i="66" s="1"/>
  <c r="AE51" i="66"/>
  <c r="O53" i="66"/>
  <c r="O54" i="66" s="1"/>
  <c r="P53" i="66"/>
  <c r="P54" i="66" s="1"/>
  <c r="Q53" i="66"/>
  <c r="Q54" i="66" s="1"/>
  <c r="R53" i="66"/>
  <c r="R54" i="66" s="1"/>
  <c r="S53" i="66"/>
  <c r="S54" i="66" s="1"/>
  <c r="T53" i="66"/>
  <c r="T54" i="66" s="1"/>
  <c r="U53" i="66"/>
  <c r="U54" i="66" s="1"/>
  <c r="V53" i="66"/>
  <c r="V54" i="66" s="1"/>
  <c r="W53" i="66"/>
  <c r="X53" i="66"/>
  <c r="X54" i="66" s="1"/>
  <c r="Y53" i="66"/>
  <c r="Y54" i="66" s="1"/>
  <c r="Z53" i="66"/>
  <c r="Z54" i="66" s="1"/>
  <c r="AD53" i="66"/>
  <c r="AE54" i="66" s="1"/>
  <c r="AG53" i="66"/>
  <c r="W54" i="66"/>
  <c r="AA55" i="66"/>
  <c r="AA56" i="66"/>
  <c r="AA57" i="66"/>
  <c r="AA58" i="66"/>
  <c r="AE58" i="66"/>
  <c r="AA59" i="66"/>
  <c r="AA60" i="66"/>
  <c r="AF60" i="66" s="1"/>
  <c r="AA61" i="66"/>
  <c r="AE61" i="66"/>
  <c r="O63" i="66"/>
  <c r="O64" i="66" s="1"/>
  <c r="P63" i="66"/>
  <c r="P64" i="66" s="1"/>
  <c r="Q63" i="66"/>
  <c r="Q64" i="66" s="1"/>
  <c r="R63" i="66"/>
  <c r="R64" i="66" s="1"/>
  <c r="S63" i="66"/>
  <c r="S64" i="66" s="1"/>
  <c r="T63" i="66"/>
  <c r="T64" i="66" s="1"/>
  <c r="U63" i="66"/>
  <c r="U64" i="66" s="1"/>
  <c r="V63" i="66"/>
  <c r="V64" i="66" s="1"/>
  <c r="W63" i="66"/>
  <c r="W64" i="66" s="1"/>
  <c r="X63" i="66"/>
  <c r="X64" i="66" s="1"/>
  <c r="Y63" i="66"/>
  <c r="Y64" i="66" s="1"/>
  <c r="Z63" i="66"/>
  <c r="Z64" i="66" s="1"/>
  <c r="AD63" i="66"/>
  <c r="AG63" i="66"/>
  <c r="AE64" i="66"/>
  <c r="AA65" i="66"/>
  <c r="AF65" i="66" s="1"/>
  <c r="AA66" i="66"/>
  <c r="AF66" i="66" s="1"/>
  <c r="AA67" i="66"/>
  <c r="AF67" i="66" s="1"/>
  <c r="AA68" i="66"/>
  <c r="AF68" i="66" s="1"/>
  <c r="AE68" i="66"/>
  <c r="AA69" i="66"/>
  <c r="AF69" i="66" s="1"/>
  <c r="AA70" i="66"/>
  <c r="AF70" i="66" s="1"/>
  <c r="AE70" i="66"/>
  <c r="O72" i="66"/>
  <c r="O73" i="66" s="1"/>
  <c r="P72" i="66"/>
  <c r="P73" i="66" s="1"/>
  <c r="Q72" i="66"/>
  <c r="R72" i="66"/>
  <c r="R73" i="66" s="1"/>
  <c r="S72" i="66"/>
  <c r="T72" i="66"/>
  <c r="U72" i="66"/>
  <c r="U73" i="66" s="1"/>
  <c r="V72" i="66"/>
  <c r="V73" i="66" s="1"/>
  <c r="W72" i="66"/>
  <c r="W73" i="66" s="1"/>
  <c r="X72" i="66"/>
  <c r="X73" i="66" s="1"/>
  <c r="Y72" i="66"/>
  <c r="Y73" i="66" s="1"/>
  <c r="Z72" i="66"/>
  <c r="Z73" i="66" s="1"/>
  <c r="AD72" i="66"/>
  <c r="AG72" i="66"/>
  <c r="Q73" i="66"/>
  <c r="S73" i="66"/>
  <c r="T73" i="66"/>
  <c r="AE73" i="66"/>
  <c r="AA74" i="66"/>
  <c r="AE74" i="66"/>
  <c r="AA75" i="66"/>
  <c r="AE75" i="66"/>
  <c r="AA76" i="66"/>
  <c r="AA78" i="66" s="1"/>
  <c r="AE76" i="66"/>
  <c r="O78" i="66"/>
  <c r="O79" i="66" s="1"/>
  <c r="P78" i="66"/>
  <c r="P79" i="66" s="1"/>
  <c r="Q78" i="66"/>
  <c r="Q79" i="66" s="1"/>
  <c r="R78" i="66"/>
  <c r="R79" i="66" s="1"/>
  <c r="S78" i="66"/>
  <c r="S79" i="66" s="1"/>
  <c r="T78" i="66"/>
  <c r="U78" i="66"/>
  <c r="U79" i="66" s="1"/>
  <c r="V78" i="66"/>
  <c r="V79" i="66" s="1"/>
  <c r="W78" i="66"/>
  <c r="W79" i="66" s="1"/>
  <c r="X78" i="66"/>
  <c r="X79" i="66" s="1"/>
  <c r="Y78" i="66"/>
  <c r="Y79" i="66" s="1"/>
  <c r="Z78" i="66"/>
  <c r="Z79" i="66" s="1"/>
  <c r="AD78" i="66"/>
  <c r="AE79" i="66" s="1"/>
  <c r="AG78" i="66"/>
  <c r="T79" i="66"/>
  <c r="AA80" i="66"/>
  <c r="AF80" i="66" s="1"/>
  <c r="AE80" i="66"/>
  <c r="AA82" i="66"/>
  <c r="AF82" i="66" s="1"/>
  <c r="AA83" i="66"/>
  <c r="AF83" i="66"/>
  <c r="AA84" i="66"/>
  <c r="AA89" i="66"/>
  <c r="AF89" i="66" s="1"/>
  <c r="AA90" i="66"/>
  <c r="AF90" i="66" s="1"/>
  <c r="AA91" i="66"/>
  <c r="AF91" i="66" s="1"/>
  <c r="O92" i="66"/>
  <c r="P92" i="66"/>
  <c r="Q92" i="66"/>
  <c r="R92" i="66"/>
  <c r="S92" i="66"/>
  <c r="T92" i="66"/>
  <c r="U92" i="66"/>
  <c r="V92" i="66"/>
  <c r="W92" i="66"/>
  <c r="X92" i="66"/>
  <c r="Y92" i="66"/>
  <c r="Z92" i="66"/>
  <c r="AD92" i="66"/>
  <c r="AG92" i="66"/>
  <c r="O93" i="66"/>
  <c r="P93" i="66"/>
  <c r="Q93" i="66"/>
  <c r="R93" i="66"/>
  <c r="S93" i="66"/>
  <c r="T93" i="66"/>
  <c r="U93" i="66"/>
  <c r="V93" i="66"/>
  <c r="W93" i="66"/>
  <c r="X93" i="66"/>
  <c r="Y93" i="66"/>
  <c r="Z93" i="66"/>
  <c r="AD93" i="66"/>
  <c r="AG93" i="66"/>
  <c r="O94" i="66"/>
  <c r="P94" i="66"/>
  <c r="Q94" i="66"/>
  <c r="R94" i="66"/>
  <c r="S94" i="66"/>
  <c r="T94" i="66"/>
  <c r="U94" i="66"/>
  <c r="V94" i="66"/>
  <c r="W94" i="66"/>
  <c r="X94" i="66"/>
  <c r="Y94" i="66"/>
  <c r="Z94" i="66"/>
  <c r="AD94" i="66"/>
  <c r="AG94" i="66"/>
  <c r="AA98" i="66"/>
  <c r="AF98" i="66" s="1"/>
  <c r="AE98" i="66"/>
  <c r="AA99" i="66"/>
  <c r="AF99" i="66" s="1"/>
  <c r="AA100" i="66"/>
  <c r="AF100" i="66" s="1"/>
  <c r="AA101" i="66"/>
  <c r="AF101" i="66"/>
  <c r="AA102" i="66"/>
  <c r="AF102" i="66" s="1"/>
  <c r="AA105" i="66"/>
  <c r="AB105" i="66" s="1"/>
  <c r="AE105" i="66"/>
  <c r="AA106" i="66"/>
  <c r="AF106" i="66" s="1"/>
  <c r="AA107" i="66"/>
  <c r="AF107" i="66" s="1"/>
  <c r="AA108" i="66"/>
  <c r="AF108" i="66" s="1"/>
  <c r="AA109" i="66"/>
  <c r="AF109" i="66" s="1"/>
  <c r="AA112" i="66"/>
  <c r="AF112" i="66" s="1"/>
  <c r="AE112" i="66"/>
  <c r="AA113" i="66"/>
  <c r="AF113" i="66" s="1"/>
  <c r="AA114" i="66"/>
  <c r="AF114" i="66" s="1"/>
  <c r="AE114" i="66"/>
  <c r="AA115" i="66"/>
  <c r="AF115" i="66" s="1"/>
  <c r="AE115" i="66"/>
  <c r="AA116" i="66"/>
  <c r="AF116" i="66" s="1"/>
  <c r="O118" i="66"/>
  <c r="P118" i="66"/>
  <c r="Q118" i="66"/>
  <c r="R118" i="66"/>
  <c r="R122" i="66" s="1"/>
  <c r="R123" i="66" s="1"/>
  <c r="S118" i="66"/>
  <c r="T118" i="66"/>
  <c r="T122" i="66" s="1"/>
  <c r="T123" i="66" s="1"/>
  <c r="U118" i="66"/>
  <c r="V118" i="66"/>
  <c r="W118" i="66"/>
  <c r="X118" i="66"/>
  <c r="Y118" i="66"/>
  <c r="Z118" i="66"/>
  <c r="AD118" i="66"/>
  <c r="AE118" i="66"/>
  <c r="AG118" i="66"/>
  <c r="O119" i="66"/>
  <c r="P119" i="66"/>
  <c r="Q119" i="66"/>
  <c r="R119" i="66"/>
  <c r="S119" i="66"/>
  <c r="T119" i="66"/>
  <c r="U119" i="66"/>
  <c r="V119" i="66"/>
  <c r="W119" i="66"/>
  <c r="X119" i="66"/>
  <c r="Y119" i="66"/>
  <c r="Z119" i="66"/>
  <c r="AD119" i="66"/>
  <c r="AG119" i="66"/>
  <c r="O120" i="66"/>
  <c r="P120" i="66"/>
  <c r="Q120" i="66"/>
  <c r="R120" i="66"/>
  <c r="S120" i="66"/>
  <c r="T120" i="66"/>
  <c r="U120" i="66"/>
  <c r="V120" i="66"/>
  <c r="W120" i="66"/>
  <c r="X120" i="66"/>
  <c r="Y120" i="66"/>
  <c r="Z120" i="66"/>
  <c r="AD120" i="66"/>
  <c r="AG120" i="66"/>
  <c r="O121" i="66"/>
  <c r="P121" i="66"/>
  <c r="Q121" i="66"/>
  <c r="R121" i="66"/>
  <c r="S121" i="66"/>
  <c r="T121" i="66"/>
  <c r="U121" i="66"/>
  <c r="V121" i="66"/>
  <c r="W121" i="66"/>
  <c r="X121" i="66"/>
  <c r="Y121" i="66"/>
  <c r="Z121" i="66"/>
  <c r="AD121" i="66"/>
  <c r="AG121" i="66"/>
  <c r="AA126" i="66"/>
  <c r="AF126" i="66"/>
  <c r="AF127" i="66"/>
  <c r="AA128" i="66"/>
  <c r="AF128" i="66" s="1"/>
  <c r="AF129" i="66"/>
  <c r="AA130" i="66"/>
  <c r="AF130" i="66" s="1"/>
  <c r="AF131" i="66"/>
  <c r="AA132" i="66"/>
  <c r="AF132" i="66"/>
  <c r="AF133" i="66"/>
  <c r="AA134" i="66"/>
  <c r="AF134" i="66" s="1"/>
  <c r="AF135" i="66"/>
  <c r="AA136" i="66"/>
  <c r="AF136" i="66" s="1"/>
  <c r="AE89" i="65"/>
  <c r="AE91" i="65"/>
  <c r="AE92" i="65"/>
  <c r="AE93" i="65"/>
  <c r="AE94" i="65"/>
  <c r="AE78" i="65"/>
  <c r="AE81" i="65"/>
  <c r="AE84" i="65"/>
  <c r="AE63" i="65"/>
  <c r="AE64" i="65"/>
  <c r="AE65" i="65"/>
  <c r="AE66" i="65"/>
  <c r="AE67" i="65"/>
  <c r="AE38" i="65"/>
  <c r="AE41" i="65"/>
  <c r="AE42" i="65"/>
  <c r="AE47" i="65"/>
  <c r="AE49" i="65"/>
  <c r="AE54" i="65"/>
  <c r="AE65" i="26"/>
  <c r="AE39" i="26"/>
  <c r="AH100" i="54"/>
  <c r="AH77" i="54"/>
  <c r="AE77" i="54"/>
  <c r="I101" i="54"/>
  <c r="J100" i="54"/>
  <c r="L98" i="54"/>
  <c r="N96" i="54"/>
  <c r="I93" i="54"/>
  <c r="J92" i="54"/>
  <c r="L87" i="54"/>
  <c r="N85" i="54"/>
  <c r="I82" i="54"/>
  <c r="J81" i="54"/>
  <c r="L77" i="54"/>
  <c r="L85" i="54"/>
  <c r="I80" i="54"/>
  <c r="J77" i="54"/>
  <c r="N81" i="54"/>
  <c r="L91" i="54"/>
  <c r="I100" i="54"/>
  <c r="J99" i="54"/>
  <c r="L97" i="54"/>
  <c r="N95" i="54"/>
  <c r="I92" i="54"/>
  <c r="J91" i="54"/>
  <c r="L86" i="54"/>
  <c r="N84" i="54"/>
  <c r="I81" i="54"/>
  <c r="J80" i="54"/>
  <c r="J87" i="54"/>
  <c r="N83" i="54"/>
  <c r="N97" i="54"/>
  <c r="I99" i="54"/>
  <c r="J98" i="54"/>
  <c r="L96" i="54"/>
  <c r="N94" i="54"/>
  <c r="I91" i="54"/>
  <c r="I94" i="54"/>
  <c r="N86" i="54"/>
  <c r="I83" i="54"/>
  <c r="N101" i="54"/>
  <c r="I98" i="54"/>
  <c r="J97" i="54"/>
  <c r="L95" i="54"/>
  <c r="N93" i="54"/>
  <c r="I87" i="54"/>
  <c r="J86" i="54"/>
  <c r="L84" i="54"/>
  <c r="N82" i="54"/>
  <c r="I77" i="54"/>
  <c r="N100" i="54"/>
  <c r="I97" i="54"/>
  <c r="J96" i="54"/>
  <c r="L94" i="54"/>
  <c r="N92" i="54"/>
  <c r="I86" i="54"/>
  <c r="J85" i="54"/>
  <c r="L83" i="54"/>
  <c r="J101" i="54"/>
  <c r="L99" i="54"/>
  <c r="J93" i="54"/>
  <c r="J82" i="54"/>
  <c r="L80" i="54"/>
  <c r="L101" i="54"/>
  <c r="N99" i="54"/>
  <c r="I96" i="54"/>
  <c r="J95" i="54"/>
  <c r="L93" i="54"/>
  <c r="N91" i="54"/>
  <c r="I85" i="54"/>
  <c r="J84" i="54"/>
  <c r="L82" i="54"/>
  <c r="N80" i="54"/>
  <c r="L100" i="54"/>
  <c r="N98" i="54"/>
  <c r="I95" i="54"/>
  <c r="J94" i="54"/>
  <c r="L92" i="54"/>
  <c r="N87" i="54"/>
  <c r="I84" i="54"/>
  <c r="J83" i="54"/>
  <c r="L81" i="54"/>
  <c r="N77" i="54"/>
  <c r="AF132" i="74" l="1"/>
  <c r="AI132" i="74"/>
  <c r="V62" i="72"/>
  <c r="V64" i="72"/>
  <c r="Z49" i="72"/>
  <c r="AH49" i="72" s="1"/>
  <c r="AF109" i="78"/>
  <c r="AI109" i="78"/>
  <c r="AI78" i="79"/>
  <c r="AF78" i="79"/>
  <c r="AB78" i="79"/>
  <c r="AB48" i="89"/>
  <c r="AF48" i="89"/>
  <c r="AI48" i="89"/>
  <c r="W122" i="66"/>
  <c r="W123" i="66" s="1"/>
  <c r="AF99" i="59"/>
  <c r="O61" i="37"/>
  <c r="O64" i="37" s="1"/>
  <c r="AE47" i="37"/>
  <c r="T44" i="37"/>
  <c r="AA73" i="39"/>
  <c r="AF99" i="56"/>
  <c r="AA81" i="62"/>
  <c r="AA84" i="62" s="1"/>
  <c r="AA54" i="64"/>
  <c r="AF75" i="58"/>
  <c r="AG59" i="72"/>
  <c r="AH69" i="72"/>
  <c r="Z80" i="72"/>
  <c r="AF90" i="73"/>
  <c r="AJ97" i="73"/>
  <c r="AL97" i="73" s="1"/>
  <c r="AB55" i="74"/>
  <c r="AA140" i="74"/>
  <c r="AI55" i="74"/>
  <c r="AF85" i="74"/>
  <c r="AI85" i="74"/>
  <c r="AA124" i="74"/>
  <c r="AF43" i="75"/>
  <c r="AJ43" i="75"/>
  <c r="AF38" i="75"/>
  <c r="AF51" i="75"/>
  <c r="AA74" i="75"/>
  <c r="AF74" i="75" s="1"/>
  <c r="AI77" i="76"/>
  <c r="AF77" i="76"/>
  <c r="AF109" i="76"/>
  <c r="AA41" i="77"/>
  <c r="AB39" i="77"/>
  <c r="AB117" i="77"/>
  <c r="AI117" i="77"/>
  <c r="AJ43" i="78"/>
  <c r="AF43" i="78"/>
  <c r="AI111" i="78"/>
  <c r="AF111" i="78"/>
  <c r="AF80" i="79"/>
  <c r="AA81" i="79"/>
  <c r="AI58" i="79"/>
  <c r="AF58" i="79"/>
  <c r="AF47" i="79"/>
  <c r="AB47" i="79"/>
  <c r="AF36" i="79"/>
  <c r="AI36" i="79"/>
  <c r="AB78" i="87"/>
  <c r="AF78" i="87"/>
  <c r="AI78" i="87"/>
  <c r="AI67" i="87"/>
  <c r="AB67" i="87"/>
  <c r="AB57" i="87"/>
  <c r="AI57" i="87"/>
  <c r="AF57" i="87"/>
  <c r="AB46" i="87"/>
  <c r="AI46" i="87"/>
  <c r="AF46" i="87"/>
  <c r="AB35" i="87"/>
  <c r="AF35" i="87"/>
  <c r="AI35" i="87"/>
  <c r="AI40" i="89"/>
  <c r="AF40" i="89"/>
  <c r="AF91" i="89"/>
  <c r="AI91" i="89"/>
  <c r="AF117" i="78"/>
  <c r="AI117" i="78"/>
  <c r="AJ117" i="78"/>
  <c r="AI70" i="89"/>
  <c r="AF70" i="89"/>
  <c r="O122" i="66"/>
  <c r="O123" i="66" s="1"/>
  <c r="AA105" i="17"/>
  <c r="AF105" i="17" s="1"/>
  <c r="AA134" i="6"/>
  <c r="AF134" i="6" s="1"/>
  <c r="AA121" i="6"/>
  <c r="AF121" i="6" s="1"/>
  <c r="AF80" i="56"/>
  <c r="AF55" i="56"/>
  <c r="AF56" i="62"/>
  <c r="AA71" i="66"/>
  <c r="AF71" i="66" s="1"/>
  <c r="AB70" i="70"/>
  <c r="AF49" i="70"/>
  <c r="AF104" i="17"/>
  <c r="AA69" i="17"/>
  <c r="AA133" i="6"/>
  <c r="AF133" i="6" s="1"/>
  <c r="AA120" i="6"/>
  <c r="AF120" i="6" s="1"/>
  <c r="Y51" i="37"/>
  <c r="Y52" i="37" s="1"/>
  <c r="Q44" i="37"/>
  <c r="AA53" i="39"/>
  <c r="S126" i="55"/>
  <c r="S127" i="55" s="1"/>
  <c r="AF38" i="55"/>
  <c r="AF67" i="56"/>
  <c r="AB58" i="56"/>
  <c r="AB36" i="56"/>
  <c r="AF106" i="62"/>
  <c r="AB136" i="64"/>
  <c r="AF51" i="64"/>
  <c r="AB59" i="58"/>
  <c r="AI37" i="72"/>
  <c r="AC61" i="72"/>
  <c r="AD61" i="72" s="1"/>
  <c r="AD55" i="72"/>
  <c r="Z59" i="72"/>
  <c r="AG69" i="72"/>
  <c r="AE93" i="72"/>
  <c r="AH94" i="72"/>
  <c r="AE104" i="72"/>
  <c r="AN51" i="73"/>
  <c r="AI67" i="73"/>
  <c r="AI91" i="73"/>
  <c r="AF58" i="74"/>
  <c r="AF54" i="74"/>
  <c r="AI68" i="74"/>
  <c r="AI60" i="74"/>
  <c r="AB39" i="74"/>
  <c r="AB60" i="74"/>
  <c r="AB54" i="74"/>
  <c r="AB95" i="74"/>
  <c r="AF42" i="76"/>
  <c r="AB42" i="76"/>
  <c r="AF56" i="76"/>
  <c r="AI56" i="76"/>
  <c r="AF50" i="76"/>
  <c r="AA124" i="76"/>
  <c r="AJ89" i="76"/>
  <c r="AJ93" i="76"/>
  <c r="AJ117" i="76"/>
  <c r="AN105" i="76"/>
  <c r="AJ121" i="76"/>
  <c r="AI39" i="77"/>
  <c r="AB48" i="77"/>
  <c r="AI68" i="77"/>
  <c r="AI81" i="77"/>
  <c r="AF81" i="77"/>
  <c r="AA59" i="77"/>
  <c r="AF59" i="77" s="1"/>
  <c r="AF58" i="77"/>
  <c r="AA50" i="77"/>
  <c r="AF50" i="77" s="1"/>
  <c r="AI48" i="77"/>
  <c r="AF38" i="77"/>
  <c r="AI38" i="77"/>
  <c r="AF117" i="77"/>
  <c r="AI154" i="77"/>
  <c r="AF154" i="77"/>
  <c r="AJ109" i="78"/>
  <c r="AF122" i="78"/>
  <c r="AB68" i="79"/>
  <c r="AI68" i="79"/>
  <c r="AM83" i="80"/>
  <c r="AI55" i="82"/>
  <c r="AF55" i="82"/>
  <c r="AJ55" i="82"/>
  <c r="AB55" i="82"/>
  <c r="AM55" i="82" s="1"/>
  <c r="AF44" i="84"/>
  <c r="AI44" i="84"/>
  <c r="AI79" i="85"/>
  <c r="AF79" i="85"/>
  <c r="AB79" i="85"/>
  <c r="AA81" i="85"/>
  <c r="AI81" i="85" s="1"/>
  <c r="Z126" i="85"/>
  <c r="Z127" i="85" s="1"/>
  <c r="R126" i="85"/>
  <c r="R127" i="85" s="1"/>
  <c r="AF88" i="86"/>
  <c r="AI88" i="86"/>
  <c r="AB88" i="86"/>
  <c r="AM88" i="86" s="1"/>
  <c r="AF87" i="64"/>
  <c r="AF47" i="64"/>
  <c r="AF36" i="58"/>
  <c r="AI34" i="72"/>
  <c r="AE34" i="72"/>
  <c r="AG49" i="72"/>
  <c r="AG58" i="72"/>
  <c r="R61" i="72"/>
  <c r="AF61" i="72"/>
  <c r="AF64" i="72" s="1"/>
  <c r="AE77" i="72"/>
  <c r="AH100" i="72"/>
  <c r="AF38" i="73"/>
  <c r="AJ41" i="73"/>
  <c r="AN41" i="73" s="1"/>
  <c r="AL39" i="73"/>
  <c r="AF82" i="73"/>
  <c r="AF65" i="74"/>
  <c r="AF61" i="74"/>
  <c r="AF47" i="74"/>
  <c r="AI63" i="74"/>
  <c r="AA127" i="74"/>
  <c r="AB37" i="74"/>
  <c r="AA66" i="75"/>
  <c r="AI66" i="75" s="1"/>
  <c r="AJ35" i="75"/>
  <c r="AJ38" i="75"/>
  <c r="AJ48" i="76"/>
  <c r="AJ40" i="76"/>
  <c r="AJ50" i="76"/>
  <c r="AJ66" i="76"/>
  <c r="AI118" i="76"/>
  <c r="AB118" i="76"/>
  <c r="AN118" i="76" s="1"/>
  <c r="AJ105" i="76"/>
  <c r="AF105" i="76"/>
  <c r="AI105" i="76"/>
  <c r="AI70" i="78"/>
  <c r="AI116" i="78"/>
  <c r="AB116" i="78"/>
  <c r="AB100" i="78"/>
  <c r="AF124" i="79"/>
  <c r="AA123" i="79"/>
  <c r="W126" i="79"/>
  <c r="W127" i="79" s="1"/>
  <c r="O126" i="79"/>
  <c r="AJ53" i="80"/>
  <c r="AB53" i="80"/>
  <c r="AM53" i="80" s="1"/>
  <c r="AF53" i="80"/>
  <c r="AI110" i="85"/>
  <c r="AF110" i="85"/>
  <c r="AB110" i="85"/>
  <c r="AM51" i="86"/>
  <c r="AN51" i="86"/>
  <c r="W148" i="17"/>
  <c r="AF57" i="77"/>
  <c r="AB57" i="77"/>
  <c r="AA77" i="68"/>
  <c r="AF77" i="68" s="1"/>
  <c r="AA125" i="6"/>
  <c r="AF125" i="6" s="1"/>
  <c r="AA77" i="66"/>
  <c r="AB76" i="68"/>
  <c r="AA63" i="68"/>
  <c r="AA130" i="6"/>
  <c r="AF130" i="6" s="1"/>
  <c r="AF39" i="6"/>
  <c r="Q51" i="37"/>
  <c r="Q52" i="37" s="1"/>
  <c r="AB79" i="56"/>
  <c r="AF69" i="56"/>
  <c r="AF115" i="57"/>
  <c r="AF106" i="57"/>
  <c r="AB67" i="57"/>
  <c r="AF138" i="62"/>
  <c r="AB134" i="62"/>
  <c r="AF116" i="62"/>
  <c r="AB45" i="62"/>
  <c r="AF138" i="64"/>
  <c r="AF106" i="64"/>
  <c r="AH34" i="72"/>
  <c r="AE41" i="72"/>
  <c r="AH41" i="72"/>
  <c r="X51" i="72"/>
  <c r="X52" i="72" s="1"/>
  <c r="P51" i="72"/>
  <c r="P52" i="72" s="1"/>
  <c r="AK40" i="72"/>
  <c r="AE46" i="72"/>
  <c r="AD49" i="72"/>
  <c r="AG57" i="72"/>
  <c r="N61" i="72"/>
  <c r="AD77" i="72"/>
  <c r="AA104" i="72"/>
  <c r="AA98" i="72"/>
  <c r="AD102" i="72"/>
  <c r="AH98" i="72"/>
  <c r="AJ56" i="73"/>
  <c r="AI41" i="73"/>
  <c r="AF62" i="73"/>
  <c r="AJ62" i="73"/>
  <c r="AN62" i="73" s="1"/>
  <c r="AB78" i="73"/>
  <c r="AA134" i="74"/>
  <c r="AA126" i="74"/>
  <c r="AB115" i="74"/>
  <c r="AF105" i="74"/>
  <c r="AB154" i="74"/>
  <c r="AI89" i="74"/>
  <c r="AA148" i="74"/>
  <c r="AB40" i="75"/>
  <c r="AB34" i="75"/>
  <c r="AI38" i="75"/>
  <c r="AI51" i="75"/>
  <c r="AA65" i="75"/>
  <c r="AI42" i="76"/>
  <c r="AJ54" i="76"/>
  <c r="AF54" i="76"/>
  <c r="AJ86" i="76"/>
  <c r="AF86" i="76"/>
  <c r="AF89" i="76"/>
  <c r="AI117" i="76"/>
  <c r="AF117" i="76"/>
  <c r="AF118" i="76"/>
  <c r="AI109" i="76"/>
  <c r="AF121" i="76"/>
  <c r="AB35" i="77"/>
  <c r="AI96" i="77"/>
  <c r="AF136" i="77"/>
  <c r="AI136" i="77"/>
  <c r="X148" i="77"/>
  <c r="P148" i="77"/>
  <c r="AF87" i="78"/>
  <c r="AB87" i="78"/>
  <c r="AM87" i="78" s="1"/>
  <c r="AI87" i="78"/>
  <c r="AF79" i="78"/>
  <c r="AJ79" i="78"/>
  <c r="AB79" i="78"/>
  <c r="AJ99" i="78"/>
  <c r="AF99" i="78"/>
  <c r="AB36" i="79"/>
  <c r="AI47" i="79"/>
  <c r="AB88" i="82"/>
  <c r="AN88" i="82" s="1"/>
  <c r="AI88" i="82"/>
  <c r="AF92" i="76"/>
  <c r="AI92" i="76"/>
  <c r="AF105" i="70"/>
  <c r="P51" i="37"/>
  <c r="P52" i="37" s="1"/>
  <c r="AF168" i="17"/>
  <c r="AA42" i="17"/>
  <c r="AA43" i="17" s="1"/>
  <c r="AA81" i="59"/>
  <c r="AF81" i="59" s="1"/>
  <c r="AA129" i="6"/>
  <c r="AF129" i="6" s="1"/>
  <c r="W61" i="37"/>
  <c r="W64" i="37" s="1"/>
  <c r="X61" i="37"/>
  <c r="T126" i="57"/>
  <c r="T127" i="57" s="1"/>
  <c r="AB108" i="62"/>
  <c r="AF71" i="64"/>
  <c r="AF68" i="64"/>
  <c r="AF49" i="64"/>
  <c r="AF38" i="58"/>
  <c r="AK34" i="72"/>
  <c r="W61" i="72"/>
  <c r="O61" i="72"/>
  <c r="AG56" i="72"/>
  <c r="AC72" i="72"/>
  <c r="AD72" i="72" s="1"/>
  <c r="AG87" i="72"/>
  <c r="AF37" i="73"/>
  <c r="AI90" i="73"/>
  <c r="AF68" i="74"/>
  <c r="AI47" i="74"/>
  <c r="AI48" i="74"/>
  <c r="AA133" i="74"/>
  <c r="AB48" i="74"/>
  <c r="AA143" i="74"/>
  <c r="AI143" i="74" s="1"/>
  <c r="AI87" i="74"/>
  <c r="AB87" i="74"/>
  <c r="AF81" i="74"/>
  <c r="AB81" i="74"/>
  <c r="AB75" i="74"/>
  <c r="AI81" i="74"/>
  <c r="AF40" i="75"/>
  <c r="AJ62" i="76"/>
  <c r="AF62" i="76"/>
  <c r="AJ79" i="76"/>
  <c r="AF79" i="76"/>
  <c r="AF83" i="76"/>
  <c r="AJ97" i="76"/>
  <c r="AI97" i="76"/>
  <c r="AI49" i="77"/>
  <c r="AF143" i="77"/>
  <c r="AI143" i="77"/>
  <c r="AB51" i="78"/>
  <c r="AN51" i="78" s="1"/>
  <c r="AI51" i="78"/>
  <c r="AF51" i="78"/>
  <c r="AF65" i="78"/>
  <c r="AJ65" i="78"/>
  <c r="AB38" i="79"/>
  <c r="AB83" i="79"/>
  <c r="AB59" i="79"/>
  <c r="AB35" i="79"/>
  <c r="AF67" i="80"/>
  <c r="AJ67" i="80"/>
  <c r="AI67" i="80"/>
  <c r="W126" i="64"/>
  <c r="W127" i="64" s="1"/>
  <c r="O126" i="64"/>
  <c r="O127" i="64" s="1"/>
  <c r="V51" i="72"/>
  <c r="V52" i="72" s="1"/>
  <c r="AA97" i="72"/>
  <c r="AB47" i="74"/>
  <c r="AI103" i="74"/>
  <c r="AB103" i="74"/>
  <c r="AF61" i="76"/>
  <c r="AI61" i="76"/>
  <c r="AJ92" i="76"/>
  <c r="AF39" i="77"/>
  <c r="AA42" i="77"/>
  <c r="AA43" i="77" s="1"/>
  <c r="G42" i="77" s="1"/>
  <c r="AF95" i="77"/>
  <c r="AI95" i="77"/>
  <c r="AJ85" i="78"/>
  <c r="AF85" i="78"/>
  <c r="AI105" i="78"/>
  <c r="AB105" i="78"/>
  <c r="AI100" i="79"/>
  <c r="AF100" i="79"/>
  <c r="AF88" i="82"/>
  <c r="AF80" i="77"/>
  <c r="AB80" i="77"/>
  <c r="Z126" i="56"/>
  <c r="Z127" i="56" s="1"/>
  <c r="AG126" i="62"/>
  <c r="AG127" i="62" s="1"/>
  <c r="AI76" i="73"/>
  <c r="AA62" i="66"/>
  <c r="AB134" i="59"/>
  <c r="AB79" i="59"/>
  <c r="AB45" i="59"/>
  <c r="AA48" i="37"/>
  <c r="AA122" i="57"/>
  <c r="AB69" i="57"/>
  <c r="AB47" i="62"/>
  <c r="AF52" i="64"/>
  <c r="AA63" i="58"/>
  <c r="U51" i="72"/>
  <c r="U52" i="72" s="1"/>
  <c r="AG43" i="72"/>
  <c r="AC51" i="72"/>
  <c r="AG54" i="72"/>
  <c r="AG77" i="72"/>
  <c r="AA102" i="72"/>
  <c r="AF65" i="73"/>
  <c r="AB90" i="73"/>
  <c r="AF63" i="74"/>
  <c r="AF59" i="74"/>
  <c r="AF55" i="74"/>
  <c r="AF39" i="74"/>
  <c r="AB56" i="74"/>
  <c r="AB113" i="74"/>
  <c r="AF97" i="74"/>
  <c r="AI97" i="74"/>
  <c r="AB91" i="74"/>
  <c r="AB85" i="74"/>
  <c r="AB79" i="74"/>
  <c r="AI113" i="74"/>
  <c r="AI141" i="74"/>
  <c r="AA125" i="74"/>
  <c r="AN44" i="75"/>
  <c r="AB38" i="75"/>
  <c r="AF44" i="75"/>
  <c r="AJ53" i="76"/>
  <c r="AJ81" i="76"/>
  <c r="AJ41" i="76"/>
  <c r="AJ101" i="76"/>
  <c r="AJ56" i="76"/>
  <c r="AB83" i="76"/>
  <c r="AN83" i="76" s="1"/>
  <c r="AB77" i="76"/>
  <c r="AF108" i="76"/>
  <c r="AJ108" i="76"/>
  <c r="AB65" i="77"/>
  <c r="AB54" i="77"/>
  <c r="AB46" i="77"/>
  <c r="AB36" i="77"/>
  <c r="AB38" i="77"/>
  <c r="AF49" i="77"/>
  <c r="AB83" i="77"/>
  <c r="AI80" i="77"/>
  <c r="AI72" i="77"/>
  <c r="AB72" i="77"/>
  <c r="AI63" i="77"/>
  <c r="AB63" i="77"/>
  <c r="AA51" i="77"/>
  <c r="AA52" i="77" s="1"/>
  <c r="G51" i="77" s="1"/>
  <c r="U148" i="77"/>
  <c r="AB93" i="78"/>
  <c r="AB83" i="78"/>
  <c r="AN83" i="78" s="1"/>
  <c r="AB96" i="78"/>
  <c r="AN96" i="78" s="1"/>
  <c r="AB108" i="78"/>
  <c r="AB43" i="78"/>
  <c r="AN43" i="78" s="1"/>
  <c r="AI43" i="78"/>
  <c r="AI62" i="78"/>
  <c r="AJ63" i="78"/>
  <c r="AI63" i="78"/>
  <c r="AB112" i="78"/>
  <c r="AN112" i="78" s="1"/>
  <c r="AB104" i="78"/>
  <c r="AN104" i="78" s="1"/>
  <c r="X126" i="81"/>
  <c r="X127" i="81" s="1"/>
  <c r="T126" i="81"/>
  <c r="T127" i="81" s="1"/>
  <c r="AM35" i="82"/>
  <c r="AN35" i="82"/>
  <c r="AA125" i="83"/>
  <c r="AF125" i="83" s="1"/>
  <c r="AI46" i="84"/>
  <c r="AB46" i="84"/>
  <c r="AF46" i="84"/>
  <c r="AJ78" i="76"/>
  <c r="AJ98" i="76"/>
  <c r="AI116" i="76"/>
  <c r="AF53" i="77"/>
  <c r="W148" i="77"/>
  <c r="AJ56" i="78"/>
  <c r="AF56" i="78"/>
  <c r="AF40" i="78"/>
  <c r="AJ86" i="78"/>
  <c r="AB110" i="78"/>
  <c r="AJ98" i="78"/>
  <c r="AJ121" i="78"/>
  <c r="AA73" i="79"/>
  <c r="AB69" i="79"/>
  <c r="AF69" i="79"/>
  <c r="AA62" i="79"/>
  <c r="AI59" i="79"/>
  <c r="V126" i="79"/>
  <c r="V127" i="79" s="1"/>
  <c r="AF68" i="80"/>
  <c r="AI79" i="80"/>
  <c r="AB91" i="80"/>
  <c r="AB75" i="81"/>
  <c r="AI75" i="81"/>
  <c r="AB41" i="81"/>
  <c r="AF41" i="81"/>
  <c r="AI41" i="81"/>
  <c r="AA124" i="81"/>
  <c r="AF124" i="81" s="1"/>
  <c r="AJ65" i="82"/>
  <c r="AJ47" i="82"/>
  <c r="AF48" i="82"/>
  <c r="AI48" i="82"/>
  <c r="AA62" i="83"/>
  <c r="AF48" i="83"/>
  <c r="AI48" i="83"/>
  <c r="AB48" i="83"/>
  <c r="AF99" i="83"/>
  <c r="AI99" i="83"/>
  <c r="AB99" i="83"/>
  <c r="V126" i="83"/>
  <c r="V127" i="83" s="1"/>
  <c r="AF52" i="84"/>
  <c r="AI52" i="84"/>
  <c r="AI38" i="84"/>
  <c r="AF38" i="84"/>
  <c r="AB38" i="84"/>
  <c r="AJ78" i="78"/>
  <c r="AJ115" i="78"/>
  <c r="AJ110" i="78"/>
  <c r="AI98" i="78"/>
  <c r="AB87" i="79"/>
  <c r="AF87" i="79"/>
  <c r="AI77" i="79"/>
  <c r="AB77" i="79"/>
  <c r="AI110" i="79"/>
  <c r="AF110" i="79"/>
  <c r="AJ37" i="80"/>
  <c r="AF37" i="80"/>
  <c r="AF45" i="80"/>
  <c r="AM85" i="82"/>
  <c r="AN85" i="82"/>
  <c r="AI69" i="84"/>
  <c r="AF69" i="84"/>
  <c r="AM87" i="84"/>
  <c r="AN87" i="84"/>
  <c r="AI130" i="85"/>
  <c r="AF130" i="85"/>
  <c r="AM43" i="86"/>
  <c r="AN43" i="86"/>
  <c r="AA84" i="91"/>
  <c r="G82" i="91" s="1"/>
  <c r="AJ46" i="76"/>
  <c r="AJ65" i="76"/>
  <c r="AJ114" i="76"/>
  <c r="AB73" i="77"/>
  <c r="AB67" i="77"/>
  <c r="AF121" i="77"/>
  <c r="AF128" i="77"/>
  <c r="AJ48" i="78"/>
  <c r="AJ42" i="78"/>
  <c r="AJ77" i="78"/>
  <c r="AI78" i="78"/>
  <c r="AJ114" i="78"/>
  <c r="AB102" i="78"/>
  <c r="AI100" i="78"/>
  <c r="AB61" i="79"/>
  <c r="AF114" i="79"/>
  <c r="AI114" i="79"/>
  <c r="AB78" i="80"/>
  <c r="P126" i="81"/>
  <c r="P127" i="81" s="1"/>
  <c r="AF66" i="82"/>
  <c r="AI66" i="82"/>
  <c r="AJ77" i="82"/>
  <c r="AI61" i="85"/>
  <c r="AB61" i="85"/>
  <c r="AA143" i="85"/>
  <c r="AI39" i="85"/>
  <c r="AB39" i="85"/>
  <c r="AM35" i="86"/>
  <c r="AN35" i="86"/>
  <c r="AB67" i="74"/>
  <c r="AJ51" i="75"/>
  <c r="AN51" i="75" s="1"/>
  <c r="AB36" i="75"/>
  <c r="AJ37" i="76"/>
  <c r="AJ55" i="76"/>
  <c r="AB75" i="76"/>
  <c r="AJ113" i="76"/>
  <c r="AB94" i="76"/>
  <c r="AN94" i="76" s="1"/>
  <c r="AB53" i="77"/>
  <c r="AB64" i="77"/>
  <c r="AF67" i="77"/>
  <c r="AF134" i="77"/>
  <c r="AB52" i="78"/>
  <c r="AN52" i="78" s="1"/>
  <c r="AF48" i="78"/>
  <c r="AJ58" i="78"/>
  <c r="AJ50" i="78"/>
  <c r="AJ68" i="78"/>
  <c r="AB89" i="78"/>
  <c r="AN89" i="78" s="1"/>
  <c r="AJ107" i="78"/>
  <c r="AJ93" i="78"/>
  <c r="AF50" i="79"/>
  <c r="AF108" i="79"/>
  <c r="AB108" i="79"/>
  <c r="AL72" i="80"/>
  <c r="AB95" i="80"/>
  <c r="AI95" i="80"/>
  <c r="AF75" i="81"/>
  <c r="AM43" i="82"/>
  <c r="AA144" i="83"/>
  <c r="AB41" i="83"/>
  <c r="AI41" i="83"/>
  <c r="AF41" i="83"/>
  <c r="Z126" i="83"/>
  <c r="Z127" i="83" s="1"/>
  <c r="AF39" i="85"/>
  <c r="AB71" i="85"/>
  <c r="AF71" i="85"/>
  <c r="AI102" i="85"/>
  <c r="AF102" i="85"/>
  <c r="AF134" i="85"/>
  <c r="AI134" i="85"/>
  <c r="AJ84" i="86"/>
  <c r="AJ39" i="86"/>
  <c r="AJ77" i="86"/>
  <c r="AF67" i="86"/>
  <c r="AI67" i="86"/>
  <c r="AF76" i="86"/>
  <c r="AI76" i="86"/>
  <c r="AA125" i="87"/>
  <c r="AF125" i="87" s="1"/>
  <c r="Z126" i="87"/>
  <c r="Z127" i="87" s="1"/>
  <c r="R126" i="87"/>
  <c r="R127" i="87" s="1"/>
  <c r="AI54" i="90"/>
  <c r="AF54" i="90"/>
  <c r="AB54" i="90"/>
  <c r="AM54" i="90" s="1"/>
  <c r="AN48" i="90"/>
  <c r="AM48" i="90"/>
  <c r="AN36" i="75"/>
  <c r="AF53" i="76"/>
  <c r="AF60" i="76"/>
  <c r="AJ87" i="76"/>
  <c r="AJ106" i="76"/>
  <c r="AF110" i="76"/>
  <c r="AF94" i="76"/>
  <c r="AJ100" i="76"/>
  <c r="AB71" i="77"/>
  <c r="AB45" i="77"/>
  <c r="AB99" i="77"/>
  <c r="AI116" i="77"/>
  <c r="AB139" i="77"/>
  <c r="AA144" i="77"/>
  <c r="AD148" i="77"/>
  <c r="AE148" i="77" s="1"/>
  <c r="AI56" i="78"/>
  <c r="AI48" i="78"/>
  <c r="AJ67" i="78"/>
  <c r="AF90" i="78"/>
  <c r="AJ106" i="78"/>
  <c r="AB94" i="78"/>
  <c r="AF115" i="78"/>
  <c r="AF94" i="78"/>
  <c r="AI114" i="78"/>
  <c r="AI93" i="78"/>
  <c r="AI39" i="79"/>
  <c r="AF77" i="79"/>
  <c r="AA63" i="79"/>
  <c r="AI51" i="79"/>
  <c r="AB51" i="79"/>
  <c r="AI136" i="79"/>
  <c r="AI57" i="80"/>
  <c r="AF57" i="80"/>
  <c r="AI49" i="80"/>
  <c r="AF49" i="80"/>
  <c r="AH72" i="80"/>
  <c r="Q126" i="83"/>
  <c r="Q127" i="83" s="1"/>
  <c r="AA63" i="85"/>
  <c r="AI59" i="85"/>
  <c r="AF59" i="85"/>
  <c r="AF48" i="85"/>
  <c r="AI48" i="85"/>
  <c r="AB48" i="85"/>
  <c r="AB37" i="85"/>
  <c r="AI37" i="85"/>
  <c r="AA124" i="85"/>
  <c r="AF124" i="85" s="1"/>
  <c r="T126" i="85"/>
  <c r="T127" i="85" s="1"/>
  <c r="AF55" i="86"/>
  <c r="AI55" i="86"/>
  <c r="AJ55" i="86"/>
  <c r="AB55" i="86"/>
  <c r="AM55" i="86" s="1"/>
  <c r="AB44" i="77"/>
  <c r="AF138" i="77"/>
  <c r="AJ62" i="78"/>
  <c r="AJ40" i="78"/>
  <c r="AJ39" i="78"/>
  <c r="AJ64" i="78"/>
  <c r="AB81" i="78"/>
  <c r="AB118" i="78"/>
  <c r="AM118" i="78" s="1"/>
  <c r="AI118" i="78"/>
  <c r="AJ101" i="78"/>
  <c r="AI71" i="79"/>
  <c r="AB71" i="79"/>
  <c r="AF56" i="80"/>
  <c r="AJ56" i="80"/>
  <c r="AI83" i="80"/>
  <c r="AF83" i="80"/>
  <c r="AI87" i="81"/>
  <c r="AF87" i="81"/>
  <c r="AF77" i="81"/>
  <c r="AB77" i="81"/>
  <c r="AI77" i="81"/>
  <c r="AF67" i="81"/>
  <c r="AI67" i="81"/>
  <c r="AB67" i="81"/>
  <c r="AF46" i="81"/>
  <c r="AI46" i="81"/>
  <c r="AI106" i="81"/>
  <c r="AF106" i="81"/>
  <c r="AA141" i="83"/>
  <c r="AI85" i="83"/>
  <c r="AB61" i="83"/>
  <c r="AI61" i="83"/>
  <c r="AF61" i="83"/>
  <c r="AF50" i="83"/>
  <c r="AI50" i="83"/>
  <c r="AA42" i="83"/>
  <c r="AA43" i="83"/>
  <c r="AA44" i="83" s="1"/>
  <c r="AI39" i="83"/>
  <c r="AF39" i="83"/>
  <c r="AF119" i="83"/>
  <c r="AB119" i="83"/>
  <c r="AI119" i="83"/>
  <c r="X126" i="83"/>
  <c r="X127" i="83" s="1"/>
  <c r="P126" i="83"/>
  <c r="P127" i="83" s="1"/>
  <c r="AA72" i="85"/>
  <c r="AA73" i="85"/>
  <c r="AB69" i="85"/>
  <c r="AI65" i="86"/>
  <c r="AF65" i="86"/>
  <c r="AJ65" i="86"/>
  <c r="AA52" i="79"/>
  <c r="X126" i="79"/>
  <c r="X127" i="79" s="1"/>
  <c r="P126" i="79"/>
  <c r="P127" i="79" s="1"/>
  <c r="AJ40" i="80"/>
  <c r="AK72" i="80"/>
  <c r="AJ84" i="80"/>
  <c r="AI81" i="80"/>
  <c r="AF90" i="80"/>
  <c r="AI51" i="81"/>
  <c r="AF61" i="81"/>
  <c r="AF101" i="81"/>
  <c r="AF107" i="81"/>
  <c r="AA121" i="81"/>
  <c r="AA146" i="81"/>
  <c r="AJ36" i="82"/>
  <c r="AF47" i="82"/>
  <c r="AI39" i="82"/>
  <c r="AB38" i="83"/>
  <c r="AB58" i="83"/>
  <c r="AB68" i="83"/>
  <c r="AI77" i="83"/>
  <c r="AI91" i="83"/>
  <c r="AF118" i="83"/>
  <c r="W126" i="83"/>
  <c r="W127" i="83" s="1"/>
  <c r="AA121" i="83"/>
  <c r="AJ68" i="84"/>
  <c r="AI53" i="84"/>
  <c r="AI36" i="84"/>
  <c r="AK72" i="84"/>
  <c r="AF87" i="84"/>
  <c r="AB58" i="85"/>
  <c r="AA52" i="85"/>
  <c r="AA122" i="85"/>
  <c r="S126" i="85"/>
  <c r="S127" i="85" s="1"/>
  <c r="AB76" i="87"/>
  <c r="AF40" i="88"/>
  <c r="AI40" i="88"/>
  <c r="AI48" i="88"/>
  <c r="AI67" i="88"/>
  <c r="AF67" i="88"/>
  <c r="AA52" i="89"/>
  <c r="AI49" i="89"/>
  <c r="AA43" i="89"/>
  <c r="AI39" i="89"/>
  <c r="AF39" i="89"/>
  <c r="AH121" i="89"/>
  <c r="AJ45" i="90"/>
  <c r="AA122" i="81"/>
  <c r="S126" i="81"/>
  <c r="S127" i="81" s="1"/>
  <c r="AD126" i="81"/>
  <c r="AM47" i="82"/>
  <c r="U126" i="83"/>
  <c r="U127" i="83" s="1"/>
  <c r="AA122" i="83"/>
  <c r="AA125" i="85"/>
  <c r="AF125" i="85" s="1"/>
  <c r="Y126" i="85"/>
  <c r="Y127" i="85" s="1"/>
  <c r="Q126" i="85"/>
  <c r="Q127" i="85" s="1"/>
  <c r="AM47" i="86"/>
  <c r="AI81" i="91"/>
  <c r="AF81" i="91"/>
  <c r="AF57" i="92"/>
  <c r="AJ57" i="92"/>
  <c r="AB77" i="94"/>
  <c r="AM77" i="94" s="1"/>
  <c r="AI77" i="94"/>
  <c r="AF77" i="94"/>
  <c r="AF95" i="97"/>
  <c r="AI95" i="97"/>
  <c r="V112" i="97"/>
  <c r="V113" i="97" s="1"/>
  <c r="AI57" i="109"/>
  <c r="AB57" i="109"/>
  <c r="AB57" i="79"/>
  <c r="AA125" i="79"/>
  <c r="AI125" i="79" s="1"/>
  <c r="U126" i="79"/>
  <c r="U127" i="79" s="1"/>
  <c r="AB83" i="81"/>
  <c r="AA42" i="81"/>
  <c r="Z126" i="81"/>
  <c r="Z127" i="81" s="1"/>
  <c r="R126" i="81"/>
  <c r="R127" i="81" s="1"/>
  <c r="AI40" i="82"/>
  <c r="AJ70" i="82"/>
  <c r="AJ62" i="82"/>
  <c r="AI76" i="82"/>
  <c r="AM83" i="82"/>
  <c r="AF38" i="83"/>
  <c r="AB47" i="83"/>
  <c r="AI47" i="83"/>
  <c r="AB80" i="83"/>
  <c r="AA81" i="83"/>
  <c r="AI81" i="83" s="1"/>
  <c r="AA124" i="83"/>
  <c r="AF124" i="83" s="1"/>
  <c r="T126" i="83"/>
  <c r="T127" i="83" s="1"/>
  <c r="AI130" i="83"/>
  <c r="AM42" i="84"/>
  <c r="AJ37" i="84"/>
  <c r="AN83" i="84"/>
  <c r="AI68" i="85"/>
  <c r="AF83" i="85"/>
  <c r="X126" i="85"/>
  <c r="X127" i="85" s="1"/>
  <c r="AA121" i="85"/>
  <c r="AI140" i="85"/>
  <c r="AJ53" i="86"/>
  <c r="AF51" i="86"/>
  <c r="AJ51" i="86"/>
  <c r="AA72" i="86"/>
  <c r="AF79" i="86"/>
  <c r="AA144" i="87"/>
  <c r="Z126" i="89"/>
  <c r="Z127" i="89" s="1"/>
  <c r="R126" i="89"/>
  <c r="R127" i="89" s="1"/>
  <c r="AF130" i="89"/>
  <c r="AA146" i="89"/>
  <c r="AI130" i="89"/>
  <c r="AI38" i="90"/>
  <c r="AF38" i="90"/>
  <c r="AB38" i="90"/>
  <c r="AM38" i="90" s="1"/>
  <c r="AF82" i="90"/>
  <c r="AJ82" i="90"/>
  <c r="AI107" i="91"/>
  <c r="AF107" i="91"/>
  <c r="AB107" i="91"/>
  <c r="AI115" i="91"/>
  <c r="AB115" i="91"/>
  <c r="AI44" i="92"/>
  <c r="AB44" i="92"/>
  <c r="AM44" i="92" s="1"/>
  <c r="AF44" i="92"/>
  <c r="AJ44" i="92"/>
  <c r="AF39" i="92"/>
  <c r="AJ39" i="92"/>
  <c r="AI47" i="100"/>
  <c r="AF47" i="100"/>
  <c r="AG54" i="101"/>
  <c r="AK54" i="101"/>
  <c r="Q70" i="103"/>
  <c r="AA51" i="103"/>
  <c r="AB51" i="103" s="1"/>
  <c r="AB56" i="79"/>
  <c r="AB98" i="79"/>
  <c r="AB118" i="79"/>
  <c r="T126" i="79"/>
  <c r="T127" i="79" s="1"/>
  <c r="AJ48" i="80"/>
  <c r="AJ65" i="80"/>
  <c r="AJ80" i="80"/>
  <c r="AB46" i="81"/>
  <c r="AB39" i="81"/>
  <c r="AI40" i="81"/>
  <c r="AF83" i="81"/>
  <c r="AA52" i="81"/>
  <c r="AI52" i="81" s="1"/>
  <c r="AF110" i="81"/>
  <c r="AF116" i="81"/>
  <c r="Y126" i="81"/>
  <c r="Y127" i="81" s="1"/>
  <c r="Q126" i="81"/>
  <c r="Q127" i="81" s="1"/>
  <c r="AF130" i="81"/>
  <c r="AJ52" i="82"/>
  <c r="AJ69" i="82"/>
  <c r="AF37" i="83"/>
  <c r="AI37" i="83"/>
  <c r="AB46" i="83"/>
  <c r="AB79" i="83"/>
  <c r="S126" i="83"/>
  <c r="S127" i="83" s="1"/>
  <c r="AI140" i="83"/>
  <c r="AA146" i="83"/>
  <c r="AB54" i="84"/>
  <c r="AI37" i="84"/>
  <c r="AJ66" i="84"/>
  <c r="AF85" i="84"/>
  <c r="AI88" i="84"/>
  <c r="AI41" i="85"/>
  <c r="AB67" i="85"/>
  <c r="AF87" i="85"/>
  <c r="AA123" i="85"/>
  <c r="AF140" i="85"/>
  <c r="AI51" i="86"/>
  <c r="AF68" i="86"/>
  <c r="AJ70" i="86"/>
  <c r="AJ62" i="86"/>
  <c r="AI85" i="86"/>
  <c r="AJ85" i="86"/>
  <c r="AF85" i="86"/>
  <c r="AN85" i="86"/>
  <c r="AB41" i="87"/>
  <c r="AI86" i="87"/>
  <c r="AF86" i="87"/>
  <c r="AA124" i="87"/>
  <c r="V126" i="87"/>
  <c r="V127" i="87" s="1"/>
  <c r="Q126" i="89"/>
  <c r="Q127" i="89" s="1"/>
  <c r="AJ56" i="90"/>
  <c r="AB56" i="90"/>
  <c r="AI56" i="90"/>
  <c r="AF37" i="90"/>
  <c r="AJ37" i="90"/>
  <c r="AF93" i="90"/>
  <c r="Z122" i="95"/>
  <c r="Z123" i="95" s="1"/>
  <c r="R122" i="95"/>
  <c r="R123" i="95" s="1"/>
  <c r="AB41" i="79"/>
  <c r="AF86" i="79"/>
  <c r="AA122" i="79"/>
  <c r="AB122" i="79" s="1"/>
  <c r="S126" i="79"/>
  <c r="S127" i="79" s="1"/>
  <c r="AD126" i="79"/>
  <c r="AJ55" i="80"/>
  <c r="AI48" i="80"/>
  <c r="AJ39" i="80"/>
  <c r="AI39" i="81"/>
  <c r="AB61" i="81"/>
  <c r="AI61" i="81"/>
  <c r="AB51" i="82"/>
  <c r="AI70" i="82"/>
  <c r="AA94" i="83"/>
  <c r="AI41" i="84"/>
  <c r="AI78" i="84"/>
  <c r="AB106" i="85"/>
  <c r="AF106" i="85"/>
  <c r="AG126" i="85"/>
  <c r="AH126" i="85" s="1"/>
  <c r="AF138" i="85"/>
  <c r="AJ45" i="86"/>
  <c r="AJ35" i="86"/>
  <c r="AE72" i="86"/>
  <c r="AB79" i="86"/>
  <c r="AN79" i="86" s="1"/>
  <c r="AB79" i="88"/>
  <c r="AM79" i="88" s="1"/>
  <c r="AF79" i="88"/>
  <c r="AA44" i="89"/>
  <c r="AF103" i="89"/>
  <c r="X126" i="89"/>
  <c r="X127" i="89" s="1"/>
  <c r="P126" i="89"/>
  <c r="P127" i="89" s="1"/>
  <c r="AJ44" i="90"/>
  <c r="AI44" i="90"/>
  <c r="AF44" i="90"/>
  <c r="AB44" i="90"/>
  <c r="AM44" i="90" s="1"/>
  <c r="AJ66" i="90"/>
  <c r="AF66" i="90"/>
  <c r="AB101" i="90"/>
  <c r="AF101" i="90"/>
  <c r="AI115" i="93"/>
  <c r="AF115" i="93"/>
  <c r="AB115" i="93"/>
  <c r="AF66" i="95"/>
  <c r="AI66" i="95"/>
  <c r="V126" i="81"/>
  <c r="V127" i="81" s="1"/>
  <c r="AA123" i="81"/>
  <c r="AJ44" i="82"/>
  <c r="AF68" i="85"/>
  <c r="AF98" i="85"/>
  <c r="U126" i="85"/>
  <c r="U127" i="85" s="1"/>
  <c r="AI136" i="85"/>
  <c r="AN83" i="86"/>
  <c r="AI111" i="87"/>
  <c r="AF111" i="87"/>
  <c r="AA122" i="87"/>
  <c r="AF69" i="88"/>
  <c r="AI69" i="88"/>
  <c r="AI76" i="89"/>
  <c r="AB76" i="89"/>
  <c r="AF65" i="89"/>
  <c r="AB65" i="89"/>
  <c r="AA125" i="89"/>
  <c r="AA123" i="89"/>
  <c r="AF123" i="89" s="1"/>
  <c r="W126" i="89"/>
  <c r="W127" i="89" s="1"/>
  <c r="AA121" i="89"/>
  <c r="AF69" i="90"/>
  <c r="AF76" i="91"/>
  <c r="AB76" i="91"/>
  <c r="AF65" i="91"/>
  <c r="AI65" i="91"/>
  <c r="AF45" i="91"/>
  <c r="AI45" i="91"/>
  <c r="AI119" i="91"/>
  <c r="AF119" i="91"/>
  <c r="AB119" i="91"/>
  <c r="AA123" i="91"/>
  <c r="AI123" i="91" s="1"/>
  <c r="Y126" i="91"/>
  <c r="Y127" i="91" s="1"/>
  <c r="Q126" i="91"/>
  <c r="Q127" i="91" s="1"/>
  <c r="AA124" i="91"/>
  <c r="AF51" i="92"/>
  <c r="AB51" i="92"/>
  <c r="AJ46" i="92"/>
  <c r="AI46" i="92"/>
  <c r="AM35" i="92"/>
  <c r="AN35" i="92"/>
  <c r="AF46" i="92"/>
  <c r="AI68" i="92"/>
  <c r="AB68" i="92"/>
  <c r="AF68" i="92"/>
  <c r="AB87" i="93"/>
  <c r="AF87" i="93"/>
  <c r="AF65" i="93"/>
  <c r="AB65" i="93"/>
  <c r="AI65" i="93"/>
  <c r="AI49" i="94"/>
  <c r="AF49" i="94"/>
  <c r="AF86" i="95"/>
  <c r="AI86" i="95"/>
  <c r="O112" i="99"/>
  <c r="O113" i="99" s="1"/>
  <c r="AA108" i="99"/>
  <c r="AI108" i="99" s="1"/>
  <c r="AK55" i="101"/>
  <c r="AG55" i="101"/>
  <c r="AI43" i="102"/>
  <c r="AF43" i="102"/>
  <c r="U96" i="107"/>
  <c r="U100" i="107" s="1"/>
  <c r="Y96" i="107"/>
  <c r="Y100" i="107" s="1"/>
  <c r="Q96" i="107"/>
  <c r="Q100" i="107" s="1"/>
  <c r="AG126" i="87"/>
  <c r="AH126" i="87" s="1"/>
  <c r="AJ78" i="88"/>
  <c r="AA144" i="89"/>
  <c r="AI85" i="89"/>
  <c r="T126" i="89"/>
  <c r="T127" i="89" s="1"/>
  <c r="AB95" i="90"/>
  <c r="Z126" i="91"/>
  <c r="Z127" i="91" s="1"/>
  <c r="R126" i="91"/>
  <c r="R127" i="91" s="1"/>
  <c r="AI140" i="91"/>
  <c r="AF140" i="91"/>
  <c r="AB39" i="92"/>
  <c r="AI45" i="92"/>
  <c r="AB45" i="92"/>
  <c r="AM45" i="92" s="1"/>
  <c r="AI38" i="92"/>
  <c r="AN78" i="92"/>
  <c r="AM78" i="92"/>
  <c r="AI86" i="93"/>
  <c r="AF86" i="93"/>
  <c r="AB61" i="93"/>
  <c r="AI61" i="93"/>
  <c r="AI35" i="93"/>
  <c r="AB35" i="93"/>
  <c r="AB98" i="93"/>
  <c r="AI98" i="93"/>
  <c r="AF55" i="94"/>
  <c r="AB55" i="94"/>
  <c r="AM40" i="94"/>
  <c r="AN40" i="94"/>
  <c r="AI50" i="96"/>
  <c r="AF50" i="96"/>
  <c r="AF42" i="96"/>
  <c r="AB35" i="98"/>
  <c r="AM35" i="98" s="1"/>
  <c r="AI35" i="98"/>
  <c r="AJ35" i="98"/>
  <c r="AF35" i="98"/>
  <c r="Z112" i="99"/>
  <c r="Z113" i="99" s="1"/>
  <c r="R112" i="99"/>
  <c r="R113" i="99" s="1"/>
  <c r="Z56" i="101"/>
  <c r="V58" i="101"/>
  <c r="AF50" i="103"/>
  <c r="AI50" i="103"/>
  <c r="AF56" i="103"/>
  <c r="AB56" i="103"/>
  <c r="AM56" i="103" s="1"/>
  <c r="AI56" i="103"/>
  <c r="AF52" i="105"/>
  <c r="AJ52" i="105"/>
  <c r="AB35" i="106"/>
  <c r="AJ35" i="106"/>
  <c r="AF35" i="106"/>
  <c r="AI52" i="91"/>
  <c r="AA54" i="91"/>
  <c r="AI116" i="91"/>
  <c r="AA125" i="91"/>
  <c r="X126" i="91"/>
  <c r="X127" i="91" s="1"/>
  <c r="AA121" i="91"/>
  <c r="AB103" i="93"/>
  <c r="AI103" i="93"/>
  <c r="AI109" i="93"/>
  <c r="AF109" i="93"/>
  <c r="AB109" i="93"/>
  <c r="AA122" i="93"/>
  <c r="AF39" i="94"/>
  <c r="AB39" i="94"/>
  <c r="AF46" i="94"/>
  <c r="AI67" i="94"/>
  <c r="AF67" i="94"/>
  <c r="AB94" i="94"/>
  <c r="AM94" i="94" s="1"/>
  <c r="AI94" i="94"/>
  <c r="AF100" i="94"/>
  <c r="AI100" i="94"/>
  <c r="AF40" i="97"/>
  <c r="AI40" i="97"/>
  <c r="AF41" i="98"/>
  <c r="AI41" i="98"/>
  <c r="AB41" i="98"/>
  <c r="AM41" i="98" s="1"/>
  <c r="AJ41" i="98"/>
  <c r="AB51" i="99"/>
  <c r="AF51" i="99"/>
  <c r="AB37" i="100"/>
  <c r="AM37" i="100" s="1"/>
  <c r="AF42" i="103"/>
  <c r="AB42" i="103"/>
  <c r="AN42" i="103" s="1"/>
  <c r="AI42" i="103"/>
  <c r="AA42" i="87"/>
  <c r="AF41" i="89"/>
  <c r="AI41" i="89"/>
  <c r="AA72" i="89"/>
  <c r="V126" i="89"/>
  <c r="V127" i="89" s="1"/>
  <c r="AJ93" i="90"/>
  <c r="AB58" i="90"/>
  <c r="AM58" i="90" s="1"/>
  <c r="AJ48" i="90"/>
  <c r="AB42" i="90"/>
  <c r="AM42" i="90" s="1"/>
  <c r="AB36" i="90"/>
  <c r="AM36" i="90" s="1"/>
  <c r="AA72" i="90"/>
  <c r="AJ81" i="90"/>
  <c r="AJ100" i="90"/>
  <c r="AJ92" i="90"/>
  <c r="AB67" i="91"/>
  <c r="AB39" i="91"/>
  <c r="AB61" i="91"/>
  <c r="AB66" i="91"/>
  <c r="AF67" i="91"/>
  <c r="AA82" i="91"/>
  <c r="AA144" i="91"/>
  <c r="AI92" i="91"/>
  <c r="AB99" i="91"/>
  <c r="AB110" i="91"/>
  <c r="AI118" i="91"/>
  <c r="AF118" i="91"/>
  <c r="AF114" i="91"/>
  <c r="AM37" i="92"/>
  <c r="AI55" i="92"/>
  <c r="AJ55" i="92"/>
  <c r="AI80" i="93"/>
  <c r="AF80" i="93"/>
  <c r="AB58" i="93"/>
  <c r="AI58" i="93"/>
  <c r="AI48" i="93"/>
  <c r="AB48" i="93"/>
  <c r="AF40" i="93"/>
  <c r="AI40" i="93"/>
  <c r="Z126" i="93"/>
  <c r="Z127" i="93" s="1"/>
  <c r="R126" i="93"/>
  <c r="R127" i="93" s="1"/>
  <c r="Z57" i="101"/>
  <c r="Z53" i="101"/>
  <c r="AH53" i="101" s="1"/>
  <c r="AI52" i="105"/>
  <c r="AF76" i="112"/>
  <c r="AI76" i="112"/>
  <c r="AA53" i="87"/>
  <c r="T126" i="87"/>
  <c r="T127" i="87" s="1"/>
  <c r="AD126" i="87"/>
  <c r="AF132" i="87"/>
  <c r="AJ45" i="88"/>
  <c r="AA124" i="89"/>
  <c r="AD126" i="89"/>
  <c r="AM52" i="90"/>
  <c r="AM77" i="90"/>
  <c r="AI96" i="90"/>
  <c r="AI61" i="91"/>
  <c r="AA62" i="91"/>
  <c r="AB103" i="91"/>
  <c r="AF99" i="91"/>
  <c r="AF111" i="91"/>
  <c r="AB117" i="91"/>
  <c r="V126" i="91"/>
  <c r="V127" i="91" s="1"/>
  <c r="AI48" i="92"/>
  <c r="AF48" i="92"/>
  <c r="AF38" i="92"/>
  <c r="AJ43" i="92"/>
  <c r="AG82" i="92"/>
  <c r="AH63" i="92"/>
  <c r="Q126" i="93"/>
  <c r="Q127" i="93" s="1"/>
  <c r="AF44" i="94"/>
  <c r="AB44" i="94"/>
  <c r="AF94" i="94"/>
  <c r="AB39" i="95"/>
  <c r="AF39" i="95"/>
  <c r="AI39" i="95"/>
  <c r="AF49" i="97"/>
  <c r="AI49" i="97"/>
  <c r="AA52" i="97"/>
  <c r="AA54" i="97" s="1"/>
  <c r="AA53" i="97"/>
  <c r="AI39" i="98"/>
  <c r="AF39" i="98"/>
  <c r="AL35" i="101"/>
  <c r="AM35" i="101"/>
  <c r="AE47" i="101"/>
  <c r="AH47" i="101"/>
  <c r="AJ50" i="104"/>
  <c r="AF50" i="104"/>
  <c r="AB66" i="87"/>
  <c r="AA62" i="87"/>
  <c r="AF92" i="87"/>
  <c r="AA123" i="87"/>
  <c r="AI52" i="88"/>
  <c r="AJ63" i="88"/>
  <c r="AN85" i="88"/>
  <c r="AB61" i="89"/>
  <c r="AI69" i="89"/>
  <c r="AF101" i="89"/>
  <c r="AF111" i="89"/>
  <c r="AE121" i="89"/>
  <c r="AJ52" i="90"/>
  <c r="AM46" i="90"/>
  <c r="AF48" i="90"/>
  <c r="AJ53" i="90"/>
  <c r="AF64" i="90"/>
  <c r="AL72" i="90"/>
  <c r="AA143" i="91"/>
  <c r="AI100" i="91"/>
  <c r="AB109" i="91"/>
  <c r="U126" i="91"/>
  <c r="U127" i="91" s="1"/>
  <c r="AA146" i="91"/>
  <c r="AM41" i="92"/>
  <c r="AJ51" i="92"/>
  <c r="AF69" i="92"/>
  <c r="AB91" i="94"/>
  <c r="AF91" i="94"/>
  <c r="AI37" i="99"/>
  <c r="AF37" i="99"/>
  <c r="AB37" i="99"/>
  <c r="U112" i="99"/>
  <c r="U113" i="99" s="1"/>
  <c r="AB41" i="100"/>
  <c r="AB35" i="100"/>
  <c r="AM39" i="103"/>
  <c r="AN39" i="103"/>
  <c r="AF49" i="87"/>
  <c r="AB56" i="87"/>
  <c r="W126" i="87"/>
  <c r="W127" i="87" s="1"/>
  <c r="O126" i="87"/>
  <c r="AJ51" i="88"/>
  <c r="AJ43" i="88"/>
  <c r="AJ35" i="88"/>
  <c r="AN84" i="88"/>
  <c r="AF38" i="89"/>
  <c r="AB80" i="89"/>
  <c r="AA122" i="89"/>
  <c r="AB122" i="89" s="1"/>
  <c r="S126" i="89"/>
  <c r="S127" i="89" s="1"/>
  <c r="AJ40" i="90"/>
  <c r="AF58" i="90"/>
  <c r="AF42" i="90"/>
  <c r="AJ70" i="90"/>
  <c r="AJ62" i="90"/>
  <c r="AH72" i="90"/>
  <c r="AJ86" i="90"/>
  <c r="AJ78" i="90"/>
  <c r="AI86" i="90"/>
  <c r="AJ97" i="90"/>
  <c r="AI100" i="90"/>
  <c r="AI69" i="91"/>
  <c r="AF77" i="91"/>
  <c r="AB87" i="91"/>
  <c r="AB68" i="91"/>
  <c r="AA94" i="91"/>
  <c r="AI94" i="91" s="1"/>
  <c r="AI102" i="91"/>
  <c r="AF102" i="91"/>
  <c r="AF98" i="91"/>
  <c r="AI106" i="91"/>
  <c r="AB116" i="91"/>
  <c r="AA122" i="91"/>
  <c r="AI122" i="91" s="1"/>
  <c r="AD126" i="91"/>
  <c r="AE126" i="91" s="1"/>
  <c r="AJ60" i="92"/>
  <c r="AF60" i="92"/>
  <c r="AN79" i="92"/>
  <c r="AB118" i="93"/>
  <c r="AI118" i="93"/>
  <c r="AA146" i="93"/>
  <c r="AI132" i="93"/>
  <c r="AF132" i="93"/>
  <c r="AF101" i="95"/>
  <c r="AI101" i="95"/>
  <c r="Y122" i="95"/>
  <c r="Y123" i="95" s="1"/>
  <c r="AF58" i="97"/>
  <c r="AI58" i="97"/>
  <c r="O67" i="102"/>
  <c r="AA48" i="102"/>
  <c r="AF48" i="102" s="1"/>
  <c r="AE51" i="103"/>
  <c r="AK51" i="103"/>
  <c r="AD70" i="103"/>
  <c r="AF43" i="112"/>
  <c r="AB43" i="112"/>
  <c r="AB56" i="93"/>
  <c r="AB78" i="93"/>
  <c r="X126" i="93"/>
  <c r="X127" i="93" s="1"/>
  <c r="P126" i="93"/>
  <c r="P127" i="93" s="1"/>
  <c r="AB45" i="94"/>
  <c r="AF63" i="94"/>
  <c r="AI65" i="94"/>
  <c r="AI56" i="95"/>
  <c r="AI76" i="95"/>
  <c r="AF52" i="96"/>
  <c r="AF36" i="96"/>
  <c r="AB41" i="97"/>
  <c r="AF35" i="97"/>
  <c r="Y112" i="97"/>
  <c r="Y113" i="97" s="1"/>
  <c r="Q112" i="97"/>
  <c r="Q113" i="97" s="1"/>
  <c r="AF52" i="98"/>
  <c r="AJ52" i="98"/>
  <c r="AB45" i="98"/>
  <c r="AM36" i="98"/>
  <c r="AI71" i="99"/>
  <c r="AF71" i="99"/>
  <c r="AF50" i="99"/>
  <c r="AI50" i="99"/>
  <c r="AH35" i="101"/>
  <c r="AE35" i="101"/>
  <c r="AI35" i="101"/>
  <c r="AF36" i="105"/>
  <c r="AB36" i="105"/>
  <c r="AM36" i="105" s="1"/>
  <c r="AJ36" i="105"/>
  <c r="AF37" i="106"/>
  <c r="AJ37" i="106"/>
  <c r="AB37" i="106"/>
  <c r="AL56" i="106"/>
  <c r="AH56" i="106"/>
  <c r="AA90" i="107"/>
  <c r="AJ90" i="107" s="1"/>
  <c r="AA82" i="107"/>
  <c r="AJ82" i="107" s="1"/>
  <c r="AE83" i="107"/>
  <c r="AK83" i="107"/>
  <c r="AB50" i="109"/>
  <c r="AM50" i="109" s="1"/>
  <c r="AB55" i="109"/>
  <c r="AN55" i="109" s="1"/>
  <c r="AJ41" i="109"/>
  <c r="AF41" i="109"/>
  <c r="AI41" i="109"/>
  <c r="AB59" i="109"/>
  <c r="AN59" i="109" s="1"/>
  <c r="AI59" i="109"/>
  <c r="AF59" i="109"/>
  <c r="AI35" i="111"/>
  <c r="AB42" i="111"/>
  <c r="AF42" i="111"/>
  <c r="AF38" i="112"/>
  <c r="AI38" i="112"/>
  <c r="AI69" i="112"/>
  <c r="AF69" i="112"/>
  <c r="AB69" i="112"/>
  <c r="AI61" i="112"/>
  <c r="AF61" i="112"/>
  <c r="AB61" i="112"/>
  <c r="AI50" i="118"/>
  <c r="AF50" i="118"/>
  <c r="AJ68" i="92"/>
  <c r="AF49" i="92"/>
  <c r="AF40" i="92"/>
  <c r="AB38" i="93"/>
  <c r="AA143" i="93"/>
  <c r="AF102" i="93"/>
  <c r="W126" i="93"/>
  <c r="W127" i="93" s="1"/>
  <c r="AF50" i="94"/>
  <c r="AF45" i="94"/>
  <c r="AI74" i="94"/>
  <c r="AB112" i="95"/>
  <c r="AB38" i="95"/>
  <c r="AI67" i="95"/>
  <c r="AA63" i="95"/>
  <c r="AA52" i="95"/>
  <c r="AF80" i="95"/>
  <c r="AF126" i="95"/>
  <c r="AA142" i="95"/>
  <c r="AF46" i="96"/>
  <c r="AI83" i="97"/>
  <c r="AB70" i="97"/>
  <c r="AB83" i="97"/>
  <c r="AF83" i="97"/>
  <c r="AB51" i="98"/>
  <c r="AM51" i="98" s="1"/>
  <c r="AJ51" i="98"/>
  <c r="AF55" i="98"/>
  <c r="AJ36" i="98"/>
  <c r="AI47" i="99"/>
  <c r="AF70" i="99"/>
  <c r="AB70" i="99"/>
  <c r="AA72" i="99"/>
  <c r="AA73" i="99" s="1"/>
  <c r="AI84" i="99"/>
  <c r="AF88" i="99"/>
  <c r="AI88" i="99"/>
  <c r="AB36" i="100"/>
  <c r="AI45" i="101"/>
  <c r="AD57" i="101"/>
  <c r="AJ57" i="101"/>
  <c r="AE44" i="104"/>
  <c r="AD63" i="104"/>
  <c r="AN60" i="104"/>
  <c r="AI36" i="106"/>
  <c r="AB36" i="106"/>
  <c r="AI53" i="106"/>
  <c r="AF53" i="106"/>
  <c r="AJ53" i="106"/>
  <c r="AB47" i="109"/>
  <c r="AN53" i="112"/>
  <c r="AM53" i="112"/>
  <c r="AJ52" i="113"/>
  <c r="AJ58" i="113"/>
  <c r="AJ56" i="113"/>
  <c r="AJ43" i="113"/>
  <c r="AJ64" i="113"/>
  <c r="AJ71" i="113"/>
  <c r="AI62" i="116"/>
  <c r="AB62" i="116"/>
  <c r="AF62" i="116"/>
  <c r="AJ62" i="116"/>
  <c r="AJ36" i="92"/>
  <c r="AJ79" i="92"/>
  <c r="AI38" i="93"/>
  <c r="AB46" i="93"/>
  <c r="AB99" i="93"/>
  <c r="AB119" i="93"/>
  <c r="AB114" i="93"/>
  <c r="AJ52" i="94"/>
  <c r="AB48" i="94"/>
  <c r="AM48" i="94" s="1"/>
  <c r="AB38" i="94"/>
  <c r="AF54" i="94"/>
  <c r="AF38" i="94"/>
  <c r="AB76" i="94"/>
  <c r="AM76" i="94" s="1"/>
  <c r="AB90" i="94"/>
  <c r="AN90" i="94" s="1"/>
  <c r="AB99" i="94"/>
  <c r="AJ48" i="96"/>
  <c r="AI46" i="96"/>
  <c r="AB76" i="97"/>
  <c r="AI76" i="97"/>
  <c r="AB45" i="97"/>
  <c r="AB92" i="97"/>
  <c r="AF99" i="97"/>
  <c r="AI99" i="97"/>
  <c r="Z112" i="97"/>
  <c r="Z113" i="97" s="1"/>
  <c r="R112" i="97"/>
  <c r="R113" i="97" s="1"/>
  <c r="AD112" i="97"/>
  <c r="AF44" i="98"/>
  <c r="AJ44" i="98"/>
  <c r="AF49" i="100"/>
  <c r="AB63" i="100"/>
  <c r="AM63" i="100" s="1"/>
  <c r="AI63" i="100"/>
  <c r="AF63" i="100"/>
  <c r="AG67" i="102"/>
  <c r="AH48" i="102"/>
  <c r="AI56" i="102"/>
  <c r="AF56" i="102"/>
  <c r="AI62" i="103"/>
  <c r="AB62" i="103"/>
  <c r="AM62" i="103" s="1"/>
  <c r="AF41" i="106"/>
  <c r="AI41" i="106"/>
  <c r="AB41" i="106"/>
  <c r="AM41" i="106" s="1"/>
  <c r="AJ50" i="106"/>
  <c r="AI51" i="106"/>
  <c r="AJ51" i="106"/>
  <c r="AN63" i="106"/>
  <c r="AM63" i="106"/>
  <c r="AF52" i="107"/>
  <c r="AB52" i="107"/>
  <c r="AM52" i="107" s="1"/>
  <c r="AF45" i="107"/>
  <c r="AJ45" i="107"/>
  <c r="AI45" i="107"/>
  <c r="AF95" i="107"/>
  <c r="AI95" i="107"/>
  <c r="AB46" i="108"/>
  <c r="AE59" i="111"/>
  <c r="AK59" i="111"/>
  <c r="AF68" i="113"/>
  <c r="AB68" i="113"/>
  <c r="AI68" i="113"/>
  <c r="AJ54" i="113"/>
  <c r="AI54" i="113"/>
  <c r="AF54" i="113"/>
  <c r="AA94" i="93"/>
  <c r="AI94" i="93" s="1"/>
  <c r="T126" i="93"/>
  <c r="T127" i="93" s="1"/>
  <c r="AB100" i="94"/>
  <c r="AB53" i="94"/>
  <c r="AB37" i="94"/>
  <c r="AI48" i="96"/>
  <c r="AB38" i="97"/>
  <c r="AB59" i="97"/>
  <c r="AB36" i="97"/>
  <c r="AB75" i="97"/>
  <c r="AA77" i="97"/>
  <c r="AI77" i="97" s="1"/>
  <c r="AB98" i="97"/>
  <c r="AF49" i="98"/>
  <c r="AJ49" i="98"/>
  <c r="AI80" i="99"/>
  <c r="AB80" i="99"/>
  <c r="P112" i="99"/>
  <c r="P113" i="99" s="1"/>
  <c r="AI38" i="101"/>
  <c r="AA38" i="101"/>
  <c r="AM38" i="101" s="1"/>
  <c r="AH38" i="101"/>
  <c r="Y58" i="101"/>
  <c r="Q58" i="101"/>
  <c r="AB38" i="103"/>
  <c r="AF38" i="103"/>
  <c r="AI38" i="103"/>
  <c r="AJ34" i="104"/>
  <c r="AB34" i="104"/>
  <c r="AN34" i="104" s="1"/>
  <c r="AB67" i="106"/>
  <c r="AN67" i="106" s="1"/>
  <c r="AI67" i="106"/>
  <c r="AN51" i="107"/>
  <c r="AB44" i="107"/>
  <c r="AM44" i="107" s="1"/>
  <c r="AI44" i="107"/>
  <c r="AI58" i="107"/>
  <c r="AE87" i="107"/>
  <c r="AK87" i="107"/>
  <c r="AE79" i="107"/>
  <c r="AK79" i="107"/>
  <c r="AB43" i="110"/>
  <c r="AM43" i="110" s="1"/>
  <c r="AB36" i="110"/>
  <c r="AN36" i="110" s="1"/>
  <c r="P64" i="111"/>
  <c r="V126" i="93"/>
  <c r="V127" i="93" s="1"/>
  <c r="AB52" i="94"/>
  <c r="AB47" i="94"/>
  <c r="AN47" i="94" s="1"/>
  <c r="AB36" i="94"/>
  <c r="AF53" i="94"/>
  <c r="AF42" i="94"/>
  <c r="AF37" i="94"/>
  <c r="AI53" i="94"/>
  <c r="AF67" i="95"/>
  <c r="AA118" i="95"/>
  <c r="AD122" i="95"/>
  <c r="AJ41" i="96"/>
  <c r="AB54" i="96"/>
  <c r="AM54" i="96" s="1"/>
  <c r="AJ47" i="96"/>
  <c r="AJ39" i="96"/>
  <c r="AF54" i="96"/>
  <c r="AF38" i="96"/>
  <c r="AJ52" i="96"/>
  <c r="AB74" i="97"/>
  <c r="AI75" i="97"/>
  <c r="AA111" i="97"/>
  <c r="AB111" i="97" s="1"/>
  <c r="AA108" i="97"/>
  <c r="T112" i="97"/>
  <c r="T113" i="97" s="1"/>
  <c r="AE108" i="97"/>
  <c r="AB48" i="98"/>
  <c r="AM48" i="98" s="1"/>
  <c r="AB36" i="98"/>
  <c r="AN36" i="98" s="1"/>
  <c r="AM52" i="98"/>
  <c r="AI49" i="98"/>
  <c r="AF47" i="99"/>
  <c r="AB67" i="99"/>
  <c r="AF80" i="99"/>
  <c r="AI39" i="100"/>
  <c r="AH37" i="101"/>
  <c r="AA37" i="101"/>
  <c r="AE38" i="101"/>
  <c r="AG49" i="101"/>
  <c r="AF64" i="102"/>
  <c r="AB64" i="102"/>
  <c r="AI64" i="102"/>
  <c r="AM42" i="103"/>
  <c r="AI57" i="104"/>
  <c r="AF57" i="104"/>
  <c r="AM66" i="105"/>
  <c r="AF36" i="106"/>
  <c r="AF68" i="107"/>
  <c r="AI68" i="107"/>
  <c r="AK91" i="107"/>
  <c r="AB67" i="109"/>
  <c r="AN67" i="109" s="1"/>
  <c r="AI62" i="109"/>
  <c r="AJ62" i="109"/>
  <c r="AF62" i="109"/>
  <c r="AJ59" i="109"/>
  <c r="AI48" i="111"/>
  <c r="AI66" i="113"/>
  <c r="AJ66" i="113"/>
  <c r="AF66" i="113"/>
  <c r="AI59" i="113"/>
  <c r="AF59" i="113"/>
  <c r="AJ36" i="114"/>
  <c r="AJ34" i="114"/>
  <c r="AI38" i="117"/>
  <c r="AB38" i="117"/>
  <c r="AM38" i="117" s="1"/>
  <c r="AF38" i="117"/>
  <c r="AB45" i="119"/>
  <c r="AM45" i="119" s="1"/>
  <c r="AI45" i="119"/>
  <c r="AF45" i="119"/>
  <c r="AB80" i="94"/>
  <c r="AA120" i="95"/>
  <c r="AI54" i="96"/>
  <c r="AA119" i="97"/>
  <c r="AA42" i="97"/>
  <c r="AI47" i="98"/>
  <c r="AF47" i="98"/>
  <c r="AM44" i="98"/>
  <c r="AA117" i="99"/>
  <c r="AF41" i="99"/>
  <c r="AA43" i="99"/>
  <c r="V112" i="99"/>
  <c r="V113" i="99" s="1"/>
  <c r="V62" i="101"/>
  <c r="AJ49" i="101"/>
  <c r="AD49" i="101"/>
  <c r="AJ55" i="101"/>
  <c r="AI52" i="102"/>
  <c r="AB59" i="102"/>
  <c r="AF59" i="102"/>
  <c r="AI43" i="103"/>
  <c r="AB43" i="103"/>
  <c r="AM43" i="103" s="1"/>
  <c r="AJ38" i="104"/>
  <c r="AJ52" i="104"/>
  <c r="AJ56" i="104"/>
  <c r="AB56" i="104"/>
  <c r="AN56" i="104" s="1"/>
  <c r="AB69" i="105"/>
  <c r="AN69" i="105" s="1"/>
  <c r="AB73" i="105"/>
  <c r="AB53" i="109"/>
  <c r="AM53" i="109" s="1"/>
  <c r="AN65" i="109"/>
  <c r="AI56" i="112"/>
  <c r="AB56" i="112"/>
  <c r="AJ56" i="112"/>
  <c r="Y67" i="116"/>
  <c r="Y68" i="116"/>
  <c r="Q67" i="116"/>
  <c r="Q68" i="116"/>
  <c r="AI60" i="106"/>
  <c r="AF60" i="106"/>
  <c r="AB60" i="106"/>
  <c r="AM60" i="106" s="1"/>
  <c r="AF74" i="107"/>
  <c r="AJ74" i="107"/>
  <c r="AI74" i="107"/>
  <c r="AI66" i="107"/>
  <c r="AF66" i="107"/>
  <c r="AF53" i="109"/>
  <c r="AJ53" i="109"/>
  <c r="AN39" i="110"/>
  <c r="AM39" i="110"/>
  <c r="AB35" i="111"/>
  <c r="U64" i="111"/>
  <c r="AF56" i="118"/>
  <c r="AI56" i="118"/>
  <c r="AB56" i="118"/>
  <c r="AN56" i="118" s="1"/>
  <c r="G54" i="97"/>
  <c r="AA62" i="97"/>
  <c r="W112" i="97"/>
  <c r="W113" i="97" s="1"/>
  <c r="O112" i="97"/>
  <c r="AJ56" i="98"/>
  <c r="AB50" i="98"/>
  <c r="AJ40" i="98"/>
  <c r="AI43" i="98"/>
  <c r="AF46" i="99"/>
  <c r="AG112" i="99"/>
  <c r="AF38" i="100"/>
  <c r="AJ48" i="100"/>
  <c r="AL38" i="101"/>
  <c r="T58" i="101"/>
  <c r="X58" i="101"/>
  <c r="P58" i="101"/>
  <c r="AI60" i="101"/>
  <c r="AM35" i="103"/>
  <c r="AF41" i="104"/>
  <c r="AF60" i="104"/>
  <c r="AF44" i="105"/>
  <c r="AJ44" i="105"/>
  <c r="AI74" i="105"/>
  <c r="AN64" i="106"/>
  <c r="AI39" i="107"/>
  <c r="AF39" i="107"/>
  <c r="AF61" i="109"/>
  <c r="AI61" i="109"/>
  <c r="AB61" i="109"/>
  <c r="AM61" i="109" s="1"/>
  <c r="AI54" i="109"/>
  <c r="AF54" i="109"/>
  <c r="AB38" i="110"/>
  <c r="AN38" i="110" s="1"/>
  <c r="AF38" i="110"/>
  <c r="AJ67" i="113"/>
  <c r="AF67" i="113"/>
  <c r="AI67" i="113"/>
  <c r="AB35" i="114"/>
  <c r="AJ35" i="114"/>
  <c r="AA36" i="115"/>
  <c r="AB41" i="116"/>
  <c r="AF41" i="116"/>
  <c r="AM34" i="116"/>
  <c r="AN34" i="116"/>
  <c r="AK66" i="116"/>
  <c r="AD67" i="116"/>
  <c r="AD68" i="116"/>
  <c r="AJ39" i="117"/>
  <c r="AB39" i="117"/>
  <c r="AB75" i="113"/>
  <c r="AM75" i="113" s="1"/>
  <c r="AB37" i="113"/>
  <c r="AB45" i="113"/>
  <c r="AJ46" i="113"/>
  <c r="AB72" i="113"/>
  <c r="AB74" i="113"/>
  <c r="AI36" i="119"/>
  <c r="AB36" i="119"/>
  <c r="X112" i="97"/>
  <c r="X113" i="97" s="1"/>
  <c r="P112" i="97"/>
  <c r="P113" i="97" s="1"/>
  <c r="AG112" i="97"/>
  <c r="AB53" i="98"/>
  <c r="AB37" i="98"/>
  <c r="AB66" i="99"/>
  <c r="T112" i="99"/>
  <c r="T113" i="99" s="1"/>
  <c r="Q112" i="99"/>
  <c r="Q113" i="99" s="1"/>
  <c r="AH108" i="99"/>
  <c r="AM34" i="101"/>
  <c r="Y62" i="101"/>
  <c r="Q62" i="101"/>
  <c r="Z54" i="101"/>
  <c r="AE54" i="101" s="1"/>
  <c r="AF58" i="101"/>
  <c r="AK58" i="101" s="1"/>
  <c r="AJ54" i="101"/>
  <c r="AH60" i="101"/>
  <c r="AC62" i="101"/>
  <c r="AI54" i="102"/>
  <c r="AM38" i="104"/>
  <c r="AI42" i="105"/>
  <c r="AF42" i="105"/>
  <c r="AJ40" i="105"/>
  <c r="AJ38" i="105"/>
  <c r="AF62" i="105"/>
  <c r="AB62" i="105"/>
  <c r="AM62" i="105" s="1"/>
  <c r="AI62" i="105"/>
  <c r="AI98" i="107"/>
  <c r="AF98" i="107"/>
  <c r="AB37" i="108"/>
  <c r="AM37" i="108" s="1"/>
  <c r="AF36" i="110"/>
  <c r="AI36" i="110"/>
  <c r="AB41" i="111"/>
  <c r="AM41" i="111" s="1"/>
  <c r="AI41" i="111"/>
  <c r="S64" i="111"/>
  <c r="AI47" i="111"/>
  <c r="AB76" i="112"/>
  <c r="AB68" i="112"/>
  <c r="AN68" i="112" s="1"/>
  <c r="AB73" i="112"/>
  <c r="AI40" i="112"/>
  <c r="AF40" i="112"/>
  <c r="AB72" i="112"/>
  <c r="AB65" i="112"/>
  <c r="AM65" i="112" s="1"/>
  <c r="AF65" i="112"/>
  <c r="AJ38" i="113"/>
  <c r="AI46" i="113"/>
  <c r="AF72" i="113"/>
  <c r="AJ72" i="113"/>
  <c r="AI46" i="116"/>
  <c r="AJ46" i="116"/>
  <c r="AF46" i="116"/>
  <c r="W68" i="116"/>
  <c r="W67" i="116"/>
  <c r="O68" i="116"/>
  <c r="O67" i="116"/>
  <c r="AE51" i="117"/>
  <c r="AK51" i="117"/>
  <c r="AI57" i="119"/>
  <c r="AB57" i="119"/>
  <c r="AJ57" i="119"/>
  <c r="AB66" i="97"/>
  <c r="AB104" i="97"/>
  <c r="AA110" i="97"/>
  <c r="AJ48" i="98"/>
  <c r="AI40" i="98"/>
  <c r="AA62" i="99"/>
  <c r="W112" i="99"/>
  <c r="W113" i="99" s="1"/>
  <c r="AA110" i="99"/>
  <c r="X62" i="101"/>
  <c r="P62" i="101"/>
  <c r="AI40" i="105"/>
  <c r="AI38" i="105"/>
  <c r="AF66" i="105"/>
  <c r="AF35" i="107"/>
  <c r="AB35" i="107"/>
  <c r="AN35" i="107" s="1"/>
  <c r="AJ35" i="107"/>
  <c r="T96" i="107"/>
  <c r="T100" i="107" s="1"/>
  <c r="AI46" i="109"/>
  <c r="AF46" i="109"/>
  <c r="AB64" i="109"/>
  <c r="AM64" i="109" s="1"/>
  <c r="AI51" i="109"/>
  <c r="AB51" i="109"/>
  <c r="AJ42" i="110"/>
  <c r="AI42" i="110"/>
  <c r="AB35" i="110"/>
  <c r="AM35" i="110" s="1"/>
  <c r="AJ35" i="110"/>
  <c r="AN52" i="112"/>
  <c r="AJ63" i="113"/>
  <c r="AJ35" i="115"/>
  <c r="AI35" i="115"/>
  <c r="AJ64" i="116"/>
  <c r="AF64" i="116"/>
  <c r="AB64" i="116"/>
  <c r="AF58" i="116"/>
  <c r="AB58" i="116"/>
  <c r="AI64" i="116"/>
  <c r="AE44" i="117"/>
  <c r="AB56" i="119"/>
  <c r="AI64" i="112"/>
  <c r="AF64" i="112"/>
  <c r="AB64" i="112"/>
  <c r="AF36" i="113"/>
  <c r="AJ36" i="113"/>
  <c r="AE37" i="114"/>
  <c r="AK37" i="114"/>
  <c r="AI34" i="115"/>
  <c r="AF34" i="115"/>
  <c r="AB44" i="119"/>
  <c r="AB53" i="119"/>
  <c r="AB40" i="119"/>
  <c r="AM59" i="103"/>
  <c r="AN36" i="104"/>
  <c r="AA44" i="104"/>
  <c r="AJ44" i="104" s="1"/>
  <c r="AF53" i="105"/>
  <c r="AI53" i="105"/>
  <c r="AN66" i="105"/>
  <c r="AB43" i="106"/>
  <c r="AJ43" i="106"/>
  <c r="AF43" i="106"/>
  <c r="AF54" i="106"/>
  <c r="AI54" i="106"/>
  <c r="AJ54" i="106"/>
  <c r="AF46" i="106"/>
  <c r="AJ46" i="106"/>
  <c r="AJ72" i="106"/>
  <c r="AI72" i="106"/>
  <c r="AB72" i="106"/>
  <c r="AN72" i="106" s="1"/>
  <c r="V96" i="107"/>
  <c r="V100" i="107" s="1"/>
  <c r="Z96" i="107"/>
  <c r="Z100" i="107" s="1"/>
  <c r="R96" i="107"/>
  <c r="R100" i="107" s="1"/>
  <c r="AH92" i="107"/>
  <c r="AL92" i="107"/>
  <c r="AF42" i="108"/>
  <c r="AJ42" i="108"/>
  <c r="AJ45" i="108"/>
  <c r="AN39" i="109"/>
  <c r="AJ63" i="109"/>
  <c r="AF63" i="109"/>
  <c r="AB56" i="109"/>
  <c r="AJ58" i="109"/>
  <c r="AI40" i="110"/>
  <c r="AB40" i="110"/>
  <c r="AJ43" i="110"/>
  <c r="AI37" i="112"/>
  <c r="AB37" i="112"/>
  <c r="AM37" i="112" s="1"/>
  <c r="AJ72" i="112"/>
  <c r="AJ42" i="113"/>
  <c r="AI55" i="113"/>
  <c r="AJ55" i="113"/>
  <c r="V67" i="116"/>
  <c r="AF39" i="117"/>
  <c r="Z60" i="117"/>
  <c r="AI44" i="118"/>
  <c r="AB44" i="118"/>
  <c r="AD48" i="118"/>
  <c r="AD52" i="118" s="1"/>
  <c r="AK46" i="118"/>
  <c r="AA66" i="119"/>
  <c r="AI40" i="119"/>
  <c r="AI48" i="119"/>
  <c r="AJ48" i="119"/>
  <c r="AF48" i="119"/>
  <c r="AI56" i="119"/>
  <c r="AB63" i="119"/>
  <c r="X96" i="107"/>
  <c r="X100" i="107" s="1"/>
  <c r="P96" i="107"/>
  <c r="P100" i="107" s="1"/>
  <c r="AB45" i="109"/>
  <c r="AN45" i="109" s="1"/>
  <c r="AI39" i="111"/>
  <c r="T64" i="111"/>
  <c r="AB64" i="113"/>
  <c r="AM64" i="113" s="1"/>
  <c r="AF63" i="113"/>
  <c r="AF58" i="113"/>
  <c r="AB34" i="115"/>
  <c r="AB61" i="116"/>
  <c r="AB50" i="116"/>
  <c r="AB45" i="116"/>
  <c r="AF61" i="116"/>
  <c r="AF38" i="116"/>
  <c r="T67" i="116"/>
  <c r="AB36" i="117"/>
  <c r="AM36" i="117" s="1"/>
  <c r="AB50" i="117"/>
  <c r="AM50" i="117" s="1"/>
  <c r="AI50" i="117"/>
  <c r="AB41" i="118"/>
  <c r="AM41" i="118" s="1"/>
  <c r="AM55" i="118"/>
  <c r="AJ39" i="119"/>
  <c r="AJ44" i="119"/>
  <c r="AF38" i="113"/>
  <c r="AJ70" i="113"/>
  <c r="AI70" i="113"/>
  <c r="AF34" i="114"/>
  <c r="AE36" i="115"/>
  <c r="AB65" i="116"/>
  <c r="AM65" i="116" s="1"/>
  <c r="AF65" i="116"/>
  <c r="S67" i="116"/>
  <c r="X68" i="116"/>
  <c r="AJ36" i="117"/>
  <c r="AJ43" i="117"/>
  <c r="Y53" i="117"/>
  <c r="Y60" i="117" s="1"/>
  <c r="Q53" i="117"/>
  <c r="Q60" i="117" s="1"/>
  <c r="X59" i="118"/>
  <c r="P59" i="118"/>
  <c r="Y59" i="118"/>
  <c r="AF38" i="119"/>
  <c r="AJ43" i="119"/>
  <c r="AJ61" i="119"/>
  <c r="AM48" i="104"/>
  <c r="AJ66" i="105"/>
  <c r="AM43" i="105"/>
  <c r="AF37" i="105"/>
  <c r="AJ63" i="105"/>
  <c r="AA56" i="106"/>
  <c r="AM71" i="106"/>
  <c r="AJ58" i="107"/>
  <c r="AF57" i="107"/>
  <c r="AJ70" i="107"/>
  <c r="AJ66" i="109"/>
  <c r="AF70" i="109"/>
  <c r="AJ34" i="110"/>
  <c r="Z64" i="111"/>
  <c r="R64" i="111"/>
  <c r="AM36" i="112"/>
  <c r="AN36" i="112"/>
  <c r="AF53" i="112"/>
  <c r="AB36" i="114"/>
  <c r="AM36" i="114" s="1"/>
  <c r="AB49" i="116"/>
  <c r="AN49" i="116" s="1"/>
  <c r="AB37" i="116"/>
  <c r="AN37" i="116" s="1"/>
  <c r="AN35" i="117"/>
  <c r="AI43" i="117"/>
  <c r="W60" i="117"/>
  <c r="AJ60" i="119"/>
  <c r="AM34" i="103"/>
  <c r="AB57" i="103"/>
  <c r="AF57" i="103"/>
  <c r="AJ37" i="104"/>
  <c r="AB44" i="105"/>
  <c r="AJ43" i="105"/>
  <c r="AB98" i="107"/>
  <c r="AJ47" i="107"/>
  <c r="AF73" i="107"/>
  <c r="AI70" i="107"/>
  <c r="AB35" i="108"/>
  <c r="AN35" i="108" s="1"/>
  <c r="AI52" i="108"/>
  <c r="AJ51" i="109"/>
  <c r="AB42" i="109"/>
  <c r="AJ42" i="109"/>
  <c r="AI34" i="110"/>
  <c r="Y64" i="111"/>
  <c r="Q64" i="111"/>
  <c r="AF56" i="111"/>
  <c r="AB47" i="112"/>
  <c r="AN47" i="112" s="1"/>
  <c r="AJ41" i="112"/>
  <c r="AJ44" i="113"/>
  <c r="AJ62" i="113"/>
  <c r="AJ38" i="116"/>
  <c r="AJ37" i="116"/>
  <c r="P68" i="116"/>
  <c r="R53" i="117"/>
  <c r="R60" i="117" s="1"/>
  <c r="AJ56" i="118"/>
  <c r="AJ40" i="118"/>
  <c r="AI55" i="118"/>
  <c r="AJ53" i="119"/>
  <c r="AI61" i="119"/>
  <c r="AJ56" i="119"/>
  <c r="AB35" i="119"/>
  <c r="AF35" i="119"/>
  <c r="AJ63" i="119"/>
  <c r="AI63" i="119"/>
  <c r="AG64" i="72"/>
  <c r="AE72" i="72"/>
  <c r="AN56" i="73"/>
  <c r="AL56" i="73"/>
  <c r="W62" i="72"/>
  <c r="W64" i="72"/>
  <c r="W74" i="72" s="1"/>
  <c r="O62" i="72"/>
  <c r="O64" i="72"/>
  <c r="O74" i="72" s="1"/>
  <c r="AN84" i="73"/>
  <c r="AL84" i="73"/>
  <c r="AN76" i="73"/>
  <c r="AL76" i="73"/>
  <c r="V74" i="72"/>
  <c r="AF72" i="72"/>
  <c r="AG72" i="72" s="1"/>
  <c r="AG71" i="72"/>
  <c r="X64" i="72"/>
  <c r="X74" i="72" s="1"/>
  <c r="X62" i="72"/>
  <c r="P64" i="72"/>
  <c r="P74" i="72" s="1"/>
  <c r="P62" i="72"/>
  <c r="AE80" i="72"/>
  <c r="AH80" i="72"/>
  <c r="AL90" i="73"/>
  <c r="AN90" i="73"/>
  <c r="AL82" i="73"/>
  <c r="AN82" i="73"/>
  <c r="AN39" i="76"/>
  <c r="AM39" i="76"/>
  <c r="AC62" i="72"/>
  <c r="AD62" i="72" s="1"/>
  <c r="AE59" i="72"/>
  <c r="Z60" i="72"/>
  <c r="AA60" i="72" s="1"/>
  <c r="AH59" i="72"/>
  <c r="AE49" i="72"/>
  <c r="Z50" i="72"/>
  <c r="AA50" i="72" s="1"/>
  <c r="AE35" i="72"/>
  <c r="AA48" i="72"/>
  <c r="AE47" i="72"/>
  <c r="T51" i="72"/>
  <c r="T52" i="72" s="1"/>
  <c r="AF50" i="72"/>
  <c r="AG50" i="72" s="1"/>
  <c r="AE55" i="72"/>
  <c r="U61" i="72"/>
  <c r="AG61" i="72"/>
  <c r="AE67" i="72"/>
  <c r="AA79" i="72"/>
  <c r="AE78" i="72"/>
  <c r="AE103" i="72"/>
  <c r="AD99" i="72"/>
  <c r="AG103" i="72"/>
  <c r="AB44" i="73"/>
  <c r="AB35" i="73"/>
  <c r="AI49" i="73"/>
  <c r="AN47" i="73"/>
  <c r="AN39" i="73"/>
  <c r="AJ66" i="73"/>
  <c r="AI66" i="73"/>
  <c r="AB61" i="73"/>
  <c r="AB86" i="73"/>
  <c r="AB77" i="73"/>
  <c r="AJ73" i="73"/>
  <c r="AF92" i="73"/>
  <c r="AF78" i="73"/>
  <c r="AJ93" i="73"/>
  <c r="AJ85" i="73"/>
  <c r="AJ77" i="73"/>
  <c r="AB96" i="73"/>
  <c r="AI96" i="73"/>
  <c r="AA154" i="74"/>
  <c r="AB69" i="74"/>
  <c r="AI116" i="74"/>
  <c r="AB116" i="74"/>
  <c r="AI100" i="74"/>
  <c r="AA147" i="74"/>
  <c r="AB100" i="74"/>
  <c r="AI84" i="74"/>
  <c r="AA131" i="74"/>
  <c r="AB84" i="74"/>
  <c r="AI37" i="75"/>
  <c r="AJ37" i="75"/>
  <c r="AF37" i="75"/>
  <c r="AB37" i="75"/>
  <c r="AI51" i="76"/>
  <c r="AJ51" i="76"/>
  <c r="AF51" i="76"/>
  <c r="AB51" i="76"/>
  <c r="AL70" i="76"/>
  <c r="AG125" i="76"/>
  <c r="AH70" i="76"/>
  <c r="AA41" i="72"/>
  <c r="S51" i="72"/>
  <c r="S52" i="72" s="1"/>
  <c r="AF62" i="72"/>
  <c r="AG62" i="72" s="1"/>
  <c r="AB39" i="73"/>
  <c r="AB60" i="73"/>
  <c r="AB81" i="73"/>
  <c r="AB72" i="73"/>
  <c r="AI77" i="73"/>
  <c r="AF143" i="74"/>
  <c r="AF48" i="75"/>
  <c r="AI48" i="75"/>
  <c r="AJ48" i="75"/>
  <c r="AA76" i="75"/>
  <c r="AA72" i="75"/>
  <c r="AB48" i="75"/>
  <c r="AI68" i="75"/>
  <c r="AF68" i="75"/>
  <c r="AM41" i="76"/>
  <c r="AN41" i="76"/>
  <c r="AI67" i="76"/>
  <c r="AJ67" i="76"/>
  <c r="AI111" i="76"/>
  <c r="AJ111" i="76"/>
  <c r="AF111" i="76"/>
  <c r="AB111" i="76"/>
  <c r="AJ99" i="76"/>
  <c r="AF99" i="76"/>
  <c r="AB99" i="76"/>
  <c r="AF105" i="77"/>
  <c r="AI105" i="77"/>
  <c r="AH37" i="72"/>
  <c r="Z43" i="72"/>
  <c r="AA59" i="72" s="1"/>
  <c r="AG98" i="72"/>
  <c r="AG102" i="72"/>
  <c r="AA47" i="72"/>
  <c r="R51" i="72"/>
  <c r="R52" i="72" s="1"/>
  <c r="X50" i="72"/>
  <c r="P50" i="72"/>
  <c r="AE58" i="72"/>
  <c r="AE54" i="72"/>
  <c r="AH57" i="72"/>
  <c r="AH55" i="72"/>
  <c r="S61" i="72"/>
  <c r="AC60" i="72"/>
  <c r="AD60" i="72" s="1"/>
  <c r="AH63" i="72"/>
  <c r="AE70" i="72"/>
  <c r="AD98" i="72"/>
  <c r="AG101" i="72"/>
  <c r="AB43" i="73"/>
  <c r="AJ57" i="73"/>
  <c r="AB64" i="73"/>
  <c r="AF66" i="73"/>
  <c r="AI62" i="73"/>
  <c r="AB94" i="73"/>
  <c r="AB85" i="73"/>
  <c r="AJ81" i="73"/>
  <c r="AB76" i="73"/>
  <c r="AJ72" i="73"/>
  <c r="AI72" i="73"/>
  <c r="AF86" i="73"/>
  <c r="AJ94" i="73"/>
  <c r="AJ86" i="73"/>
  <c r="AJ78" i="73"/>
  <c r="AJ74" i="73"/>
  <c r="AF97" i="73"/>
  <c r="AI97" i="73"/>
  <c r="AF69" i="74"/>
  <c r="AA142" i="74"/>
  <c r="AB57" i="74"/>
  <c r="AI104" i="74"/>
  <c r="AB104" i="74"/>
  <c r="AI88" i="74"/>
  <c r="AB88" i="74"/>
  <c r="AI72" i="74"/>
  <c r="AB72" i="74"/>
  <c r="AF104" i="74"/>
  <c r="AF72" i="74"/>
  <c r="AA67" i="75"/>
  <c r="AJ41" i="75"/>
  <c r="AF41" i="75"/>
  <c r="AB41" i="75"/>
  <c r="AL34" i="75"/>
  <c r="AN34" i="75"/>
  <c r="AM46" i="76"/>
  <c r="AN46" i="76"/>
  <c r="AI99" i="76"/>
  <c r="AK37" i="72"/>
  <c r="AA40" i="72"/>
  <c r="Y51" i="72"/>
  <c r="Y52" i="72" s="1"/>
  <c r="Q51" i="72"/>
  <c r="Q52" i="72" s="1"/>
  <c r="T64" i="72"/>
  <c r="T74" i="72" s="1"/>
  <c r="Z71" i="72"/>
  <c r="AB47" i="73"/>
  <c r="AB38" i="73"/>
  <c r="AJ43" i="73"/>
  <c r="AJ35" i="73"/>
  <c r="AB68" i="73"/>
  <c r="AB59" i="73"/>
  <c r="AN65" i="73"/>
  <c r="AB89" i="73"/>
  <c r="AB80" i="73"/>
  <c r="AI94" i="73"/>
  <c r="AI78" i="73"/>
  <c r="AF116" i="74"/>
  <c r="AF84" i="74"/>
  <c r="AF66" i="75"/>
  <c r="AN43" i="75"/>
  <c r="AL43" i="75"/>
  <c r="AI39" i="76"/>
  <c r="AJ38" i="76"/>
  <c r="AF55" i="76"/>
  <c r="AB55" i="76"/>
  <c r="AM50" i="76"/>
  <c r="AH36" i="72"/>
  <c r="AD43" i="72"/>
  <c r="AA46" i="72"/>
  <c r="N50" i="72"/>
  <c r="Y61" i="72"/>
  <c r="Q61" i="72"/>
  <c r="AH68" i="72"/>
  <c r="AA83" i="72"/>
  <c r="AE83" i="72"/>
  <c r="AE101" i="72"/>
  <c r="AG105" i="72"/>
  <c r="AG100" i="72"/>
  <c r="AB51" i="73"/>
  <c r="AB42" i="73"/>
  <c r="AF45" i="73"/>
  <c r="AF36" i="73"/>
  <c r="AI47" i="73"/>
  <c r="AI43" i="73"/>
  <c r="AI39" i="73"/>
  <c r="AI35" i="73"/>
  <c r="AB63" i="73"/>
  <c r="AJ59" i="73"/>
  <c r="AN61" i="73"/>
  <c r="AI59" i="73"/>
  <c r="AB93" i="73"/>
  <c r="AJ89" i="73"/>
  <c r="AB84" i="73"/>
  <c r="AJ80" i="73"/>
  <c r="AI80" i="73"/>
  <c r="AF76" i="73"/>
  <c r="AJ91" i="73"/>
  <c r="AJ87" i="73"/>
  <c r="AJ83" i="73"/>
  <c r="AJ79" i="73"/>
  <c r="AJ75" i="73"/>
  <c r="AJ71" i="73"/>
  <c r="AA137" i="74"/>
  <c r="AB52" i="74"/>
  <c r="AI52" i="74"/>
  <c r="AF52" i="74"/>
  <c r="AA129" i="74"/>
  <c r="AB44" i="74"/>
  <c r="AI44" i="74"/>
  <c r="AF44" i="74"/>
  <c r="AA121" i="74"/>
  <c r="AB36" i="74"/>
  <c r="AI36" i="74"/>
  <c r="AF36" i="74"/>
  <c r="AA146" i="74"/>
  <c r="AB61" i="74"/>
  <c r="AI108" i="74"/>
  <c r="AB108" i="74"/>
  <c r="AI92" i="74"/>
  <c r="AA139" i="74"/>
  <c r="AB92" i="74"/>
  <c r="AI76" i="74"/>
  <c r="AA123" i="74"/>
  <c r="AB76" i="74"/>
  <c r="AI45" i="75"/>
  <c r="AJ45" i="75"/>
  <c r="AF45" i="75"/>
  <c r="AB45" i="75"/>
  <c r="AL40" i="75"/>
  <c r="AN40" i="75"/>
  <c r="AI41" i="75"/>
  <c r="AN50" i="75"/>
  <c r="AL50" i="75"/>
  <c r="AI57" i="75"/>
  <c r="AF57" i="75"/>
  <c r="AB57" i="75"/>
  <c r="AF38" i="76"/>
  <c r="AB38" i="76"/>
  <c r="AM54" i="76"/>
  <c r="AN54" i="76"/>
  <c r="AM87" i="76"/>
  <c r="AN87" i="76"/>
  <c r="AN75" i="76"/>
  <c r="AM75" i="76"/>
  <c r="AJ115" i="76"/>
  <c r="AF115" i="76"/>
  <c r="AB115" i="76"/>
  <c r="AI103" i="76"/>
  <c r="AJ103" i="76"/>
  <c r="AF103" i="76"/>
  <c r="AB103" i="76"/>
  <c r="AI35" i="72"/>
  <c r="AK35" i="72"/>
  <c r="AA39" i="72"/>
  <c r="AD97" i="72"/>
  <c r="AD101" i="72"/>
  <c r="AD105" i="72"/>
  <c r="AD87" i="72"/>
  <c r="AC44" i="72"/>
  <c r="AD44" i="72" s="1"/>
  <c r="W51" i="72"/>
  <c r="W52" i="72" s="1"/>
  <c r="O51" i="72"/>
  <c r="O52" i="72" s="1"/>
  <c r="AF51" i="72"/>
  <c r="AD57" i="72"/>
  <c r="T60" i="72"/>
  <c r="AD69" i="72"/>
  <c r="AG70" i="72"/>
  <c r="AG68" i="72"/>
  <c r="Z95" i="72"/>
  <c r="AA100" i="73"/>
  <c r="AF51" i="73"/>
  <c r="AB46" i="73"/>
  <c r="AB41" i="73"/>
  <c r="AJ37" i="73"/>
  <c r="AI37" i="73"/>
  <c r="AF40" i="73"/>
  <c r="AL49" i="73"/>
  <c r="AJ48" i="73"/>
  <c r="AJ44" i="73"/>
  <c r="AL41" i="73"/>
  <c r="AJ40" i="73"/>
  <c r="AJ36" i="73"/>
  <c r="AB67" i="73"/>
  <c r="AB58" i="73"/>
  <c r="AJ68" i="73"/>
  <c r="AJ64" i="73"/>
  <c r="AJ60" i="73"/>
  <c r="AB88" i="73"/>
  <c r="AB74" i="73"/>
  <c r="AN97" i="73"/>
  <c r="AA136" i="74"/>
  <c r="AB51" i="74"/>
  <c r="AI51" i="74"/>
  <c r="AF51" i="74"/>
  <c r="AA128" i="74"/>
  <c r="AB43" i="74"/>
  <c r="AI43" i="74"/>
  <c r="AF43" i="74"/>
  <c r="AA120" i="74"/>
  <c r="AB35" i="74"/>
  <c r="AI35" i="74"/>
  <c r="AF35" i="74"/>
  <c r="AI74" i="75"/>
  <c r="AJ47" i="76"/>
  <c r="AF47" i="76"/>
  <c r="AF39" i="76"/>
  <c r="AJ39" i="76"/>
  <c r="AF147" i="77"/>
  <c r="AI147" i="77"/>
  <c r="AB147" i="77"/>
  <c r="AA99" i="72"/>
  <c r="AA103" i="72"/>
  <c r="AE48" i="72"/>
  <c r="N51" i="72"/>
  <c r="AA63" i="72"/>
  <c r="AE56" i="72"/>
  <c r="AE79" i="72"/>
  <c r="AA100" i="72"/>
  <c r="AD100" i="72"/>
  <c r="AG104" i="72"/>
  <c r="AG99" i="72"/>
  <c r="AB50" i="73"/>
  <c r="AB36" i="73"/>
  <c r="AF44" i="73"/>
  <c r="AJ55" i="73"/>
  <c r="AI55" i="73"/>
  <c r="AB55" i="73"/>
  <c r="AJ67" i="73"/>
  <c r="AJ58" i="73"/>
  <c r="AI58" i="73"/>
  <c r="AF59" i="73"/>
  <c r="AI68" i="73"/>
  <c r="AI64" i="73"/>
  <c r="AI60" i="73"/>
  <c r="AB92" i="73"/>
  <c r="AJ88" i="73"/>
  <c r="AI88" i="73"/>
  <c r="AF84" i="73"/>
  <c r="AJ92" i="73"/>
  <c r="AA135" i="74"/>
  <c r="AI127" i="74"/>
  <c r="AF127" i="74"/>
  <c r="AA119" i="74"/>
  <c r="AA150" i="74"/>
  <c r="AB65" i="74"/>
  <c r="AI112" i="74"/>
  <c r="AB112" i="74"/>
  <c r="AI96" i="74"/>
  <c r="AB96" i="74"/>
  <c r="AI80" i="74"/>
  <c r="AB80" i="74"/>
  <c r="AF88" i="74"/>
  <c r="AN35" i="75"/>
  <c r="AL35" i="75"/>
  <c r="AA47" i="75"/>
  <c r="AM47" i="76"/>
  <c r="AF46" i="76"/>
  <c r="AI46" i="76"/>
  <c r="AM79" i="76"/>
  <c r="AN79" i="76"/>
  <c r="AJ107" i="76"/>
  <c r="AF107" i="76"/>
  <c r="AB107" i="76"/>
  <c r="AI95" i="76"/>
  <c r="AJ95" i="76"/>
  <c r="AF95" i="76"/>
  <c r="AB95" i="76"/>
  <c r="G69" i="77"/>
  <c r="AB49" i="73"/>
  <c r="AJ45" i="73"/>
  <c r="AI45" i="73"/>
  <c r="AB40" i="73"/>
  <c r="AL50" i="73"/>
  <c r="AL42" i="73"/>
  <c r="AB66" i="73"/>
  <c r="AB82" i="73"/>
  <c r="AJ96" i="73"/>
  <c r="AA99" i="73"/>
  <c r="AI69" i="74"/>
  <c r="AI57" i="74"/>
  <c r="AF134" i="74"/>
  <c r="AI134" i="74"/>
  <c r="AF126" i="74"/>
  <c r="AI126" i="74"/>
  <c r="AI144" i="74"/>
  <c r="AF144" i="74"/>
  <c r="AF100" i="74"/>
  <c r="AL42" i="75"/>
  <c r="AN42" i="75"/>
  <c r="AI61" i="75"/>
  <c r="AF61" i="75"/>
  <c r="AB61" i="75"/>
  <c r="O125" i="76"/>
  <c r="AA70" i="76"/>
  <c r="AI119" i="76"/>
  <c r="AJ119" i="76"/>
  <c r="AF119" i="76"/>
  <c r="AB119" i="76"/>
  <c r="AJ46" i="73"/>
  <c r="AJ38" i="73"/>
  <c r="AB49" i="74"/>
  <c r="AB41" i="74"/>
  <c r="AI114" i="74"/>
  <c r="AI110" i="74"/>
  <c r="AI106" i="74"/>
  <c r="AI102" i="74"/>
  <c r="AI98" i="74"/>
  <c r="AI94" i="74"/>
  <c r="AI90" i="74"/>
  <c r="AI86" i="74"/>
  <c r="AI82" i="74"/>
  <c r="AI78" i="74"/>
  <c r="AI74" i="74"/>
  <c r="AI40" i="75"/>
  <c r="AA70" i="75"/>
  <c r="AJ43" i="76"/>
  <c r="AM36" i="76"/>
  <c r="AJ35" i="76"/>
  <c r="AJ61" i="76"/>
  <c r="AJ88" i="76"/>
  <c r="AI87" i="76"/>
  <c r="AJ80" i="76"/>
  <c r="AI79" i="76"/>
  <c r="AM118" i="76"/>
  <c r="AI114" i="76"/>
  <c r="AM110" i="76"/>
  <c r="AI106" i="76"/>
  <c r="AM102" i="76"/>
  <c r="AI98" i="76"/>
  <c r="AM94" i="76"/>
  <c r="AJ122" i="76"/>
  <c r="AI59" i="77"/>
  <c r="AI76" i="77"/>
  <c r="AB91" i="77"/>
  <c r="AF91" i="77"/>
  <c r="AF135" i="77"/>
  <c r="AI135" i="77"/>
  <c r="AI170" i="77"/>
  <c r="AA171" i="77"/>
  <c r="AF170" i="77"/>
  <c r="AM48" i="78"/>
  <c r="AN48" i="78"/>
  <c r="AI37" i="78"/>
  <c r="AJ37" i="78"/>
  <c r="AF37" i="78"/>
  <c r="AB37" i="78"/>
  <c r="AM79" i="78"/>
  <c r="AN79" i="78"/>
  <c r="AM108" i="78"/>
  <c r="AN108" i="78"/>
  <c r="AM96" i="78"/>
  <c r="AI58" i="77"/>
  <c r="AF90" i="77"/>
  <c r="AB90" i="77"/>
  <c r="AA77" i="77"/>
  <c r="AA60" i="77"/>
  <c r="AA61" i="77" s="1"/>
  <c r="G60" i="77" s="1"/>
  <c r="AF119" i="77"/>
  <c r="AI119" i="77"/>
  <c r="AA141" i="77"/>
  <c r="O148" i="77"/>
  <c r="AE141" i="77"/>
  <c r="AI53" i="78"/>
  <c r="AJ53" i="78"/>
  <c r="AF53" i="78"/>
  <c r="AB53" i="78"/>
  <c r="AM36" i="78"/>
  <c r="AI69" i="78"/>
  <c r="AJ69" i="78"/>
  <c r="AL72" i="78"/>
  <c r="AG125" i="78"/>
  <c r="AH72" i="78"/>
  <c r="AF108" i="78"/>
  <c r="AJ108" i="78"/>
  <c r="AM102" i="78"/>
  <c r="AN102" i="78"/>
  <c r="AF96" i="78"/>
  <c r="AI96" i="78"/>
  <c r="AJ96" i="78"/>
  <c r="AA174" i="77"/>
  <c r="AF139" i="77"/>
  <c r="AI139" i="77"/>
  <c r="AF41" i="78"/>
  <c r="AB41" i="78"/>
  <c r="AI68" i="78"/>
  <c r="AF68" i="78"/>
  <c r="AI84" i="78"/>
  <c r="AJ84" i="78"/>
  <c r="AF84" i="78"/>
  <c r="AB84" i="78"/>
  <c r="AI122" i="79"/>
  <c r="AD127" i="79"/>
  <c r="AE126" i="79"/>
  <c r="AF48" i="74"/>
  <c r="AF40" i="74"/>
  <c r="AI43" i="75"/>
  <c r="AI35" i="75"/>
  <c r="AI50" i="75"/>
  <c r="AJ44" i="76"/>
  <c r="AJ36" i="76"/>
  <c r="AB37" i="76"/>
  <c r="AB45" i="76"/>
  <c r="AJ49" i="76"/>
  <c r="AF66" i="76"/>
  <c r="AE70" i="76"/>
  <c r="AB86" i="76"/>
  <c r="AB82" i="76"/>
  <c r="AB78" i="76"/>
  <c r="AB74" i="76"/>
  <c r="AJ83" i="76"/>
  <c r="AJ75" i="76"/>
  <c r="AJ118" i="76"/>
  <c r="AN114" i="76"/>
  <c r="AJ110" i="76"/>
  <c r="AN106" i="76"/>
  <c r="AJ102" i="76"/>
  <c r="AN98" i="76"/>
  <c r="AJ94" i="76"/>
  <c r="AI50" i="77"/>
  <c r="AF68" i="77"/>
  <c r="AF85" i="77"/>
  <c r="AI85" i="77"/>
  <c r="AI90" i="77"/>
  <c r="AF125" i="77"/>
  <c r="AI125" i="77"/>
  <c r="AA146" i="77"/>
  <c r="Y148" i="77"/>
  <c r="Q148" i="77"/>
  <c r="AA175" i="77"/>
  <c r="AM40" i="78"/>
  <c r="AN40" i="78"/>
  <c r="AM52" i="78"/>
  <c r="AM100" i="78"/>
  <c r="AN100" i="78"/>
  <c r="AM94" i="78"/>
  <c r="AN94" i="78"/>
  <c r="AM95" i="80"/>
  <c r="AN95" i="80"/>
  <c r="AB59" i="74"/>
  <c r="AB114" i="74"/>
  <c r="AB110" i="74"/>
  <c r="AB106" i="74"/>
  <c r="AB102" i="74"/>
  <c r="AB98" i="74"/>
  <c r="AB94" i="74"/>
  <c r="AB90" i="74"/>
  <c r="AB86" i="74"/>
  <c r="AB82" i="74"/>
  <c r="AB78" i="74"/>
  <c r="AB74" i="74"/>
  <c r="AF115" i="74"/>
  <c r="AF111" i="74"/>
  <c r="AF107" i="74"/>
  <c r="AF103" i="74"/>
  <c r="AF99" i="74"/>
  <c r="AF95" i="74"/>
  <c r="AF91" i="74"/>
  <c r="AF87" i="74"/>
  <c r="AF83" i="74"/>
  <c r="AF79" i="74"/>
  <c r="AF75" i="74"/>
  <c r="AA138" i="74"/>
  <c r="AA130" i="74"/>
  <c r="AA122" i="74"/>
  <c r="AB43" i="75"/>
  <c r="AB39" i="75"/>
  <c r="AB35" i="75"/>
  <c r="AF39" i="75"/>
  <c r="AF35" i="75"/>
  <c r="AB59" i="75"/>
  <c r="AB55" i="75"/>
  <c r="AF59" i="75"/>
  <c r="AF55" i="75"/>
  <c r="AB44" i="76"/>
  <c r="AB53" i="76"/>
  <c r="AB49" i="76"/>
  <c r="AJ63" i="76"/>
  <c r="AJ84" i="76"/>
  <c r="AJ76" i="76"/>
  <c r="AB117" i="76"/>
  <c r="AB113" i="76"/>
  <c r="AB109" i="76"/>
  <c r="AB101" i="76"/>
  <c r="AB97" i="76"/>
  <c r="AB93" i="76"/>
  <c r="AB122" i="76"/>
  <c r="AB136" i="77"/>
  <c r="AB126" i="77"/>
  <c r="AB130" i="77"/>
  <c r="AB116" i="77"/>
  <c r="AB120" i="77"/>
  <c r="AB95" i="77"/>
  <c r="AB81" i="77"/>
  <c r="AB133" i="77"/>
  <c r="AB127" i="77"/>
  <c r="AB62" i="77"/>
  <c r="AI66" i="77"/>
  <c r="AB85" i="77"/>
  <c r="AA87" i="77"/>
  <c r="AI84" i="77"/>
  <c r="AA86" i="77"/>
  <c r="AF84" i="77"/>
  <c r="AB143" i="77"/>
  <c r="T148" i="77"/>
  <c r="AF57" i="78"/>
  <c r="AB57" i="78"/>
  <c r="AI45" i="78"/>
  <c r="AJ45" i="78"/>
  <c r="AF45" i="78"/>
  <c r="AB45" i="78"/>
  <c r="AI76" i="78"/>
  <c r="AJ76" i="78"/>
  <c r="AF76" i="78"/>
  <c r="AB76" i="78"/>
  <c r="AF112" i="78"/>
  <c r="AI112" i="78"/>
  <c r="AJ112" i="78"/>
  <c r="AF100" i="78"/>
  <c r="AJ100" i="78"/>
  <c r="AM112" i="78"/>
  <c r="AM78" i="80"/>
  <c r="AN78" i="80"/>
  <c r="AA145" i="74"/>
  <c r="AA69" i="75"/>
  <c r="AF36" i="76"/>
  <c r="AI37" i="76"/>
  <c r="AJ42" i="76"/>
  <c r="AB35" i="76"/>
  <c r="AI45" i="76"/>
  <c r="AB43" i="76"/>
  <c r="AF64" i="76"/>
  <c r="AK70" i="76"/>
  <c r="AB89" i="76"/>
  <c r="AB85" i="76"/>
  <c r="AB81" i="76"/>
  <c r="AJ85" i="76"/>
  <c r="AI84" i="76"/>
  <c r="AJ77" i="76"/>
  <c r="AI76" i="76"/>
  <c r="AJ112" i="76"/>
  <c r="AJ104" i="76"/>
  <c r="AJ96" i="76"/>
  <c r="AB58" i="77"/>
  <c r="AA93" i="77"/>
  <c r="AA110" i="77"/>
  <c r="AF104" i="77"/>
  <c r="AB104" i="77"/>
  <c r="AA111" i="77"/>
  <c r="AF144" i="77"/>
  <c r="AI144" i="77"/>
  <c r="AB144" i="77"/>
  <c r="S148" i="77"/>
  <c r="AA142" i="77"/>
  <c r="AM93" i="78"/>
  <c r="AN93" i="78"/>
  <c r="AM56" i="78"/>
  <c r="AN56" i="78"/>
  <c r="AJ41" i="78"/>
  <c r="AF88" i="78"/>
  <c r="AI88" i="78"/>
  <c r="AB88" i="78"/>
  <c r="AI52" i="79"/>
  <c r="AF52" i="79"/>
  <c r="AJ39" i="75"/>
  <c r="AA73" i="75"/>
  <c r="AJ45" i="76"/>
  <c r="AB56" i="76"/>
  <c r="AB52" i="76"/>
  <c r="AF52" i="76"/>
  <c r="AJ52" i="76"/>
  <c r="AJ68" i="76"/>
  <c r="AJ64" i="76"/>
  <c r="AJ60" i="76"/>
  <c r="AB116" i="76"/>
  <c r="AB112" i="76"/>
  <c r="AB108" i="76"/>
  <c r="AB104" i="76"/>
  <c r="AB100" i="76"/>
  <c r="AB96" i="76"/>
  <c r="AB92" i="76"/>
  <c r="AF112" i="76"/>
  <c r="AF104" i="76"/>
  <c r="AF96" i="76"/>
  <c r="AB121" i="76"/>
  <c r="AI41" i="77"/>
  <c r="AB82" i="77"/>
  <c r="AB121" i="77"/>
  <c r="AF115" i="77"/>
  <c r="AI115" i="77"/>
  <c r="AF129" i="77"/>
  <c r="AI129" i="77"/>
  <c r="Z148" i="77"/>
  <c r="R148" i="77"/>
  <c r="AM44" i="78"/>
  <c r="AI41" i="78"/>
  <c r="AF69" i="78"/>
  <c r="AN81" i="78"/>
  <c r="AM81" i="78"/>
  <c r="AM116" i="78"/>
  <c r="AN116" i="78"/>
  <c r="AM110" i="78"/>
  <c r="AN110" i="78"/>
  <c r="AM104" i="78"/>
  <c r="AI62" i="79"/>
  <c r="AF62" i="79"/>
  <c r="AA64" i="79"/>
  <c r="G63" i="79" s="1"/>
  <c r="AF123" i="79"/>
  <c r="AB123" i="79"/>
  <c r="AI123" i="79"/>
  <c r="AB65" i="73"/>
  <c r="AB91" i="73"/>
  <c r="AB87" i="73"/>
  <c r="AB83" i="73"/>
  <c r="AB79" i="73"/>
  <c r="AB75" i="73"/>
  <c r="AB71" i="73"/>
  <c r="AF87" i="73"/>
  <c r="AF79" i="73"/>
  <c r="AF71" i="73"/>
  <c r="AF50" i="74"/>
  <c r="AF42" i="74"/>
  <c r="AF34" i="74"/>
  <c r="AI50" i="74"/>
  <c r="AI42" i="74"/>
  <c r="AI34" i="74"/>
  <c r="AB50" i="74"/>
  <c r="AB42" i="74"/>
  <c r="AB34" i="74"/>
  <c r="AB88" i="76"/>
  <c r="AB84" i="76"/>
  <c r="AB80" i="76"/>
  <c r="AB76" i="76"/>
  <c r="AF41" i="77"/>
  <c r="AA92" i="77"/>
  <c r="AB96" i="77"/>
  <c r="AB135" i="77"/>
  <c r="AA145" i="77"/>
  <c r="AI159" i="77"/>
  <c r="AF49" i="78"/>
  <c r="AB49" i="78"/>
  <c r="O125" i="78"/>
  <c r="AA72" i="78"/>
  <c r="AF80" i="78"/>
  <c r="AI80" i="78"/>
  <c r="AB80" i="78"/>
  <c r="AJ80" i="78"/>
  <c r="AF116" i="78"/>
  <c r="AJ116" i="78"/>
  <c r="AF104" i="78"/>
  <c r="AI104" i="78"/>
  <c r="AJ104" i="78"/>
  <c r="AI108" i="78"/>
  <c r="AN91" i="80"/>
  <c r="AM91" i="80"/>
  <c r="AA78" i="77"/>
  <c r="AF102" i="77"/>
  <c r="AA168" i="77"/>
  <c r="AA173" i="77"/>
  <c r="AM51" i="78"/>
  <c r="AM43" i="78"/>
  <c r="AF63" i="78"/>
  <c r="AF83" i="78"/>
  <c r="AI85" i="78"/>
  <c r="AI77" i="78"/>
  <c r="AI115" i="78"/>
  <c r="AI107" i="78"/>
  <c r="AI99" i="78"/>
  <c r="AJ122" i="78"/>
  <c r="AI121" i="78"/>
  <c r="AA124" i="78"/>
  <c r="AB37" i="79"/>
  <c r="AB80" i="79"/>
  <c r="AB85" i="79"/>
  <c r="AA82" i="79"/>
  <c r="AA84" i="79" s="1"/>
  <c r="G82" i="79" s="1"/>
  <c r="AA74" i="79"/>
  <c r="G73" i="79" s="1"/>
  <c r="AA42" i="79"/>
  <c r="AF88" i="79"/>
  <c r="AB103" i="79"/>
  <c r="AB99" i="79"/>
  <c r="AF101" i="79"/>
  <c r="AI103" i="79"/>
  <c r="AI99" i="79"/>
  <c r="AB109" i="79"/>
  <c r="AF111" i="79"/>
  <c r="AF107" i="79"/>
  <c r="AI109" i="79"/>
  <c r="AB119" i="79"/>
  <c r="AB115" i="79"/>
  <c r="AF117" i="79"/>
  <c r="AI119" i="79"/>
  <c r="AI115" i="79"/>
  <c r="AB124" i="79"/>
  <c r="AI124" i="79"/>
  <c r="AA146" i="79"/>
  <c r="AJ99" i="80"/>
  <c r="AJ94" i="80"/>
  <c r="AB58" i="80"/>
  <c r="AB54" i="80"/>
  <c r="AB50" i="80"/>
  <c r="AB46" i="80"/>
  <c r="AB42" i="80"/>
  <c r="AB38" i="80"/>
  <c r="AF58" i="80"/>
  <c r="AF54" i="80"/>
  <c r="AF50" i="80"/>
  <c r="AF46" i="80"/>
  <c r="AF42" i="80"/>
  <c r="AF38" i="80"/>
  <c r="AJ54" i="80"/>
  <c r="AI53" i="80"/>
  <c r="AJ46" i="80"/>
  <c r="AI45" i="80"/>
  <c r="AJ38" i="80"/>
  <c r="AI37" i="80"/>
  <c r="AJ70" i="80"/>
  <c r="AJ66" i="80"/>
  <c r="AJ62" i="80"/>
  <c r="AA101" i="80"/>
  <c r="AI85" i="80"/>
  <c r="AB80" i="80"/>
  <c r="AF85" i="80"/>
  <c r="AJ93" i="80"/>
  <c r="AB88" i="80"/>
  <c r="AF88" i="80"/>
  <c r="AB98" i="80"/>
  <c r="AI62" i="81"/>
  <c r="AF62" i="81"/>
  <c r="AA64" i="81"/>
  <c r="G63" i="81" s="1"/>
  <c r="AI42" i="81"/>
  <c r="AF42" i="81"/>
  <c r="AM79" i="82"/>
  <c r="AN79" i="82"/>
  <c r="AA93" i="79"/>
  <c r="AM99" i="80"/>
  <c r="AN99" i="80"/>
  <c r="AB79" i="80"/>
  <c r="AB92" i="80"/>
  <c r="AF49" i="79"/>
  <c r="AI49" i="79"/>
  <c r="AA144" i="79"/>
  <c r="AB57" i="80"/>
  <c r="AB49" i="80"/>
  <c r="AB41" i="80"/>
  <c r="AB37" i="80"/>
  <c r="AF63" i="80"/>
  <c r="AJ63" i="80"/>
  <c r="AJ77" i="80"/>
  <c r="AB96" i="80"/>
  <c r="AI92" i="80"/>
  <c r="AJ92" i="80"/>
  <c r="AJ90" i="80"/>
  <c r="AI94" i="83"/>
  <c r="AF94" i="83"/>
  <c r="AB97" i="77"/>
  <c r="AB102" i="77"/>
  <c r="AI103" i="77"/>
  <c r="AB118" i="77"/>
  <c r="AB128" i="77"/>
  <c r="AB124" i="77"/>
  <c r="AB138" i="77"/>
  <c r="AB134" i="77"/>
  <c r="AF152" i="77"/>
  <c r="AF161" i="77"/>
  <c r="AI58" i="78"/>
  <c r="AI50" i="78"/>
  <c r="AI42" i="78"/>
  <c r="AN39" i="78"/>
  <c r="AE72" i="78"/>
  <c r="AJ89" i="78"/>
  <c r="AJ81" i="78"/>
  <c r="AB119" i="78"/>
  <c r="AB115" i="78"/>
  <c r="AB111" i="78"/>
  <c r="AB107" i="78"/>
  <c r="AB103" i="78"/>
  <c r="AB99" i="78"/>
  <c r="AB95" i="78"/>
  <c r="AJ119" i="78"/>
  <c r="AJ111" i="78"/>
  <c r="AJ103" i="78"/>
  <c r="AJ95" i="78"/>
  <c r="AB49" i="79"/>
  <c r="AF48" i="79"/>
  <c r="AI48" i="79"/>
  <c r="AB58" i="79"/>
  <c r="AF57" i="79"/>
  <c r="AI57" i="79"/>
  <c r="AI81" i="79"/>
  <c r="AF91" i="79"/>
  <c r="AA121" i="79"/>
  <c r="AF140" i="79"/>
  <c r="AJ57" i="80"/>
  <c r="AJ49" i="80"/>
  <c r="AN45" i="80"/>
  <c r="AJ41" i="80"/>
  <c r="AJ81" i="80"/>
  <c r="AF123" i="81"/>
  <c r="AB123" i="81"/>
  <c r="AI123" i="81"/>
  <c r="G43" i="83"/>
  <c r="AB55" i="78"/>
  <c r="AB47" i="78"/>
  <c r="AB35" i="78"/>
  <c r="AJ52" i="78"/>
  <c r="AJ44" i="78"/>
  <c r="AJ36" i="78"/>
  <c r="AB90" i="78"/>
  <c r="AB86" i="78"/>
  <c r="AB82" i="78"/>
  <c r="AB78" i="78"/>
  <c r="AJ90" i="78"/>
  <c r="AJ82" i="78"/>
  <c r="AB122" i="78"/>
  <c r="AF56" i="79"/>
  <c r="AI56" i="79"/>
  <c r="AF65" i="79"/>
  <c r="AI65" i="79"/>
  <c r="AF81" i="79"/>
  <c r="AI80" i="79"/>
  <c r="AA94" i="79"/>
  <c r="AB101" i="79"/>
  <c r="AB111" i="79"/>
  <c r="AB107" i="79"/>
  <c r="AB117" i="79"/>
  <c r="O127" i="79"/>
  <c r="AA141" i="79"/>
  <c r="AB56" i="80"/>
  <c r="AB52" i="80"/>
  <c r="AB48" i="80"/>
  <c r="AB44" i="80"/>
  <c r="AB40" i="80"/>
  <c r="AB36" i="80"/>
  <c r="AF52" i="80"/>
  <c r="AF44" i="80"/>
  <c r="AF36" i="80"/>
  <c r="AJ58" i="80"/>
  <c r="AJ50" i="80"/>
  <c r="AJ42" i="80"/>
  <c r="AF69" i="80"/>
  <c r="AJ68" i="80"/>
  <c r="AJ64" i="80"/>
  <c r="AB82" i="80"/>
  <c r="AF78" i="80"/>
  <c r="AJ78" i="80"/>
  <c r="AI78" i="80"/>
  <c r="AI91" i="80"/>
  <c r="AF91" i="80"/>
  <c r="AJ91" i="80"/>
  <c r="AJ96" i="80"/>
  <c r="AJ88" i="80"/>
  <c r="AI125" i="81"/>
  <c r="AF125" i="81"/>
  <c r="AB125" i="81"/>
  <c r="AH126" i="81"/>
  <c r="AG127" i="81"/>
  <c r="AM88" i="82"/>
  <c r="AI141" i="83"/>
  <c r="AF141" i="83"/>
  <c r="AG148" i="77"/>
  <c r="AH148" i="77" s="1"/>
  <c r="AF66" i="78"/>
  <c r="AK72" i="78"/>
  <c r="AJ83" i="78"/>
  <c r="AB114" i="78"/>
  <c r="AB106" i="78"/>
  <c r="AB98" i="78"/>
  <c r="AF113" i="78"/>
  <c r="AF105" i="78"/>
  <c r="AF97" i="78"/>
  <c r="AJ113" i="78"/>
  <c r="AJ105" i="78"/>
  <c r="AJ97" i="78"/>
  <c r="AF72" i="79"/>
  <c r="AI79" i="79"/>
  <c r="AA53" i="79"/>
  <c r="AA54" i="79" s="1"/>
  <c r="G53" i="79" s="1"/>
  <c r="AI87" i="79"/>
  <c r="AG126" i="79"/>
  <c r="AI132" i="79"/>
  <c r="AA145" i="79"/>
  <c r="AJ51" i="80"/>
  <c r="AJ43" i="80"/>
  <c r="AJ35" i="80"/>
  <c r="AI82" i="80"/>
  <c r="AF82" i="80"/>
  <c r="AB77" i="80"/>
  <c r="AF95" i="80"/>
  <c r="AJ95" i="80"/>
  <c r="AB90" i="80"/>
  <c r="AI121" i="81"/>
  <c r="AF121" i="81"/>
  <c r="AB121" i="81"/>
  <c r="AF121" i="83"/>
  <c r="AB121" i="83"/>
  <c r="AI121" i="83"/>
  <c r="AB58" i="78"/>
  <c r="AB54" i="78"/>
  <c r="AB50" i="78"/>
  <c r="AB46" i="78"/>
  <c r="AB42" i="78"/>
  <c r="AB38" i="78"/>
  <c r="AF54" i="78"/>
  <c r="AF46" i="78"/>
  <c r="AF38" i="78"/>
  <c r="AJ54" i="78"/>
  <c r="AJ46" i="78"/>
  <c r="AJ38" i="78"/>
  <c r="AJ70" i="78"/>
  <c r="AJ66" i="78"/>
  <c r="AB85" i="78"/>
  <c r="AB77" i="78"/>
  <c r="AB121" i="78"/>
  <c r="AB39" i="79"/>
  <c r="AB55" i="79"/>
  <c r="AB100" i="79"/>
  <c r="AB110" i="79"/>
  <c r="AB106" i="79"/>
  <c r="AB116" i="79"/>
  <c r="AB55" i="80"/>
  <c r="AB51" i="80"/>
  <c r="AB47" i="80"/>
  <c r="AB43" i="80"/>
  <c r="AB39" i="80"/>
  <c r="AB35" i="80"/>
  <c r="AF51" i="80"/>
  <c r="AF43" i="80"/>
  <c r="AF35" i="80"/>
  <c r="AJ52" i="80"/>
  <c r="AJ44" i="80"/>
  <c r="AJ36" i="80"/>
  <c r="AJ69" i="80"/>
  <c r="AB81" i="80"/>
  <c r="AF77" i="80"/>
  <c r="AJ85" i="80"/>
  <c r="AN83" i="80"/>
  <c r="AJ82" i="80"/>
  <c r="AJ79" i="80"/>
  <c r="AB94" i="80"/>
  <c r="AB89" i="80"/>
  <c r="AI62" i="83"/>
  <c r="AF62" i="83"/>
  <c r="AM78" i="84"/>
  <c r="AN78" i="84"/>
  <c r="AB117" i="78"/>
  <c r="AB113" i="78"/>
  <c r="AB109" i="78"/>
  <c r="AB101" i="78"/>
  <c r="AB97" i="78"/>
  <c r="AA43" i="79"/>
  <c r="AA72" i="80"/>
  <c r="AB85" i="80"/>
  <c r="AJ76" i="80"/>
  <c r="AB93" i="80"/>
  <c r="AJ89" i="80"/>
  <c r="AI122" i="81"/>
  <c r="AB122" i="81"/>
  <c r="AF122" i="81"/>
  <c r="AD127" i="81"/>
  <c r="AE126" i="81"/>
  <c r="AI72" i="83"/>
  <c r="AF72" i="83"/>
  <c r="AI122" i="83"/>
  <c r="AB122" i="83"/>
  <c r="AF122" i="83"/>
  <c r="AJ98" i="80"/>
  <c r="AB45" i="81"/>
  <c r="AB87" i="81"/>
  <c r="AA43" i="81"/>
  <c r="AA44" i="81" s="1"/>
  <c r="G43" i="81" s="1"/>
  <c r="AI85" i="81"/>
  <c r="AI91" i="81"/>
  <c r="AH121" i="81"/>
  <c r="AF132" i="81"/>
  <c r="AI130" i="81"/>
  <c r="AA143" i="81"/>
  <c r="AJ53" i="82"/>
  <c r="AI52" i="82"/>
  <c r="AJ45" i="82"/>
  <c r="AI44" i="82"/>
  <c r="AJ37" i="82"/>
  <c r="AI36" i="82"/>
  <c r="AI69" i="82"/>
  <c r="AA72" i="82"/>
  <c r="AK72" i="82"/>
  <c r="AF83" i="82"/>
  <c r="AN83" i="82"/>
  <c r="AB75" i="83"/>
  <c r="AA53" i="83"/>
  <c r="AG126" i="83"/>
  <c r="AF134" i="83"/>
  <c r="AJ51" i="84"/>
  <c r="AJ43" i="84"/>
  <c r="AJ35" i="84"/>
  <c r="AM79" i="84"/>
  <c r="AJ76" i="84"/>
  <c r="AJ87" i="84"/>
  <c r="AI121" i="85"/>
  <c r="AF121" i="85"/>
  <c r="AB121" i="85"/>
  <c r="AI141" i="85"/>
  <c r="AF141" i="85"/>
  <c r="AB72" i="86"/>
  <c r="AA91" i="86"/>
  <c r="AF72" i="86"/>
  <c r="AI72" i="86"/>
  <c r="AJ72" i="86"/>
  <c r="AI98" i="80"/>
  <c r="AB85" i="81"/>
  <c r="AA82" i="81"/>
  <c r="AA84" i="81" s="1"/>
  <c r="G82" i="81" s="1"/>
  <c r="AB103" i="81"/>
  <c r="AB99" i="81"/>
  <c r="AI103" i="81"/>
  <c r="AI99" i="81"/>
  <c r="AB109" i="81"/>
  <c r="AI109" i="81"/>
  <c r="AB119" i="81"/>
  <c r="AB115" i="81"/>
  <c r="AI119" i="81"/>
  <c r="AI115" i="81"/>
  <c r="AB124" i="81"/>
  <c r="AB58" i="82"/>
  <c r="AB54" i="82"/>
  <c r="AB50" i="82"/>
  <c r="AB46" i="82"/>
  <c r="AB42" i="82"/>
  <c r="AB38" i="82"/>
  <c r="AF58" i="82"/>
  <c r="AF54" i="82"/>
  <c r="AF50" i="82"/>
  <c r="AF46" i="82"/>
  <c r="AF42" i="82"/>
  <c r="AF38" i="82"/>
  <c r="AJ54" i="82"/>
  <c r="AI53" i="82"/>
  <c r="AJ46" i="82"/>
  <c r="AI45" i="82"/>
  <c r="AJ38" i="82"/>
  <c r="AI37" i="82"/>
  <c r="AJ66" i="82"/>
  <c r="AB78" i="82"/>
  <c r="AF79" i="82"/>
  <c r="AJ76" i="82"/>
  <c r="AB87" i="82"/>
  <c r="AD91" i="82"/>
  <c r="AF45" i="83"/>
  <c r="AA52" i="83"/>
  <c r="AI92" i="83"/>
  <c r="AB100" i="83"/>
  <c r="AI100" i="83"/>
  <c r="AB110" i="83"/>
  <c r="AB106" i="83"/>
  <c r="AI110" i="83"/>
  <c r="AI106" i="83"/>
  <c r="AB116" i="83"/>
  <c r="AI116" i="83"/>
  <c r="AB123" i="83"/>
  <c r="AF123" i="83"/>
  <c r="AD126" i="83"/>
  <c r="AB55" i="84"/>
  <c r="AB51" i="84"/>
  <c r="AB47" i="84"/>
  <c r="AB43" i="84"/>
  <c r="AB39" i="84"/>
  <c r="AB35" i="84"/>
  <c r="AF55" i="84"/>
  <c r="AF51" i="84"/>
  <c r="AF47" i="84"/>
  <c r="AF43" i="84"/>
  <c r="AF39" i="84"/>
  <c r="AF35" i="84"/>
  <c r="AJ52" i="84"/>
  <c r="AJ44" i="84"/>
  <c r="AJ36" i="84"/>
  <c r="AJ69" i="84"/>
  <c r="AI65" i="84"/>
  <c r="AJ62" i="84"/>
  <c r="AJ64" i="84"/>
  <c r="AJ85" i="84"/>
  <c r="AF123" i="85"/>
  <c r="AB123" i="85"/>
  <c r="AI123" i="85"/>
  <c r="AI122" i="87"/>
  <c r="AB122" i="87"/>
  <c r="AF122" i="87"/>
  <c r="AA93" i="81"/>
  <c r="AJ87" i="82"/>
  <c r="AI138" i="83"/>
  <c r="AA143" i="83"/>
  <c r="AB35" i="81"/>
  <c r="AF49" i="81"/>
  <c r="AI49" i="81"/>
  <c r="AB59" i="81"/>
  <c r="AB71" i="81"/>
  <c r="AA88" i="81"/>
  <c r="AA145" i="81" s="1"/>
  <c r="AA72" i="81"/>
  <c r="AF86" i="81"/>
  <c r="AF92" i="81"/>
  <c r="AB102" i="81"/>
  <c r="AB98" i="81"/>
  <c r="AI102" i="81"/>
  <c r="AI98" i="81"/>
  <c r="AB108" i="81"/>
  <c r="AI108" i="81"/>
  <c r="AB118" i="81"/>
  <c r="AB114" i="81"/>
  <c r="AI118" i="81"/>
  <c r="AI114" i="81"/>
  <c r="AA144" i="81"/>
  <c r="AB57" i="82"/>
  <c r="AB53" i="82"/>
  <c r="AB49" i="82"/>
  <c r="AB45" i="82"/>
  <c r="AB41" i="82"/>
  <c r="AB37" i="82"/>
  <c r="AF57" i="82"/>
  <c r="AF49" i="82"/>
  <c r="AF41" i="82"/>
  <c r="AJ56" i="82"/>
  <c r="AJ48" i="82"/>
  <c r="AJ40" i="82"/>
  <c r="AF63" i="82"/>
  <c r="AJ67" i="82"/>
  <c r="AJ63" i="82"/>
  <c r="AH72" i="82"/>
  <c r="AB77" i="82"/>
  <c r="AF78" i="82"/>
  <c r="AJ78" i="82"/>
  <c r="AI77" i="82"/>
  <c r="AJ88" i="82"/>
  <c r="AI87" i="82"/>
  <c r="AA90" i="82"/>
  <c r="AG91" i="82"/>
  <c r="AF51" i="83"/>
  <c r="AI51" i="83"/>
  <c r="AF69" i="83"/>
  <c r="AI69" i="83"/>
  <c r="AF77" i="83"/>
  <c r="AB85" i="83"/>
  <c r="AF101" i="83"/>
  <c r="AF111" i="83"/>
  <c r="AF107" i="83"/>
  <c r="AF117" i="83"/>
  <c r="AN58" i="84"/>
  <c r="AJ54" i="84"/>
  <c r="AN50" i="84"/>
  <c r="AJ46" i="84"/>
  <c r="AN42" i="84"/>
  <c r="AJ38" i="84"/>
  <c r="AJ70" i="84"/>
  <c r="AJ63" i="84"/>
  <c r="AJ77" i="84"/>
  <c r="AF77" i="84"/>
  <c r="AI77" i="84"/>
  <c r="AB77" i="84"/>
  <c r="AJ79" i="84"/>
  <c r="AJ83" i="84"/>
  <c r="AM84" i="86"/>
  <c r="AN84" i="86"/>
  <c r="AI72" i="87"/>
  <c r="AF72" i="87"/>
  <c r="AI42" i="87"/>
  <c r="AF42" i="87"/>
  <c r="AB49" i="81"/>
  <c r="AF57" i="81"/>
  <c r="AI57" i="81"/>
  <c r="AI81" i="81"/>
  <c r="U126" i="81"/>
  <c r="U127" i="81" s="1"/>
  <c r="AJ57" i="82"/>
  <c r="AJ49" i="82"/>
  <c r="AJ41" i="82"/>
  <c r="AJ79" i="82"/>
  <c r="AJ83" i="82"/>
  <c r="AF59" i="83"/>
  <c r="AI59" i="83"/>
  <c r="AB69" i="83"/>
  <c r="AF68" i="83"/>
  <c r="AF76" i="83"/>
  <c r="AI75" i="83"/>
  <c r="AB83" i="83"/>
  <c r="AA73" i="83"/>
  <c r="AA74" i="83" s="1"/>
  <c r="G73" i="83" s="1"/>
  <c r="AF87" i="83"/>
  <c r="AA93" i="83"/>
  <c r="O126" i="83"/>
  <c r="AI136" i="83"/>
  <c r="AJ55" i="84"/>
  <c r="AJ47" i="84"/>
  <c r="AJ39" i="84"/>
  <c r="AF64" i="84"/>
  <c r="AI70" i="84"/>
  <c r="AI63" i="84"/>
  <c r="AI76" i="84"/>
  <c r="AF76" i="84"/>
  <c r="AB76" i="84"/>
  <c r="AN85" i="84"/>
  <c r="AM85" i="84"/>
  <c r="AD127" i="87"/>
  <c r="AE126" i="87"/>
  <c r="AB48" i="81"/>
  <c r="AB51" i="81"/>
  <c r="AF47" i="81"/>
  <c r="AI47" i="81"/>
  <c r="AF65" i="81"/>
  <c r="AI65" i="81"/>
  <c r="AF81" i="81"/>
  <c r="AA94" i="81"/>
  <c r="AB101" i="81"/>
  <c r="AB111" i="81"/>
  <c r="AB107" i="81"/>
  <c r="AB117" i="81"/>
  <c r="O127" i="81"/>
  <c r="AA141" i="81"/>
  <c r="AB56" i="82"/>
  <c r="AB52" i="82"/>
  <c r="AB48" i="82"/>
  <c r="AB44" i="82"/>
  <c r="AB40" i="82"/>
  <c r="AB36" i="82"/>
  <c r="AF52" i="82"/>
  <c r="AF44" i="82"/>
  <c r="AF36" i="82"/>
  <c r="AJ58" i="82"/>
  <c r="AJ50" i="82"/>
  <c r="AJ42" i="82"/>
  <c r="AF69" i="82"/>
  <c r="AJ68" i="82"/>
  <c r="AJ64" i="82"/>
  <c r="AB80" i="82"/>
  <c r="AB76" i="82"/>
  <c r="AJ80" i="82"/>
  <c r="AI79" i="82"/>
  <c r="AJ84" i="82"/>
  <c r="AB59" i="83"/>
  <c r="AF67" i="83"/>
  <c r="AI67" i="83"/>
  <c r="AF83" i="83"/>
  <c r="AA88" i="83"/>
  <c r="AB102" i="83"/>
  <c r="AB98" i="83"/>
  <c r="AB108" i="83"/>
  <c r="AB118" i="83"/>
  <c r="AB114" i="83"/>
  <c r="AB57" i="84"/>
  <c r="AB53" i="84"/>
  <c r="AB49" i="84"/>
  <c r="AB45" i="84"/>
  <c r="AB41" i="84"/>
  <c r="AB37" i="84"/>
  <c r="AF57" i="84"/>
  <c r="AF49" i="84"/>
  <c r="AF41" i="84"/>
  <c r="AJ56" i="84"/>
  <c r="AJ48" i="84"/>
  <c r="AJ40" i="84"/>
  <c r="AI52" i="85"/>
  <c r="AF52" i="85"/>
  <c r="AI122" i="85"/>
  <c r="AB122" i="85"/>
  <c r="AF122" i="85"/>
  <c r="AA64" i="87"/>
  <c r="G63" i="87" s="1"/>
  <c r="AI62" i="87"/>
  <c r="AF62" i="87"/>
  <c r="AI123" i="87"/>
  <c r="AF123" i="87"/>
  <c r="AB123" i="87"/>
  <c r="AB84" i="80"/>
  <c r="AB76" i="80"/>
  <c r="AJ83" i="80"/>
  <c r="AB56" i="81"/>
  <c r="AF55" i="81"/>
  <c r="AI55" i="81"/>
  <c r="AI79" i="81"/>
  <c r="AA53" i="81"/>
  <c r="AA54" i="81" s="1"/>
  <c r="G53" i="81" s="1"/>
  <c r="AN55" i="82"/>
  <c r="AJ51" i="82"/>
  <c r="AN47" i="82"/>
  <c r="AJ43" i="82"/>
  <c r="AN39" i="82"/>
  <c r="AJ35" i="82"/>
  <c r="AI80" i="82"/>
  <c r="AJ85" i="82"/>
  <c r="AF66" i="83"/>
  <c r="AA63" i="83"/>
  <c r="AA64" i="83" s="1"/>
  <c r="G63" i="83" s="1"/>
  <c r="AF85" i="83"/>
  <c r="AI56" i="84"/>
  <c r="AI48" i="84"/>
  <c r="AI40" i="84"/>
  <c r="AI64" i="84"/>
  <c r="AB84" i="84"/>
  <c r="AJ84" i="84"/>
  <c r="AI84" i="84"/>
  <c r="AM88" i="84"/>
  <c r="AN88" i="84"/>
  <c r="AI72" i="85"/>
  <c r="AF72" i="85"/>
  <c r="AA74" i="85"/>
  <c r="G73" i="85" s="1"/>
  <c r="O127" i="87"/>
  <c r="AF71" i="81"/>
  <c r="AB100" i="81"/>
  <c r="AB110" i="81"/>
  <c r="AB106" i="81"/>
  <c r="AB116" i="81"/>
  <c r="AB101" i="83"/>
  <c r="AB111" i="83"/>
  <c r="AB107" i="83"/>
  <c r="AB117" i="83"/>
  <c r="AB56" i="84"/>
  <c r="AB52" i="84"/>
  <c r="AB48" i="84"/>
  <c r="AB44" i="84"/>
  <c r="AB40" i="84"/>
  <c r="AB36" i="84"/>
  <c r="AJ58" i="84"/>
  <c r="AJ50" i="84"/>
  <c r="AJ42" i="84"/>
  <c r="AA72" i="84"/>
  <c r="AL72" i="84"/>
  <c r="AG91" i="84"/>
  <c r="AH72" i="84"/>
  <c r="AF80" i="84"/>
  <c r="AJ80" i="84"/>
  <c r="AB80" i="84"/>
  <c r="AF124" i="87"/>
  <c r="AI124" i="87"/>
  <c r="AB124" i="87"/>
  <c r="AM83" i="88"/>
  <c r="AN83" i="88"/>
  <c r="AF78" i="84"/>
  <c r="AF88" i="84"/>
  <c r="AJ88" i="84"/>
  <c r="AI87" i="84"/>
  <c r="AA90" i="84"/>
  <c r="AF60" i="85"/>
  <c r="AF69" i="85"/>
  <c r="AI69" i="85"/>
  <c r="AF77" i="85"/>
  <c r="AI76" i="85"/>
  <c r="AB85" i="85"/>
  <c r="AA82" i="85"/>
  <c r="AA42" i="85"/>
  <c r="AB103" i="85"/>
  <c r="AB99" i="85"/>
  <c r="AF101" i="85"/>
  <c r="AI103" i="85"/>
  <c r="AI99" i="85"/>
  <c r="AB109" i="85"/>
  <c r="AF111" i="85"/>
  <c r="AF107" i="85"/>
  <c r="AI109" i="85"/>
  <c r="AB119" i="85"/>
  <c r="AB115" i="85"/>
  <c r="AF117" i="85"/>
  <c r="AI119" i="85"/>
  <c r="AI115" i="85"/>
  <c r="P126" i="85"/>
  <c r="P127" i="85" s="1"/>
  <c r="AB124" i="85"/>
  <c r="AI124" i="85"/>
  <c r="AA146" i="85"/>
  <c r="AB58" i="86"/>
  <c r="AB54" i="86"/>
  <c r="AB50" i="86"/>
  <c r="AB46" i="86"/>
  <c r="AB42" i="86"/>
  <c r="AB38" i="86"/>
  <c r="AF58" i="86"/>
  <c r="AF54" i="86"/>
  <c r="AF50" i="86"/>
  <c r="AF46" i="86"/>
  <c r="AF42" i="86"/>
  <c r="AF38" i="86"/>
  <c r="AJ54" i="86"/>
  <c r="AI53" i="86"/>
  <c r="AJ46" i="86"/>
  <c r="AI45" i="86"/>
  <c r="AJ38" i="86"/>
  <c r="AI37" i="86"/>
  <c r="AJ66" i="86"/>
  <c r="AB78" i="86"/>
  <c r="AM79" i="86"/>
  <c r="AJ76" i="86"/>
  <c r="AM83" i="86"/>
  <c r="AB87" i="86"/>
  <c r="O91" i="86"/>
  <c r="AD91" i="86"/>
  <c r="AB39" i="87"/>
  <c r="AB55" i="87"/>
  <c r="AF71" i="87"/>
  <c r="AI71" i="87"/>
  <c r="AF79" i="87"/>
  <c r="AA52" i="87"/>
  <c r="AB100" i="87"/>
  <c r="AF102" i="87"/>
  <c r="AF98" i="87"/>
  <c r="AI100" i="87"/>
  <c r="AB110" i="87"/>
  <c r="AB106" i="87"/>
  <c r="AF108" i="87"/>
  <c r="AI110" i="87"/>
  <c r="AI106" i="87"/>
  <c r="AB116" i="87"/>
  <c r="AF118" i="87"/>
  <c r="AF114" i="87"/>
  <c r="AI116" i="87"/>
  <c r="AI125" i="87"/>
  <c r="AI121" i="87"/>
  <c r="AB55" i="88"/>
  <c r="AB51" i="88"/>
  <c r="AB47" i="88"/>
  <c r="AB43" i="88"/>
  <c r="AB39" i="88"/>
  <c r="AB35" i="88"/>
  <c r="AF55" i="88"/>
  <c r="AF51" i="88"/>
  <c r="AF47" i="88"/>
  <c r="AF43" i="88"/>
  <c r="AF39" i="88"/>
  <c r="AF35" i="88"/>
  <c r="AJ52" i="88"/>
  <c r="AI51" i="88"/>
  <c r="AJ44" i="88"/>
  <c r="AI43" i="88"/>
  <c r="AJ36" i="88"/>
  <c r="AI35" i="88"/>
  <c r="AJ69" i="88"/>
  <c r="AJ65" i="88"/>
  <c r="AH72" i="88"/>
  <c r="AM95" i="90"/>
  <c r="AN95" i="90"/>
  <c r="AA93" i="85"/>
  <c r="AJ87" i="86"/>
  <c r="AB87" i="87"/>
  <c r="AA43" i="87"/>
  <c r="AA44" i="87" s="1"/>
  <c r="G43" i="87" s="1"/>
  <c r="Q126" i="87"/>
  <c r="Q127" i="87" s="1"/>
  <c r="AI138" i="87"/>
  <c r="AI130" i="87"/>
  <c r="AA143" i="87"/>
  <c r="AF80" i="88"/>
  <c r="AJ80" i="88"/>
  <c r="AB80" i="88"/>
  <c r="AJ77" i="88"/>
  <c r="AJ85" i="88"/>
  <c r="AJ87" i="88"/>
  <c r="AI52" i="89"/>
  <c r="AF52" i="89"/>
  <c r="AI125" i="89"/>
  <c r="AF125" i="89"/>
  <c r="AB125" i="89"/>
  <c r="AH126" i="89"/>
  <c r="AG127" i="89"/>
  <c r="AM101" i="90"/>
  <c r="AN101" i="90"/>
  <c r="AB123" i="91"/>
  <c r="AI79" i="84"/>
  <c r="AF49" i="85"/>
  <c r="AI49" i="85"/>
  <c r="AA88" i="85"/>
  <c r="AA145" i="85" s="1"/>
  <c r="AB102" i="85"/>
  <c r="AB98" i="85"/>
  <c r="AB108" i="85"/>
  <c r="AI108" i="85"/>
  <c r="AB118" i="85"/>
  <c r="AB114" i="85"/>
  <c r="AI118" i="85"/>
  <c r="AI114" i="85"/>
  <c r="AA144" i="85"/>
  <c r="AB57" i="86"/>
  <c r="AB53" i="86"/>
  <c r="AB49" i="86"/>
  <c r="AB45" i="86"/>
  <c r="AB41" i="86"/>
  <c r="AB37" i="86"/>
  <c r="AF57" i="86"/>
  <c r="AF53" i="86"/>
  <c r="AF49" i="86"/>
  <c r="AF45" i="86"/>
  <c r="AF41" i="86"/>
  <c r="AF37" i="86"/>
  <c r="AJ56" i="86"/>
  <c r="AJ48" i="86"/>
  <c r="AJ40" i="86"/>
  <c r="AF63" i="86"/>
  <c r="AJ67" i="86"/>
  <c r="AJ63" i="86"/>
  <c r="AH72" i="86"/>
  <c r="AB77" i="86"/>
  <c r="AF78" i="86"/>
  <c r="AJ78" i="86"/>
  <c r="AI77" i="86"/>
  <c r="AJ88" i="86"/>
  <c r="AI87" i="86"/>
  <c r="AA90" i="86"/>
  <c r="AG91" i="86"/>
  <c r="AF51" i="87"/>
  <c r="AI51" i="87"/>
  <c r="AB80" i="87"/>
  <c r="AA82" i="87"/>
  <c r="AB103" i="87"/>
  <c r="AB99" i="87"/>
  <c r="AI103" i="87"/>
  <c r="AI99" i="87"/>
  <c r="AB109" i="87"/>
  <c r="AI109" i="87"/>
  <c r="AB119" i="87"/>
  <c r="AB115" i="87"/>
  <c r="AI119" i="87"/>
  <c r="AI115" i="87"/>
  <c r="AA146" i="87"/>
  <c r="AB58" i="88"/>
  <c r="AB54" i="88"/>
  <c r="AB50" i="88"/>
  <c r="AB46" i="88"/>
  <c r="AB42" i="88"/>
  <c r="AB38" i="88"/>
  <c r="AF58" i="88"/>
  <c r="AF54" i="88"/>
  <c r="AF50" i="88"/>
  <c r="AF46" i="88"/>
  <c r="AF42" i="88"/>
  <c r="AF38" i="88"/>
  <c r="AJ54" i="88"/>
  <c r="AI53" i="88"/>
  <c r="AJ46" i="88"/>
  <c r="AI45" i="88"/>
  <c r="AJ38" i="88"/>
  <c r="AI37" i="88"/>
  <c r="AJ70" i="88"/>
  <c r="AJ66" i="88"/>
  <c r="AJ62" i="88"/>
  <c r="AI80" i="88"/>
  <c r="AI77" i="88"/>
  <c r="AJ83" i="88"/>
  <c r="AI121" i="89"/>
  <c r="AF121" i="89"/>
  <c r="AB121" i="89"/>
  <c r="AM93" i="90"/>
  <c r="AN93" i="90"/>
  <c r="G53" i="91"/>
  <c r="AF125" i="91"/>
  <c r="AB125" i="91"/>
  <c r="AI125" i="91"/>
  <c r="AF121" i="91"/>
  <c r="AB121" i="91"/>
  <c r="AI121" i="91"/>
  <c r="AB49" i="85"/>
  <c r="AF57" i="85"/>
  <c r="AI57" i="85"/>
  <c r="AF91" i="85"/>
  <c r="AJ57" i="86"/>
  <c r="AI56" i="86"/>
  <c r="AJ49" i="86"/>
  <c r="AI48" i="86"/>
  <c r="AJ41" i="86"/>
  <c r="AI40" i="86"/>
  <c r="AJ79" i="86"/>
  <c r="AJ83" i="86"/>
  <c r="AF59" i="87"/>
  <c r="AI59" i="87"/>
  <c r="AB79" i="87"/>
  <c r="AI75" i="87"/>
  <c r="AB83" i="87"/>
  <c r="AA81" i="87"/>
  <c r="AA73" i="87"/>
  <c r="AA74" i="87" s="1"/>
  <c r="G73" i="87" s="1"/>
  <c r="AF87" i="87"/>
  <c r="AA93" i="87"/>
  <c r="AJ55" i="88"/>
  <c r="AJ47" i="88"/>
  <c r="AJ39" i="88"/>
  <c r="AD91" i="88"/>
  <c r="AK72" i="88"/>
  <c r="AF78" i="88"/>
  <c r="AM84" i="88"/>
  <c r="AI72" i="89"/>
  <c r="AF72" i="89"/>
  <c r="AI72" i="90"/>
  <c r="AA108" i="90"/>
  <c r="AJ72" i="90"/>
  <c r="AB72" i="90"/>
  <c r="AF72" i="90"/>
  <c r="AM42" i="92"/>
  <c r="AN42" i="92"/>
  <c r="AF47" i="85"/>
  <c r="AF65" i="85"/>
  <c r="AI65" i="85"/>
  <c r="AA62" i="85"/>
  <c r="AA94" i="85"/>
  <c r="AB101" i="85"/>
  <c r="AB111" i="85"/>
  <c r="AB107" i="85"/>
  <c r="AB117" i="85"/>
  <c r="O127" i="85"/>
  <c r="AB56" i="86"/>
  <c r="AB52" i="86"/>
  <c r="AB48" i="86"/>
  <c r="AB44" i="86"/>
  <c r="AB40" i="86"/>
  <c r="AB36" i="86"/>
  <c r="AF52" i="86"/>
  <c r="AF44" i="86"/>
  <c r="AF36" i="86"/>
  <c r="AJ58" i="86"/>
  <c r="AJ50" i="86"/>
  <c r="AJ42" i="86"/>
  <c r="AF69" i="86"/>
  <c r="AJ68" i="86"/>
  <c r="AJ64" i="86"/>
  <c r="AB80" i="86"/>
  <c r="AB76" i="86"/>
  <c r="AJ80" i="86"/>
  <c r="AB59" i="87"/>
  <c r="AB71" i="87"/>
  <c r="AF67" i="87"/>
  <c r="AF75" i="87"/>
  <c r="AA88" i="87"/>
  <c r="AB102" i="87"/>
  <c r="AB98" i="87"/>
  <c r="AB108" i="87"/>
  <c r="AB118" i="87"/>
  <c r="AB114" i="87"/>
  <c r="AB125" i="87"/>
  <c r="AB121" i="87"/>
  <c r="AB57" i="88"/>
  <c r="AB53" i="88"/>
  <c r="AB49" i="88"/>
  <c r="AB45" i="88"/>
  <c r="AB41" i="88"/>
  <c r="AB37" i="88"/>
  <c r="AF57" i="88"/>
  <c r="AF49" i="88"/>
  <c r="AF41" i="88"/>
  <c r="AJ56" i="88"/>
  <c r="AJ48" i="88"/>
  <c r="AJ40" i="88"/>
  <c r="AF63" i="88"/>
  <c r="AJ67" i="88"/>
  <c r="O91" i="88"/>
  <c r="AA72" i="88"/>
  <c r="AB78" i="88"/>
  <c r="AI78" i="88"/>
  <c r="AM88" i="88"/>
  <c r="AJ88" i="88"/>
  <c r="G43" i="89"/>
  <c r="AF124" i="89"/>
  <c r="AI124" i="89"/>
  <c r="AB124" i="89"/>
  <c r="AD127" i="89"/>
  <c r="AE126" i="89"/>
  <c r="AM92" i="90"/>
  <c r="AN92" i="90"/>
  <c r="AM39" i="92"/>
  <c r="AN39" i="92"/>
  <c r="AI123" i="93"/>
  <c r="AF123" i="93"/>
  <c r="AB123" i="93"/>
  <c r="AA53" i="85"/>
  <c r="AA54" i="85" s="1"/>
  <c r="G53" i="85" s="1"/>
  <c r="AI87" i="85"/>
  <c r="AH122" i="85"/>
  <c r="AN47" i="86"/>
  <c r="AN39" i="86"/>
  <c r="AI80" i="86"/>
  <c r="AJ57" i="88"/>
  <c r="AJ49" i="88"/>
  <c r="AJ41" i="88"/>
  <c r="AM50" i="92"/>
  <c r="AN50" i="92"/>
  <c r="AM67" i="92"/>
  <c r="AN67" i="92"/>
  <c r="AD126" i="85"/>
  <c r="AJ52" i="86"/>
  <c r="AJ44" i="86"/>
  <c r="AJ36" i="86"/>
  <c r="AJ69" i="86"/>
  <c r="AN88" i="86"/>
  <c r="AF47" i="87"/>
  <c r="AI47" i="87"/>
  <c r="AF56" i="87"/>
  <c r="AF65" i="87"/>
  <c r="AI65" i="87"/>
  <c r="AI80" i="87"/>
  <c r="AA94" i="87"/>
  <c r="AB101" i="87"/>
  <c r="AB111" i="87"/>
  <c r="AB107" i="87"/>
  <c r="AB117" i="87"/>
  <c r="AA141" i="87"/>
  <c r="AB56" i="88"/>
  <c r="AB52" i="88"/>
  <c r="AB48" i="88"/>
  <c r="AB44" i="88"/>
  <c r="AB40" i="88"/>
  <c r="AB36" i="88"/>
  <c r="AJ58" i="88"/>
  <c r="AJ50" i="88"/>
  <c r="AJ42" i="88"/>
  <c r="AJ68" i="88"/>
  <c r="AJ64" i="88"/>
  <c r="AL72" i="88"/>
  <c r="AJ79" i="88"/>
  <c r="AN77" i="88"/>
  <c r="AB87" i="88"/>
  <c r="AF87" i="88"/>
  <c r="AA90" i="88"/>
  <c r="AI122" i="89"/>
  <c r="AI72" i="91"/>
  <c r="AF72" i="91"/>
  <c r="AB122" i="91"/>
  <c r="AF122" i="91"/>
  <c r="AF61" i="85"/>
  <c r="AA43" i="85"/>
  <c r="AF55" i="87"/>
  <c r="AH122" i="87"/>
  <c r="AJ76" i="88"/>
  <c r="AF76" i="88"/>
  <c r="AB76" i="88"/>
  <c r="AI76" i="88"/>
  <c r="AF83" i="88"/>
  <c r="AI83" i="88"/>
  <c r="AF124" i="91"/>
  <c r="AI124" i="91"/>
  <c r="AB124" i="91"/>
  <c r="G43" i="93"/>
  <c r="AF51" i="89"/>
  <c r="AI51" i="89"/>
  <c r="AN58" i="90"/>
  <c r="AJ54" i="90"/>
  <c r="AI53" i="90"/>
  <c r="AN50" i="90"/>
  <c r="AJ46" i="90"/>
  <c r="AI45" i="90"/>
  <c r="AN42" i="90"/>
  <c r="AJ38" i="90"/>
  <c r="AI37" i="90"/>
  <c r="AJ71" i="90"/>
  <c r="AJ67" i="90"/>
  <c r="AJ63" i="90"/>
  <c r="AB87" i="90"/>
  <c r="AB83" i="90"/>
  <c r="AB79" i="90"/>
  <c r="AF87" i="90"/>
  <c r="AF83" i="90"/>
  <c r="AF79" i="90"/>
  <c r="AJ83" i="90"/>
  <c r="AI82" i="90"/>
  <c r="AB102" i="90"/>
  <c r="AB98" i="90"/>
  <c r="AB94" i="90"/>
  <c r="AB90" i="90"/>
  <c r="AF99" i="90"/>
  <c r="AF95" i="90"/>
  <c r="AF91" i="90"/>
  <c r="AJ102" i="90"/>
  <c r="AI101" i="90"/>
  <c r="AJ94" i="90"/>
  <c r="AI93" i="90"/>
  <c r="AM105" i="90"/>
  <c r="P108" i="90"/>
  <c r="AB47" i="91"/>
  <c r="AF46" i="91"/>
  <c r="AB65" i="91"/>
  <c r="AG126" i="91"/>
  <c r="AF134" i="91"/>
  <c r="AI132" i="91"/>
  <c r="AI47" i="92"/>
  <c r="AN44" i="92"/>
  <c r="AI39" i="92"/>
  <c r="AN36" i="92"/>
  <c r="AF59" i="92"/>
  <c r="AI57" i="92"/>
  <c r="AA63" i="92"/>
  <c r="AK63" i="92"/>
  <c r="AN70" i="92"/>
  <c r="AB75" i="92"/>
  <c r="AF74" i="92"/>
  <c r="AM79" i="92"/>
  <c r="AI60" i="93"/>
  <c r="AF60" i="93"/>
  <c r="AF110" i="93"/>
  <c r="AI110" i="93"/>
  <c r="AB110" i="93"/>
  <c r="AI122" i="93"/>
  <c r="AB122" i="93"/>
  <c r="AF122" i="93"/>
  <c r="AA121" i="93"/>
  <c r="O126" i="93"/>
  <c r="AM100" i="94"/>
  <c r="AN100" i="94"/>
  <c r="AM53" i="94"/>
  <c r="AN53" i="94"/>
  <c r="AJ43" i="94"/>
  <c r="AM37" i="94"/>
  <c r="AN37" i="94"/>
  <c r="AJ36" i="94"/>
  <c r="AM80" i="94"/>
  <c r="AN80" i="94"/>
  <c r="AJ74" i="94"/>
  <c r="G79" i="95"/>
  <c r="AI120" i="95"/>
  <c r="AB120" i="95"/>
  <c r="AF120" i="95"/>
  <c r="AF50" i="89"/>
  <c r="AF59" i="89"/>
  <c r="AI59" i="89"/>
  <c r="AB79" i="89"/>
  <c r="AI75" i="89"/>
  <c r="AB83" i="89"/>
  <c r="AA81" i="89"/>
  <c r="AA73" i="89"/>
  <c r="AA74" i="89" s="1"/>
  <c r="G73" i="89" s="1"/>
  <c r="AF87" i="89"/>
  <c r="AA93" i="89"/>
  <c r="O126" i="89"/>
  <c r="AF138" i="89"/>
  <c r="AJ55" i="90"/>
  <c r="AJ47" i="90"/>
  <c r="AJ39" i="90"/>
  <c r="AI67" i="90"/>
  <c r="AI63" i="90"/>
  <c r="AJ84" i="90"/>
  <c r="AJ76" i="90"/>
  <c r="AI102" i="90"/>
  <c r="AJ95" i="90"/>
  <c r="AI94" i="90"/>
  <c r="AB104" i="90"/>
  <c r="AD108" i="90"/>
  <c r="AI78" i="91"/>
  <c r="AI86" i="91"/>
  <c r="AN45" i="92"/>
  <c r="AN37" i="92"/>
  <c r="AB69" i="92"/>
  <c r="AD82" i="92"/>
  <c r="AI83" i="93"/>
  <c r="AF83" i="93"/>
  <c r="AB83" i="93"/>
  <c r="AA62" i="93"/>
  <c r="AA63" i="93"/>
  <c r="AI59" i="93"/>
  <c r="AF59" i="93"/>
  <c r="AM52" i="94"/>
  <c r="AN52" i="94"/>
  <c r="AM36" i="94"/>
  <c r="AN36" i="94"/>
  <c r="AI62" i="94"/>
  <c r="AJ62" i="94"/>
  <c r="AF62" i="94"/>
  <c r="AJ94" i="94"/>
  <c r="AB59" i="89"/>
  <c r="AF58" i="89"/>
  <c r="AI58" i="89"/>
  <c r="AB71" i="89"/>
  <c r="AF67" i="89"/>
  <c r="AI67" i="89"/>
  <c r="AB78" i="89"/>
  <c r="AF75" i="89"/>
  <c r="AF83" i="89"/>
  <c r="AA88" i="89"/>
  <c r="AA145" i="89" s="1"/>
  <c r="AF86" i="89"/>
  <c r="AF92" i="89"/>
  <c r="AB102" i="89"/>
  <c r="AB98" i="89"/>
  <c r="AF100" i="89"/>
  <c r="AI102" i="89"/>
  <c r="AI98" i="89"/>
  <c r="AB108" i="89"/>
  <c r="AF110" i="89"/>
  <c r="AF106" i="89"/>
  <c r="AI108" i="89"/>
  <c r="AB118" i="89"/>
  <c r="AB114" i="89"/>
  <c r="AF116" i="89"/>
  <c r="AI118" i="89"/>
  <c r="AI114" i="89"/>
  <c r="AI123" i="89"/>
  <c r="AB57" i="90"/>
  <c r="AB53" i="90"/>
  <c r="AB49" i="90"/>
  <c r="AB45" i="90"/>
  <c r="AB41" i="90"/>
  <c r="AB37" i="90"/>
  <c r="AF57" i="90"/>
  <c r="AF49" i="90"/>
  <c r="AF41" i="90"/>
  <c r="AI55" i="90"/>
  <c r="AN52" i="90"/>
  <c r="AI47" i="90"/>
  <c r="AI39" i="90"/>
  <c r="AN36" i="90"/>
  <c r="AJ68" i="90"/>
  <c r="AE72" i="90"/>
  <c r="AB86" i="90"/>
  <c r="AB82" i="90"/>
  <c r="AB78" i="90"/>
  <c r="AF86" i="90"/>
  <c r="AF78" i="90"/>
  <c r="AJ85" i="90"/>
  <c r="AI84" i="90"/>
  <c r="AJ77" i="90"/>
  <c r="AI76" i="90"/>
  <c r="AB97" i="90"/>
  <c r="AF98" i="90"/>
  <c r="AF90" i="90"/>
  <c r="AN100" i="90"/>
  <c r="AJ96" i="90"/>
  <c r="AI95" i="90"/>
  <c r="AJ104" i="90"/>
  <c r="AF52" i="91"/>
  <c r="AF70" i="91"/>
  <c r="AF78" i="91"/>
  <c r="AI77" i="91"/>
  <c r="AA43" i="91"/>
  <c r="AA44" i="91" s="1"/>
  <c r="G43" i="91" s="1"/>
  <c r="AI85" i="91"/>
  <c r="AF94" i="91"/>
  <c r="AI91" i="91"/>
  <c r="AF132" i="91"/>
  <c r="AJ50" i="92"/>
  <c r="AJ42" i="92"/>
  <c r="AI67" i="92"/>
  <c r="AB74" i="92"/>
  <c r="AJ78" i="92"/>
  <c r="AA72" i="93"/>
  <c r="AA73" i="93"/>
  <c r="AB69" i="93"/>
  <c r="AI69" i="93"/>
  <c r="AF69" i="93"/>
  <c r="AA144" i="93"/>
  <c r="AF94" i="93"/>
  <c r="AA124" i="93"/>
  <c r="U126" i="93"/>
  <c r="U127" i="93" s="1"/>
  <c r="AN48" i="94"/>
  <c r="AF66" i="89"/>
  <c r="AI66" i="89"/>
  <c r="AA63" i="89"/>
  <c r="AJ57" i="90"/>
  <c r="AJ49" i="90"/>
  <c r="AJ41" i="90"/>
  <c r="AJ105" i="90"/>
  <c r="AA107" i="90"/>
  <c r="AF60" i="91"/>
  <c r="AI76" i="91"/>
  <c r="P126" i="91"/>
  <c r="P127" i="91" s="1"/>
  <c r="AN47" i="92"/>
  <c r="AJ59" i="92"/>
  <c r="AA81" i="92"/>
  <c r="AF61" i="93"/>
  <c r="AB68" i="93"/>
  <c r="AI68" i="93"/>
  <c r="AF68" i="93"/>
  <c r="AI117" i="93"/>
  <c r="AB117" i="93"/>
  <c r="AF117" i="93"/>
  <c r="AE125" i="93"/>
  <c r="AD126" i="93"/>
  <c r="AA141" i="93"/>
  <c r="AM51" i="94"/>
  <c r="AN51" i="94"/>
  <c r="AM46" i="94"/>
  <c r="AN46" i="94"/>
  <c r="AM35" i="94"/>
  <c r="AN35" i="94"/>
  <c r="AJ44" i="94"/>
  <c r="AJ68" i="94"/>
  <c r="AJ60" i="94"/>
  <c r="AI52" i="95"/>
  <c r="AF52" i="95"/>
  <c r="AA54" i="95"/>
  <c r="AN88" i="88"/>
  <c r="AA62" i="89"/>
  <c r="AA94" i="89"/>
  <c r="AA141" i="89"/>
  <c r="AB40" i="90"/>
  <c r="AJ58" i="90"/>
  <c r="AN54" i="90"/>
  <c r="AJ50" i="90"/>
  <c r="AN46" i="90"/>
  <c r="AJ42" i="90"/>
  <c r="AJ69" i="90"/>
  <c r="AJ65" i="90"/>
  <c r="AB85" i="90"/>
  <c r="AB81" i="90"/>
  <c r="AJ87" i="90"/>
  <c r="AJ79" i="90"/>
  <c r="AB96" i="90"/>
  <c r="AJ98" i="90"/>
  <c r="AJ90" i="90"/>
  <c r="AF50" i="91"/>
  <c r="AB69" i="91"/>
  <c r="AF68" i="91"/>
  <c r="AI68" i="91"/>
  <c r="AB83" i="91"/>
  <c r="AA73" i="91"/>
  <c r="AA74" i="91" s="1"/>
  <c r="G73" i="91" s="1"/>
  <c r="AA93" i="91"/>
  <c r="O126" i="91"/>
  <c r="AI136" i="91"/>
  <c r="AI51" i="92"/>
  <c r="AN48" i="92"/>
  <c r="AI43" i="92"/>
  <c r="AN40" i="92"/>
  <c r="AI35" i="92"/>
  <c r="AF55" i="92"/>
  <c r="AJ70" i="92"/>
  <c r="AF76" i="92"/>
  <c r="AJ74" i="92"/>
  <c r="AF36" i="93"/>
  <c r="AI36" i="93"/>
  <c r="AI52" i="93"/>
  <c r="AB67" i="93"/>
  <c r="AI67" i="93"/>
  <c r="AF67" i="93"/>
  <c r="AF116" i="93"/>
  <c r="AI116" i="93"/>
  <c r="AB116" i="93"/>
  <c r="AH126" i="93"/>
  <c r="AJ51" i="94"/>
  <c r="AM45" i="94"/>
  <c r="AN45" i="94"/>
  <c r="AJ35" i="94"/>
  <c r="AM84" i="94"/>
  <c r="AN84" i="94"/>
  <c r="AM91" i="94"/>
  <c r="AN91" i="94"/>
  <c r="AN79" i="88"/>
  <c r="AI79" i="89"/>
  <c r="AA53" i="89"/>
  <c r="AA54" i="89" s="1"/>
  <c r="G53" i="89" s="1"/>
  <c r="AJ51" i="90"/>
  <c r="AJ43" i="90"/>
  <c r="AJ35" i="90"/>
  <c r="AJ80" i="90"/>
  <c r="AJ99" i="90"/>
  <c r="AJ91" i="90"/>
  <c r="AB35" i="91"/>
  <c r="AF58" i="91"/>
  <c r="AI58" i="91"/>
  <c r="AA88" i="91"/>
  <c r="AA145" i="91" s="1"/>
  <c r="AB102" i="91"/>
  <c r="AB98" i="91"/>
  <c r="AB108" i="91"/>
  <c r="AB114" i="91"/>
  <c r="AB46" i="92"/>
  <c r="AB38" i="92"/>
  <c r="AN49" i="92"/>
  <c r="AJ45" i="92"/>
  <c r="AN41" i="92"/>
  <c r="AJ37" i="92"/>
  <c r="AJ56" i="92"/>
  <c r="AB71" i="92"/>
  <c r="AJ71" i="92"/>
  <c r="AJ75" i="92"/>
  <c r="AF35" i="93"/>
  <c r="AI51" i="93"/>
  <c r="AB77" i="93"/>
  <c r="AF77" i="93"/>
  <c r="AI101" i="93"/>
  <c r="AB101" i="93"/>
  <c r="AF101" i="93"/>
  <c r="AI107" i="93"/>
  <c r="AB107" i="93"/>
  <c r="AF107" i="93"/>
  <c r="AM44" i="94"/>
  <c r="AN44" i="94"/>
  <c r="AN56" i="94"/>
  <c r="AM99" i="94"/>
  <c r="AN99" i="94"/>
  <c r="G54" i="95"/>
  <c r="AI92" i="95"/>
  <c r="AF92" i="95"/>
  <c r="AF71" i="89"/>
  <c r="AB100" i="89"/>
  <c r="AB110" i="89"/>
  <c r="AB106" i="89"/>
  <c r="AB116" i="89"/>
  <c r="AB123" i="89"/>
  <c r="AB55" i="90"/>
  <c r="AB51" i="90"/>
  <c r="AB47" i="90"/>
  <c r="AB43" i="90"/>
  <c r="AB39" i="90"/>
  <c r="AB35" i="90"/>
  <c r="AF51" i="90"/>
  <c r="AF43" i="90"/>
  <c r="AF35" i="90"/>
  <c r="AB84" i="90"/>
  <c r="AB80" i="90"/>
  <c r="AB76" i="90"/>
  <c r="AF80" i="90"/>
  <c r="AB99" i="90"/>
  <c r="AB91" i="90"/>
  <c r="AF100" i="90"/>
  <c r="AF92" i="90"/>
  <c r="AB49" i="91"/>
  <c r="AF66" i="91"/>
  <c r="AF141" i="91"/>
  <c r="AB76" i="92"/>
  <c r="AF75" i="92"/>
  <c r="AJ76" i="92"/>
  <c r="AF51" i="93"/>
  <c r="AB76" i="93"/>
  <c r="AF76" i="93"/>
  <c r="AI76" i="93"/>
  <c r="AA53" i="93"/>
  <c r="AF100" i="93"/>
  <c r="AI100" i="93"/>
  <c r="AB100" i="93"/>
  <c r="AF106" i="93"/>
  <c r="AI106" i="93"/>
  <c r="AB106" i="93"/>
  <c r="AA125" i="93"/>
  <c r="AF134" i="93"/>
  <c r="AM47" i="94"/>
  <c r="AJ82" i="94"/>
  <c r="AF71" i="95"/>
  <c r="AI71" i="95"/>
  <c r="AJ101" i="90"/>
  <c r="AF85" i="93"/>
  <c r="AA88" i="93"/>
  <c r="AB85" i="93"/>
  <c r="AF75" i="93"/>
  <c r="AI75" i="93"/>
  <c r="AA54" i="93"/>
  <c r="G53" i="93" s="1"/>
  <c r="AI111" i="93"/>
  <c r="AB111" i="93"/>
  <c r="AF111" i="93"/>
  <c r="AA145" i="93"/>
  <c r="AJ64" i="94"/>
  <c r="AJ63" i="94"/>
  <c r="AJ67" i="94"/>
  <c r="AJ41" i="94"/>
  <c r="AJ49" i="94"/>
  <c r="AJ91" i="94"/>
  <c r="AJ78" i="94"/>
  <c r="AJ86" i="94"/>
  <c r="AJ66" i="94"/>
  <c r="AJ89" i="94"/>
  <c r="AJ97" i="94"/>
  <c r="AJ77" i="94"/>
  <c r="AJ85" i="94"/>
  <c r="AJ38" i="94"/>
  <c r="AJ46" i="94"/>
  <c r="AJ54" i="94"/>
  <c r="AJ100" i="94"/>
  <c r="AJ96" i="94"/>
  <c r="AJ61" i="94"/>
  <c r="AJ65" i="94"/>
  <c r="AJ69" i="94"/>
  <c r="AJ37" i="94"/>
  <c r="AJ45" i="94"/>
  <c r="AJ53" i="94"/>
  <c r="AJ95" i="94"/>
  <c r="AJ75" i="94"/>
  <c r="AJ83" i="94"/>
  <c r="AM54" i="94"/>
  <c r="AN54" i="94"/>
  <c r="AM43" i="94"/>
  <c r="AN43" i="94"/>
  <c r="AM38" i="94"/>
  <c r="AN38" i="94"/>
  <c r="AJ81" i="94"/>
  <c r="AM95" i="94"/>
  <c r="AN95" i="94"/>
  <c r="AF118" i="95"/>
  <c r="AI118" i="95"/>
  <c r="AB118" i="95"/>
  <c r="AD123" i="95"/>
  <c r="AE122" i="95"/>
  <c r="AJ99" i="94"/>
  <c r="AA62" i="95"/>
  <c r="AI77" i="95"/>
  <c r="AA85" i="95"/>
  <c r="AI90" i="95"/>
  <c r="AB99" i="95"/>
  <c r="AB109" i="95"/>
  <c r="AF105" i="95"/>
  <c r="AB105" i="95"/>
  <c r="AI109" i="95"/>
  <c r="AB116" i="95"/>
  <c r="AA121" i="95"/>
  <c r="AF130" i="95"/>
  <c r="AB36" i="96"/>
  <c r="AB40" i="96"/>
  <c r="AB44" i="96"/>
  <c r="AB48" i="96"/>
  <c r="AB52" i="96"/>
  <c r="AB56" i="96"/>
  <c r="AB37" i="96"/>
  <c r="AB41" i="96"/>
  <c r="AB45" i="96"/>
  <c r="AB49" i="96"/>
  <c r="AB53" i="96"/>
  <c r="AB38" i="96"/>
  <c r="AB42" i="96"/>
  <c r="AB46" i="96"/>
  <c r="AB50" i="96"/>
  <c r="AM46" i="98"/>
  <c r="AN46" i="98"/>
  <c r="AI52" i="94"/>
  <c r="AI44" i="94"/>
  <c r="AI36" i="94"/>
  <c r="AH70" i="94"/>
  <c r="AB83" i="94"/>
  <c r="AB79" i="94"/>
  <c r="AB75" i="94"/>
  <c r="AF84" i="94"/>
  <c r="AF80" i="94"/>
  <c r="AF76" i="94"/>
  <c r="AJ84" i="94"/>
  <c r="AI83" i="94"/>
  <c r="AJ76" i="94"/>
  <c r="AI75" i="94"/>
  <c r="AI99" i="94"/>
  <c r="AA102" i="94"/>
  <c r="AG103" i="94"/>
  <c r="AA93" i="95"/>
  <c r="AA119" i="95"/>
  <c r="Q122" i="95"/>
  <c r="Q123" i="95" s="1"/>
  <c r="AF108" i="97"/>
  <c r="AI108" i="97"/>
  <c r="AB108" i="97"/>
  <c r="AM67" i="100"/>
  <c r="AN67" i="100"/>
  <c r="AI84" i="94"/>
  <c r="AI76" i="94"/>
  <c r="AB97" i="94"/>
  <c r="AB93" i="94"/>
  <c r="AB89" i="94"/>
  <c r="AB59" i="95"/>
  <c r="AB69" i="95"/>
  <c r="AI75" i="95"/>
  <c r="AB102" i="95"/>
  <c r="AB98" i="95"/>
  <c r="AF99" i="95"/>
  <c r="AI100" i="95"/>
  <c r="AB108" i="95"/>
  <c r="AF108" i="95"/>
  <c r="AF115" i="95"/>
  <c r="AB115" i="95"/>
  <c r="AF114" i="95"/>
  <c r="AI62" i="97"/>
  <c r="AF62" i="97"/>
  <c r="O113" i="97"/>
  <c r="AM50" i="98"/>
  <c r="AN50" i="98"/>
  <c r="AA82" i="93"/>
  <c r="AJ55" i="94"/>
  <c r="AI54" i="94"/>
  <c r="AJ47" i="94"/>
  <c r="AI46" i="94"/>
  <c r="AJ39" i="94"/>
  <c r="AI38" i="94"/>
  <c r="AB86" i="94"/>
  <c r="AB82" i="94"/>
  <c r="AB78" i="94"/>
  <c r="AF79" i="94"/>
  <c r="AN74" i="94"/>
  <c r="AI97" i="94"/>
  <c r="AN94" i="94"/>
  <c r="AJ90" i="94"/>
  <c r="AI89" i="94"/>
  <c r="AF99" i="94"/>
  <c r="AB58" i="95"/>
  <c r="AB61" i="95"/>
  <c r="AB68" i="95"/>
  <c r="AA43" i="95"/>
  <c r="AA141" i="95"/>
  <c r="AI84" i="95"/>
  <c r="AB114" i="95"/>
  <c r="AB51" i="96"/>
  <c r="AI51" i="96"/>
  <c r="AJ51" i="96"/>
  <c r="AF51" i="96"/>
  <c r="AB43" i="96"/>
  <c r="AI43" i="96"/>
  <c r="AJ43" i="96"/>
  <c r="AF43" i="96"/>
  <c r="AB35" i="96"/>
  <c r="AI35" i="96"/>
  <c r="AJ35" i="96"/>
  <c r="AF35" i="96"/>
  <c r="AF71" i="97"/>
  <c r="AI71" i="97"/>
  <c r="AA81" i="93"/>
  <c r="AA93" i="93"/>
  <c r="AI136" i="93"/>
  <c r="AB50" i="94"/>
  <c r="AB42" i="94"/>
  <c r="AF56" i="94"/>
  <c r="AF48" i="94"/>
  <c r="AF40" i="94"/>
  <c r="AJ56" i="94"/>
  <c r="AI55" i="94"/>
  <c r="AJ48" i="94"/>
  <c r="AI47" i="94"/>
  <c r="AJ40" i="94"/>
  <c r="AI39" i="94"/>
  <c r="AF68" i="94"/>
  <c r="AF60" i="94"/>
  <c r="AE70" i="94"/>
  <c r="AI86" i="94"/>
  <c r="AJ79" i="94"/>
  <c r="AI78" i="94"/>
  <c r="AB96" i="94"/>
  <c r="AB92" i="94"/>
  <c r="AF93" i="94"/>
  <c r="AF38" i="95"/>
  <c r="AB48" i="95"/>
  <c r="AB51" i="95"/>
  <c r="AF47" i="95"/>
  <c r="AI47" i="95"/>
  <c r="AB57" i="95"/>
  <c r="AA42" i="95"/>
  <c r="AF77" i="95"/>
  <c r="AB84" i="95"/>
  <c r="AA94" i="95"/>
  <c r="AB101" i="95"/>
  <c r="AF102" i="95"/>
  <c r="AF98" i="95"/>
  <c r="AB107" i="95"/>
  <c r="AF107" i="95"/>
  <c r="AB113" i="95"/>
  <c r="AF113" i="95"/>
  <c r="V122" i="95"/>
  <c r="V123" i="95" s="1"/>
  <c r="AA137" i="95"/>
  <c r="AM54" i="98"/>
  <c r="AN54" i="98"/>
  <c r="AM38" i="98"/>
  <c r="AN38" i="98"/>
  <c r="AB70" i="94"/>
  <c r="AB81" i="94"/>
  <c r="AF82" i="94"/>
  <c r="AF74" i="94"/>
  <c r="AJ80" i="94"/>
  <c r="AJ92" i="94"/>
  <c r="AB41" i="95"/>
  <c r="AF37" i="95"/>
  <c r="AF46" i="95"/>
  <c r="AI46" i="95"/>
  <c r="AB56" i="95"/>
  <c r="AF55" i="95"/>
  <c r="AI55" i="95"/>
  <c r="AB66" i="95"/>
  <c r="AI70" i="95"/>
  <c r="AA140" i="95"/>
  <c r="AF76" i="95"/>
  <c r="AI82" i="95"/>
  <c r="O122" i="95"/>
  <c r="X122" i="95"/>
  <c r="X123" i="95" s="1"/>
  <c r="P122" i="95"/>
  <c r="P123" i="95" s="1"/>
  <c r="U122" i="95"/>
  <c r="U123" i="95" s="1"/>
  <c r="AG122" i="95"/>
  <c r="AG113" i="97"/>
  <c r="AH112" i="97"/>
  <c r="AM43" i="98"/>
  <c r="AN43" i="98"/>
  <c r="AF48" i="93"/>
  <c r="AF66" i="93"/>
  <c r="AF140" i="93"/>
  <c r="AB49" i="94"/>
  <c r="AB41" i="94"/>
  <c r="AF51" i="94"/>
  <c r="AF43" i="94"/>
  <c r="AF35" i="94"/>
  <c r="AJ50" i="94"/>
  <c r="AJ42" i="94"/>
  <c r="AA70" i="94"/>
  <c r="AK70" i="94"/>
  <c r="AN85" i="94"/>
  <c r="AI80" i="94"/>
  <c r="AN77" i="94"/>
  <c r="AF92" i="94"/>
  <c r="AJ93" i="94"/>
  <c r="AF45" i="95"/>
  <c r="AI45" i="95"/>
  <c r="AB65" i="95"/>
  <c r="AI69" i="95"/>
  <c r="AA72" i="95"/>
  <c r="AA73" i="95" s="1"/>
  <c r="G73" i="95" s="1"/>
  <c r="AF84" i="95"/>
  <c r="AI102" i="95"/>
  <c r="AI105" i="95"/>
  <c r="AB55" i="96"/>
  <c r="AF55" i="96"/>
  <c r="AI55" i="96"/>
  <c r="AI110" i="97"/>
  <c r="AB110" i="97"/>
  <c r="AF110" i="97"/>
  <c r="AM42" i="98"/>
  <c r="AN42" i="98"/>
  <c r="G73" i="99"/>
  <c r="AF110" i="99"/>
  <c r="AB110" i="99"/>
  <c r="AI110" i="99"/>
  <c r="AF61" i="95"/>
  <c r="AI61" i="95"/>
  <c r="AF69" i="95"/>
  <c r="AA139" i="95"/>
  <c r="AI106" i="95"/>
  <c r="AF106" i="95"/>
  <c r="AB47" i="96"/>
  <c r="AF47" i="96"/>
  <c r="AI47" i="96"/>
  <c r="AB39" i="96"/>
  <c r="AF39" i="96"/>
  <c r="AI39" i="96"/>
  <c r="AG20" i="97"/>
  <c r="AH83" i="97" s="1"/>
  <c r="AB69" i="97"/>
  <c r="AB82" i="97"/>
  <c r="AB91" i="97"/>
  <c r="AF92" i="97"/>
  <c r="AF88" i="97"/>
  <c r="AB97" i="97"/>
  <c r="AF98" i="97"/>
  <c r="AB103" i="97"/>
  <c r="AF104" i="97"/>
  <c r="AF111" i="97"/>
  <c r="AA118" i="97"/>
  <c r="AJ50" i="98"/>
  <c r="AJ42" i="98"/>
  <c r="AB39" i="99"/>
  <c r="AB55" i="99"/>
  <c r="AB65" i="99"/>
  <c r="AD112" i="99"/>
  <c r="AE108" i="99"/>
  <c r="AA48" i="101"/>
  <c r="AH48" i="101"/>
  <c r="AI48" i="101"/>
  <c r="AE48" i="101"/>
  <c r="AD52" i="101"/>
  <c r="AC58" i="101"/>
  <c r="AJ52" i="101"/>
  <c r="AB49" i="97"/>
  <c r="AB58" i="97"/>
  <c r="AB61" i="97"/>
  <c r="AB68" i="97"/>
  <c r="AI50" i="98"/>
  <c r="AI42" i="98"/>
  <c r="AF35" i="99"/>
  <c r="AI35" i="99"/>
  <c r="AI89" i="99"/>
  <c r="AF89" i="99"/>
  <c r="AB99" i="99"/>
  <c r="AB103" i="99"/>
  <c r="AF103" i="99"/>
  <c r="AN63" i="100"/>
  <c r="AE57" i="101"/>
  <c r="AH57" i="101"/>
  <c r="AI57" i="101"/>
  <c r="AF136" i="95"/>
  <c r="AN54" i="96"/>
  <c r="AJ50" i="96"/>
  <c r="AI49" i="96"/>
  <c r="AJ42" i="96"/>
  <c r="AI41" i="96"/>
  <c r="AB48" i="97"/>
  <c r="AB57" i="97"/>
  <c r="AB67" i="97"/>
  <c r="AF77" i="97"/>
  <c r="AA79" i="97"/>
  <c r="G79" i="97" s="1"/>
  <c r="AF82" i="97"/>
  <c r="AB90" i="97"/>
  <c r="AF91" i="97"/>
  <c r="AI92" i="97"/>
  <c r="AI88" i="97"/>
  <c r="AB96" i="97"/>
  <c r="AF97" i="97"/>
  <c r="AI98" i="97"/>
  <c r="AB106" i="97"/>
  <c r="AB102" i="97"/>
  <c r="AF103" i="97"/>
  <c r="AI104" i="97"/>
  <c r="AI111" i="97"/>
  <c r="AF54" i="98"/>
  <c r="AF50" i="98"/>
  <c r="AF46" i="98"/>
  <c r="AF42" i="98"/>
  <c r="AF38" i="98"/>
  <c r="AN56" i="98"/>
  <c r="AN48" i="98"/>
  <c r="AN40" i="98"/>
  <c r="AI99" i="99"/>
  <c r="AF99" i="99"/>
  <c r="AI102" i="99"/>
  <c r="AB102" i="99"/>
  <c r="AM35" i="100"/>
  <c r="AN35" i="100"/>
  <c r="AN58" i="100"/>
  <c r="AB62" i="100"/>
  <c r="AF62" i="100"/>
  <c r="AI62" i="100"/>
  <c r="AJ62" i="100"/>
  <c r="AJ64" i="100"/>
  <c r="AL46" i="101"/>
  <c r="Z55" i="101"/>
  <c r="AI53" i="101"/>
  <c r="AE53" i="101"/>
  <c r="AI48" i="102"/>
  <c r="AM37" i="103"/>
  <c r="AN37" i="103"/>
  <c r="AN59" i="104"/>
  <c r="AM59" i="104"/>
  <c r="AF116" i="95"/>
  <c r="AF112" i="95"/>
  <c r="AF37" i="97"/>
  <c r="AI37" i="97"/>
  <c r="AB47" i="97"/>
  <c r="AB56" i="97"/>
  <c r="AF76" i="97"/>
  <c r="AF80" i="97"/>
  <c r="AA109" i="97"/>
  <c r="AA115" i="97"/>
  <c r="AJ53" i="98"/>
  <c r="AI52" i="98"/>
  <c r="AN49" i="98"/>
  <c r="AJ45" i="98"/>
  <c r="AI44" i="98"/>
  <c r="AN41" i="98"/>
  <c r="AJ37" i="98"/>
  <c r="AI36" i="98"/>
  <c r="AF74" i="99"/>
  <c r="AA109" i="99"/>
  <c r="AJ40" i="100"/>
  <c r="AB40" i="100"/>
  <c r="AN37" i="100"/>
  <c r="AJ36" i="100"/>
  <c r="AA51" i="100"/>
  <c r="AD70" i="100"/>
  <c r="AE51" i="100"/>
  <c r="AF58" i="100"/>
  <c r="AI58" i="100"/>
  <c r="AI64" i="100"/>
  <c r="AF46" i="102"/>
  <c r="AI46" i="102"/>
  <c r="AJ36" i="96"/>
  <c r="AB39" i="97"/>
  <c r="AF36" i="97"/>
  <c r="AB46" i="97"/>
  <c r="AF45" i="97"/>
  <c r="AI45" i="97"/>
  <c r="AB55" i="97"/>
  <c r="AB65" i="97"/>
  <c r="AI69" i="97"/>
  <c r="AA72" i="97"/>
  <c r="AA73" i="97" s="1"/>
  <c r="G73" i="97" s="1"/>
  <c r="AF75" i="97"/>
  <c r="AB89" i="97"/>
  <c r="AF90" i="97"/>
  <c r="AB99" i="97"/>
  <c r="AB95" i="97"/>
  <c r="AF96" i="97"/>
  <c r="AB105" i="97"/>
  <c r="AF106" i="97"/>
  <c r="AF102" i="97"/>
  <c r="AA120" i="97"/>
  <c r="AB55" i="98"/>
  <c r="AB47" i="98"/>
  <c r="AB39" i="98"/>
  <c r="AF53" i="98"/>
  <c r="AF45" i="98"/>
  <c r="AF37" i="98"/>
  <c r="AJ54" i="98"/>
  <c r="AJ46" i="98"/>
  <c r="AJ38" i="98"/>
  <c r="AF40" i="99"/>
  <c r="AB59" i="99"/>
  <c r="AB69" i="99"/>
  <c r="AA52" i="99"/>
  <c r="AA53" i="99"/>
  <c r="AA116" i="99"/>
  <c r="AA42" i="99"/>
  <c r="AI74" i="99"/>
  <c r="AB97" i="99"/>
  <c r="AF97" i="99"/>
  <c r="AA111" i="99"/>
  <c r="AB39" i="100"/>
  <c r="AF36" i="100"/>
  <c r="AI36" i="100"/>
  <c r="AB57" i="100"/>
  <c r="AG70" i="100"/>
  <c r="AL37" i="101"/>
  <c r="AM37" i="101"/>
  <c r="Z40" i="101"/>
  <c r="AL45" i="101"/>
  <c r="AM45" i="101"/>
  <c r="Z49" i="101"/>
  <c r="U58" i="101"/>
  <c r="AM51" i="103"/>
  <c r="AN51" i="103"/>
  <c r="AN58" i="103"/>
  <c r="AM58" i="103"/>
  <c r="AJ53" i="96"/>
  <c r="AJ45" i="96"/>
  <c r="AJ37" i="96"/>
  <c r="AI52" i="97"/>
  <c r="AF61" i="97"/>
  <c r="AF69" i="97"/>
  <c r="AI68" i="97"/>
  <c r="AA63" i="97"/>
  <c r="AA64" i="97" s="1"/>
  <c r="G64" i="97" s="1"/>
  <c r="AF74" i="97"/>
  <c r="AA84" i="97"/>
  <c r="AJ55" i="98"/>
  <c r="AI54" i="98"/>
  <c r="AJ47" i="98"/>
  <c r="AI46" i="98"/>
  <c r="AJ39" i="98"/>
  <c r="AI38" i="98"/>
  <c r="AB58" i="99"/>
  <c r="AF57" i="99"/>
  <c r="AI57" i="99"/>
  <c r="AF65" i="99"/>
  <c r="AI96" i="99"/>
  <c r="AB96" i="99"/>
  <c r="AI106" i="99"/>
  <c r="AB106" i="99"/>
  <c r="AJ57" i="100"/>
  <c r="AJ47" i="100"/>
  <c r="AJ63" i="100"/>
  <c r="AJ35" i="100"/>
  <c r="AJ39" i="100"/>
  <c r="AF40" i="100"/>
  <c r="AI49" i="100"/>
  <c r="AJ46" i="100"/>
  <c r="AI56" i="100"/>
  <c r="AB56" i="100"/>
  <c r="AJ56" i="100"/>
  <c r="AF56" i="100"/>
  <c r="AJ58" i="100"/>
  <c r="AA69" i="100"/>
  <c r="AI44" i="101"/>
  <c r="AA44" i="101"/>
  <c r="AE44" i="101"/>
  <c r="AM57" i="103"/>
  <c r="AN57" i="103"/>
  <c r="AM44" i="105"/>
  <c r="AN44" i="105"/>
  <c r="AF53" i="96"/>
  <c r="AF45" i="96"/>
  <c r="AF37" i="96"/>
  <c r="AF51" i="97"/>
  <c r="AF60" i="97"/>
  <c r="AF56" i="98"/>
  <c r="AF48" i="98"/>
  <c r="AF40" i="98"/>
  <c r="AF56" i="99"/>
  <c r="AI75" i="99"/>
  <c r="AA78" i="99"/>
  <c r="AA77" i="99"/>
  <c r="AB91" i="99"/>
  <c r="AF91" i="99"/>
  <c r="AI103" i="99"/>
  <c r="AA118" i="99"/>
  <c r="AJ37" i="100"/>
  <c r="AJ66" i="100"/>
  <c r="AJ67" i="100"/>
  <c r="AH44" i="101"/>
  <c r="AA57" i="101"/>
  <c r="AH56" i="101"/>
  <c r="AI56" i="101"/>
  <c r="AA56" i="101"/>
  <c r="AE56" i="101"/>
  <c r="S58" i="101"/>
  <c r="W58" i="101"/>
  <c r="O58" i="101"/>
  <c r="AI37" i="102"/>
  <c r="AB37" i="102"/>
  <c r="AF37" i="102"/>
  <c r="AB56" i="99"/>
  <c r="AB82" i="99"/>
  <c r="AI90" i="99"/>
  <c r="AB90" i="99"/>
  <c r="AI95" i="99"/>
  <c r="AF95" i="99"/>
  <c r="AI105" i="99"/>
  <c r="AF105" i="99"/>
  <c r="AF45" i="100"/>
  <c r="AJ45" i="100"/>
  <c r="AB64" i="100"/>
  <c r="AH54" i="101"/>
  <c r="AI54" i="101"/>
  <c r="AA54" i="101"/>
  <c r="AA53" i="101"/>
  <c r="Z52" i="101"/>
  <c r="AI41" i="100"/>
  <c r="AB59" i="100"/>
  <c r="AB55" i="100"/>
  <c r="AJ59" i="100"/>
  <c r="AA47" i="101"/>
  <c r="AA43" i="101"/>
  <c r="AE45" i="101"/>
  <c r="AI46" i="101"/>
  <c r="AH45" i="101"/>
  <c r="AK49" i="101"/>
  <c r="AK57" i="101"/>
  <c r="AG53" i="101"/>
  <c r="AA60" i="101"/>
  <c r="AB36" i="102"/>
  <c r="AF38" i="102"/>
  <c r="AF34" i="102"/>
  <c r="AI36" i="102"/>
  <c r="AF42" i="102"/>
  <c r="AB61" i="102"/>
  <c r="AF60" i="102"/>
  <c r="AI59" i="102"/>
  <c r="AF63" i="102"/>
  <c r="AB44" i="103"/>
  <c r="AB40" i="103"/>
  <c r="AB36" i="103"/>
  <c r="AF43" i="103"/>
  <c r="AF39" i="103"/>
  <c r="AF35" i="103"/>
  <c r="AJ44" i="103"/>
  <c r="AJ36" i="103"/>
  <c r="AJ50" i="103"/>
  <c r="AJ51" i="103"/>
  <c r="AF58" i="103"/>
  <c r="AJ55" i="103"/>
  <c r="AB63" i="103"/>
  <c r="AF62" i="103"/>
  <c r="AM67" i="103"/>
  <c r="AI36" i="104"/>
  <c r="AI50" i="104"/>
  <c r="AB50" i="104"/>
  <c r="AM56" i="104"/>
  <c r="AM37" i="105"/>
  <c r="AN37" i="105"/>
  <c r="AI43" i="105"/>
  <c r="AI50" i="105"/>
  <c r="AJ50" i="105"/>
  <c r="AN44" i="107"/>
  <c r="AA36" i="101"/>
  <c r="AG40" i="101"/>
  <c r="AI47" i="101"/>
  <c r="AH46" i="101"/>
  <c r="AG58" i="101"/>
  <c r="AE60" i="101"/>
  <c r="AI44" i="103"/>
  <c r="AJ37" i="103"/>
  <c r="AI36" i="103"/>
  <c r="AI51" i="103"/>
  <c r="AJ56" i="103"/>
  <c r="AB66" i="103"/>
  <c r="AB49" i="104"/>
  <c r="AF49" i="104"/>
  <c r="AN48" i="104"/>
  <c r="AN36" i="105"/>
  <c r="AJ56" i="105"/>
  <c r="AN62" i="106"/>
  <c r="AM62" i="106"/>
  <c r="AF62" i="101"/>
  <c r="AJ38" i="103"/>
  <c r="AI37" i="103"/>
  <c r="AJ47" i="103"/>
  <c r="AJ57" i="103"/>
  <c r="AJ66" i="103"/>
  <c r="AB37" i="104"/>
  <c r="AF37" i="104"/>
  <c r="AI37" i="104"/>
  <c r="AM35" i="106"/>
  <c r="AN35" i="106"/>
  <c r="AM50" i="107"/>
  <c r="AN50" i="107"/>
  <c r="AM39" i="101"/>
  <c r="AF55" i="102"/>
  <c r="AJ39" i="103"/>
  <c r="AN35" i="103"/>
  <c r="AF47" i="103"/>
  <c r="AJ58" i="103"/>
  <c r="AJ67" i="103"/>
  <c r="AI66" i="103"/>
  <c r="AA69" i="103"/>
  <c r="AG70" i="103"/>
  <c r="AF36" i="104"/>
  <c r="AJ59" i="104"/>
  <c r="AB35" i="105"/>
  <c r="AJ48" i="105"/>
  <c r="AF55" i="105"/>
  <c r="AI55" i="105"/>
  <c r="AF47" i="105"/>
  <c r="AI47" i="105"/>
  <c r="AB92" i="99"/>
  <c r="AB88" i="99"/>
  <c r="AB98" i="99"/>
  <c r="AB104" i="99"/>
  <c r="AJ38" i="100"/>
  <c r="AI37" i="100"/>
  <c r="AI46" i="100"/>
  <c r="AJ55" i="100"/>
  <c r="AI36" i="101"/>
  <c r="AD40" i="101"/>
  <c r="AE43" i="101"/>
  <c r="AM46" i="101"/>
  <c r="AB38" i="102"/>
  <c r="AB34" i="102"/>
  <c r="AI44" i="102"/>
  <c r="AI61" i="102"/>
  <c r="AB63" i="102"/>
  <c r="AA66" i="102"/>
  <c r="AF41" i="103"/>
  <c r="AF37" i="103"/>
  <c r="AJ40" i="103"/>
  <c r="AJ48" i="103"/>
  <c r="AF51" i="103"/>
  <c r="AJ59" i="103"/>
  <c r="AI58" i="103"/>
  <c r="AN55" i="103"/>
  <c r="AF64" i="103"/>
  <c r="AJ62" i="103"/>
  <c r="AB35" i="104"/>
  <c r="AM36" i="104"/>
  <c r="AJ35" i="104"/>
  <c r="AM52" i="104"/>
  <c r="AJ51" i="104"/>
  <c r="AJ55" i="104"/>
  <c r="AM60" i="104"/>
  <c r="AN40" i="105"/>
  <c r="AI48" i="105"/>
  <c r="AA58" i="105"/>
  <c r="AB56" i="106"/>
  <c r="AA75" i="106"/>
  <c r="AF56" i="106"/>
  <c r="AI56" i="106"/>
  <c r="AJ56" i="106"/>
  <c r="AB38" i="100"/>
  <c r="AB66" i="100"/>
  <c r="AE36" i="101"/>
  <c r="AI37" i="101"/>
  <c r="AI43" i="101"/>
  <c r="AJ41" i="103"/>
  <c r="AI40" i="103"/>
  <c r="AN56" i="103"/>
  <c r="AJ63" i="103"/>
  <c r="AA70" i="103"/>
  <c r="AF35" i="104"/>
  <c r="AL44" i="104"/>
  <c r="AG63" i="104"/>
  <c r="AB39" i="105"/>
  <c r="AF35" i="105"/>
  <c r="AN43" i="105"/>
  <c r="AJ39" i="105"/>
  <c r="AJ71" i="105"/>
  <c r="AB71" i="105"/>
  <c r="AF71" i="105"/>
  <c r="AA76" i="105"/>
  <c r="N58" i="101"/>
  <c r="AB41" i="103"/>
  <c r="AJ42" i="103"/>
  <c r="AJ34" i="103"/>
  <c r="AJ49" i="103"/>
  <c r="AB64" i="103"/>
  <c r="AF63" i="103"/>
  <c r="AJ64" i="103"/>
  <c r="AJ43" i="104"/>
  <c r="AJ60" i="104"/>
  <c r="AM34" i="104"/>
  <c r="AJ49" i="104"/>
  <c r="AN55" i="104"/>
  <c r="AF39" i="105"/>
  <c r="AM43" i="106"/>
  <c r="AN43" i="106"/>
  <c r="AJ43" i="103"/>
  <c r="AB51" i="104"/>
  <c r="AF51" i="104"/>
  <c r="AF59" i="104"/>
  <c r="AA62" i="104"/>
  <c r="AI59" i="104"/>
  <c r="AB74" i="105"/>
  <c r="AB64" i="105"/>
  <c r="AM38" i="105"/>
  <c r="AN38" i="105"/>
  <c r="AE58" i="105"/>
  <c r="AD77" i="105"/>
  <c r="AK58" i="105"/>
  <c r="AM65" i="105"/>
  <c r="AN65" i="105"/>
  <c r="AF82" i="107"/>
  <c r="AF42" i="104"/>
  <c r="AJ48" i="104"/>
  <c r="AI44" i="105"/>
  <c r="AJ37" i="105"/>
  <c r="AI36" i="105"/>
  <c r="AB70" i="105"/>
  <c r="AF69" i="105"/>
  <c r="AB42" i="106"/>
  <c r="AB38" i="106"/>
  <c r="AB34" i="106"/>
  <c r="AJ41" i="106"/>
  <c r="AB68" i="106"/>
  <c r="AM72" i="106"/>
  <c r="P75" i="106"/>
  <c r="AB47" i="107"/>
  <c r="AJ42" i="107"/>
  <c r="AF42" i="107"/>
  <c r="AB42" i="107"/>
  <c r="AB36" i="107"/>
  <c r="AF51" i="107"/>
  <c r="AN52" i="107"/>
  <c r="AI47" i="107"/>
  <c r="AF71" i="107"/>
  <c r="AJ71" i="107"/>
  <c r="AF63" i="107"/>
  <c r="AI63" i="107"/>
  <c r="AJ63" i="107"/>
  <c r="AJ62" i="107"/>
  <c r="AA94" i="107"/>
  <c r="AA92" i="107"/>
  <c r="AA88" i="107"/>
  <c r="AA86" i="107"/>
  <c r="AA84" i="107"/>
  <c r="AA80" i="107"/>
  <c r="AA78" i="107"/>
  <c r="S96" i="107"/>
  <c r="S100" i="107" s="1"/>
  <c r="AG96" i="107"/>
  <c r="AI38" i="108"/>
  <c r="AJ38" i="108"/>
  <c r="AB38" i="108"/>
  <c r="AF38" i="108"/>
  <c r="AJ42" i="106"/>
  <c r="AJ34" i="106"/>
  <c r="AJ51" i="107"/>
  <c r="AN37" i="108"/>
  <c r="AF52" i="109"/>
  <c r="AB52" i="109"/>
  <c r="AI52" i="109"/>
  <c r="AJ52" i="109"/>
  <c r="AA74" i="109"/>
  <c r="AI71" i="109"/>
  <c r="AJ71" i="109"/>
  <c r="AF71" i="109"/>
  <c r="AB71" i="109"/>
  <c r="AM62" i="111"/>
  <c r="AN62" i="111"/>
  <c r="AJ73" i="105"/>
  <c r="AI42" i="106"/>
  <c r="AI34" i="106"/>
  <c r="AJ71" i="106"/>
  <c r="AI46" i="107"/>
  <c r="AF46" i="107"/>
  <c r="AB46" i="107"/>
  <c r="AN40" i="107"/>
  <c r="AI69" i="107"/>
  <c r="AJ69" i="107"/>
  <c r="AF69" i="107"/>
  <c r="AI61" i="107"/>
  <c r="AJ61" i="107"/>
  <c r="AF61" i="107"/>
  <c r="AE89" i="107"/>
  <c r="AK89" i="107"/>
  <c r="AE81" i="107"/>
  <c r="AK81" i="107"/>
  <c r="AL91" i="107"/>
  <c r="AH91" i="107"/>
  <c r="AL83" i="107"/>
  <c r="AH83" i="107"/>
  <c r="AM56" i="109"/>
  <c r="AN56" i="109"/>
  <c r="AB42" i="105"/>
  <c r="AB34" i="105"/>
  <c r="AJ53" i="105"/>
  <c r="AH58" i="105"/>
  <c r="AB63" i="105"/>
  <c r="AF64" i="105"/>
  <c r="AJ64" i="105"/>
  <c r="AI63" i="105"/>
  <c r="AJ74" i="105"/>
  <c r="AI73" i="105"/>
  <c r="AI43" i="106"/>
  <c r="AN40" i="106"/>
  <c r="AI35" i="106"/>
  <c r="AJ47" i="106"/>
  <c r="AB61" i="106"/>
  <c r="AF62" i="106"/>
  <c r="AJ62" i="106"/>
  <c r="AI61" i="106"/>
  <c r="AF72" i="106"/>
  <c r="AI71" i="106"/>
  <c r="AA74" i="106"/>
  <c r="AG75" i="106"/>
  <c r="AJ52" i="107"/>
  <c r="AI42" i="107"/>
  <c r="AJ36" i="107"/>
  <c r="AB43" i="108"/>
  <c r="AI43" i="108"/>
  <c r="AJ43" i="108"/>
  <c r="AF43" i="108"/>
  <c r="AJ65" i="105"/>
  <c r="AJ69" i="105"/>
  <c r="AF38" i="106"/>
  <c r="AN41" i="106"/>
  <c r="AF48" i="106"/>
  <c r="AI47" i="106"/>
  <c r="AJ63" i="106"/>
  <c r="AF69" i="106"/>
  <c r="AJ67" i="106"/>
  <c r="AJ50" i="107"/>
  <c r="AF50" i="107"/>
  <c r="AB39" i="107"/>
  <c r="AJ34" i="107"/>
  <c r="AF34" i="107"/>
  <c r="AB34" i="107"/>
  <c r="AF48" i="107"/>
  <c r="AF43" i="107"/>
  <c r="AI52" i="107"/>
  <c r="AI36" i="107"/>
  <c r="AJ67" i="107"/>
  <c r="AJ59" i="107"/>
  <c r="AA93" i="107"/>
  <c r="AA91" i="107"/>
  <c r="AA89" i="107"/>
  <c r="AA87" i="107"/>
  <c r="AA85" i="107"/>
  <c r="AA83" i="107"/>
  <c r="AA81" i="107"/>
  <c r="AA79" i="107"/>
  <c r="W96" i="107"/>
  <c r="W100" i="107" s="1"/>
  <c r="O96" i="107"/>
  <c r="AJ48" i="108"/>
  <c r="AF48" i="108"/>
  <c r="AB48" i="108"/>
  <c r="AM34" i="108"/>
  <c r="AN34" i="108"/>
  <c r="AI52" i="104"/>
  <c r="AB57" i="104"/>
  <c r="AJ57" i="104"/>
  <c r="AB41" i="105"/>
  <c r="AJ42" i="105"/>
  <c r="AJ34" i="105"/>
  <c r="AF54" i="105"/>
  <c r="AJ54" i="105"/>
  <c r="AJ70" i="105"/>
  <c r="AJ38" i="106"/>
  <c r="AI37" i="106"/>
  <c r="AJ52" i="106"/>
  <c r="AJ48" i="106"/>
  <c r="AN60" i="106"/>
  <c r="AJ68" i="106"/>
  <c r="AJ98" i="107"/>
  <c r="AJ95" i="107"/>
  <c r="AJ39" i="107"/>
  <c r="AJ53" i="107"/>
  <c r="AJ46" i="107"/>
  <c r="AJ43" i="107"/>
  <c r="AJ37" i="107"/>
  <c r="AI71" i="107"/>
  <c r="AF70" i="105"/>
  <c r="AB39" i="106"/>
  <c r="AJ39" i="106"/>
  <c r="AB69" i="106"/>
  <c r="AF68" i="106"/>
  <c r="AJ69" i="106"/>
  <c r="AN71" i="106"/>
  <c r="AM98" i="107"/>
  <c r="AN98" i="107"/>
  <c r="AB48" i="107"/>
  <c r="AB43" i="107"/>
  <c r="AI38" i="107"/>
  <c r="AF38" i="107"/>
  <c r="AB38" i="107"/>
  <c r="AF47" i="107"/>
  <c r="AM51" i="107"/>
  <c r="AJ40" i="107"/>
  <c r="AM35" i="107"/>
  <c r="AJ66" i="107"/>
  <c r="AE93" i="107"/>
  <c r="AK93" i="107"/>
  <c r="AE85" i="107"/>
  <c r="AK85" i="107"/>
  <c r="AE77" i="107"/>
  <c r="AK77" i="107"/>
  <c r="AD96" i="107"/>
  <c r="AL87" i="107"/>
  <c r="AH87" i="107"/>
  <c r="AL79" i="107"/>
  <c r="AH79" i="107"/>
  <c r="AI72" i="107"/>
  <c r="AJ72" i="107"/>
  <c r="AI64" i="107"/>
  <c r="AJ64" i="107"/>
  <c r="AI56" i="107"/>
  <c r="AJ56" i="107"/>
  <c r="AM47" i="109"/>
  <c r="AN47" i="109"/>
  <c r="AE92" i="107"/>
  <c r="AE88" i="107"/>
  <c r="AE84" i="107"/>
  <c r="AE80" i="107"/>
  <c r="AH94" i="107"/>
  <c r="AH90" i="107"/>
  <c r="AH86" i="107"/>
  <c r="AH82" i="107"/>
  <c r="AH78" i="107"/>
  <c r="AI47" i="108"/>
  <c r="AB47" i="108"/>
  <c r="AJ47" i="108"/>
  <c r="AB42" i="108"/>
  <c r="AJ49" i="108"/>
  <c r="AJ36" i="108"/>
  <c r="AI47" i="109"/>
  <c r="AA73" i="109"/>
  <c r="AJ47" i="109"/>
  <c r="AF47" i="109"/>
  <c r="AI40" i="109"/>
  <c r="AB40" i="109"/>
  <c r="AJ40" i="109"/>
  <c r="AF40" i="109"/>
  <c r="AB60" i="109"/>
  <c r="AF56" i="109"/>
  <c r="AI56" i="109"/>
  <c r="AJ56" i="109"/>
  <c r="AM51" i="109"/>
  <c r="AN51" i="109"/>
  <c r="AN50" i="109"/>
  <c r="AM38" i="110"/>
  <c r="AA46" i="110"/>
  <c r="AM60" i="112"/>
  <c r="AN60" i="112"/>
  <c r="AI37" i="108"/>
  <c r="AF37" i="108"/>
  <c r="AJ52" i="108"/>
  <c r="AB37" i="110"/>
  <c r="AF37" i="110"/>
  <c r="AI37" i="110"/>
  <c r="AJ47" i="111"/>
  <c r="AJ39" i="111"/>
  <c r="AM42" i="111"/>
  <c r="AN42" i="111"/>
  <c r="AJ68" i="107"/>
  <c r="AJ60" i="107"/>
  <c r="AH93" i="107"/>
  <c r="AH89" i="107"/>
  <c r="AH85" i="107"/>
  <c r="AH81" i="107"/>
  <c r="AH77" i="107"/>
  <c r="AL77" i="107"/>
  <c r="AB50" i="108"/>
  <c r="AI46" i="108"/>
  <c r="AJ46" i="108"/>
  <c r="AB41" i="108"/>
  <c r="AF36" i="108"/>
  <c r="AB36" i="108"/>
  <c r="AF47" i="108"/>
  <c r="AJ50" i="108"/>
  <c r="AI39" i="109"/>
  <c r="AJ39" i="109"/>
  <c r="AF39" i="109"/>
  <c r="AB68" i="109"/>
  <c r="AF64" i="109"/>
  <c r="AI64" i="109"/>
  <c r="AJ64" i="109"/>
  <c r="AJ68" i="109"/>
  <c r="AM63" i="109"/>
  <c r="AJ60" i="109"/>
  <c r="AM55" i="109"/>
  <c r="AJ42" i="111"/>
  <c r="AB52" i="111"/>
  <c r="AB57" i="111"/>
  <c r="AI60" i="107"/>
  <c r="AN45" i="108"/>
  <c r="AJ37" i="108"/>
  <c r="AB44" i="109"/>
  <c r="AI44" i="109"/>
  <c r="AF44" i="109"/>
  <c r="AJ44" i="109"/>
  <c r="AI68" i="109"/>
  <c r="AI60" i="109"/>
  <c r="AB41" i="110"/>
  <c r="AI41" i="110"/>
  <c r="AJ41" i="110"/>
  <c r="AF41" i="110"/>
  <c r="AB40" i="111"/>
  <c r="AD64" i="111"/>
  <c r="AK44" i="111"/>
  <c r="AI52" i="111"/>
  <c r="AJ52" i="111"/>
  <c r="AF52" i="111"/>
  <c r="AI57" i="111"/>
  <c r="AF57" i="111"/>
  <c r="AJ57" i="111"/>
  <c r="AB53" i="107"/>
  <c r="AB49" i="107"/>
  <c r="AB45" i="107"/>
  <c r="AB41" i="107"/>
  <c r="AB37" i="107"/>
  <c r="AF49" i="107"/>
  <c r="AF41" i="107"/>
  <c r="AJ49" i="107"/>
  <c r="AJ41" i="107"/>
  <c r="AJ73" i="107"/>
  <c r="AJ65" i="107"/>
  <c r="AJ57" i="107"/>
  <c r="AE94" i="107"/>
  <c r="AE90" i="107"/>
  <c r="AE86" i="107"/>
  <c r="AE82" i="107"/>
  <c r="AE78" i="107"/>
  <c r="AA77" i="107"/>
  <c r="AB49" i="108"/>
  <c r="AI45" i="108"/>
  <c r="AF45" i="108"/>
  <c r="AJ40" i="108"/>
  <c r="AF40" i="108"/>
  <c r="AB40" i="108"/>
  <c r="AF46" i="108"/>
  <c r="AF35" i="108"/>
  <c r="AJ44" i="108"/>
  <c r="AJ41" i="108"/>
  <c r="AB43" i="109"/>
  <c r="AM67" i="109"/>
  <c r="AJ37" i="110"/>
  <c r="AE44" i="110"/>
  <c r="AJ40" i="111"/>
  <c r="AF40" i="111"/>
  <c r="AA44" i="111"/>
  <c r="AJ48" i="111"/>
  <c r="AB44" i="108"/>
  <c r="AI39" i="108"/>
  <c r="AB39" i="108"/>
  <c r="AJ39" i="108"/>
  <c r="AI44" i="108"/>
  <c r="AI41" i="108"/>
  <c r="AJ35" i="108"/>
  <c r="AM52" i="108"/>
  <c r="AN52" i="108"/>
  <c r="AM45" i="109"/>
  <c r="AB50" i="111"/>
  <c r="AB59" i="111"/>
  <c r="AF59" i="111"/>
  <c r="AI59" i="111"/>
  <c r="AJ59" i="111"/>
  <c r="AM47" i="112"/>
  <c r="AF35" i="109"/>
  <c r="AB35" i="109"/>
  <c r="AJ35" i="109"/>
  <c r="AI35" i="109"/>
  <c r="AM42" i="109"/>
  <c r="AN42" i="109"/>
  <c r="AB36" i="111"/>
  <c r="AI36" i="111"/>
  <c r="AJ36" i="111"/>
  <c r="AF36" i="111"/>
  <c r="AJ41" i="111"/>
  <c r="AB49" i="111"/>
  <c r="AA53" i="111"/>
  <c r="AM35" i="111"/>
  <c r="AN35" i="111"/>
  <c r="AB48" i="111"/>
  <c r="AJ45" i="112"/>
  <c r="AM64" i="112"/>
  <c r="AN64" i="112"/>
  <c r="AI59" i="112"/>
  <c r="AJ59" i="112"/>
  <c r="AF59" i="112"/>
  <c r="AB59" i="112"/>
  <c r="AA79" i="112"/>
  <c r="AF75" i="112"/>
  <c r="AI75" i="112"/>
  <c r="AI69" i="113"/>
  <c r="AB69" i="113"/>
  <c r="AJ69" i="113"/>
  <c r="AF69" i="113"/>
  <c r="AM74" i="113"/>
  <c r="AN74" i="113"/>
  <c r="AM35" i="114"/>
  <c r="AN35" i="114"/>
  <c r="AH37" i="114"/>
  <c r="AL37" i="114"/>
  <c r="AF36" i="115"/>
  <c r="AI36" i="115"/>
  <c r="AJ36" i="115"/>
  <c r="AB36" i="115"/>
  <c r="AF52" i="108"/>
  <c r="AB46" i="109"/>
  <c r="AB38" i="109"/>
  <c r="AJ45" i="109"/>
  <c r="AJ55" i="109"/>
  <c r="AB70" i="109"/>
  <c r="AJ38" i="110"/>
  <c r="AA44" i="110"/>
  <c r="AJ35" i="111"/>
  <c r="AB43" i="111"/>
  <c r="AB39" i="111"/>
  <c r="AJ43" i="111"/>
  <c r="AI42" i="111"/>
  <c r="AB51" i="111"/>
  <c r="AB47" i="111"/>
  <c r="AF49" i="111"/>
  <c r="AJ50" i="111"/>
  <c r="AI49" i="111"/>
  <c r="AL53" i="111"/>
  <c r="AB56" i="111"/>
  <c r="AB61" i="111"/>
  <c r="AJ53" i="112"/>
  <c r="AJ61" i="112"/>
  <c r="AJ69" i="112"/>
  <c r="AJ76" i="112"/>
  <c r="AB39" i="112"/>
  <c r="AJ35" i="112"/>
  <c r="AF35" i="112"/>
  <c r="AN40" i="112"/>
  <c r="AI35" i="112"/>
  <c r="AI58" i="112"/>
  <c r="AF58" i="112"/>
  <c r="AB58" i="112"/>
  <c r="AM68" i="113"/>
  <c r="AM34" i="114"/>
  <c r="AN34" i="114"/>
  <c r="AN53" i="116"/>
  <c r="AM53" i="116"/>
  <c r="AB36" i="109"/>
  <c r="AJ46" i="109"/>
  <c r="AI45" i="109"/>
  <c r="AJ38" i="109"/>
  <c r="AB66" i="109"/>
  <c r="AB62" i="109"/>
  <c r="AB58" i="109"/>
  <c r="AB54" i="109"/>
  <c r="AF65" i="109"/>
  <c r="AF57" i="109"/>
  <c r="AJ70" i="109"/>
  <c r="AN43" i="110"/>
  <c r="AI38" i="110"/>
  <c r="AN35" i="110"/>
  <c r="AI43" i="111"/>
  <c r="AJ51" i="111"/>
  <c r="AJ61" i="111"/>
  <c r="AM76" i="112"/>
  <c r="AN76" i="112"/>
  <c r="AN44" i="112"/>
  <c r="AJ39" i="112"/>
  <c r="AM73" i="112"/>
  <c r="AN73" i="112"/>
  <c r="AM68" i="112"/>
  <c r="AF63" i="112"/>
  <c r="AB63" i="112"/>
  <c r="AM52" i="112"/>
  <c r="AF60" i="112"/>
  <c r="AJ75" i="112"/>
  <c r="AM45" i="113"/>
  <c r="AN45" i="113"/>
  <c r="AI61" i="113"/>
  <c r="AB61" i="113"/>
  <c r="AJ61" i="113"/>
  <c r="AF61" i="113"/>
  <c r="AM38" i="116"/>
  <c r="AN38" i="116"/>
  <c r="AN41" i="116"/>
  <c r="AM41" i="116"/>
  <c r="AF49" i="117"/>
  <c r="AI49" i="117"/>
  <c r="AB49" i="117"/>
  <c r="AJ49" i="117"/>
  <c r="AB41" i="109"/>
  <c r="AJ65" i="109"/>
  <c r="AN61" i="109"/>
  <c r="AJ57" i="109"/>
  <c r="AN53" i="109"/>
  <c r="AJ40" i="110"/>
  <c r="AI51" i="111"/>
  <c r="AF58" i="111"/>
  <c r="AJ56" i="111"/>
  <c r="AF62" i="111"/>
  <c r="AJ62" i="111"/>
  <c r="AI61" i="111"/>
  <c r="AJ38" i="112"/>
  <c r="AB38" i="112"/>
  <c r="AI39" i="112"/>
  <c r="AJ73" i="112"/>
  <c r="AI68" i="112"/>
  <c r="AJ68" i="112"/>
  <c r="AJ62" i="112"/>
  <c r="AF62" i="112"/>
  <c r="AB62" i="112"/>
  <c r="AJ57" i="112"/>
  <c r="AI52" i="112"/>
  <c r="AJ52" i="112"/>
  <c r="AB42" i="110"/>
  <c r="AB34" i="110"/>
  <c r="AF40" i="110"/>
  <c r="AA78" i="112"/>
  <c r="AF47" i="112"/>
  <c r="AI42" i="112"/>
  <c r="AB42" i="112"/>
  <c r="AF41" i="112"/>
  <c r="AJ47" i="112"/>
  <c r="AJ43" i="112"/>
  <c r="AM72" i="112"/>
  <c r="AN72" i="112"/>
  <c r="AI67" i="112"/>
  <c r="AJ67" i="112"/>
  <c r="AF67" i="112"/>
  <c r="AB67" i="112"/>
  <c r="AM56" i="112"/>
  <c r="AN56" i="112"/>
  <c r="AI51" i="112"/>
  <c r="AJ51" i="112"/>
  <c r="AF51" i="112"/>
  <c r="AB51" i="112"/>
  <c r="AJ71" i="112"/>
  <c r="AJ66" i="112"/>
  <c r="AJ64" i="112"/>
  <c r="AJ55" i="112"/>
  <c r="AJ50" i="112"/>
  <c r="AM37" i="113"/>
  <c r="AN37" i="113"/>
  <c r="AM72" i="113"/>
  <c r="AI53" i="113"/>
  <c r="AB53" i="113"/>
  <c r="AJ53" i="113"/>
  <c r="AF53" i="113"/>
  <c r="AM34" i="115"/>
  <c r="AN34" i="115"/>
  <c r="AN57" i="116"/>
  <c r="AM57" i="116"/>
  <c r="AM53" i="119"/>
  <c r="AN53" i="119"/>
  <c r="O64" i="111"/>
  <c r="AG64" i="111"/>
  <c r="AB58" i="111"/>
  <c r="AJ58" i="111"/>
  <c r="AF61" i="111"/>
  <c r="AJ46" i="112"/>
  <c r="AB46" i="112"/>
  <c r="AB41" i="112"/>
  <c r="AF45" i="112"/>
  <c r="AI47" i="112"/>
  <c r="AJ44" i="112"/>
  <c r="AI43" i="112"/>
  <c r="AJ40" i="112"/>
  <c r="AJ37" i="112"/>
  <c r="AN35" i="112"/>
  <c r="AI66" i="112"/>
  <c r="AF66" i="112"/>
  <c r="AB66" i="112"/>
  <c r="AI50" i="112"/>
  <c r="AF50" i="112"/>
  <c r="AB50" i="112"/>
  <c r="AB65" i="113"/>
  <c r="AF65" i="113"/>
  <c r="AI65" i="113"/>
  <c r="AJ65" i="113"/>
  <c r="AM52" i="113"/>
  <c r="AM61" i="116"/>
  <c r="AN61" i="116"/>
  <c r="AN45" i="116"/>
  <c r="AM45" i="116"/>
  <c r="AB45" i="112"/>
  <c r="AF71" i="112"/>
  <c r="AB71" i="112"/>
  <c r="AF55" i="112"/>
  <c r="AB55" i="112"/>
  <c r="AA37" i="114"/>
  <c r="AN65" i="116"/>
  <c r="AJ70" i="112"/>
  <c r="AF70" i="112"/>
  <c r="AB70" i="112"/>
  <c r="AI60" i="112"/>
  <c r="AJ60" i="112"/>
  <c r="AJ54" i="112"/>
  <c r="AF54" i="112"/>
  <c r="AB54" i="112"/>
  <c r="AM75" i="112"/>
  <c r="AN75" i="112"/>
  <c r="AM41" i="113"/>
  <c r="AN41" i="113"/>
  <c r="AB57" i="113"/>
  <c r="AF57" i="113"/>
  <c r="AI57" i="113"/>
  <c r="AJ57" i="113"/>
  <c r="AA58" i="117"/>
  <c r="AM44" i="119"/>
  <c r="AN44" i="119"/>
  <c r="AM40" i="119"/>
  <c r="AN40" i="119"/>
  <c r="AN68" i="113"/>
  <c r="AN60" i="113"/>
  <c r="AN52" i="113"/>
  <c r="AJ74" i="113"/>
  <c r="AJ57" i="116"/>
  <c r="AI57" i="116"/>
  <c r="AJ49" i="116"/>
  <c r="AI49" i="116"/>
  <c r="AJ41" i="116"/>
  <c r="AI41" i="116"/>
  <c r="AI53" i="116"/>
  <c r="AI37" i="116"/>
  <c r="AH68" i="116"/>
  <c r="AL68" i="116"/>
  <c r="AL51" i="117"/>
  <c r="AH51" i="117"/>
  <c r="AF56" i="117"/>
  <c r="AI56" i="117"/>
  <c r="AB56" i="117"/>
  <c r="AM44" i="118"/>
  <c r="AN44" i="118"/>
  <c r="AH48" i="118"/>
  <c r="AG52" i="118"/>
  <c r="AL48" i="118"/>
  <c r="AB44" i="113"/>
  <c r="AB40" i="113"/>
  <c r="AB36" i="113"/>
  <c r="AF45" i="113"/>
  <c r="AF41" i="113"/>
  <c r="AF37" i="113"/>
  <c r="AJ45" i="113"/>
  <c r="AI44" i="113"/>
  <c r="AJ37" i="113"/>
  <c r="AI36" i="113"/>
  <c r="AI72" i="113"/>
  <c r="AI64" i="113"/>
  <c r="AI56" i="113"/>
  <c r="AJ75" i="113"/>
  <c r="AI74" i="113"/>
  <c r="AA77" i="113"/>
  <c r="AF35" i="114"/>
  <c r="AI35" i="114"/>
  <c r="AM60" i="116"/>
  <c r="AN60" i="116"/>
  <c r="AB56" i="116"/>
  <c r="AB52" i="116"/>
  <c r="AB48" i="116"/>
  <c r="AB44" i="116"/>
  <c r="AB40" i="116"/>
  <c r="AM36" i="116"/>
  <c r="AN36" i="116"/>
  <c r="AJ63" i="116"/>
  <c r="AL58" i="117"/>
  <c r="AH58" i="117"/>
  <c r="AK52" i="118"/>
  <c r="AE52" i="118"/>
  <c r="AD59" i="118"/>
  <c r="AE59" i="118" s="1"/>
  <c r="AI46" i="119"/>
  <c r="AB46" i="119"/>
  <c r="AJ46" i="119"/>
  <c r="AF46" i="119"/>
  <c r="AB71" i="113"/>
  <c r="AB67" i="113"/>
  <c r="AB63" i="113"/>
  <c r="AB59" i="113"/>
  <c r="AB55" i="113"/>
  <c r="AB51" i="113"/>
  <c r="AJ50" i="113"/>
  <c r="AB35" i="115"/>
  <c r="AI56" i="116"/>
  <c r="AJ56" i="116"/>
  <c r="AI52" i="116"/>
  <c r="AJ52" i="116"/>
  <c r="AI48" i="116"/>
  <c r="AJ48" i="116"/>
  <c r="AI44" i="116"/>
  <c r="AJ44" i="116"/>
  <c r="AI40" i="116"/>
  <c r="AJ40" i="116"/>
  <c r="AI36" i="116"/>
  <c r="AJ36" i="116"/>
  <c r="AI63" i="116"/>
  <c r="AI37" i="117"/>
  <c r="AJ37" i="117"/>
  <c r="AF37" i="117"/>
  <c r="AB37" i="117"/>
  <c r="O53" i="117"/>
  <c r="AA46" i="117"/>
  <c r="AJ56" i="117"/>
  <c r="AM57" i="119"/>
  <c r="AN57" i="119"/>
  <c r="AB47" i="113"/>
  <c r="AB43" i="113"/>
  <c r="AB39" i="113"/>
  <c r="AB35" i="113"/>
  <c r="AF40" i="113"/>
  <c r="AJ47" i="113"/>
  <c r="AJ39" i="113"/>
  <c r="AJ59" i="113"/>
  <c r="AJ51" i="113"/>
  <c r="AF74" i="113"/>
  <c r="AB63" i="116"/>
  <c r="AB59" i="116"/>
  <c r="AB55" i="116"/>
  <c r="AB51" i="116"/>
  <c r="AB47" i="116"/>
  <c r="AB43" i="116"/>
  <c r="AB39" i="116"/>
  <c r="AB35" i="116"/>
  <c r="AJ65" i="116"/>
  <c r="AL46" i="117"/>
  <c r="AG53" i="117"/>
  <c r="AH46" i="117"/>
  <c r="AI47" i="113"/>
  <c r="AJ40" i="113"/>
  <c r="AI39" i="113"/>
  <c r="AB70" i="113"/>
  <c r="AB66" i="113"/>
  <c r="AB62" i="113"/>
  <c r="AB58" i="113"/>
  <c r="AB54" i="113"/>
  <c r="AB50" i="113"/>
  <c r="AN72" i="113"/>
  <c r="AJ68" i="113"/>
  <c r="AJ60" i="113"/>
  <c r="AN56" i="113"/>
  <c r="AI59" i="116"/>
  <c r="AJ59" i="116"/>
  <c r="AI55" i="116"/>
  <c r="AJ55" i="116"/>
  <c r="AI51" i="116"/>
  <c r="AJ51" i="116"/>
  <c r="AI47" i="116"/>
  <c r="AJ47" i="116"/>
  <c r="AI43" i="116"/>
  <c r="AJ43" i="116"/>
  <c r="AI39" i="116"/>
  <c r="AJ39" i="116"/>
  <c r="AI35" i="116"/>
  <c r="AJ35" i="116"/>
  <c r="AJ60" i="116"/>
  <c r="AJ54" i="116"/>
  <c r="AI45" i="116"/>
  <c r="Z67" i="116"/>
  <c r="Z68" i="116"/>
  <c r="R67" i="116"/>
  <c r="R68" i="116"/>
  <c r="AE46" i="117"/>
  <c r="AD53" i="117"/>
  <c r="AK46" i="117"/>
  <c r="AM34" i="118"/>
  <c r="AN34" i="118"/>
  <c r="AM36" i="119"/>
  <c r="AN36" i="119"/>
  <c r="AN56" i="119"/>
  <c r="AM56" i="119"/>
  <c r="AN65" i="112"/>
  <c r="AN57" i="112"/>
  <c r="AB46" i="113"/>
  <c r="AB42" i="113"/>
  <c r="AB38" i="113"/>
  <c r="AJ41" i="113"/>
  <c r="AI60" i="113"/>
  <c r="AI52" i="113"/>
  <c r="AN36" i="114"/>
  <c r="AJ34" i="115"/>
  <c r="AB54" i="116"/>
  <c r="AM46" i="116"/>
  <c r="AN46" i="116"/>
  <c r="AB42" i="116"/>
  <c r="AM43" i="117"/>
  <c r="AN43" i="117"/>
  <c r="O52" i="118"/>
  <c r="AA48" i="118"/>
  <c r="AM63" i="119"/>
  <c r="AN63" i="119"/>
  <c r="AF35" i="115"/>
  <c r="AI58" i="116"/>
  <c r="AJ58" i="116"/>
  <c r="AI50" i="116"/>
  <c r="AJ50" i="116"/>
  <c r="AI42" i="116"/>
  <c r="AJ42" i="116"/>
  <c r="AI34" i="116"/>
  <c r="AJ34" i="116"/>
  <c r="AA44" i="117"/>
  <c r="AA51" i="117"/>
  <c r="AN41" i="118"/>
  <c r="AA57" i="118"/>
  <c r="AN35" i="119"/>
  <c r="AM35" i="119"/>
  <c r="AN61" i="119"/>
  <c r="AL66" i="116"/>
  <c r="AI39" i="117"/>
  <c r="AN36" i="117"/>
  <c r="AM35" i="117"/>
  <c r="AF34" i="118"/>
  <c r="AB39" i="118"/>
  <c r="AF39" i="118"/>
  <c r="AJ41" i="118"/>
  <c r="AI40" i="118"/>
  <c r="AF44" i="118"/>
  <c r="AL46" i="118"/>
  <c r="AE48" i="118"/>
  <c r="AB38" i="119"/>
  <c r="AF40" i="119"/>
  <c r="AF36" i="119"/>
  <c r="AJ40" i="119"/>
  <c r="AI39" i="119"/>
  <c r="AI43" i="119"/>
  <c r="AB59" i="119"/>
  <c r="AB55" i="119"/>
  <c r="AF61" i="119"/>
  <c r="AF57" i="119"/>
  <c r="AF53" i="119"/>
  <c r="AI60" i="119"/>
  <c r="AI52" i="119"/>
  <c r="AF63" i="119"/>
  <c r="AN50" i="117"/>
  <c r="AN57" i="117"/>
  <c r="AA46" i="118"/>
  <c r="AJ50" i="118"/>
  <c r="AB47" i="119"/>
  <c r="AB43" i="119"/>
  <c r="AJ45" i="119"/>
  <c r="AJ54" i="119"/>
  <c r="AG67" i="116"/>
  <c r="AN38" i="117"/>
  <c r="AB42" i="117"/>
  <c r="AH44" i="117"/>
  <c r="AB35" i="118"/>
  <c r="AB38" i="118"/>
  <c r="AF38" i="118"/>
  <c r="AB45" i="118"/>
  <c r="AK48" i="118"/>
  <c r="AB50" i="118"/>
  <c r="AJ55" i="118"/>
  <c r="AB37" i="119"/>
  <c r="AB58" i="119"/>
  <c r="AB54" i="119"/>
  <c r="AF60" i="119"/>
  <c r="AF56" i="119"/>
  <c r="AF52" i="119"/>
  <c r="AJ55" i="119"/>
  <c r="AI54" i="119"/>
  <c r="AB64" i="119"/>
  <c r="AA66" i="116"/>
  <c r="AJ35" i="117"/>
  <c r="AJ42" i="117"/>
  <c r="AJ35" i="119"/>
  <c r="AJ47" i="119"/>
  <c r="AJ50" i="117"/>
  <c r="AJ34" i="118"/>
  <c r="AJ38" i="118"/>
  <c r="AJ44" i="118"/>
  <c r="AJ37" i="119"/>
  <c r="AB49" i="119"/>
  <c r="AJ49" i="119"/>
  <c r="AJ58" i="119"/>
  <c r="AJ38" i="117"/>
  <c r="AF35" i="118"/>
  <c r="AJ35" i="118"/>
  <c r="AJ39" i="118"/>
  <c r="AF45" i="118"/>
  <c r="AJ45" i="118"/>
  <c r="AN55" i="118"/>
  <c r="AB39" i="119"/>
  <c r="AF37" i="119"/>
  <c r="AJ38" i="119"/>
  <c r="AB60" i="119"/>
  <c r="AB52" i="119"/>
  <c r="AF58" i="119"/>
  <c r="AJ59" i="119"/>
  <c r="AF64" i="119"/>
  <c r="AJ64" i="119"/>
  <c r="AB48" i="119"/>
  <c r="AF43" i="119"/>
  <c r="AB61" i="58"/>
  <c r="AB55" i="58"/>
  <c r="AF77" i="58"/>
  <c r="W126" i="58"/>
  <c r="W127" i="58" s="1"/>
  <c r="O126" i="58"/>
  <c r="T126" i="58"/>
  <c r="T127" i="58" s="1"/>
  <c r="AF79" i="58"/>
  <c r="AA62" i="58"/>
  <c r="AA124" i="58"/>
  <c r="AA88" i="58"/>
  <c r="AF88" i="58" s="1"/>
  <c r="AF58" i="58"/>
  <c r="AB46" i="58"/>
  <c r="AA43" i="58"/>
  <c r="AF110" i="64"/>
  <c r="AB57" i="64"/>
  <c r="AF37" i="64"/>
  <c r="Y126" i="64"/>
  <c r="Y127" i="64" s="1"/>
  <c r="Q126" i="64"/>
  <c r="Q127" i="64" s="1"/>
  <c r="AA88" i="64"/>
  <c r="AF88" i="64" s="1"/>
  <c r="AF108" i="64"/>
  <c r="AA93" i="64"/>
  <c r="AF93" i="64" s="1"/>
  <c r="AF48" i="64"/>
  <c r="AF46" i="64"/>
  <c r="AF116" i="64"/>
  <c r="AA94" i="64"/>
  <c r="AF94" i="64" s="1"/>
  <c r="AF102" i="64"/>
  <c r="AF61" i="64"/>
  <c r="AB57" i="62"/>
  <c r="AB39" i="62"/>
  <c r="P126" i="62"/>
  <c r="P127" i="62" s="1"/>
  <c r="AF98" i="62"/>
  <c r="AA62" i="62"/>
  <c r="AF62" i="62" s="1"/>
  <c r="AA42" i="62"/>
  <c r="W126" i="62"/>
  <c r="W127" i="62" s="1"/>
  <c r="AA124" i="62"/>
  <c r="AF124" i="62" s="1"/>
  <c r="Z126" i="62"/>
  <c r="Z127" i="62" s="1"/>
  <c r="R126" i="62"/>
  <c r="R127" i="62" s="1"/>
  <c r="AA43" i="62"/>
  <c r="AA125" i="62"/>
  <c r="AF125" i="62" s="1"/>
  <c r="Y126" i="57"/>
  <c r="Y127" i="57" s="1"/>
  <c r="Q126" i="57"/>
  <c r="Q127" i="57" s="1"/>
  <c r="AB116" i="57"/>
  <c r="AF111" i="57"/>
  <c r="AB100" i="57"/>
  <c r="AB87" i="57"/>
  <c r="AB68" i="57"/>
  <c r="AF48" i="57"/>
  <c r="AB46" i="57"/>
  <c r="AB132" i="57"/>
  <c r="AF107" i="57"/>
  <c r="AF61" i="57"/>
  <c r="S126" i="57"/>
  <c r="S127" i="57" s="1"/>
  <c r="AB65" i="57"/>
  <c r="AA63" i="57"/>
  <c r="X126" i="57"/>
  <c r="X127" i="57" s="1"/>
  <c r="P126" i="57"/>
  <c r="P127" i="57" s="1"/>
  <c r="AF71" i="57"/>
  <c r="AF66" i="57"/>
  <c r="AF119" i="57"/>
  <c r="AB75" i="57"/>
  <c r="AA73" i="57"/>
  <c r="AA74" i="57" s="1"/>
  <c r="AB39" i="57"/>
  <c r="AF130" i="56"/>
  <c r="AF78" i="56"/>
  <c r="AF134" i="56"/>
  <c r="R126" i="56"/>
  <c r="R127" i="56" s="1"/>
  <c r="V126" i="56"/>
  <c r="V127" i="56" s="1"/>
  <c r="AF119" i="56"/>
  <c r="AA123" i="56"/>
  <c r="AF115" i="56"/>
  <c r="AF39" i="56"/>
  <c r="T126" i="55"/>
  <c r="T127" i="55" s="1"/>
  <c r="AF101" i="55"/>
  <c r="AF71" i="55"/>
  <c r="AF117" i="55"/>
  <c r="AA73" i="55"/>
  <c r="AF102" i="39"/>
  <c r="AB78" i="39"/>
  <c r="U126" i="39"/>
  <c r="U127" i="39" s="1"/>
  <c r="AD126" i="39"/>
  <c r="AD127" i="39" s="1"/>
  <c r="AF68" i="39"/>
  <c r="V126" i="39"/>
  <c r="V127" i="39" s="1"/>
  <c r="W126" i="39"/>
  <c r="W127" i="39" s="1"/>
  <c r="AF94" i="39"/>
  <c r="AF66" i="39"/>
  <c r="P50" i="37"/>
  <c r="AE79" i="37"/>
  <c r="R61" i="37"/>
  <c r="T61" i="37"/>
  <c r="T62" i="37" s="1"/>
  <c r="S61" i="37"/>
  <c r="AF51" i="37"/>
  <c r="AF52" i="37" s="1"/>
  <c r="Y62" i="37"/>
  <c r="X51" i="37"/>
  <c r="X52" i="37" s="1"/>
  <c r="V61" i="37"/>
  <c r="N61" i="37"/>
  <c r="N64" i="37" s="1"/>
  <c r="Z37" i="37"/>
  <c r="AE37" i="37" s="1"/>
  <c r="AC61" i="37"/>
  <c r="AC62" i="37" s="1"/>
  <c r="AD62" i="37" s="1"/>
  <c r="P61" i="37"/>
  <c r="W51" i="37"/>
  <c r="W52" i="37" s="1"/>
  <c r="Z35" i="37"/>
  <c r="AE35" i="37" s="1"/>
  <c r="AF51" i="6"/>
  <c r="AF46" i="6"/>
  <c r="AF36" i="6"/>
  <c r="AB112" i="6"/>
  <c r="AF108" i="6"/>
  <c r="AF104" i="6"/>
  <c r="AF100" i="6"/>
  <c r="AF50" i="6"/>
  <c r="AF40" i="6"/>
  <c r="AF35" i="6"/>
  <c r="AF47" i="6"/>
  <c r="AB43" i="6"/>
  <c r="AF98" i="6"/>
  <c r="U126" i="59"/>
  <c r="U127" i="59" s="1"/>
  <c r="AF132" i="59"/>
  <c r="AB110" i="59"/>
  <c r="AF102" i="59"/>
  <c r="AB100" i="59"/>
  <c r="AF85" i="59"/>
  <c r="AB36" i="59"/>
  <c r="AB136" i="59"/>
  <c r="AF114" i="59"/>
  <c r="AF58" i="59"/>
  <c r="AF35" i="59"/>
  <c r="AF138" i="59"/>
  <c r="X126" i="59"/>
  <c r="X127" i="59" s="1"/>
  <c r="AF108" i="59"/>
  <c r="AF101" i="59"/>
  <c r="AF68" i="59"/>
  <c r="AF103" i="59"/>
  <c r="AG126" i="59"/>
  <c r="AG127" i="59" s="1"/>
  <c r="AF56" i="59"/>
  <c r="AA42" i="59"/>
  <c r="AA68" i="17"/>
  <c r="AF91" i="17"/>
  <c r="AA94" i="17"/>
  <c r="AB119" i="17"/>
  <c r="AA111" i="17"/>
  <c r="AF111" i="17" s="1"/>
  <c r="AA92" i="17"/>
  <c r="AF92" i="17" s="1"/>
  <c r="AA51" i="17"/>
  <c r="AF96" i="70"/>
  <c r="AA78" i="70"/>
  <c r="AA71" i="70"/>
  <c r="AF71" i="70" s="1"/>
  <c r="AF45" i="70"/>
  <c r="AA72" i="70"/>
  <c r="AA53" i="70"/>
  <c r="AA84" i="70"/>
  <c r="AF84" i="70" s="1"/>
  <c r="AA42" i="68"/>
  <c r="AF37" i="68"/>
  <c r="AF61" i="68"/>
  <c r="AA43" i="68"/>
  <c r="AA52" i="68"/>
  <c r="AF52" i="68" s="1"/>
  <c r="AG122" i="66"/>
  <c r="AG123" i="66" s="1"/>
  <c r="AA53" i="66"/>
  <c r="Z122" i="66"/>
  <c r="Z123" i="66" s="1"/>
  <c r="S122" i="66"/>
  <c r="S123" i="66" s="1"/>
  <c r="Y122" i="66"/>
  <c r="Y123" i="66" s="1"/>
  <c r="Q122" i="66"/>
  <c r="Q123" i="66" s="1"/>
  <c r="AB51" i="66"/>
  <c r="X126" i="58"/>
  <c r="X127" i="58" s="1"/>
  <c r="P126" i="58"/>
  <c r="P127" i="58" s="1"/>
  <c r="AB80" i="58"/>
  <c r="AB78" i="58"/>
  <c r="AB76" i="58"/>
  <c r="U126" i="58"/>
  <c r="U127" i="58" s="1"/>
  <c r="AB71" i="58"/>
  <c r="AA53" i="58"/>
  <c r="AG126" i="58"/>
  <c r="AG127" i="58" s="1"/>
  <c r="AF56" i="58"/>
  <c r="AA81" i="58"/>
  <c r="AF81" i="58" s="1"/>
  <c r="AA82" i="58"/>
  <c r="AF37" i="58"/>
  <c r="Z126" i="58"/>
  <c r="Z127" i="58" s="1"/>
  <c r="R126" i="58"/>
  <c r="R127" i="58" s="1"/>
  <c r="S126" i="58"/>
  <c r="S127" i="58" s="1"/>
  <c r="V126" i="58"/>
  <c r="V127" i="58" s="1"/>
  <c r="AF35" i="64"/>
  <c r="AB140" i="64"/>
  <c r="V126" i="64"/>
  <c r="V127" i="64" s="1"/>
  <c r="T126" i="64"/>
  <c r="T127" i="64" s="1"/>
  <c r="AB119" i="64"/>
  <c r="AB117" i="64"/>
  <c r="AB115" i="64"/>
  <c r="AB111" i="64"/>
  <c r="AB109" i="64"/>
  <c r="AB107" i="64"/>
  <c r="AB103" i="64"/>
  <c r="AB101" i="64"/>
  <c r="AB99" i="64"/>
  <c r="AB78" i="64"/>
  <c r="AA82" i="64"/>
  <c r="AA84" i="64" s="1"/>
  <c r="AD126" i="64"/>
  <c r="AE126" i="64" s="1"/>
  <c r="S126" i="64"/>
  <c r="S127" i="64" s="1"/>
  <c r="AF83" i="64"/>
  <c r="AF76" i="64"/>
  <c r="AA124" i="64"/>
  <c r="X126" i="64"/>
  <c r="X127" i="64" s="1"/>
  <c r="P126" i="64"/>
  <c r="P127" i="64" s="1"/>
  <c r="AA121" i="64"/>
  <c r="AF121" i="64" s="1"/>
  <c r="AF66" i="64"/>
  <c r="AF39" i="64"/>
  <c r="U126" i="64"/>
  <c r="U127" i="64" s="1"/>
  <c r="AA123" i="64"/>
  <c r="AF123" i="64" s="1"/>
  <c r="AF132" i="62"/>
  <c r="V126" i="62"/>
  <c r="V127" i="62" s="1"/>
  <c r="AF100" i="62"/>
  <c r="AB80" i="62"/>
  <c r="AB78" i="62"/>
  <c r="AB76" i="62"/>
  <c r="AF66" i="62"/>
  <c r="AA63" i="62"/>
  <c r="AB55" i="62"/>
  <c r="AA52" i="62"/>
  <c r="AF42" i="62"/>
  <c r="AA121" i="62"/>
  <c r="AA94" i="62"/>
  <c r="AF94" i="62" s="1"/>
  <c r="AF79" i="62"/>
  <c r="AF77" i="62"/>
  <c r="AF75" i="62"/>
  <c r="AF41" i="62"/>
  <c r="AF102" i="62"/>
  <c r="AF85" i="62"/>
  <c r="AF68" i="62"/>
  <c r="AA53" i="62"/>
  <c r="AA54" i="62" s="1"/>
  <c r="AF38" i="62"/>
  <c r="AF36" i="62"/>
  <c r="T126" i="62"/>
  <c r="T127" i="62" s="1"/>
  <c r="Y126" i="62"/>
  <c r="Y127" i="62" s="1"/>
  <c r="Q126" i="62"/>
  <c r="Q127" i="62" s="1"/>
  <c r="AB59" i="62"/>
  <c r="AF80" i="62"/>
  <c r="AA88" i="62"/>
  <c r="AF88" i="62" s="1"/>
  <c r="AB49" i="62"/>
  <c r="Z126" i="57"/>
  <c r="Z127" i="57" s="1"/>
  <c r="R126" i="57"/>
  <c r="R127" i="57" s="1"/>
  <c r="AF102" i="57"/>
  <c r="AA81" i="57"/>
  <c r="AA62" i="57"/>
  <c r="AF62" i="57" s="1"/>
  <c r="AF117" i="57"/>
  <c r="AF108" i="57"/>
  <c r="AA82" i="57"/>
  <c r="AB80" i="57"/>
  <c r="AB77" i="57"/>
  <c r="AB58" i="57"/>
  <c r="AF110" i="57"/>
  <c r="AF49" i="57"/>
  <c r="AF47" i="57"/>
  <c r="AF45" i="57"/>
  <c r="AA42" i="57"/>
  <c r="AF42" i="57" s="1"/>
  <c r="AF35" i="57"/>
  <c r="U126" i="57"/>
  <c r="U127" i="57" s="1"/>
  <c r="AF101" i="57"/>
  <c r="W126" i="57"/>
  <c r="W127" i="57" s="1"/>
  <c r="AA124" i="57"/>
  <c r="AB124" i="57" s="1"/>
  <c r="AF103" i="57"/>
  <c r="AB79" i="57"/>
  <c r="AF72" i="57"/>
  <c r="AF122" i="57"/>
  <c r="AD126" i="57"/>
  <c r="AE126" i="57" s="1"/>
  <c r="AF136" i="57"/>
  <c r="AB122" i="57"/>
  <c r="AF109" i="57"/>
  <c r="AF85" i="57"/>
  <c r="AF117" i="56"/>
  <c r="AB77" i="56"/>
  <c r="AB59" i="56"/>
  <c r="AB47" i="56"/>
  <c r="AF35" i="56"/>
  <c r="AF103" i="56"/>
  <c r="AA72" i="56"/>
  <c r="AF61" i="56"/>
  <c r="AF140" i="56"/>
  <c r="AD126" i="56"/>
  <c r="AE126" i="56" s="1"/>
  <c r="AG126" i="56"/>
  <c r="AG127" i="56" s="1"/>
  <c r="S126" i="56"/>
  <c r="S127" i="56" s="1"/>
  <c r="AF111" i="56"/>
  <c r="AB56" i="56"/>
  <c r="AA73" i="56"/>
  <c r="AA63" i="56"/>
  <c r="AB45" i="56"/>
  <c r="X126" i="56"/>
  <c r="X127" i="56" s="1"/>
  <c r="P126" i="56"/>
  <c r="P127" i="56" s="1"/>
  <c r="AA122" i="56"/>
  <c r="AF122" i="56" s="1"/>
  <c r="AB138" i="56"/>
  <c r="AA124" i="56"/>
  <c r="AF109" i="56"/>
  <c r="AA82" i="56"/>
  <c r="AF65" i="56"/>
  <c r="AA43" i="56"/>
  <c r="AB109" i="55"/>
  <c r="AF69" i="55"/>
  <c r="AB67" i="55"/>
  <c r="AA62" i="55"/>
  <c r="AA64" i="55" s="1"/>
  <c r="W126" i="55"/>
  <c r="W127" i="55" s="1"/>
  <c r="AA124" i="55"/>
  <c r="AB124" i="55" s="1"/>
  <c r="AA125" i="55"/>
  <c r="AF125" i="55" s="1"/>
  <c r="AG126" i="55"/>
  <c r="AG127" i="55" s="1"/>
  <c r="AA122" i="55"/>
  <c r="AA72" i="55"/>
  <c r="AB69" i="55"/>
  <c r="AB61" i="55"/>
  <c r="U126" i="55"/>
  <c r="U127" i="55" s="1"/>
  <c r="Z126" i="55"/>
  <c r="Z127" i="55" s="1"/>
  <c r="R126" i="55"/>
  <c r="R127" i="55" s="1"/>
  <c r="AA121" i="55"/>
  <c r="Y126" i="55"/>
  <c r="Y127" i="55" s="1"/>
  <c r="Q126" i="55"/>
  <c r="Q127" i="55" s="1"/>
  <c r="V126" i="55"/>
  <c r="V127" i="55" s="1"/>
  <c r="AB51" i="55"/>
  <c r="AD126" i="55"/>
  <c r="X126" i="55"/>
  <c r="X127" i="55" s="1"/>
  <c r="AA123" i="55"/>
  <c r="AF123" i="55" s="1"/>
  <c r="AA124" i="39"/>
  <c r="AB124" i="39" s="1"/>
  <c r="AB110" i="39"/>
  <c r="AA93" i="39"/>
  <c r="AF93" i="39" s="1"/>
  <c r="AF76" i="39"/>
  <c r="AA62" i="39"/>
  <c r="AF51" i="39"/>
  <c r="AB48" i="39"/>
  <c r="AA42" i="39"/>
  <c r="AF42" i="39" s="1"/>
  <c r="X126" i="39"/>
  <c r="X127" i="39" s="1"/>
  <c r="P126" i="39"/>
  <c r="P127" i="39" s="1"/>
  <c r="Z126" i="39"/>
  <c r="Z127" i="39" s="1"/>
  <c r="R126" i="39"/>
  <c r="R127" i="39" s="1"/>
  <c r="AA125" i="39"/>
  <c r="T126" i="39"/>
  <c r="T127" i="39" s="1"/>
  <c r="Y126" i="39"/>
  <c r="Y127" i="39" s="1"/>
  <c r="Q126" i="39"/>
  <c r="Q127" i="39" s="1"/>
  <c r="AA81" i="39"/>
  <c r="AF81" i="39" s="1"/>
  <c r="AB41" i="39"/>
  <c r="S126" i="39"/>
  <c r="S127" i="39" s="1"/>
  <c r="AB117" i="39"/>
  <c r="AF80" i="39"/>
  <c r="AG126" i="39"/>
  <c r="AG127" i="39" s="1"/>
  <c r="AA121" i="39"/>
  <c r="AF121" i="39" s="1"/>
  <c r="AB46" i="39"/>
  <c r="AA82" i="39"/>
  <c r="AA84" i="39" s="1"/>
  <c r="AA122" i="39"/>
  <c r="AF107" i="39"/>
  <c r="S62" i="37"/>
  <c r="S64" i="37"/>
  <c r="V64" i="37"/>
  <c r="V62" i="37"/>
  <c r="N62" i="37"/>
  <c r="X62" i="37"/>
  <c r="X64" i="37"/>
  <c r="P62" i="37"/>
  <c r="P64" i="37"/>
  <c r="AD61" i="37"/>
  <c r="AC51" i="37"/>
  <c r="R51" i="37"/>
  <c r="R52" i="37" s="1"/>
  <c r="N50" i="37"/>
  <c r="AC44" i="37"/>
  <c r="AD44" i="37" s="1"/>
  <c r="Z43" i="37"/>
  <c r="AA87" i="37" s="1"/>
  <c r="P60" i="37"/>
  <c r="V50" i="37"/>
  <c r="Z36" i="37"/>
  <c r="AE36" i="37" s="1"/>
  <c r="X60" i="37"/>
  <c r="AD49" i="37"/>
  <c r="AE83" i="37"/>
  <c r="Q64" i="37"/>
  <c r="Z80" i="37"/>
  <c r="AA80" i="37" s="1"/>
  <c r="AD59" i="37"/>
  <c r="V51" i="37"/>
  <c r="V52" i="37" s="1"/>
  <c r="N51" i="37"/>
  <c r="N52" i="37" s="1"/>
  <c r="N44" i="37"/>
  <c r="AE77" i="37"/>
  <c r="AD56" i="37"/>
  <c r="U64" i="37"/>
  <c r="AD63" i="37"/>
  <c r="AF61" i="37"/>
  <c r="AF64" i="37" s="1"/>
  <c r="AD55" i="37"/>
  <c r="S51" i="37"/>
  <c r="S52" i="37" s="1"/>
  <c r="AE39" i="37"/>
  <c r="AF49" i="6"/>
  <c r="AF45" i="6"/>
  <c r="AF42" i="6"/>
  <c r="AF38" i="6"/>
  <c r="AB91" i="6"/>
  <c r="AA119" i="6"/>
  <c r="AF119" i="6" s="1"/>
  <c r="AF52" i="6"/>
  <c r="AF48" i="6"/>
  <c r="AF44" i="6"/>
  <c r="AF41" i="6"/>
  <c r="AF37" i="6"/>
  <c r="AF99" i="6"/>
  <c r="AF110" i="6"/>
  <c r="AA125" i="59"/>
  <c r="Z126" i="59"/>
  <c r="Z127" i="59" s="1"/>
  <c r="R126" i="59"/>
  <c r="R127" i="59" s="1"/>
  <c r="AB116" i="59"/>
  <c r="AF109" i="59"/>
  <c r="AB76" i="59"/>
  <c r="AF140" i="59"/>
  <c r="T126" i="59"/>
  <c r="T127" i="59" s="1"/>
  <c r="Y126" i="59"/>
  <c r="Y127" i="59" s="1"/>
  <c r="Q126" i="59"/>
  <c r="Q127" i="59" s="1"/>
  <c r="AB118" i="59"/>
  <c r="AF111" i="59"/>
  <c r="AB98" i="59"/>
  <c r="AB80" i="59"/>
  <c r="AB78" i="59"/>
  <c r="AB47" i="59"/>
  <c r="AA121" i="59"/>
  <c r="AA82" i="59"/>
  <c r="P126" i="59"/>
  <c r="P127" i="59" s="1"/>
  <c r="AF117" i="59"/>
  <c r="AA72" i="59"/>
  <c r="AA122" i="59"/>
  <c r="AB122" i="59" s="1"/>
  <c r="AF119" i="59"/>
  <c r="AB77" i="59"/>
  <c r="AA62" i="59"/>
  <c r="AF62" i="59" s="1"/>
  <c r="AB49" i="59"/>
  <c r="AA123" i="59"/>
  <c r="AB123" i="59" s="1"/>
  <c r="AA73" i="59"/>
  <c r="AA52" i="59"/>
  <c r="AF52" i="59" s="1"/>
  <c r="W126" i="59"/>
  <c r="W127" i="59" s="1"/>
  <c r="AA124" i="59"/>
  <c r="AF124" i="59" s="1"/>
  <c r="V126" i="59"/>
  <c r="V127" i="59" s="1"/>
  <c r="AF107" i="59"/>
  <c r="AF80" i="59"/>
  <c r="AF51" i="59"/>
  <c r="AF41" i="59"/>
  <c r="S148" i="17"/>
  <c r="AB137" i="17"/>
  <c r="AA41" i="17"/>
  <c r="AF41" i="17" s="1"/>
  <c r="AB85" i="17"/>
  <c r="AA78" i="17"/>
  <c r="AA79" i="17" s="1"/>
  <c r="X148" i="17"/>
  <c r="AF128" i="17"/>
  <c r="AF71" i="17"/>
  <c r="Y148" i="17"/>
  <c r="Q148" i="17"/>
  <c r="U148" i="17"/>
  <c r="T148" i="17"/>
  <c r="AF49" i="17"/>
  <c r="AA147" i="17"/>
  <c r="AF147" i="17" s="1"/>
  <c r="AA143" i="17"/>
  <c r="AA110" i="17"/>
  <c r="AF110" i="17" s="1"/>
  <c r="AF68" i="17"/>
  <c r="V148" i="17"/>
  <c r="Z148" i="17"/>
  <c r="AB95" i="70"/>
  <c r="AF89" i="70"/>
  <c r="AB80" i="70"/>
  <c r="AF51" i="70"/>
  <c r="AF83" i="70"/>
  <c r="AF102" i="70"/>
  <c r="AF88" i="70"/>
  <c r="AB61" i="70"/>
  <c r="AA52" i="70"/>
  <c r="AB41" i="70"/>
  <c r="AA79" i="68"/>
  <c r="AB51" i="68"/>
  <c r="AB70" i="68"/>
  <c r="AA64" i="68"/>
  <c r="AA119" i="66"/>
  <c r="AF119" i="66" s="1"/>
  <c r="AF105" i="66"/>
  <c r="AA94" i="66"/>
  <c r="AF94" i="66" s="1"/>
  <c r="AF84" i="66"/>
  <c r="AB80" i="66"/>
  <c r="AB61" i="66"/>
  <c r="AA120" i="66"/>
  <c r="AF120" i="66" s="1"/>
  <c r="X122" i="66"/>
  <c r="X123" i="66" s="1"/>
  <c r="P122" i="66"/>
  <c r="AA52" i="66"/>
  <c r="AA121" i="66"/>
  <c r="AF121" i="66" s="1"/>
  <c r="V122" i="66"/>
  <c r="V123" i="66" s="1"/>
  <c r="AB76" i="66"/>
  <c r="AA72" i="66"/>
  <c r="AA73" i="66" s="1"/>
  <c r="AB70" i="66"/>
  <c r="AA92" i="66"/>
  <c r="AF92" i="66" s="1"/>
  <c r="U122" i="66"/>
  <c r="U123" i="66" s="1"/>
  <c r="AA93" i="66"/>
  <c r="AF93" i="66" s="1"/>
  <c r="AA84" i="54"/>
  <c r="AA95" i="54"/>
  <c r="AA85" i="54"/>
  <c r="AA96" i="54"/>
  <c r="AA86" i="54"/>
  <c r="AA97" i="54"/>
  <c r="AA87" i="54"/>
  <c r="AA98" i="54"/>
  <c r="AA83" i="54"/>
  <c r="AA94" i="54"/>
  <c r="AA91" i="54"/>
  <c r="AA99" i="54"/>
  <c r="AA81" i="54"/>
  <c r="AA92" i="54"/>
  <c r="AA100" i="54"/>
  <c r="AA80" i="54"/>
  <c r="AA82" i="54"/>
  <c r="AA93" i="54"/>
  <c r="AA101" i="54"/>
  <c r="AA79" i="66"/>
  <c r="AF77" i="66"/>
  <c r="P123" i="66"/>
  <c r="AF143" i="17"/>
  <c r="AA118" i="66"/>
  <c r="AF98" i="68"/>
  <c r="AF48" i="68"/>
  <c r="AF59" i="70"/>
  <c r="AA146" i="17"/>
  <c r="AA144" i="17"/>
  <c r="AG148" i="17"/>
  <c r="AF65" i="68"/>
  <c r="AB74" i="70"/>
  <c r="AF74" i="70"/>
  <c r="R148" i="17"/>
  <c r="AA141" i="17"/>
  <c r="AF58" i="66"/>
  <c r="AA43" i="66"/>
  <c r="AF41" i="66"/>
  <c r="AB41" i="66"/>
  <c r="AF36" i="66"/>
  <c r="AF104" i="68"/>
  <c r="AF90" i="68"/>
  <c r="AF80" i="68"/>
  <c r="AB80" i="68"/>
  <c r="AA72" i="68"/>
  <c r="AF69" i="68"/>
  <c r="AF167" i="17"/>
  <c r="AF57" i="17"/>
  <c r="AA60" i="17"/>
  <c r="AA59" i="17"/>
  <c r="AF42" i="70"/>
  <c r="AF62" i="66"/>
  <c r="AF96" i="68"/>
  <c r="AF46" i="68"/>
  <c r="AA62" i="70"/>
  <c r="AF36" i="70"/>
  <c r="AB36" i="70"/>
  <c r="AF154" i="17"/>
  <c r="AF92" i="68"/>
  <c r="AF38" i="70"/>
  <c r="AB38" i="70"/>
  <c r="AF57" i="70"/>
  <c r="AF55" i="16"/>
  <c r="AB55" i="16"/>
  <c r="P148" i="17"/>
  <c r="AA142" i="17"/>
  <c r="AD122" i="66"/>
  <c r="AF56" i="66"/>
  <c r="AF102" i="68"/>
  <c r="AF88" i="68"/>
  <c r="AA77" i="70"/>
  <c r="AB76" i="70"/>
  <c r="AF76" i="70"/>
  <c r="AA145" i="17"/>
  <c r="AF90" i="17"/>
  <c r="AF55" i="70"/>
  <c r="AF75" i="66"/>
  <c r="AF38" i="66"/>
  <c r="AF106" i="68"/>
  <c r="AB41" i="68"/>
  <c r="AF83" i="68"/>
  <c r="AB61" i="68"/>
  <c r="AA84" i="68"/>
  <c r="AF84" i="68" s="1"/>
  <c r="AA71" i="68"/>
  <c r="AF67" i="68"/>
  <c r="AA63" i="70"/>
  <c r="AB125" i="59"/>
  <c r="AF125" i="59"/>
  <c r="AA86" i="66"/>
  <c r="AF86" i="66" s="1"/>
  <c r="AF76" i="66"/>
  <c r="AF74" i="66"/>
  <c r="AF59" i="66"/>
  <c r="AF57" i="66"/>
  <c r="AF55" i="66"/>
  <c r="AF82" i="68"/>
  <c r="AF49" i="68"/>
  <c r="AF47" i="68"/>
  <c r="AF45" i="68"/>
  <c r="AF61" i="70"/>
  <c r="AF37" i="70"/>
  <c r="AF35" i="70"/>
  <c r="AD148" i="17"/>
  <c r="AB121" i="59"/>
  <c r="AF121" i="59"/>
  <c r="AF120" i="17"/>
  <c r="AF118" i="17"/>
  <c r="AF116" i="17"/>
  <c r="AA85" i="66"/>
  <c r="AF85" i="66" s="1"/>
  <c r="AF61" i="66"/>
  <c r="AF39" i="66"/>
  <c r="AF37" i="66"/>
  <c r="AF35" i="66"/>
  <c r="AF105" i="68"/>
  <c r="AF103" i="68"/>
  <c r="AF99" i="68"/>
  <c r="AF97" i="68"/>
  <c r="AF95" i="68"/>
  <c r="AF91" i="68"/>
  <c r="AF89" i="68"/>
  <c r="AF70" i="68"/>
  <c r="AF68" i="68"/>
  <c r="AF66" i="68"/>
  <c r="AF51" i="68"/>
  <c r="AF75" i="70"/>
  <c r="AF58" i="70"/>
  <c r="AF56" i="70"/>
  <c r="AF41" i="70"/>
  <c r="AF170" i="17"/>
  <c r="AF159" i="17"/>
  <c r="AA86" i="17"/>
  <c r="AF76" i="17"/>
  <c r="AF74" i="17"/>
  <c r="AF72" i="17"/>
  <c r="AF55" i="17"/>
  <c r="AB40" i="17"/>
  <c r="AA63" i="66"/>
  <c r="AA64" i="66" s="1"/>
  <c r="AA42" i="66"/>
  <c r="AA53" i="68"/>
  <c r="AA43" i="70"/>
  <c r="AA44" i="70" s="1"/>
  <c r="AF165" i="17"/>
  <c r="AF85" i="17"/>
  <c r="AF83" i="17"/>
  <c r="AF81" i="17"/>
  <c r="AB67" i="17"/>
  <c r="AA87" i="17"/>
  <c r="AF123" i="59"/>
  <c r="AA44" i="59"/>
  <c r="AF53" i="17"/>
  <c r="AB49" i="17"/>
  <c r="AB130" i="59"/>
  <c r="AA94" i="59"/>
  <c r="AF94" i="59" s="1"/>
  <c r="AA93" i="59"/>
  <c r="AF93" i="59" s="1"/>
  <c r="AB59" i="59"/>
  <c r="AB57" i="59"/>
  <c r="AB55" i="59"/>
  <c r="AF42" i="59"/>
  <c r="AF68" i="6"/>
  <c r="AA150" i="6"/>
  <c r="AF150" i="6" s="1"/>
  <c r="AA143" i="6"/>
  <c r="AF143" i="6" s="1"/>
  <c r="AF58" i="6"/>
  <c r="AA140" i="6"/>
  <c r="AF140" i="6" s="1"/>
  <c r="O126" i="59"/>
  <c r="AA88" i="59"/>
  <c r="AF88" i="59" s="1"/>
  <c r="AF64" i="6"/>
  <c r="AA149" i="6"/>
  <c r="AF149" i="6" s="1"/>
  <c r="AA146" i="6"/>
  <c r="AF146" i="6" s="1"/>
  <c r="AB61" i="6"/>
  <c r="AF87" i="59"/>
  <c r="AF83" i="59"/>
  <c r="AF48" i="59"/>
  <c r="AF46" i="59"/>
  <c r="AA43" i="59"/>
  <c r="AF54" i="6"/>
  <c r="AA139" i="6"/>
  <c r="AF139" i="6" s="1"/>
  <c r="AD126" i="59"/>
  <c r="AA145" i="6"/>
  <c r="AF145" i="6" s="1"/>
  <c r="AB60" i="6"/>
  <c r="AF60" i="6"/>
  <c r="AA142" i="6"/>
  <c r="AF142" i="6" s="1"/>
  <c r="AA50" i="17"/>
  <c r="AF38" i="17"/>
  <c r="AF36" i="17"/>
  <c r="AF69" i="59"/>
  <c r="AF67" i="59"/>
  <c r="AF65" i="59"/>
  <c r="AB66" i="6"/>
  <c r="AF66" i="6"/>
  <c r="AA148" i="6"/>
  <c r="AF148" i="6" s="1"/>
  <c r="AB63" i="6"/>
  <c r="AF75" i="6"/>
  <c r="AF59" i="59"/>
  <c r="AF65" i="6"/>
  <c r="AF56" i="6"/>
  <c r="AA141" i="6"/>
  <c r="AF141" i="6" s="1"/>
  <c r="AB62" i="6"/>
  <c r="AF62" i="6"/>
  <c r="AA147" i="6"/>
  <c r="AF147" i="6" s="1"/>
  <c r="AA144" i="6"/>
  <c r="AF144" i="6" s="1"/>
  <c r="AF55" i="6"/>
  <c r="AA54" i="37"/>
  <c r="AB125" i="39"/>
  <c r="AF125" i="39"/>
  <c r="AA63" i="37"/>
  <c r="AB122" i="39"/>
  <c r="AF122" i="39"/>
  <c r="Z49" i="37"/>
  <c r="AA105" i="37"/>
  <c r="AA103" i="37"/>
  <c r="AA101" i="37"/>
  <c r="AA99" i="37"/>
  <c r="AA97" i="37"/>
  <c r="AB67" i="39"/>
  <c r="AF67" i="39"/>
  <c r="AF62" i="39"/>
  <c r="AA64" i="39"/>
  <c r="O126" i="39"/>
  <c r="AB101" i="39"/>
  <c r="AE69" i="37"/>
  <c r="AE67" i="37"/>
  <c r="AE58" i="37"/>
  <c r="AE56" i="37"/>
  <c r="AE54" i="37"/>
  <c r="AD104" i="37"/>
  <c r="AD102" i="37"/>
  <c r="AD100" i="37"/>
  <c r="AD98" i="37"/>
  <c r="AA123" i="39"/>
  <c r="AB69" i="39"/>
  <c r="AA72" i="39"/>
  <c r="AF69" i="39"/>
  <c r="AF122" i="55"/>
  <c r="W62" i="37"/>
  <c r="O62" i="37"/>
  <c r="AE42" i="37"/>
  <c r="AE40" i="37"/>
  <c r="AA104" i="37"/>
  <c r="AA102" i="37"/>
  <c r="AA100" i="37"/>
  <c r="AF62" i="37"/>
  <c r="AE48" i="37"/>
  <c r="AE46" i="37"/>
  <c r="AF130" i="39"/>
  <c r="AB65" i="39"/>
  <c r="AF65" i="39"/>
  <c r="AF121" i="55"/>
  <c r="Z59" i="37"/>
  <c r="AD105" i="37"/>
  <c r="AD103" i="37"/>
  <c r="AD101" i="37"/>
  <c r="AD99" i="37"/>
  <c r="AF106" i="39"/>
  <c r="AB99" i="39"/>
  <c r="AD127" i="55"/>
  <c r="AA42" i="55"/>
  <c r="AF39" i="55"/>
  <c r="AB122" i="56"/>
  <c r="AB102" i="56"/>
  <c r="AF102" i="56"/>
  <c r="AB121" i="62"/>
  <c r="AF121" i="62"/>
  <c r="AB71" i="39"/>
  <c r="AB49" i="39"/>
  <c r="AB47" i="39"/>
  <c r="AB45" i="39"/>
  <c r="AB79" i="55"/>
  <c r="AB77" i="55"/>
  <c r="AB75" i="55"/>
  <c r="AF62" i="55"/>
  <c r="AB124" i="56"/>
  <c r="AF124" i="56"/>
  <c r="AB110" i="56"/>
  <c r="AF110" i="56"/>
  <c r="AB66" i="56"/>
  <c r="AF66" i="56"/>
  <c r="AB51" i="57"/>
  <c r="AA53" i="57"/>
  <c r="AA52" i="57"/>
  <c r="AF51" i="57"/>
  <c r="AB61" i="39"/>
  <c r="AF35" i="55"/>
  <c r="AB132" i="56"/>
  <c r="AF132" i="56"/>
  <c r="AD127" i="56"/>
  <c r="AB118" i="56"/>
  <c r="AF118" i="56"/>
  <c r="AB98" i="56"/>
  <c r="AF98" i="56"/>
  <c r="AB51" i="56"/>
  <c r="AA53" i="56"/>
  <c r="AF51" i="56"/>
  <c r="AA52" i="56"/>
  <c r="AF87" i="39"/>
  <c r="AF83" i="39"/>
  <c r="AA54" i="39"/>
  <c r="AA43" i="39"/>
  <c r="AA94" i="55"/>
  <c r="AF94" i="55" s="1"/>
  <c r="AA93" i="55"/>
  <c r="AF93" i="55" s="1"/>
  <c r="AF80" i="55"/>
  <c r="AF78" i="55"/>
  <c r="AF76" i="55"/>
  <c r="AF61" i="55"/>
  <c r="U126" i="56"/>
  <c r="U127" i="56" s="1"/>
  <c r="AA125" i="56"/>
  <c r="AB106" i="56"/>
  <c r="AF106" i="56"/>
  <c r="AB138" i="57"/>
  <c r="AF138" i="57"/>
  <c r="AF55" i="57"/>
  <c r="AB55" i="57"/>
  <c r="AF79" i="39"/>
  <c r="AF77" i="39"/>
  <c r="AF75" i="39"/>
  <c r="AF38" i="39"/>
  <c r="AF36" i="39"/>
  <c r="AF132" i="55"/>
  <c r="P126" i="55"/>
  <c r="P127" i="55" s="1"/>
  <c r="AF118" i="55"/>
  <c r="AF116" i="55"/>
  <c r="AF114" i="55"/>
  <c r="AF110" i="55"/>
  <c r="AF108" i="55"/>
  <c r="AF106" i="55"/>
  <c r="AF102" i="55"/>
  <c r="AF100" i="55"/>
  <c r="AF98" i="55"/>
  <c r="AF85" i="55"/>
  <c r="AA82" i="55"/>
  <c r="AA84" i="55" s="1"/>
  <c r="AF68" i="55"/>
  <c r="AF66" i="55"/>
  <c r="AF51" i="55"/>
  <c r="AA52" i="55"/>
  <c r="AB123" i="56"/>
  <c r="AF123" i="56"/>
  <c r="AB114" i="56"/>
  <c r="AF114" i="56"/>
  <c r="AB68" i="56"/>
  <c r="AF68" i="56"/>
  <c r="AA123" i="57"/>
  <c r="V126" i="57"/>
  <c r="V127" i="57" s="1"/>
  <c r="AB125" i="62"/>
  <c r="AF138" i="55"/>
  <c r="O126" i="55"/>
  <c r="AA88" i="55"/>
  <c r="AF88" i="55" s="1"/>
  <c r="AF58" i="55"/>
  <c r="AF56" i="55"/>
  <c r="AA53" i="55"/>
  <c r="AF41" i="55"/>
  <c r="AB41" i="55"/>
  <c r="AB37" i="55"/>
  <c r="AF37" i="55"/>
  <c r="W126" i="56"/>
  <c r="W127" i="56" s="1"/>
  <c r="O126" i="56"/>
  <c r="AA121" i="56"/>
  <c r="AB100" i="56"/>
  <c r="AF100" i="56"/>
  <c r="AB85" i="56"/>
  <c r="AA88" i="56"/>
  <c r="AF88" i="56" s="1"/>
  <c r="AF85" i="56"/>
  <c r="AG126" i="57"/>
  <c r="AG127" i="57" s="1"/>
  <c r="AB67" i="64"/>
  <c r="AF67" i="64"/>
  <c r="AF59" i="39"/>
  <c r="Y126" i="56"/>
  <c r="Y127" i="56" s="1"/>
  <c r="Q126" i="56"/>
  <c r="Q127" i="56" s="1"/>
  <c r="AB108" i="56"/>
  <c r="AF108" i="56"/>
  <c r="AA125" i="57"/>
  <c r="AA43" i="55"/>
  <c r="AB116" i="56"/>
  <c r="AF116" i="56"/>
  <c r="AB87" i="56"/>
  <c r="AB83" i="56"/>
  <c r="AF72" i="56"/>
  <c r="AB48" i="56"/>
  <c r="AB46" i="56"/>
  <c r="AB134" i="57"/>
  <c r="AB117" i="62"/>
  <c r="AF117" i="62"/>
  <c r="AB107" i="62"/>
  <c r="AF107" i="62"/>
  <c r="AB99" i="62"/>
  <c r="AF99" i="62"/>
  <c r="AB69" i="62"/>
  <c r="AA72" i="62"/>
  <c r="AF69" i="62"/>
  <c r="AA123" i="62"/>
  <c r="AA122" i="62"/>
  <c r="AA122" i="64"/>
  <c r="AA72" i="64"/>
  <c r="AB69" i="64"/>
  <c r="AF69" i="64"/>
  <c r="AA73" i="64"/>
  <c r="AF136" i="56"/>
  <c r="AA81" i="56"/>
  <c r="AF71" i="56"/>
  <c r="AA62" i="56"/>
  <c r="AA121" i="57"/>
  <c r="AA94" i="57"/>
  <c r="AF94" i="57" s="1"/>
  <c r="AA93" i="57"/>
  <c r="AF93" i="57" s="1"/>
  <c r="AF78" i="57"/>
  <c r="AF76" i="57"/>
  <c r="AF57" i="57"/>
  <c r="AB57" i="57"/>
  <c r="AB36" i="57"/>
  <c r="AF36" i="57"/>
  <c r="U126" i="62"/>
  <c r="U127" i="62" s="1"/>
  <c r="AB119" i="62"/>
  <c r="AF119" i="62"/>
  <c r="AB109" i="62"/>
  <c r="AF109" i="62"/>
  <c r="AB65" i="62"/>
  <c r="AF65" i="62"/>
  <c r="AF59" i="64"/>
  <c r="AB59" i="64"/>
  <c r="AA63" i="64"/>
  <c r="AA62" i="64"/>
  <c r="AF49" i="55"/>
  <c r="AA94" i="56"/>
  <c r="AF94" i="56" s="1"/>
  <c r="AA93" i="56"/>
  <c r="AF93" i="56" s="1"/>
  <c r="AB101" i="62"/>
  <c r="AF101" i="62"/>
  <c r="AA125" i="64"/>
  <c r="AA42" i="56"/>
  <c r="O126" i="57"/>
  <c r="AA88" i="57"/>
  <c r="AF88" i="57" s="1"/>
  <c r="AB38" i="57"/>
  <c r="AF38" i="57"/>
  <c r="AF136" i="62"/>
  <c r="AB136" i="62"/>
  <c r="O126" i="62"/>
  <c r="S126" i="62"/>
  <c r="S127" i="62" s="1"/>
  <c r="AB111" i="62"/>
  <c r="AF111" i="62"/>
  <c r="AF71" i="62"/>
  <c r="AB71" i="62"/>
  <c r="AF41" i="56"/>
  <c r="AF59" i="57"/>
  <c r="AB59" i="57"/>
  <c r="AB140" i="62"/>
  <c r="AF140" i="62"/>
  <c r="AA93" i="62"/>
  <c r="AF93" i="62" s="1"/>
  <c r="AB67" i="62"/>
  <c r="AF67" i="62"/>
  <c r="Z126" i="64"/>
  <c r="Z127" i="64" s="1"/>
  <c r="R126" i="64"/>
  <c r="R127" i="64" s="1"/>
  <c r="AB115" i="62"/>
  <c r="AF115" i="62"/>
  <c r="AB103" i="62"/>
  <c r="AF103" i="62"/>
  <c r="AF81" i="62"/>
  <c r="AA73" i="62"/>
  <c r="AF52" i="62"/>
  <c r="AB130" i="64"/>
  <c r="AF130" i="64"/>
  <c r="AB55" i="64"/>
  <c r="AB41" i="64"/>
  <c r="AA43" i="64"/>
  <c r="AF41" i="64"/>
  <c r="AB58" i="64"/>
  <c r="AF58" i="64"/>
  <c r="AA125" i="58"/>
  <c r="AF41" i="57"/>
  <c r="AF87" i="62"/>
  <c r="AF83" i="62"/>
  <c r="AF48" i="62"/>
  <c r="AF46" i="62"/>
  <c r="AF134" i="64"/>
  <c r="AB75" i="64"/>
  <c r="AF75" i="64"/>
  <c r="O127" i="58"/>
  <c r="AE123" i="58"/>
  <c r="AD126" i="58"/>
  <c r="Y126" i="58"/>
  <c r="Y127" i="58" s="1"/>
  <c r="Q126" i="58"/>
  <c r="Q127" i="58" s="1"/>
  <c r="AA43" i="57"/>
  <c r="AA44" i="57" s="1"/>
  <c r="AD126" i="62"/>
  <c r="AF136" i="58"/>
  <c r="AB77" i="64"/>
  <c r="AF77" i="64"/>
  <c r="AF124" i="58"/>
  <c r="AA121" i="58"/>
  <c r="AF59" i="62"/>
  <c r="AA122" i="58"/>
  <c r="AB79" i="64"/>
  <c r="AF79" i="64"/>
  <c r="AB56" i="64"/>
  <c r="AF56" i="64"/>
  <c r="AA42" i="64"/>
  <c r="AA123" i="58"/>
  <c r="AB41" i="58"/>
  <c r="AA72" i="58"/>
  <c r="AF71" i="58"/>
  <c r="AF49" i="58"/>
  <c r="AF47" i="58"/>
  <c r="AF45" i="58"/>
  <c r="AA94" i="58"/>
  <c r="AF94" i="58" s="1"/>
  <c r="AA93" i="58"/>
  <c r="AF93" i="58" s="1"/>
  <c r="AA73" i="58"/>
  <c r="AA52" i="58"/>
  <c r="AF38" i="64"/>
  <c r="AF36" i="64"/>
  <c r="AF132" i="58"/>
  <c r="AF118" i="58"/>
  <c r="AF116" i="58"/>
  <c r="AF114" i="58"/>
  <c r="AF110" i="58"/>
  <c r="AF108" i="58"/>
  <c r="AF106" i="58"/>
  <c r="AF102" i="58"/>
  <c r="AF100" i="58"/>
  <c r="AF98" i="58"/>
  <c r="AF85" i="58"/>
  <c r="AF68" i="58"/>
  <c r="AF66" i="58"/>
  <c r="AF51" i="58"/>
  <c r="AA42" i="58"/>
  <c r="M84" i="54"/>
  <c r="K84" i="54"/>
  <c r="K95" i="54"/>
  <c r="M85" i="54"/>
  <c r="K85" i="54"/>
  <c r="M96" i="54"/>
  <c r="K96" i="54"/>
  <c r="M86" i="54"/>
  <c r="K86" i="54"/>
  <c r="M97" i="54"/>
  <c r="K97" i="54"/>
  <c r="K77" i="54"/>
  <c r="M77" i="54"/>
  <c r="AA77" i="54"/>
  <c r="K87" i="54"/>
  <c r="M87" i="54"/>
  <c r="K98" i="54"/>
  <c r="M83" i="54"/>
  <c r="K83" i="54"/>
  <c r="K94" i="54"/>
  <c r="K91" i="54"/>
  <c r="M91" i="54"/>
  <c r="K99" i="54"/>
  <c r="K81" i="54"/>
  <c r="M81" i="54"/>
  <c r="K92" i="54"/>
  <c r="K100" i="54"/>
  <c r="K80" i="54"/>
  <c r="M80" i="54"/>
  <c r="M82" i="54"/>
  <c r="K82" i="54"/>
  <c r="K93" i="54"/>
  <c r="K101" i="54"/>
  <c r="AH69" i="54"/>
  <c r="AH68" i="54"/>
  <c r="AH67" i="54"/>
  <c r="AH66" i="54"/>
  <c r="AH65" i="54"/>
  <c r="AH56" i="54"/>
  <c r="AH53" i="54"/>
  <c r="AH52" i="54"/>
  <c r="AH51" i="54"/>
  <c r="AH50" i="54"/>
  <c r="AH46" i="54"/>
  <c r="AH44" i="54"/>
  <c r="AH43" i="54"/>
  <c r="AH42" i="54"/>
  <c r="AH41" i="54"/>
  <c r="AH39" i="54"/>
  <c r="AH37" i="54"/>
  <c r="AH36" i="54"/>
  <c r="AH84" i="63"/>
  <c r="AE84" i="63"/>
  <c r="AH80" i="63"/>
  <c r="AE80" i="63"/>
  <c r="AH77" i="63"/>
  <c r="AE77" i="63"/>
  <c r="M98" i="54"/>
  <c r="J70" i="54"/>
  <c r="L68" i="54"/>
  <c r="N66" i="54"/>
  <c r="I63" i="54"/>
  <c r="J58" i="54"/>
  <c r="L56" i="54"/>
  <c r="N54" i="54"/>
  <c r="I51" i="54"/>
  <c r="J50" i="54"/>
  <c r="L48" i="54"/>
  <c r="N46" i="54"/>
  <c r="I43" i="54"/>
  <c r="J42" i="54"/>
  <c r="L40" i="54"/>
  <c r="N38" i="54"/>
  <c r="L46" i="54"/>
  <c r="N44" i="54"/>
  <c r="J40" i="54"/>
  <c r="L38" i="54"/>
  <c r="N36" i="54"/>
  <c r="J53" i="54"/>
  <c r="L51" i="54"/>
  <c r="I70" i="54"/>
  <c r="J69" i="54"/>
  <c r="L67" i="54"/>
  <c r="N65" i="54"/>
  <c r="I58" i="54"/>
  <c r="J57" i="54"/>
  <c r="L55" i="54"/>
  <c r="N53" i="54"/>
  <c r="I50" i="54"/>
  <c r="J49" i="54"/>
  <c r="L47" i="54"/>
  <c r="N45" i="54"/>
  <c r="I42" i="54"/>
  <c r="J41" i="54"/>
  <c r="L39" i="54"/>
  <c r="N37" i="54"/>
  <c r="L54" i="54"/>
  <c r="N52" i="54"/>
  <c r="I49" i="54"/>
  <c r="J48" i="54"/>
  <c r="M101" i="54"/>
  <c r="I69" i="54"/>
  <c r="J68" i="54"/>
  <c r="L66" i="54"/>
  <c r="N64" i="54"/>
  <c r="I57" i="54"/>
  <c r="J56" i="54"/>
  <c r="I68" i="54"/>
  <c r="J67" i="54"/>
  <c r="L65" i="54"/>
  <c r="N63" i="54"/>
  <c r="I56" i="54"/>
  <c r="J55" i="54"/>
  <c r="L53" i="54"/>
  <c r="N51" i="54"/>
  <c r="I48" i="54"/>
  <c r="J47" i="54"/>
  <c r="L45" i="54"/>
  <c r="N43" i="54"/>
  <c r="I40" i="54"/>
  <c r="J39" i="54"/>
  <c r="L37" i="54"/>
  <c r="N69" i="54"/>
  <c r="I66" i="54"/>
  <c r="J65" i="54"/>
  <c r="L63" i="54"/>
  <c r="I54" i="54"/>
  <c r="I46" i="54"/>
  <c r="M95" i="54"/>
  <c r="M92" i="54"/>
  <c r="N70" i="54"/>
  <c r="I67" i="54"/>
  <c r="J66" i="54"/>
  <c r="L64" i="54"/>
  <c r="N58" i="54"/>
  <c r="I55" i="54"/>
  <c r="J54" i="54"/>
  <c r="L52" i="54"/>
  <c r="N50" i="54"/>
  <c r="I47" i="54"/>
  <c r="J46" i="54"/>
  <c r="L44" i="54"/>
  <c r="N42" i="54"/>
  <c r="I39" i="54"/>
  <c r="J38" i="54"/>
  <c r="L36" i="54"/>
  <c r="N57" i="54"/>
  <c r="N49" i="54"/>
  <c r="M99" i="54"/>
  <c r="L70" i="54"/>
  <c r="N68" i="54"/>
  <c r="I65" i="54"/>
  <c r="J64" i="54"/>
  <c r="L58" i="54"/>
  <c r="N56" i="54"/>
  <c r="I53" i="54"/>
  <c r="J52" i="54"/>
  <c r="L50" i="54"/>
  <c r="N48" i="54"/>
  <c r="I45" i="54"/>
  <c r="J44" i="54"/>
  <c r="L42" i="54"/>
  <c r="N40" i="54"/>
  <c r="I37" i="54"/>
  <c r="J36" i="54"/>
  <c r="M94" i="54"/>
  <c r="M100" i="54"/>
  <c r="M93" i="54"/>
  <c r="L69" i="54"/>
  <c r="N67" i="54"/>
  <c r="I64" i="54"/>
  <c r="J63" i="54"/>
  <c r="L57" i="54"/>
  <c r="N55" i="54"/>
  <c r="I52" i="54"/>
  <c r="I38" i="54"/>
  <c r="J43" i="54"/>
  <c r="J37" i="54"/>
  <c r="L43" i="54"/>
  <c r="N39" i="54"/>
  <c r="I36" i="54"/>
  <c r="I44" i="54"/>
  <c r="J51" i="54"/>
  <c r="N41" i="54"/>
  <c r="I41" i="54"/>
  <c r="L41" i="54"/>
  <c r="J45" i="54"/>
  <c r="L49" i="54"/>
  <c r="N47" i="54"/>
  <c r="N80" i="63"/>
  <c r="L77" i="63"/>
  <c r="I84" i="63"/>
  <c r="L84" i="63"/>
  <c r="N77" i="63"/>
  <c r="J80" i="63"/>
  <c r="I80" i="63"/>
  <c r="I77" i="63"/>
  <c r="L80" i="63"/>
  <c r="J84" i="63"/>
  <c r="J77" i="63"/>
  <c r="N84" i="63"/>
  <c r="AM62" i="116" l="1"/>
  <c r="AN62" i="116"/>
  <c r="AN77" i="76"/>
  <c r="AM77" i="76"/>
  <c r="AF140" i="74"/>
  <c r="AI140" i="74"/>
  <c r="AA64" i="58"/>
  <c r="AM49" i="116"/>
  <c r="AN75" i="113"/>
  <c r="AM36" i="110"/>
  <c r="AN62" i="105"/>
  <c r="AF90" i="107"/>
  <c r="AB124" i="62"/>
  <c r="AA56" i="37"/>
  <c r="AA68" i="37"/>
  <c r="AE80" i="37"/>
  <c r="AA54" i="59"/>
  <c r="AA54" i="68"/>
  <c r="AA70" i="17"/>
  <c r="AA64" i="57"/>
  <c r="AN64" i="113"/>
  <c r="AN64" i="109"/>
  <c r="AI82" i="107"/>
  <c r="AA63" i="104"/>
  <c r="AN44" i="90"/>
  <c r="AF122" i="89"/>
  <c r="AN55" i="86"/>
  <c r="AI125" i="85"/>
  <c r="AG127" i="87"/>
  <c r="AF81" i="83"/>
  <c r="AN118" i="78"/>
  <c r="AF122" i="79"/>
  <c r="AA68" i="72"/>
  <c r="AC64" i="72"/>
  <c r="AM67" i="106"/>
  <c r="AM36" i="106"/>
  <c r="AN36" i="106"/>
  <c r="AN36" i="100"/>
  <c r="AM36" i="100"/>
  <c r="AN69" i="112"/>
  <c r="AM69" i="112"/>
  <c r="AM41" i="100"/>
  <c r="AN41" i="100"/>
  <c r="AM69" i="105"/>
  <c r="AN46" i="84"/>
  <c r="AM46" i="84"/>
  <c r="AN42" i="76"/>
  <c r="AM42" i="76"/>
  <c r="AF122" i="59"/>
  <c r="AN41" i="111"/>
  <c r="AF123" i="91"/>
  <c r="AN53" i="80"/>
  <c r="AB124" i="83"/>
  <c r="AE43" i="37"/>
  <c r="AA58" i="37"/>
  <c r="AN37" i="112"/>
  <c r="AM35" i="108"/>
  <c r="Z61" i="37"/>
  <c r="AA69" i="37"/>
  <c r="AA68" i="116"/>
  <c r="AI68" i="116" s="1"/>
  <c r="AB82" i="107"/>
  <c r="AM82" i="107" s="1"/>
  <c r="AB44" i="104"/>
  <c r="AI124" i="81"/>
  <c r="AA69" i="72"/>
  <c r="AA64" i="99"/>
  <c r="G64" i="99" s="1"/>
  <c r="AI62" i="99"/>
  <c r="AF62" i="99"/>
  <c r="AG113" i="99"/>
  <c r="AH112" i="99"/>
  <c r="AN55" i="94"/>
  <c r="AM55" i="94"/>
  <c r="AM51" i="82"/>
  <c r="AN51" i="82"/>
  <c r="AM46" i="108"/>
  <c r="AN46" i="108"/>
  <c r="AG127" i="85"/>
  <c r="AB125" i="79"/>
  <c r="AN56" i="90"/>
  <c r="AM56" i="90"/>
  <c r="AD127" i="64"/>
  <c r="AF124" i="55"/>
  <c r="AA67" i="37"/>
  <c r="AA57" i="37"/>
  <c r="AA84" i="59"/>
  <c r="AA67" i="116"/>
  <c r="AI67" i="116" s="1"/>
  <c r="AN45" i="119"/>
  <c r="AM37" i="116"/>
  <c r="AM59" i="109"/>
  <c r="AI90" i="107"/>
  <c r="AB48" i="102"/>
  <c r="AA112" i="99"/>
  <c r="AA113" i="99" s="1"/>
  <c r="AB108" i="99"/>
  <c r="AA112" i="97"/>
  <c r="AA113" i="97" s="1"/>
  <c r="AN35" i="98"/>
  <c r="AF81" i="85"/>
  <c r="AF52" i="81"/>
  <c r="AI124" i="83"/>
  <c r="AN87" i="78"/>
  <c r="AF125" i="79"/>
  <c r="AL62" i="73"/>
  <c r="L60" i="72"/>
  <c r="M60" i="72" s="1"/>
  <c r="L50" i="72"/>
  <c r="M50" i="72" s="1"/>
  <c r="AM58" i="116"/>
  <c r="AN58" i="116"/>
  <c r="AM45" i="98"/>
  <c r="AN45" i="98"/>
  <c r="AN39" i="94"/>
  <c r="AM39" i="94"/>
  <c r="AN54" i="84"/>
  <c r="AM54" i="84"/>
  <c r="AM57" i="109"/>
  <c r="AN57" i="109"/>
  <c r="AF125" i="74"/>
  <c r="AI125" i="74"/>
  <c r="AM105" i="78"/>
  <c r="AN105" i="78"/>
  <c r="N62" i="72"/>
  <c r="N64" i="72"/>
  <c r="N74" i="72" s="1"/>
  <c r="AA126" i="79"/>
  <c r="AF52" i="97"/>
  <c r="AF108" i="99"/>
  <c r="AM39" i="117"/>
  <c r="AN39" i="117"/>
  <c r="AA44" i="97"/>
  <c r="G44" i="97" s="1"/>
  <c r="AF42" i="97"/>
  <c r="AI42" i="97"/>
  <c r="AN38" i="103"/>
  <c r="AM38" i="103"/>
  <c r="AF148" i="74"/>
  <c r="AI148" i="74"/>
  <c r="AB121" i="64"/>
  <c r="AD127" i="57"/>
  <c r="AB125" i="55"/>
  <c r="AA70" i="37"/>
  <c r="AA55" i="37"/>
  <c r="AA44" i="62"/>
  <c r="AB90" i="107"/>
  <c r="AI44" i="104"/>
  <c r="AA67" i="102"/>
  <c r="AM90" i="94"/>
  <c r="AN38" i="90"/>
  <c r="AD127" i="91"/>
  <c r="AA84" i="85"/>
  <c r="G82" i="85" s="1"/>
  <c r="AI125" i="83"/>
  <c r="AL51" i="75"/>
  <c r="AM83" i="76"/>
  <c r="AM50" i="116"/>
  <c r="AN50" i="116"/>
  <c r="AN40" i="110"/>
  <c r="AM40" i="110"/>
  <c r="AE68" i="116"/>
  <c r="AK68" i="116"/>
  <c r="AN73" i="105"/>
  <c r="AM73" i="105"/>
  <c r="AN61" i="112"/>
  <c r="AM61" i="112"/>
  <c r="AM51" i="92"/>
  <c r="AN51" i="92"/>
  <c r="AM83" i="78"/>
  <c r="AF133" i="74"/>
  <c r="AI133" i="74"/>
  <c r="AL38" i="75"/>
  <c r="AN38" i="75"/>
  <c r="R64" i="72"/>
  <c r="R74" i="72" s="1"/>
  <c r="R62" i="72"/>
  <c r="AN51" i="98"/>
  <c r="AN76" i="94"/>
  <c r="AB125" i="85"/>
  <c r="AB125" i="83"/>
  <c r="AA84" i="83"/>
  <c r="G82" i="83" s="1"/>
  <c r="AM89" i="78"/>
  <c r="AN64" i="116"/>
  <c r="AM64" i="116"/>
  <c r="AM37" i="98"/>
  <c r="AN37" i="98"/>
  <c r="AK67" i="116"/>
  <c r="AE67" i="116"/>
  <c r="AE112" i="97"/>
  <c r="AD113" i="97"/>
  <c r="AN37" i="106"/>
  <c r="AM37" i="106"/>
  <c r="AM43" i="112"/>
  <c r="AN43" i="112"/>
  <c r="AN68" i="92"/>
  <c r="AM68" i="92"/>
  <c r="AF65" i="75"/>
  <c r="AI65" i="75"/>
  <c r="AF124" i="74"/>
  <c r="AI124" i="74"/>
  <c r="AN38" i="84"/>
  <c r="AM38" i="84"/>
  <c r="AA78" i="37"/>
  <c r="AF44" i="104"/>
  <c r="Z44" i="37"/>
  <c r="AA44" i="37" s="1"/>
  <c r="AM56" i="118"/>
  <c r="AN43" i="103"/>
  <c r="AN62" i="103"/>
  <c r="AA77" i="72"/>
  <c r="AM53" i="98"/>
  <c r="AN53" i="98"/>
  <c r="AA64" i="91"/>
  <c r="G63" i="91" s="1"/>
  <c r="AF62" i="91"/>
  <c r="AI62" i="91"/>
  <c r="AI42" i="83"/>
  <c r="AF42" i="83"/>
  <c r="AD51" i="72"/>
  <c r="AC52" i="72"/>
  <c r="AD52" i="72" s="1"/>
  <c r="AI59" i="72"/>
  <c r="AK59" i="72"/>
  <c r="AM48" i="119"/>
  <c r="AN48" i="119"/>
  <c r="AM50" i="118"/>
  <c r="AN50" i="118"/>
  <c r="AM55" i="119"/>
  <c r="AN55" i="119"/>
  <c r="AJ57" i="118"/>
  <c r="AB57" i="118"/>
  <c r="AF57" i="118"/>
  <c r="AI57" i="118"/>
  <c r="AF48" i="118"/>
  <c r="AJ48" i="118"/>
  <c r="AB48" i="118"/>
  <c r="AI48" i="118"/>
  <c r="AM62" i="113"/>
  <c r="AN62" i="113"/>
  <c r="AM59" i="116"/>
  <c r="AN59" i="116"/>
  <c r="AM35" i="113"/>
  <c r="AN35" i="113"/>
  <c r="AM59" i="113"/>
  <c r="AN59" i="113"/>
  <c r="AM40" i="116"/>
  <c r="AN40" i="116"/>
  <c r="AM44" i="113"/>
  <c r="AN44" i="113"/>
  <c r="AN45" i="112"/>
  <c r="AM45" i="112"/>
  <c r="AM41" i="112"/>
  <c r="AN41" i="112"/>
  <c r="AM53" i="113"/>
  <c r="AN53" i="113"/>
  <c r="AM67" i="112"/>
  <c r="AN67" i="112"/>
  <c r="AM42" i="110"/>
  <c r="AN42" i="110"/>
  <c r="AM41" i="109"/>
  <c r="AN41" i="109"/>
  <c r="AM56" i="111"/>
  <c r="AN56" i="111"/>
  <c r="AM69" i="113"/>
  <c r="AN69" i="113"/>
  <c r="AM49" i="111"/>
  <c r="AN49" i="111"/>
  <c r="AM49" i="108"/>
  <c r="AN49" i="108"/>
  <c r="AM45" i="107"/>
  <c r="AN45" i="107"/>
  <c r="AD100" i="107"/>
  <c r="AK96" i="107"/>
  <c r="AE96" i="107"/>
  <c r="AM48" i="107"/>
  <c r="AN48" i="107"/>
  <c r="AM39" i="106"/>
  <c r="AN39" i="106"/>
  <c r="AM57" i="104"/>
  <c r="AN57" i="104"/>
  <c r="AI93" i="107"/>
  <c r="AJ93" i="107"/>
  <c r="AF93" i="107"/>
  <c r="AB93" i="107"/>
  <c r="AF78" i="107"/>
  <c r="AB78" i="107"/>
  <c r="AJ78" i="107"/>
  <c r="AI78" i="107"/>
  <c r="AM36" i="107"/>
  <c r="AN36" i="107"/>
  <c r="AM90" i="107"/>
  <c r="AN90" i="107"/>
  <c r="AM51" i="104"/>
  <c r="AN51" i="104"/>
  <c r="AM41" i="103"/>
  <c r="AN41" i="103"/>
  <c r="AM44" i="103"/>
  <c r="AN44" i="103"/>
  <c r="AE52" i="101"/>
  <c r="AA52" i="101"/>
  <c r="AH52" i="101"/>
  <c r="AI52" i="101"/>
  <c r="AI77" i="99"/>
  <c r="AA79" i="99"/>
  <c r="G79" i="99" s="1"/>
  <c r="AF77" i="99"/>
  <c r="AM41" i="94"/>
  <c r="AN41" i="94"/>
  <c r="AM81" i="94"/>
  <c r="AN81" i="94"/>
  <c r="AI137" i="95"/>
  <c r="AF137" i="95"/>
  <c r="AF93" i="93"/>
  <c r="AI93" i="93"/>
  <c r="AM35" i="96"/>
  <c r="AN35" i="96"/>
  <c r="AM51" i="96"/>
  <c r="AN51" i="96"/>
  <c r="AM82" i="94"/>
  <c r="AN82" i="94"/>
  <c r="AM75" i="94"/>
  <c r="AN75" i="94"/>
  <c r="AM45" i="96"/>
  <c r="AN45" i="96"/>
  <c r="AM36" i="96"/>
  <c r="AN36" i="96"/>
  <c r="AM76" i="92"/>
  <c r="AN76" i="92"/>
  <c r="AM39" i="90"/>
  <c r="AN39" i="90"/>
  <c r="AM38" i="92"/>
  <c r="AN38" i="92"/>
  <c r="AF93" i="91"/>
  <c r="AI93" i="91"/>
  <c r="AF94" i="89"/>
  <c r="AI94" i="89"/>
  <c r="AI141" i="93"/>
  <c r="AF141" i="93"/>
  <c r="AN86" i="90"/>
  <c r="AM86" i="90"/>
  <c r="AM53" i="90"/>
  <c r="AN53" i="90"/>
  <c r="AA126" i="89"/>
  <c r="O127" i="89"/>
  <c r="AM36" i="88"/>
  <c r="AN36" i="88"/>
  <c r="AM41" i="88"/>
  <c r="AN41" i="88"/>
  <c r="AM48" i="86"/>
  <c r="AN48" i="86"/>
  <c r="AF94" i="85"/>
  <c r="AI94" i="85"/>
  <c r="AI93" i="87"/>
  <c r="AF93" i="87"/>
  <c r="AM54" i="88"/>
  <c r="AN54" i="88"/>
  <c r="AN41" i="86"/>
  <c r="AM41" i="86"/>
  <c r="AM76" i="80"/>
  <c r="AN76" i="80"/>
  <c r="AM45" i="84"/>
  <c r="AN45" i="84"/>
  <c r="AM52" i="82"/>
  <c r="AN52" i="82"/>
  <c r="AI94" i="81"/>
  <c r="AF94" i="81"/>
  <c r="AM77" i="82"/>
  <c r="AN77" i="82"/>
  <c r="AM57" i="82"/>
  <c r="AN57" i="82"/>
  <c r="AM51" i="84"/>
  <c r="AN51" i="84"/>
  <c r="AM93" i="80"/>
  <c r="AN93" i="80"/>
  <c r="AN113" i="78"/>
  <c r="AM113" i="78"/>
  <c r="AM38" i="78"/>
  <c r="AN38" i="78"/>
  <c r="AN82" i="78"/>
  <c r="AM82" i="78"/>
  <c r="AM55" i="78"/>
  <c r="AN55" i="78"/>
  <c r="AM96" i="80"/>
  <c r="AN96" i="80"/>
  <c r="AM79" i="80"/>
  <c r="AN79" i="80"/>
  <c r="AM88" i="80"/>
  <c r="AN88" i="80"/>
  <c r="AM50" i="80"/>
  <c r="AN50" i="80"/>
  <c r="AA44" i="79"/>
  <c r="G43" i="79" s="1"/>
  <c r="AI42" i="79"/>
  <c r="AF42" i="79"/>
  <c r="AM116" i="76"/>
  <c r="AN116" i="76"/>
  <c r="AM81" i="76"/>
  <c r="AN81" i="76"/>
  <c r="AA88" i="77"/>
  <c r="G87" i="77" s="1"/>
  <c r="AF86" i="77"/>
  <c r="AI86" i="77"/>
  <c r="AM93" i="76"/>
  <c r="AN93" i="76"/>
  <c r="AM82" i="76"/>
  <c r="AN82" i="76"/>
  <c r="AI70" i="75"/>
  <c r="AF70" i="75"/>
  <c r="AN46" i="73"/>
  <c r="AL46" i="73"/>
  <c r="AI63" i="72"/>
  <c r="AK63" i="72"/>
  <c r="AI120" i="74"/>
  <c r="AF120" i="74"/>
  <c r="AI136" i="74"/>
  <c r="AF136" i="74"/>
  <c r="AN103" i="76"/>
  <c r="AM103" i="76"/>
  <c r="AI121" i="74"/>
  <c r="AF121" i="74"/>
  <c r="AI137" i="74"/>
  <c r="AF137" i="74"/>
  <c r="AI69" i="72"/>
  <c r="AK69" i="72"/>
  <c r="AL72" i="73"/>
  <c r="AN72" i="73"/>
  <c r="AN57" i="73"/>
  <c r="AL57" i="73"/>
  <c r="AM51" i="76"/>
  <c r="AN51" i="76"/>
  <c r="AI79" i="72"/>
  <c r="AK79" i="72"/>
  <c r="AA80" i="72"/>
  <c r="AA55" i="72"/>
  <c r="AH72" i="72"/>
  <c r="AN39" i="119"/>
  <c r="AM39" i="119"/>
  <c r="AL67" i="116"/>
  <c r="AH67" i="116"/>
  <c r="AM59" i="119"/>
  <c r="AN59" i="119"/>
  <c r="AA52" i="118"/>
  <c r="O59" i="118"/>
  <c r="AA59" i="118" s="1"/>
  <c r="AE53" i="117"/>
  <c r="AD60" i="117"/>
  <c r="AE60" i="117" s="1"/>
  <c r="AK53" i="117"/>
  <c r="AN66" i="113"/>
  <c r="AM66" i="113"/>
  <c r="AM63" i="116"/>
  <c r="AN63" i="116"/>
  <c r="AM39" i="113"/>
  <c r="AN39" i="113"/>
  <c r="AB46" i="117"/>
  <c r="AF46" i="117"/>
  <c r="AI46" i="117"/>
  <c r="AJ46" i="117"/>
  <c r="AM63" i="113"/>
  <c r="AN63" i="113"/>
  <c r="AM44" i="116"/>
  <c r="AN44" i="116"/>
  <c r="AN46" i="112"/>
  <c r="AM46" i="112"/>
  <c r="AM39" i="111"/>
  <c r="AN39" i="111"/>
  <c r="AM38" i="109"/>
  <c r="AN38" i="109"/>
  <c r="AM59" i="111"/>
  <c r="AN59" i="111"/>
  <c r="AI77" i="107"/>
  <c r="AJ77" i="107"/>
  <c r="AF77" i="107"/>
  <c r="AB77" i="107"/>
  <c r="AM49" i="107"/>
  <c r="AN49" i="107"/>
  <c r="AN36" i="108"/>
  <c r="AM36" i="108"/>
  <c r="AM47" i="108"/>
  <c r="AN47" i="108"/>
  <c r="AF79" i="107"/>
  <c r="AB79" i="107"/>
  <c r="AI79" i="107"/>
  <c r="AJ79" i="107"/>
  <c r="AM43" i="108"/>
  <c r="AN43" i="108"/>
  <c r="AM34" i="105"/>
  <c r="AN34" i="105"/>
  <c r="AF80" i="107"/>
  <c r="AB80" i="107"/>
  <c r="AI80" i="107"/>
  <c r="AJ80" i="107"/>
  <c r="AM42" i="107"/>
  <c r="AN42" i="107"/>
  <c r="AM34" i="106"/>
  <c r="AN34" i="106"/>
  <c r="Z58" i="101"/>
  <c r="AN39" i="105"/>
  <c r="AM39" i="105"/>
  <c r="AM49" i="104"/>
  <c r="AN49" i="104"/>
  <c r="AL43" i="101"/>
  <c r="AM43" i="101"/>
  <c r="AL53" i="101"/>
  <c r="AM53" i="101"/>
  <c r="AL44" i="101"/>
  <c r="AM44" i="101"/>
  <c r="AN39" i="100"/>
  <c r="AM39" i="100"/>
  <c r="AA54" i="99"/>
  <c r="G54" i="99" s="1"/>
  <c r="AI52" i="99"/>
  <c r="AF52" i="99"/>
  <c r="AI51" i="100"/>
  <c r="AJ51" i="100"/>
  <c r="AA70" i="100"/>
  <c r="AF51" i="100"/>
  <c r="AB51" i="100"/>
  <c r="AI109" i="97"/>
  <c r="AF109" i="97"/>
  <c r="AB109" i="97"/>
  <c r="AM62" i="100"/>
  <c r="AN62" i="100"/>
  <c r="AM47" i="96"/>
  <c r="AN47" i="96"/>
  <c r="AM49" i="94"/>
  <c r="AN49" i="94"/>
  <c r="AM70" i="94"/>
  <c r="AN70" i="94"/>
  <c r="AI94" i="95"/>
  <c r="AF94" i="95"/>
  <c r="AF81" i="93"/>
  <c r="AI81" i="93"/>
  <c r="AA84" i="93"/>
  <c r="G82" i="93" s="1"/>
  <c r="AN86" i="94"/>
  <c r="AM86" i="94"/>
  <c r="AM79" i="94"/>
  <c r="AN79" i="94"/>
  <c r="AM41" i="96"/>
  <c r="AN41" i="96"/>
  <c r="AI88" i="93"/>
  <c r="AF88" i="93"/>
  <c r="AM76" i="90"/>
  <c r="AN76" i="90"/>
  <c r="AM43" i="90"/>
  <c r="AN43" i="90"/>
  <c r="AM46" i="92"/>
  <c r="AN46" i="92"/>
  <c r="AM96" i="90"/>
  <c r="AN96" i="90"/>
  <c r="AI62" i="89"/>
  <c r="AF62" i="89"/>
  <c r="AA64" i="89"/>
  <c r="G63" i="89" s="1"/>
  <c r="AE126" i="93"/>
  <c r="AD127" i="93"/>
  <c r="AN57" i="90"/>
  <c r="AM57" i="90"/>
  <c r="AA64" i="93"/>
  <c r="G63" i="93" s="1"/>
  <c r="AF62" i="93"/>
  <c r="AI62" i="93"/>
  <c r="AI93" i="89"/>
  <c r="AF93" i="89"/>
  <c r="AB63" i="92"/>
  <c r="AA82" i="92"/>
  <c r="AF63" i="92"/>
  <c r="AI63" i="92"/>
  <c r="AJ63" i="92"/>
  <c r="AM90" i="90"/>
  <c r="AN90" i="90"/>
  <c r="AM40" i="88"/>
  <c r="AN40" i="88"/>
  <c r="AM45" i="88"/>
  <c r="AN45" i="88"/>
  <c r="AM52" i="86"/>
  <c r="AN52" i="86"/>
  <c r="AI62" i="85"/>
  <c r="AF62" i="85"/>
  <c r="AA64" i="85"/>
  <c r="G63" i="85" s="1"/>
  <c r="AM58" i="88"/>
  <c r="AN58" i="88"/>
  <c r="AM77" i="86"/>
  <c r="AN77" i="86"/>
  <c r="AM45" i="86"/>
  <c r="AN45" i="86"/>
  <c r="AM38" i="86"/>
  <c r="AN38" i="86"/>
  <c r="AM36" i="84"/>
  <c r="AN36" i="84"/>
  <c r="AA126" i="87"/>
  <c r="AM84" i="80"/>
  <c r="AN84" i="80"/>
  <c r="AM49" i="84"/>
  <c r="AN49" i="84"/>
  <c r="AI88" i="83"/>
  <c r="AF88" i="83"/>
  <c r="AM76" i="82"/>
  <c r="AN76" i="82"/>
  <c r="AN56" i="82"/>
  <c r="AM56" i="82"/>
  <c r="O127" i="83"/>
  <c r="AA126" i="83"/>
  <c r="AM55" i="84"/>
  <c r="AN55" i="84"/>
  <c r="AM87" i="82"/>
  <c r="AN87" i="82"/>
  <c r="AM117" i="78"/>
  <c r="AN117" i="78"/>
  <c r="AM81" i="80"/>
  <c r="AN81" i="80"/>
  <c r="AM35" i="80"/>
  <c r="AN35" i="80"/>
  <c r="AM42" i="78"/>
  <c r="AN42" i="78"/>
  <c r="AM77" i="80"/>
  <c r="AN77" i="80"/>
  <c r="AH126" i="79"/>
  <c r="AG127" i="79"/>
  <c r="AM36" i="80"/>
  <c r="AN36" i="80"/>
  <c r="AM86" i="78"/>
  <c r="AN86" i="78"/>
  <c r="AN95" i="78"/>
  <c r="AM95" i="78"/>
  <c r="AM54" i="80"/>
  <c r="AN54" i="80"/>
  <c r="AF73" i="75"/>
  <c r="AI73" i="75"/>
  <c r="AM85" i="76"/>
  <c r="AN85" i="76"/>
  <c r="AM76" i="78"/>
  <c r="AN76" i="78"/>
  <c r="AM97" i="76"/>
  <c r="AN97" i="76"/>
  <c r="AN49" i="76"/>
  <c r="AM49" i="76"/>
  <c r="AM86" i="76"/>
  <c r="AN86" i="76"/>
  <c r="AM41" i="78"/>
  <c r="AN41" i="78"/>
  <c r="AA79" i="77"/>
  <c r="G78" i="77" s="1"/>
  <c r="AA94" i="77"/>
  <c r="G93" i="77" s="1"/>
  <c r="AI77" i="77"/>
  <c r="AF77" i="77"/>
  <c r="AN119" i="76"/>
  <c r="AM119" i="76"/>
  <c r="AN58" i="73"/>
  <c r="AL58" i="73"/>
  <c r="Z51" i="72"/>
  <c r="N52" i="72"/>
  <c r="AL36" i="73"/>
  <c r="AN36" i="73"/>
  <c r="AL37" i="73"/>
  <c r="AN37" i="73"/>
  <c r="AN45" i="75"/>
  <c r="AL45" i="75"/>
  <c r="AL71" i="73"/>
  <c r="AN71" i="73"/>
  <c r="AL80" i="73"/>
  <c r="AN80" i="73"/>
  <c r="Q64" i="72"/>
  <c r="Q74" i="72" s="1"/>
  <c r="Q62" i="72"/>
  <c r="AM55" i="76"/>
  <c r="AN55" i="76"/>
  <c r="AN35" i="73"/>
  <c r="AL35" i="73"/>
  <c r="AI131" i="74"/>
  <c r="AF131" i="74"/>
  <c r="AL73" i="73"/>
  <c r="AN73" i="73"/>
  <c r="O75" i="72"/>
  <c r="O82" i="72"/>
  <c r="O84" i="72" s="1"/>
  <c r="O85" i="72" s="1"/>
  <c r="O86" i="72"/>
  <c r="O88" i="72" s="1"/>
  <c r="AM48" i="116"/>
  <c r="AN48" i="116"/>
  <c r="AM65" i="113"/>
  <c r="AN65" i="113"/>
  <c r="AN42" i="112"/>
  <c r="AM42" i="112"/>
  <c r="AN39" i="112"/>
  <c r="AM39" i="112"/>
  <c r="AM43" i="111"/>
  <c r="AN43" i="111"/>
  <c r="AM46" i="109"/>
  <c r="AN46" i="109"/>
  <c r="AM50" i="111"/>
  <c r="AN50" i="111"/>
  <c r="AM53" i="107"/>
  <c r="AN53" i="107"/>
  <c r="AI81" i="107"/>
  <c r="AJ81" i="107"/>
  <c r="AF81" i="107"/>
  <c r="AB81" i="107"/>
  <c r="AM39" i="107"/>
  <c r="AN39" i="107"/>
  <c r="AM42" i="105"/>
  <c r="AN42" i="105"/>
  <c r="AI84" i="107"/>
  <c r="AJ84" i="107"/>
  <c r="AF84" i="107"/>
  <c r="AB84" i="107"/>
  <c r="AM38" i="106"/>
  <c r="AN38" i="106"/>
  <c r="AM64" i="105"/>
  <c r="AN64" i="105"/>
  <c r="AM66" i="103"/>
  <c r="AN66" i="103"/>
  <c r="AL60" i="101"/>
  <c r="AM60" i="101"/>
  <c r="AL47" i="101"/>
  <c r="AM47" i="101"/>
  <c r="AL54" i="101"/>
  <c r="AM54" i="101"/>
  <c r="AA40" i="101"/>
  <c r="Z62" i="101"/>
  <c r="AE40" i="101"/>
  <c r="AH40" i="101"/>
  <c r="AI40" i="101"/>
  <c r="AF111" i="99"/>
  <c r="AB111" i="99"/>
  <c r="AI111" i="99"/>
  <c r="AJ70" i="94"/>
  <c r="AA103" i="94"/>
  <c r="AF70" i="94"/>
  <c r="AI70" i="94"/>
  <c r="AM83" i="94"/>
  <c r="AN83" i="94"/>
  <c r="AN50" i="96"/>
  <c r="AM50" i="96"/>
  <c r="AM37" i="96"/>
  <c r="AN37" i="96"/>
  <c r="AB121" i="95"/>
  <c r="AF121" i="95"/>
  <c r="AI121" i="95"/>
  <c r="AF85" i="95"/>
  <c r="AI85" i="95"/>
  <c r="AF125" i="93"/>
  <c r="AB125" i="93"/>
  <c r="AI125" i="93"/>
  <c r="AM80" i="90"/>
  <c r="AN80" i="90"/>
  <c r="AM47" i="90"/>
  <c r="AN47" i="90"/>
  <c r="AM71" i="92"/>
  <c r="AN71" i="92"/>
  <c r="AF124" i="93"/>
  <c r="AI124" i="93"/>
  <c r="AB124" i="93"/>
  <c r="AA74" i="93"/>
  <c r="G73" i="93" s="1"/>
  <c r="AI72" i="93"/>
  <c r="AF72" i="93"/>
  <c r="O127" i="93"/>
  <c r="AA126" i="93"/>
  <c r="AM94" i="90"/>
  <c r="AN94" i="90"/>
  <c r="AM79" i="90"/>
  <c r="AN79" i="90"/>
  <c r="AM44" i="88"/>
  <c r="AN44" i="88"/>
  <c r="AM49" i="88"/>
  <c r="AN49" i="88"/>
  <c r="AM76" i="86"/>
  <c r="AN76" i="86"/>
  <c r="AM56" i="86"/>
  <c r="AN56" i="86"/>
  <c r="AM72" i="90"/>
  <c r="AN72" i="90"/>
  <c r="AN49" i="86"/>
  <c r="AM49" i="86"/>
  <c r="AM35" i="88"/>
  <c r="AN35" i="88"/>
  <c r="AM42" i="86"/>
  <c r="AN42" i="86"/>
  <c r="AA44" i="85"/>
  <c r="G43" i="85" s="1"/>
  <c r="AI42" i="85"/>
  <c r="AF42" i="85"/>
  <c r="AM40" i="84"/>
  <c r="AN40" i="84"/>
  <c r="AM84" i="84"/>
  <c r="AN84" i="84"/>
  <c r="AM53" i="84"/>
  <c r="AN53" i="84"/>
  <c r="AM80" i="82"/>
  <c r="AN80" i="82"/>
  <c r="AI141" i="81"/>
  <c r="AF141" i="81"/>
  <c r="AA126" i="85"/>
  <c r="AF93" i="83"/>
  <c r="AI93" i="83"/>
  <c r="AM77" i="84"/>
  <c r="AN77" i="84"/>
  <c r="AI93" i="81"/>
  <c r="AF93" i="81"/>
  <c r="AE126" i="83"/>
  <c r="AD127" i="83"/>
  <c r="AM38" i="82"/>
  <c r="AN38" i="82"/>
  <c r="AA145" i="83"/>
  <c r="AB72" i="82"/>
  <c r="AA91" i="82"/>
  <c r="AF72" i="82"/>
  <c r="AI72" i="82"/>
  <c r="AJ72" i="82"/>
  <c r="AM85" i="80"/>
  <c r="AN85" i="80"/>
  <c r="AN89" i="80"/>
  <c r="AM89" i="80"/>
  <c r="AM39" i="80"/>
  <c r="AN39" i="80"/>
  <c r="AM46" i="78"/>
  <c r="AN46" i="78"/>
  <c r="AM40" i="80"/>
  <c r="AN40" i="80"/>
  <c r="AN90" i="78"/>
  <c r="AM90" i="78"/>
  <c r="AM99" i="78"/>
  <c r="AN99" i="78"/>
  <c r="AM58" i="80"/>
  <c r="AN58" i="80"/>
  <c r="AI72" i="78"/>
  <c r="AJ72" i="78"/>
  <c r="AB72" i="78"/>
  <c r="AA125" i="78"/>
  <c r="AF72" i="78"/>
  <c r="AI92" i="77"/>
  <c r="AF92" i="77"/>
  <c r="AM92" i="76"/>
  <c r="AN92" i="76"/>
  <c r="AL39" i="75"/>
  <c r="AN39" i="75"/>
  <c r="AM89" i="76"/>
  <c r="AN89" i="76"/>
  <c r="AM101" i="76"/>
  <c r="AN101" i="76"/>
  <c r="AM53" i="76"/>
  <c r="AN53" i="76"/>
  <c r="AF150" i="74"/>
  <c r="AI150" i="74"/>
  <c r="AL88" i="73"/>
  <c r="AN88" i="73"/>
  <c r="AL67" i="73"/>
  <c r="AN67" i="73"/>
  <c r="AL40" i="73"/>
  <c r="AN40" i="73"/>
  <c r="AL75" i="73"/>
  <c r="AN75" i="73"/>
  <c r="Y64" i="72"/>
  <c r="Y74" i="72" s="1"/>
  <c r="Y62" i="72"/>
  <c r="AN43" i="73"/>
  <c r="AL43" i="73"/>
  <c r="AL74" i="73"/>
  <c r="AN74" i="73"/>
  <c r="AL81" i="73"/>
  <c r="AN81" i="73"/>
  <c r="S62" i="72"/>
  <c r="S64" i="72"/>
  <c r="S74" i="72" s="1"/>
  <c r="AA67" i="72"/>
  <c r="V75" i="72"/>
  <c r="V82" i="72"/>
  <c r="V84" i="72" s="1"/>
  <c r="V85" i="72" s="1"/>
  <c r="V86" i="72"/>
  <c r="V88" i="72" s="1"/>
  <c r="AM47" i="113"/>
  <c r="AN47" i="113"/>
  <c r="AM71" i="113"/>
  <c r="AN71" i="113"/>
  <c r="AI37" i="114"/>
  <c r="AJ37" i="114"/>
  <c r="AB37" i="114"/>
  <c r="AF37" i="114"/>
  <c r="AM61" i="113"/>
  <c r="AN61" i="113"/>
  <c r="AM40" i="108"/>
  <c r="AN40" i="108"/>
  <c r="AM40" i="111"/>
  <c r="AN40" i="111"/>
  <c r="AM41" i="108"/>
  <c r="AN41" i="108"/>
  <c r="AF83" i="107"/>
  <c r="AB83" i="107"/>
  <c r="AI83" i="107"/>
  <c r="AJ83" i="107"/>
  <c r="AM38" i="108"/>
  <c r="AN38" i="108"/>
  <c r="AF86" i="107"/>
  <c r="AB86" i="107"/>
  <c r="AJ86" i="107"/>
  <c r="AI86" i="107"/>
  <c r="AM42" i="106"/>
  <c r="AN42" i="106"/>
  <c r="AN74" i="105"/>
  <c r="AM74" i="105"/>
  <c r="AM56" i="106"/>
  <c r="AN56" i="106"/>
  <c r="AM37" i="104"/>
  <c r="AN37" i="104"/>
  <c r="AM39" i="98"/>
  <c r="AN39" i="98"/>
  <c r="AE55" i="101"/>
  <c r="AA55" i="101"/>
  <c r="AH55" i="101"/>
  <c r="AI55" i="101"/>
  <c r="AM48" i="101"/>
  <c r="AL48" i="101"/>
  <c r="AM55" i="96"/>
  <c r="AN55" i="96"/>
  <c r="AG123" i="95"/>
  <c r="AH122" i="95"/>
  <c r="AM46" i="96"/>
  <c r="AN46" i="96"/>
  <c r="AM56" i="96"/>
  <c r="AN56" i="96"/>
  <c r="AM84" i="90"/>
  <c r="AN84" i="90"/>
  <c r="AM51" i="90"/>
  <c r="AN51" i="90"/>
  <c r="AI88" i="89"/>
  <c r="AF88" i="89"/>
  <c r="AF121" i="93"/>
  <c r="AB121" i="93"/>
  <c r="AI121" i="93"/>
  <c r="AG127" i="91"/>
  <c r="AH126" i="91"/>
  <c r="AM98" i="90"/>
  <c r="AN98" i="90"/>
  <c r="AM83" i="90"/>
  <c r="AN83" i="90"/>
  <c r="AM48" i="88"/>
  <c r="AN48" i="88"/>
  <c r="AI94" i="87"/>
  <c r="AF94" i="87"/>
  <c r="AM53" i="88"/>
  <c r="AN53" i="88"/>
  <c r="AM80" i="86"/>
  <c r="AN80" i="86"/>
  <c r="AF81" i="87"/>
  <c r="AI81" i="87"/>
  <c r="AA84" i="87"/>
  <c r="G82" i="87" s="1"/>
  <c r="AM53" i="86"/>
  <c r="AN53" i="86"/>
  <c r="AN80" i="88"/>
  <c r="AM80" i="88"/>
  <c r="AN39" i="88"/>
  <c r="AM39" i="88"/>
  <c r="AM78" i="86"/>
  <c r="AN78" i="86"/>
  <c r="AM46" i="86"/>
  <c r="AN46" i="86"/>
  <c r="AM44" i="84"/>
  <c r="AN44" i="84"/>
  <c r="AM57" i="84"/>
  <c r="AN57" i="84"/>
  <c r="AM37" i="82"/>
  <c r="AN37" i="82"/>
  <c r="AM42" i="82"/>
  <c r="AN42" i="82"/>
  <c r="AF72" i="80"/>
  <c r="AA102" i="80"/>
  <c r="AJ72" i="80"/>
  <c r="AB72" i="80"/>
  <c r="AI72" i="80"/>
  <c r="AM94" i="80"/>
  <c r="AN94" i="80"/>
  <c r="AM43" i="80"/>
  <c r="AN43" i="80"/>
  <c r="AM50" i="78"/>
  <c r="AN50" i="78"/>
  <c r="AM44" i="80"/>
  <c r="AN44" i="80"/>
  <c r="AN103" i="78"/>
  <c r="AM103" i="78"/>
  <c r="AI93" i="79"/>
  <c r="AF93" i="79"/>
  <c r="AN80" i="80"/>
  <c r="AM80" i="80"/>
  <c r="AF168" i="77"/>
  <c r="AI168" i="77"/>
  <c r="AM96" i="76"/>
  <c r="AN96" i="76"/>
  <c r="AF111" i="77"/>
  <c r="AI111" i="77"/>
  <c r="AI69" i="75"/>
  <c r="AF69" i="75"/>
  <c r="AM57" i="78"/>
  <c r="AN57" i="78"/>
  <c r="AM109" i="76"/>
  <c r="AN109" i="76"/>
  <c r="AN44" i="76"/>
  <c r="AM44" i="76"/>
  <c r="AM84" i="78"/>
  <c r="AN84" i="78"/>
  <c r="AN95" i="76"/>
  <c r="AM95" i="76"/>
  <c r="AI119" i="74"/>
  <c r="AF119" i="74"/>
  <c r="AL79" i="73"/>
  <c r="AN79" i="73"/>
  <c r="AL89" i="73"/>
  <c r="AN89" i="73"/>
  <c r="AA56" i="72"/>
  <c r="AL41" i="75"/>
  <c r="AN41" i="75"/>
  <c r="AN78" i="73"/>
  <c r="AL78" i="73"/>
  <c r="AI47" i="72"/>
  <c r="AK47" i="72"/>
  <c r="AI48" i="72"/>
  <c r="AK48" i="72"/>
  <c r="W75" i="72"/>
  <c r="W82" i="72"/>
  <c r="W84" i="72" s="1"/>
  <c r="W85" i="72" s="1"/>
  <c r="W86" i="72"/>
  <c r="W88" i="72" s="1"/>
  <c r="AM45" i="118"/>
  <c r="AN45" i="118"/>
  <c r="AM70" i="113"/>
  <c r="AN70" i="113"/>
  <c r="AM35" i="116"/>
  <c r="AN35" i="116"/>
  <c r="AM43" i="113"/>
  <c r="AN43" i="113"/>
  <c r="O60" i="117"/>
  <c r="AA60" i="117" s="1"/>
  <c r="AA53" i="117"/>
  <c r="AM67" i="113"/>
  <c r="AN67" i="113"/>
  <c r="AG59" i="118"/>
  <c r="AH59" i="118" s="1"/>
  <c r="AL52" i="118"/>
  <c r="AH52" i="118"/>
  <c r="AM54" i="112"/>
  <c r="AN54" i="112"/>
  <c r="AM51" i="112"/>
  <c r="AN51" i="112"/>
  <c r="AM49" i="117"/>
  <c r="AN49" i="117"/>
  <c r="AM63" i="112"/>
  <c r="AN63" i="112"/>
  <c r="AN35" i="109"/>
  <c r="AM35" i="109"/>
  <c r="AM49" i="119"/>
  <c r="AN49" i="119"/>
  <c r="AB44" i="117"/>
  <c r="AI44" i="117"/>
  <c r="AJ44" i="117"/>
  <c r="AF44" i="117"/>
  <c r="AM39" i="116"/>
  <c r="AN39" i="116"/>
  <c r="AM37" i="117"/>
  <c r="AN37" i="117"/>
  <c r="AM52" i="116"/>
  <c r="AN52" i="116"/>
  <c r="AN50" i="112"/>
  <c r="AM50" i="112"/>
  <c r="AM38" i="112"/>
  <c r="AN38" i="112"/>
  <c r="AM36" i="109"/>
  <c r="AN36" i="109"/>
  <c r="AN58" i="112"/>
  <c r="AM58" i="112"/>
  <c r="AM39" i="108"/>
  <c r="AN39" i="108"/>
  <c r="AM57" i="111"/>
  <c r="AN57" i="111"/>
  <c r="AM68" i="109"/>
  <c r="AN68" i="109"/>
  <c r="AM54" i="119"/>
  <c r="AN54" i="119"/>
  <c r="AM38" i="118"/>
  <c r="AN38" i="118"/>
  <c r="AN43" i="119"/>
  <c r="AM43" i="119"/>
  <c r="AM42" i="116"/>
  <c r="AN42" i="116"/>
  <c r="AM43" i="116"/>
  <c r="AN43" i="116"/>
  <c r="AM35" i="115"/>
  <c r="AN35" i="115"/>
  <c r="AM56" i="116"/>
  <c r="AN56" i="116"/>
  <c r="AM55" i="112"/>
  <c r="AN55" i="112"/>
  <c r="AM62" i="112"/>
  <c r="AN62" i="112"/>
  <c r="AM54" i="109"/>
  <c r="AN54" i="109"/>
  <c r="AF44" i="110"/>
  <c r="AI44" i="110"/>
  <c r="AJ44" i="110"/>
  <c r="AB44" i="110"/>
  <c r="AN36" i="115"/>
  <c r="AM36" i="115"/>
  <c r="AM48" i="111"/>
  <c r="AN48" i="111"/>
  <c r="AM52" i="111"/>
  <c r="AN52" i="111"/>
  <c r="AM60" i="109"/>
  <c r="AN60" i="109"/>
  <c r="AN38" i="107"/>
  <c r="AM38" i="107"/>
  <c r="AM48" i="108"/>
  <c r="AN48" i="108"/>
  <c r="AI85" i="107"/>
  <c r="AJ85" i="107"/>
  <c r="AF85" i="107"/>
  <c r="AB85" i="107"/>
  <c r="AM61" i="106"/>
  <c r="AN61" i="106"/>
  <c r="AN46" i="107"/>
  <c r="AM46" i="107"/>
  <c r="AM52" i="109"/>
  <c r="AN52" i="109"/>
  <c r="AF88" i="107"/>
  <c r="AB88" i="107"/>
  <c r="AI88" i="107"/>
  <c r="AJ88" i="107"/>
  <c r="AM47" i="107"/>
  <c r="AN47" i="107"/>
  <c r="AN82" i="107"/>
  <c r="AM64" i="103"/>
  <c r="AN64" i="103"/>
  <c r="AM71" i="105"/>
  <c r="AN71" i="105"/>
  <c r="AA77" i="105"/>
  <c r="AF58" i="105"/>
  <c r="AI58" i="105"/>
  <c r="AJ58" i="105"/>
  <c r="AB58" i="105"/>
  <c r="AM63" i="103"/>
  <c r="AN63" i="103"/>
  <c r="AM55" i="100"/>
  <c r="AN55" i="100"/>
  <c r="AM44" i="104"/>
  <c r="AN44" i="104"/>
  <c r="AL56" i="101"/>
  <c r="AM56" i="101"/>
  <c r="AM47" i="98"/>
  <c r="AN47" i="98"/>
  <c r="AM40" i="100"/>
  <c r="AN40" i="100"/>
  <c r="AA44" i="95"/>
  <c r="G44" i="95" s="1"/>
  <c r="AI42" i="95"/>
  <c r="AF42" i="95"/>
  <c r="AM92" i="94"/>
  <c r="AN92" i="94"/>
  <c r="AM43" i="96"/>
  <c r="AN43" i="96"/>
  <c r="AI119" i="95"/>
  <c r="AF119" i="95"/>
  <c r="AB119" i="95"/>
  <c r="AN42" i="96"/>
  <c r="AM42" i="96"/>
  <c r="AM52" i="96"/>
  <c r="AN52" i="96"/>
  <c r="AA64" i="95"/>
  <c r="G64" i="95" s="1"/>
  <c r="AI62" i="95"/>
  <c r="AF62" i="95"/>
  <c r="AM55" i="90"/>
  <c r="AN55" i="90"/>
  <c r="AM81" i="90"/>
  <c r="AN81" i="90"/>
  <c r="AM74" i="92"/>
  <c r="AN74" i="92"/>
  <c r="AM37" i="90"/>
  <c r="AN37" i="90"/>
  <c r="AM104" i="90"/>
  <c r="AN104" i="90"/>
  <c r="AA84" i="89"/>
  <c r="G82" i="89" s="1"/>
  <c r="AF81" i="89"/>
  <c r="AI81" i="89"/>
  <c r="AM102" i="90"/>
  <c r="AN102" i="90"/>
  <c r="AM87" i="90"/>
  <c r="AN87" i="90"/>
  <c r="AN76" i="88"/>
  <c r="AM76" i="88"/>
  <c r="AM52" i="88"/>
  <c r="AN52" i="88"/>
  <c r="AM78" i="88"/>
  <c r="AN78" i="88"/>
  <c r="AM57" i="88"/>
  <c r="AN57" i="88"/>
  <c r="AI88" i="87"/>
  <c r="AF88" i="87"/>
  <c r="AM38" i="88"/>
  <c r="AN38" i="88"/>
  <c r="AN57" i="86"/>
  <c r="AM57" i="86"/>
  <c r="AM43" i="88"/>
  <c r="AN43" i="88"/>
  <c r="AM50" i="86"/>
  <c r="AN50" i="86"/>
  <c r="AM48" i="84"/>
  <c r="AN48" i="84"/>
  <c r="AM36" i="82"/>
  <c r="AN36" i="82"/>
  <c r="AA145" i="87"/>
  <c r="AM41" i="82"/>
  <c r="AN41" i="82"/>
  <c r="AM35" i="84"/>
  <c r="AN35" i="84"/>
  <c r="AN78" i="82"/>
  <c r="AM78" i="82"/>
  <c r="AM46" i="82"/>
  <c r="AN46" i="82"/>
  <c r="AG127" i="83"/>
  <c r="AH126" i="83"/>
  <c r="AM47" i="80"/>
  <c r="AN47" i="80"/>
  <c r="AM54" i="78"/>
  <c r="AN54" i="78"/>
  <c r="AM98" i="78"/>
  <c r="AN98" i="78"/>
  <c r="AM48" i="80"/>
  <c r="AN48" i="80"/>
  <c r="AM122" i="78"/>
  <c r="AN122" i="78"/>
  <c r="AI121" i="79"/>
  <c r="AF121" i="79"/>
  <c r="AB121" i="79"/>
  <c r="AM107" i="78"/>
  <c r="AN107" i="78"/>
  <c r="AM37" i="80"/>
  <c r="AN37" i="80"/>
  <c r="AM49" i="78"/>
  <c r="AN49" i="78"/>
  <c r="AN76" i="76"/>
  <c r="AM76" i="76"/>
  <c r="AM100" i="76"/>
  <c r="AN100" i="76"/>
  <c r="AI145" i="74"/>
  <c r="AF145" i="74"/>
  <c r="AM113" i="76"/>
  <c r="AN113" i="76"/>
  <c r="AI146" i="77"/>
  <c r="AB146" i="77"/>
  <c r="AF146" i="77"/>
  <c r="AA148" i="77"/>
  <c r="AI128" i="74"/>
  <c r="AF128" i="74"/>
  <c r="AL60" i="73"/>
  <c r="AN60" i="73"/>
  <c r="AL44" i="73"/>
  <c r="AN44" i="73"/>
  <c r="AF52" i="72"/>
  <c r="AG52" i="72" s="1"/>
  <c r="AG51" i="72"/>
  <c r="AM115" i="76"/>
  <c r="AN115" i="76"/>
  <c r="AI123" i="74"/>
  <c r="AF123" i="74"/>
  <c r="AI146" i="74"/>
  <c r="AF146" i="74"/>
  <c r="AI129" i="74"/>
  <c r="AF129" i="74"/>
  <c r="AL83" i="73"/>
  <c r="AN83" i="73"/>
  <c r="AF67" i="75"/>
  <c r="AI67" i="75"/>
  <c r="AN86" i="73"/>
  <c r="AL86" i="73"/>
  <c r="AA78" i="72"/>
  <c r="AM99" i="76"/>
  <c r="AN99" i="76"/>
  <c r="AF72" i="75"/>
  <c r="AI72" i="75"/>
  <c r="AI147" i="74"/>
  <c r="AF147" i="74"/>
  <c r="AN77" i="73"/>
  <c r="AL77" i="73"/>
  <c r="U62" i="72"/>
  <c r="U64" i="72"/>
  <c r="U74" i="72" s="1"/>
  <c r="Z74" i="72" s="1"/>
  <c r="AF74" i="72"/>
  <c r="AN52" i="119"/>
  <c r="AM52" i="119"/>
  <c r="AF66" i="116"/>
  <c r="AI66" i="116"/>
  <c r="AJ66" i="116"/>
  <c r="AB66" i="116"/>
  <c r="AM58" i="119"/>
  <c r="AN58" i="119"/>
  <c r="AM35" i="118"/>
  <c r="AN35" i="118"/>
  <c r="AN47" i="119"/>
  <c r="AM47" i="119"/>
  <c r="AN38" i="113"/>
  <c r="AM38" i="113"/>
  <c r="AN50" i="113"/>
  <c r="AM50" i="113"/>
  <c r="AM47" i="116"/>
  <c r="AN47" i="116"/>
  <c r="AB58" i="117"/>
  <c r="AF58" i="117"/>
  <c r="AI58" i="117"/>
  <c r="AJ58" i="117"/>
  <c r="AM57" i="113"/>
  <c r="AN57" i="113"/>
  <c r="AM58" i="111"/>
  <c r="AN58" i="111"/>
  <c r="AM58" i="109"/>
  <c r="AN58" i="109"/>
  <c r="AM47" i="111"/>
  <c r="AN47" i="111"/>
  <c r="AM59" i="112"/>
  <c r="AN59" i="112"/>
  <c r="AN36" i="111"/>
  <c r="AM36" i="111"/>
  <c r="AN44" i="108"/>
  <c r="AM44" i="108"/>
  <c r="AM44" i="109"/>
  <c r="AN44" i="109"/>
  <c r="AM37" i="110"/>
  <c r="AN37" i="110"/>
  <c r="AF87" i="107"/>
  <c r="AB87" i="107"/>
  <c r="AI87" i="107"/>
  <c r="AJ87" i="107"/>
  <c r="AM71" i="109"/>
  <c r="AN71" i="109"/>
  <c r="AI92" i="107"/>
  <c r="AJ92" i="107"/>
  <c r="AF92" i="107"/>
  <c r="AB92" i="107"/>
  <c r="AM70" i="105"/>
  <c r="AN70" i="105"/>
  <c r="AM66" i="100"/>
  <c r="AN66" i="100"/>
  <c r="AM35" i="104"/>
  <c r="AN35" i="104"/>
  <c r="AL36" i="101"/>
  <c r="AM36" i="101"/>
  <c r="AM59" i="100"/>
  <c r="AN59" i="100"/>
  <c r="AN64" i="100"/>
  <c r="AM64" i="100"/>
  <c r="AM55" i="98"/>
  <c r="AN55" i="98"/>
  <c r="AD113" i="99"/>
  <c r="AE112" i="99"/>
  <c r="AM96" i="94"/>
  <c r="AN96" i="94"/>
  <c r="AM42" i="94"/>
  <c r="AN42" i="94"/>
  <c r="AM89" i="94"/>
  <c r="AN89" i="94"/>
  <c r="AF93" i="95"/>
  <c r="AI93" i="95"/>
  <c r="AM38" i="96"/>
  <c r="AN38" i="96"/>
  <c r="AM48" i="96"/>
  <c r="AN48" i="96"/>
  <c r="AM85" i="90"/>
  <c r="AN85" i="90"/>
  <c r="AN41" i="90"/>
  <c r="AM41" i="90"/>
  <c r="AM56" i="88"/>
  <c r="AN56" i="88"/>
  <c r="AJ72" i="88"/>
  <c r="AA91" i="88"/>
  <c r="AF72" i="88"/>
  <c r="AI72" i="88"/>
  <c r="AB72" i="88"/>
  <c r="AM36" i="86"/>
  <c r="AN36" i="86"/>
  <c r="AM42" i="88"/>
  <c r="AN42" i="88"/>
  <c r="AI93" i="85"/>
  <c r="AF93" i="85"/>
  <c r="AN47" i="88"/>
  <c r="AM47" i="88"/>
  <c r="AM54" i="86"/>
  <c r="AN54" i="86"/>
  <c r="AI72" i="84"/>
  <c r="AB72" i="84"/>
  <c r="AA91" i="84"/>
  <c r="AF72" i="84"/>
  <c r="AJ72" i="84"/>
  <c r="AM52" i="84"/>
  <c r="AN52" i="84"/>
  <c r="AN40" i="82"/>
  <c r="AM40" i="82"/>
  <c r="AM45" i="82"/>
  <c r="AN45" i="82"/>
  <c r="AM39" i="84"/>
  <c r="AN39" i="84"/>
  <c r="AM50" i="82"/>
  <c r="AN50" i="82"/>
  <c r="AM97" i="78"/>
  <c r="AN97" i="78"/>
  <c r="AM51" i="80"/>
  <c r="AN51" i="80"/>
  <c r="AM121" i="78"/>
  <c r="AN121" i="78"/>
  <c r="AM58" i="78"/>
  <c r="AN58" i="78"/>
  <c r="AM106" i="78"/>
  <c r="AN106" i="78"/>
  <c r="AM52" i="80"/>
  <c r="AN52" i="80"/>
  <c r="AF94" i="79"/>
  <c r="AI94" i="79"/>
  <c r="AN111" i="78"/>
  <c r="AM111" i="78"/>
  <c r="AN41" i="80"/>
  <c r="AM41" i="80"/>
  <c r="AM38" i="80"/>
  <c r="AN38" i="80"/>
  <c r="AM80" i="76"/>
  <c r="AN80" i="76"/>
  <c r="AM104" i="76"/>
  <c r="AN104" i="76"/>
  <c r="AM43" i="76"/>
  <c r="AN43" i="76"/>
  <c r="AM117" i="76"/>
  <c r="AN117" i="76"/>
  <c r="AI122" i="74"/>
  <c r="AF122" i="74"/>
  <c r="AM45" i="76"/>
  <c r="AN45" i="76"/>
  <c r="AI141" i="77"/>
  <c r="AB141" i="77"/>
  <c r="AF141" i="77"/>
  <c r="AI70" i="76"/>
  <c r="AJ70" i="76"/>
  <c r="AB70" i="76"/>
  <c r="AA125" i="76"/>
  <c r="AF70" i="76"/>
  <c r="AN55" i="73"/>
  <c r="AL55" i="73"/>
  <c r="AL64" i="73"/>
  <c r="AN64" i="73"/>
  <c r="AL48" i="73"/>
  <c r="AN48" i="73"/>
  <c r="AM38" i="76"/>
  <c r="AN38" i="76"/>
  <c r="AL87" i="73"/>
  <c r="AN87" i="73"/>
  <c r="AI83" i="72"/>
  <c r="AK83" i="72"/>
  <c r="AI46" i="72"/>
  <c r="AK46" i="72"/>
  <c r="AE71" i="72"/>
  <c r="AH71" i="72"/>
  <c r="AA71" i="72"/>
  <c r="AN94" i="73"/>
  <c r="AL94" i="73"/>
  <c r="N75" i="72"/>
  <c r="N82" i="72"/>
  <c r="N86" i="72"/>
  <c r="AN85" i="73"/>
  <c r="AL85" i="73"/>
  <c r="AC74" i="72"/>
  <c r="AD64" i="72"/>
  <c r="P86" i="72"/>
  <c r="P88" i="72" s="1"/>
  <c r="P75" i="72"/>
  <c r="P82" i="72"/>
  <c r="P84" i="72" s="1"/>
  <c r="P85" i="72" s="1"/>
  <c r="AM62" i="109"/>
  <c r="AN62" i="109"/>
  <c r="AN51" i="111"/>
  <c r="AM51" i="111"/>
  <c r="AM70" i="109"/>
  <c r="AN70" i="109"/>
  <c r="AM43" i="109"/>
  <c r="AN43" i="109"/>
  <c r="AM37" i="107"/>
  <c r="AN37" i="107"/>
  <c r="AM50" i="108"/>
  <c r="AN50" i="108"/>
  <c r="AM69" i="106"/>
  <c r="AN69" i="106"/>
  <c r="AN41" i="105"/>
  <c r="AM41" i="105"/>
  <c r="AI89" i="107"/>
  <c r="AJ89" i="107"/>
  <c r="AF89" i="107"/>
  <c r="AB89" i="107"/>
  <c r="AN63" i="105"/>
  <c r="AM63" i="105"/>
  <c r="AH96" i="107"/>
  <c r="AG100" i="107"/>
  <c r="AL96" i="107"/>
  <c r="AF94" i="107"/>
  <c r="AB94" i="107"/>
  <c r="AJ94" i="107"/>
  <c r="AI94" i="107"/>
  <c r="AM38" i="100"/>
  <c r="AN38" i="100"/>
  <c r="AN50" i="104"/>
  <c r="AM50" i="104"/>
  <c r="AM36" i="103"/>
  <c r="AN36" i="103"/>
  <c r="AN57" i="100"/>
  <c r="AM57" i="100"/>
  <c r="AA44" i="99"/>
  <c r="G44" i="99" s="1"/>
  <c r="AI42" i="99"/>
  <c r="AF42" i="99"/>
  <c r="AI109" i="99"/>
  <c r="AB109" i="99"/>
  <c r="AF109" i="99"/>
  <c r="AJ58" i="101"/>
  <c r="AD58" i="101"/>
  <c r="AM39" i="96"/>
  <c r="AN39" i="96"/>
  <c r="AM50" i="94"/>
  <c r="AN50" i="94"/>
  <c r="AM93" i="94"/>
  <c r="AN93" i="94"/>
  <c r="AM53" i="96"/>
  <c r="AN53" i="96"/>
  <c r="AM44" i="96"/>
  <c r="AN44" i="96"/>
  <c r="AM91" i="90"/>
  <c r="AN91" i="90"/>
  <c r="AI88" i="91"/>
  <c r="AF88" i="91"/>
  <c r="AM40" i="90"/>
  <c r="AN40" i="90"/>
  <c r="AN78" i="90"/>
  <c r="AM78" i="90"/>
  <c r="AM45" i="90"/>
  <c r="AN45" i="90"/>
  <c r="AN69" i="92"/>
  <c r="AM69" i="92"/>
  <c r="AM75" i="92"/>
  <c r="AN75" i="92"/>
  <c r="AI141" i="87"/>
  <c r="AF141" i="87"/>
  <c r="AM40" i="86"/>
  <c r="AN40" i="86"/>
  <c r="AM46" i="88"/>
  <c r="AN46" i="88"/>
  <c r="AI88" i="85"/>
  <c r="AF88" i="85"/>
  <c r="AM51" i="88"/>
  <c r="AN51" i="88"/>
  <c r="AM58" i="86"/>
  <c r="AN58" i="86"/>
  <c r="AM56" i="84"/>
  <c r="AN56" i="84"/>
  <c r="AM37" i="84"/>
  <c r="AN37" i="84"/>
  <c r="AM44" i="82"/>
  <c r="AN44" i="82"/>
  <c r="AM49" i="82"/>
  <c r="AN49" i="82"/>
  <c r="AI72" i="81"/>
  <c r="AF72" i="81"/>
  <c r="AA74" i="81"/>
  <c r="G73" i="81" s="1"/>
  <c r="AM43" i="84"/>
  <c r="AN43" i="84"/>
  <c r="AA54" i="83"/>
  <c r="G53" i="83" s="1"/>
  <c r="AI52" i="83"/>
  <c r="AF52" i="83"/>
  <c r="AM54" i="82"/>
  <c r="AN54" i="82"/>
  <c r="AM72" i="86"/>
  <c r="AN72" i="86"/>
  <c r="AM101" i="78"/>
  <c r="AN101" i="78"/>
  <c r="AM55" i="80"/>
  <c r="AN55" i="80"/>
  <c r="AM77" i="78"/>
  <c r="AN77" i="78"/>
  <c r="AM90" i="80"/>
  <c r="AN90" i="80"/>
  <c r="AM114" i="78"/>
  <c r="AN114" i="78"/>
  <c r="AM56" i="80"/>
  <c r="AN56" i="80"/>
  <c r="AN35" i="78"/>
  <c r="AM35" i="78"/>
  <c r="AM115" i="78"/>
  <c r="AN115" i="78"/>
  <c r="AN49" i="80"/>
  <c r="AM49" i="80"/>
  <c r="AM98" i="80"/>
  <c r="AN98" i="80"/>
  <c r="AM42" i="80"/>
  <c r="AN42" i="80"/>
  <c r="AN84" i="76"/>
  <c r="AM84" i="76"/>
  <c r="AM121" i="76"/>
  <c r="AN121" i="76"/>
  <c r="AM108" i="76"/>
  <c r="AN108" i="76"/>
  <c r="AM52" i="76"/>
  <c r="AN52" i="76"/>
  <c r="AM88" i="78"/>
  <c r="AN88" i="78"/>
  <c r="AI142" i="77"/>
  <c r="AB142" i="77"/>
  <c r="AF142" i="77"/>
  <c r="AF110" i="77"/>
  <c r="AI110" i="77"/>
  <c r="AI130" i="74"/>
  <c r="AF130" i="74"/>
  <c r="AM74" i="76"/>
  <c r="AN74" i="76"/>
  <c r="AM37" i="76"/>
  <c r="AN37" i="76"/>
  <c r="AI171" i="77"/>
  <c r="AF171" i="77"/>
  <c r="AI135" i="74"/>
  <c r="AF135" i="74"/>
  <c r="AI68" i="72"/>
  <c r="AK68" i="72"/>
  <c r="AL68" i="73"/>
  <c r="AN68" i="73"/>
  <c r="AH95" i="72"/>
  <c r="AE95" i="72"/>
  <c r="AL91" i="73"/>
  <c r="AN91" i="73"/>
  <c r="AI77" i="72"/>
  <c r="AK77" i="72"/>
  <c r="T75" i="72"/>
  <c r="T82" i="72"/>
  <c r="T84" i="72" s="1"/>
  <c r="T85" i="72" s="1"/>
  <c r="T86" i="72"/>
  <c r="T88" i="72" s="1"/>
  <c r="AF142" i="74"/>
  <c r="AI142" i="74"/>
  <c r="AI43" i="72"/>
  <c r="AK43" i="72"/>
  <c r="Z44" i="72"/>
  <c r="AE43" i="72"/>
  <c r="AA43" i="72"/>
  <c r="AH43" i="72"/>
  <c r="AN48" i="75"/>
  <c r="AL48" i="75"/>
  <c r="AN37" i="75"/>
  <c r="AL37" i="75"/>
  <c r="AN93" i="73"/>
  <c r="AL93" i="73"/>
  <c r="AN66" i="73"/>
  <c r="AL66" i="73"/>
  <c r="AA54" i="72"/>
  <c r="AB51" i="117"/>
  <c r="AF51" i="117"/>
  <c r="AI51" i="117"/>
  <c r="AJ51" i="117"/>
  <c r="AN60" i="119"/>
  <c r="AM60" i="119"/>
  <c r="AM64" i="119"/>
  <c r="AN64" i="119"/>
  <c r="AM37" i="119"/>
  <c r="AN37" i="119"/>
  <c r="AM42" i="113"/>
  <c r="AN42" i="113"/>
  <c r="AM54" i="113"/>
  <c r="AN54" i="113"/>
  <c r="AM51" i="116"/>
  <c r="AN51" i="116"/>
  <c r="AM51" i="113"/>
  <c r="AN51" i="113"/>
  <c r="AM46" i="119"/>
  <c r="AN46" i="119"/>
  <c r="AM36" i="113"/>
  <c r="AN36" i="113"/>
  <c r="AM56" i="117"/>
  <c r="AN56" i="117"/>
  <c r="AM71" i="112"/>
  <c r="AN71" i="112"/>
  <c r="AN66" i="112"/>
  <c r="AM66" i="112"/>
  <c r="AN42" i="117"/>
  <c r="AM42" i="117"/>
  <c r="AF46" i="118"/>
  <c r="AI46" i="118"/>
  <c r="AJ46" i="118"/>
  <c r="AB46" i="118"/>
  <c r="AM38" i="119"/>
  <c r="AN38" i="119"/>
  <c r="AM39" i="118"/>
  <c r="AN39" i="118"/>
  <c r="AM54" i="116"/>
  <c r="AN54" i="116"/>
  <c r="AN46" i="113"/>
  <c r="AM46" i="113"/>
  <c r="AN58" i="113"/>
  <c r="AM58" i="113"/>
  <c r="AG60" i="117"/>
  <c r="AH60" i="117" s="1"/>
  <c r="AL53" i="117"/>
  <c r="AH53" i="117"/>
  <c r="AM55" i="116"/>
  <c r="AN55" i="116"/>
  <c r="AM55" i="113"/>
  <c r="AN55" i="113"/>
  <c r="AM40" i="113"/>
  <c r="AN40" i="113"/>
  <c r="AM70" i="112"/>
  <c r="AN70" i="112"/>
  <c r="AM34" i="110"/>
  <c r="AN34" i="110"/>
  <c r="AM66" i="109"/>
  <c r="AN66" i="109"/>
  <c r="AN61" i="111"/>
  <c r="AM61" i="111"/>
  <c r="AI53" i="111"/>
  <c r="AJ53" i="111"/>
  <c r="AB53" i="111"/>
  <c r="AF53" i="111"/>
  <c r="AF44" i="111"/>
  <c r="AA64" i="111"/>
  <c r="AI44" i="111"/>
  <c r="AJ44" i="111"/>
  <c r="AB44" i="111"/>
  <c r="AM41" i="107"/>
  <c r="AN41" i="107"/>
  <c r="AM41" i="110"/>
  <c r="AN41" i="110"/>
  <c r="AM40" i="109"/>
  <c r="AN40" i="109"/>
  <c r="AM42" i="108"/>
  <c r="AN42" i="108"/>
  <c r="AN43" i="107"/>
  <c r="AM43" i="107"/>
  <c r="AA96" i="107"/>
  <c r="O100" i="107"/>
  <c r="AF91" i="107"/>
  <c r="AB91" i="107"/>
  <c r="AI91" i="107"/>
  <c r="AJ91" i="107"/>
  <c r="AM34" i="107"/>
  <c r="AN34" i="107"/>
  <c r="AM68" i="106"/>
  <c r="AN68" i="106"/>
  <c r="AM35" i="105"/>
  <c r="AN35" i="105"/>
  <c r="AM40" i="103"/>
  <c r="AN40" i="103"/>
  <c r="AM57" i="101"/>
  <c r="AL57" i="101"/>
  <c r="AN56" i="100"/>
  <c r="AM56" i="100"/>
  <c r="AI84" i="97"/>
  <c r="AF84" i="97"/>
  <c r="AE49" i="101"/>
  <c r="AH49" i="101"/>
  <c r="AI49" i="101"/>
  <c r="AA49" i="101"/>
  <c r="AI112" i="99"/>
  <c r="AB112" i="99"/>
  <c r="AF112" i="99"/>
  <c r="O123" i="95"/>
  <c r="AA122" i="95"/>
  <c r="AN78" i="94"/>
  <c r="AM78" i="94"/>
  <c r="AM97" i="94"/>
  <c r="AN97" i="94"/>
  <c r="AM49" i="96"/>
  <c r="AN49" i="96"/>
  <c r="AM40" i="96"/>
  <c r="AN40" i="96"/>
  <c r="AM99" i="90"/>
  <c r="AN99" i="90"/>
  <c r="AM35" i="90"/>
  <c r="AN35" i="90"/>
  <c r="O127" i="91"/>
  <c r="AA126" i="91"/>
  <c r="AI141" i="89"/>
  <c r="AF141" i="89"/>
  <c r="AN97" i="90"/>
  <c r="AM97" i="90"/>
  <c r="AM82" i="90"/>
  <c r="AN82" i="90"/>
  <c r="AN49" i="90"/>
  <c r="AM49" i="90"/>
  <c r="AM87" i="88"/>
  <c r="AN87" i="88"/>
  <c r="AD127" i="85"/>
  <c r="AE126" i="85"/>
  <c r="AM37" i="88"/>
  <c r="AN37" i="88"/>
  <c r="AM44" i="86"/>
  <c r="AN44" i="86"/>
  <c r="AM50" i="88"/>
  <c r="AN50" i="88"/>
  <c r="AM37" i="86"/>
  <c r="AN37" i="86"/>
  <c r="AN55" i="88"/>
  <c r="AM55" i="88"/>
  <c r="AA54" i="87"/>
  <c r="G53" i="87" s="1"/>
  <c r="AI52" i="87"/>
  <c r="AF52" i="87"/>
  <c r="AM87" i="86"/>
  <c r="AN87" i="86"/>
  <c r="AM80" i="84"/>
  <c r="AN80" i="84"/>
  <c r="AM41" i="84"/>
  <c r="AN41" i="84"/>
  <c r="AN48" i="82"/>
  <c r="AM48" i="82"/>
  <c r="AN76" i="84"/>
  <c r="AM76" i="84"/>
  <c r="AM53" i="82"/>
  <c r="AN53" i="82"/>
  <c r="AI88" i="81"/>
  <c r="AF88" i="81"/>
  <c r="AM47" i="84"/>
  <c r="AN47" i="84"/>
  <c r="AM58" i="82"/>
  <c r="AN58" i="82"/>
  <c r="AM109" i="78"/>
  <c r="AN109" i="78"/>
  <c r="AA126" i="81"/>
  <c r="AM85" i="78"/>
  <c r="AN85" i="78"/>
  <c r="AN82" i="80"/>
  <c r="AM82" i="80"/>
  <c r="AI141" i="79"/>
  <c r="AF141" i="79"/>
  <c r="AM78" i="78"/>
  <c r="AN78" i="78"/>
  <c r="AM47" i="78"/>
  <c r="AN47" i="78"/>
  <c r="AN119" i="78"/>
  <c r="AM119" i="78"/>
  <c r="AN57" i="80"/>
  <c r="AM57" i="80"/>
  <c r="AN92" i="80"/>
  <c r="AM92" i="80"/>
  <c r="AM46" i="80"/>
  <c r="AN46" i="80"/>
  <c r="AM80" i="78"/>
  <c r="AN80" i="78"/>
  <c r="AI145" i="77"/>
  <c r="AB145" i="77"/>
  <c r="AF145" i="77"/>
  <c r="AM88" i="76"/>
  <c r="AN88" i="76"/>
  <c r="AM112" i="76"/>
  <c r="AN112" i="76"/>
  <c r="AM56" i="76"/>
  <c r="AN56" i="76"/>
  <c r="AM35" i="76"/>
  <c r="AN35" i="76"/>
  <c r="AM45" i="78"/>
  <c r="AN45" i="78"/>
  <c r="AM122" i="76"/>
  <c r="AN122" i="76"/>
  <c r="AI138" i="74"/>
  <c r="AF138" i="74"/>
  <c r="AM78" i="76"/>
  <c r="AN78" i="76"/>
  <c r="AM53" i="78"/>
  <c r="AN53" i="78"/>
  <c r="AM37" i="78"/>
  <c r="AN37" i="78"/>
  <c r="AN38" i="73"/>
  <c r="AL38" i="73"/>
  <c r="AN96" i="73"/>
  <c r="AL96" i="73"/>
  <c r="AL45" i="73"/>
  <c r="AN45" i="73"/>
  <c r="AM107" i="76"/>
  <c r="AN107" i="76"/>
  <c r="AF47" i="75"/>
  <c r="AI47" i="75"/>
  <c r="AJ47" i="75"/>
  <c r="AB47" i="75"/>
  <c r="AN92" i="73"/>
  <c r="AL92" i="73"/>
  <c r="AI139" i="74"/>
  <c r="AF139" i="74"/>
  <c r="AL59" i="73"/>
  <c r="AN59" i="73"/>
  <c r="Z61" i="72"/>
  <c r="AA70" i="72"/>
  <c r="AA57" i="72"/>
  <c r="AN111" i="76"/>
  <c r="AM111" i="76"/>
  <c r="AA58" i="72"/>
  <c r="AA49" i="72"/>
  <c r="AA87" i="72"/>
  <c r="X86" i="72"/>
  <c r="X88" i="72" s="1"/>
  <c r="X75" i="72"/>
  <c r="X82" i="72"/>
  <c r="X84" i="72" s="1"/>
  <c r="X85" i="72" s="1"/>
  <c r="AA72" i="72"/>
  <c r="AF62" i="58"/>
  <c r="AB123" i="64"/>
  <c r="AA64" i="62"/>
  <c r="AF124" i="39"/>
  <c r="Z51" i="37"/>
  <c r="AA51" i="37" s="1"/>
  <c r="AC64" i="37"/>
  <c r="AD64" i="37" s="1"/>
  <c r="T64" i="37"/>
  <c r="Z64" i="37" s="1"/>
  <c r="R62" i="37"/>
  <c r="R64" i="37"/>
  <c r="AA64" i="59"/>
  <c r="AA148" i="17"/>
  <c r="AA73" i="70"/>
  <c r="AF42" i="68"/>
  <c r="AA44" i="68"/>
  <c r="AA84" i="58"/>
  <c r="AF124" i="64"/>
  <c r="AB124" i="64"/>
  <c r="AF81" i="57"/>
  <c r="AA84" i="57"/>
  <c r="AF124" i="57"/>
  <c r="AA74" i="56"/>
  <c r="AA74" i="55"/>
  <c r="AF72" i="55"/>
  <c r="AA44" i="39"/>
  <c r="AD51" i="37"/>
  <c r="AC52" i="37"/>
  <c r="AD52" i="37" s="1"/>
  <c r="AA77" i="37"/>
  <c r="AF72" i="59"/>
  <c r="AA74" i="59"/>
  <c r="AB124" i="59"/>
  <c r="AF52" i="70"/>
  <c r="AA54" i="70"/>
  <c r="AA122" i="66"/>
  <c r="AA123" i="66" s="1"/>
  <c r="AA54" i="66"/>
  <c r="AF52" i="66"/>
  <c r="AA41" i="54"/>
  <c r="AA44" i="54"/>
  <c r="AA36" i="54"/>
  <c r="AA38" i="54"/>
  <c r="AA52" i="54"/>
  <c r="AA64" i="54"/>
  <c r="AA37" i="54"/>
  <c r="AA45" i="54"/>
  <c r="AA53" i="54"/>
  <c r="AA65" i="54"/>
  <c r="AA39" i="54"/>
  <c r="AA47" i="54"/>
  <c r="AA55" i="54"/>
  <c r="AA67" i="54"/>
  <c r="AA46" i="54"/>
  <c r="AA54" i="54"/>
  <c r="AA66" i="54"/>
  <c r="AA40" i="54"/>
  <c r="AA48" i="54"/>
  <c r="AA56" i="54"/>
  <c r="AA68" i="54"/>
  <c r="AA57" i="54"/>
  <c r="AA69" i="54"/>
  <c r="AA49" i="54"/>
  <c r="AA42" i="54"/>
  <c r="AA50" i="54"/>
  <c r="AA58" i="54"/>
  <c r="AA70" i="54"/>
  <c r="AA43" i="54"/>
  <c r="AA51" i="54"/>
  <c r="AA63" i="54"/>
  <c r="AA44" i="64"/>
  <c r="AF42" i="64"/>
  <c r="AB121" i="58"/>
  <c r="AF121" i="58"/>
  <c r="AA126" i="58"/>
  <c r="O127" i="57"/>
  <c r="AA126" i="57"/>
  <c r="AF62" i="64"/>
  <c r="AA64" i="64"/>
  <c r="AB123" i="62"/>
  <c r="AF123" i="62"/>
  <c r="AB121" i="56"/>
  <c r="AF121" i="56"/>
  <c r="AB123" i="57"/>
  <c r="AF123" i="57"/>
  <c r="AF80" i="54"/>
  <c r="AF98" i="54"/>
  <c r="AE126" i="62"/>
  <c r="AD127" i="62"/>
  <c r="AF42" i="56"/>
  <c r="AA44" i="56"/>
  <c r="O127" i="56"/>
  <c r="AA126" i="56"/>
  <c r="O127" i="39"/>
  <c r="AA126" i="39"/>
  <c r="AE126" i="59"/>
  <c r="AD127" i="59"/>
  <c r="AF148" i="17"/>
  <c r="AB100" i="54"/>
  <c r="AF100" i="54"/>
  <c r="AF87" i="54"/>
  <c r="AA126" i="62"/>
  <c r="O127" i="62"/>
  <c r="AB125" i="64"/>
  <c r="AF125" i="64"/>
  <c r="AF125" i="57"/>
  <c r="AB125" i="57"/>
  <c r="AF42" i="55"/>
  <c r="AA44" i="55"/>
  <c r="AA126" i="59"/>
  <c r="O127" i="59"/>
  <c r="AA73" i="68"/>
  <c r="AF71" i="68"/>
  <c r="AF92" i="54"/>
  <c r="AB97" i="54"/>
  <c r="AF97" i="54"/>
  <c r="AF42" i="58"/>
  <c r="AA44" i="58"/>
  <c r="AB125" i="58"/>
  <c r="AF125" i="58"/>
  <c r="AF121" i="57"/>
  <c r="AB121" i="57"/>
  <c r="AF72" i="64"/>
  <c r="AA74" i="64"/>
  <c r="O127" i="55"/>
  <c r="AA126" i="55"/>
  <c r="AB125" i="56"/>
  <c r="AF125" i="56"/>
  <c r="AA59" i="37"/>
  <c r="Z60" i="37"/>
  <c r="AA60" i="37" s="1"/>
  <c r="AE59" i="37"/>
  <c r="AF50" i="17"/>
  <c r="AA52" i="17"/>
  <c r="AF118" i="66"/>
  <c r="AF81" i="54"/>
  <c r="AF86" i="54"/>
  <c r="AA54" i="58"/>
  <c r="AF52" i="58"/>
  <c r="AA74" i="58"/>
  <c r="AF72" i="58"/>
  <c r="AA64" i="56"/>
  <c r="AF62" i="56"/>
  <c r="AB122" i="64"/>
  <c r="AF122" i="64"/>
  <c r="AF72" i="62"/>
  <c r="AA74" i="62"/>
  <c r="AF123" i="39"/>
  <c r="AE61" i="37"/>
  <c r="AA61" i="37"/>
  <c r="Z62" i="37"/>
  <c r="AA62" i="37" s="1"/>
  <c r="AA88" i="17"/>
  <c r="AF86" i="17"/>
  <c r="AF77" i="70"/>
  <c r="AA79" i="70"/>
  <c r="AB99" i="54"/>
  <c r="AF99" i="54"/>
  <c r="AF96" i="54"/>
  <c r="AF122" i="58"/>
  <c r="Z52" i="37"/>
  <c r="AA52" i="37" s="1"/>
  <c r="AD123" i="66"/>
  <c r="AF144" i="17"/>
  <c r="AF101" i="54"/>
  <c r="AF91" i="54"/>
  <c r="AF85" i="54"/>
  <c r="AB123" i="58"/>
  <c r="AF123" i="58"/>
  <c r="AA126" i="64"/>
  <c r="AD127" i="58"/>
  <c r="AF81" i="56"/>
  <c r="AA84" i="56"/>
  <c r="AA49" i="37"/>
  <c r="Z50" i="37"/>
  <c r="AA50" i="37" s="1"/>
  <c r="AE49" i="37"/>
  <c r="AF145" i="17"/>
  <c r="AB145" i="17"/>
  <c r="AF59" i="17"/>
  <c r="AA61" i="17"/>
  <c r="AF146" i="17"/>
  <c r="AF93" i="54"/>
  <c r="AF94" i="54"/>
  <c r="AF95" i="54"/>
  <c r="AB122" i="62"/>
  <c r="AF122" i="62"/>
  <c r="AF52" i="55"/>
  <c r="AA54" i="55"/>
  <c r="AA54" i="56"/>
  <c r="AF52" i="56"/>
  <c r="AA54" i="57"/>
  <c r="AF52" i="57"/>
  <c r="AF72" i="39"/>
  <c r="AA74" i="39"/>
  <c r="AF42" i="66"/>
  <c r="AA44" i="66"/>
  <c r="AF142" i="17"/>
  <c r="AA64" i="70"/>
  <c r="AF62" i="70"/>
  <c r="AF141" i="17"/>
  <c r="AF82" i="54"/>
  <c r="AB83" i="54"/>
  <c r="AF83" i="54"/>
  <c r="AB84" i="54"/>
  <c r="AF84" i="54"/>
  <c r="K41" i="54"/>
  <c r="M41" i="54"/>
  <c r="M44" i="54"/>
  <c r="K44" i="54"/>
  <c r="M36" i="54"/>
  <c r="K36" i="54"/>
  <c r="M38" i="54"/>
  <c r="K38" i="54"/>
  <c r="M52" i="54"/>
  <c r="K52" i="54"/>
  <c r="M64" i="54"/>
  <c r="K64" i="54"/>
  <c r="M37" i="54"/>
  <c r="K37" i="54"/>
  <c r="M45" i="54"/>
  <c r="K45" i="54"/>
  <c r="M53" i="54"/>
  <c r="K53" i="54"/>
  <c r="M65" i="54"/>
  <c r="K65" i="54"/>
  <c r="M39" i="54"/>
  <c r="K39" i="54"/>
  <c r="M47" i="54"/>
  <c r="K47" i="54"/>
  <c r="M55" i="54"/>
  <c r="K55" i="54"/>
  <c r="K67" i="54"/>
  <c r="M46" i="54"/>
  <c r="K46" i="54"/>
  <c r="M54" i="54"/>
  <c r="K54" i="54"/>
  <c r="K66" i="54"/>
  <c r="K40" i="54"/>
  <c r="M40" i="54"/>
  <c r="K48" i="54"/>
  <c r="M48" i="54"/>
  <c r="K56" i="54"/>
  <c r="K68" i="54"/>
  <c r="M68" i="54"/>
  <c r="K57" i="54"/>
  <c r="M57" i="54"/>
  <c r="K69" i="54"/>
  <c r="M69" i="54"/>
  <c r="K49" i="54"/>
  <c r="M49" i="54"/>
  <c r="K42" i="54"/>
  <c r="M42" i="54"/>
  <c r="M50" i="54"/>
  <c r="K50" i="54"/>
  <c r="M58" i="54"/>
  <c r="K58" i="54"/>
  <c r="M70" i="54"/>
  <c r="K70" i="54"/>
  <c r="M43" i="54"/>
  <c r="K43" i="54"/>
  <c r="M51" i="54"/>
  <c r="K51" i="54"/>
  <c r="M63" i="54"/>
  <c r="K63" i="54"/>
  <c r="AI87" i="54"/>
  <c r="AI93" i="54"/>
  <c r="AI100" i="54"/>
  <c r="AI94" i="54"/>
  <c r="AI86" i="54"/>
  <c r="AI99" i="54"/>
  <c r="AI77" i="54"/>
  <c r="AF77" i="54"/>
  <c r="AB77" i="54"/>
  <c r="AI82" i="54"/>
  <c r="AI92" i="54"/>
  <c r="AI83" i="54"/>
  <c r="AI96" i="54"/>
  <c r="AI95" i="54"/>
  <c r="AI91" i="54"/>
  <c r="AI98" i="54"/>
  <c r="AI101" i="54"/>
  <c r="AI80" i="54"/>
  <c r="AI97" i="54"/>
  <c r="AI81" i="54"/>
  <c r="AI85" i="54"/>
  <c r="AI84" i="54"/>
  <c r="AA77" i="63"/>
  <c r="M77" i="63"/>
  <c r="K77" i="63"/>
  <c r="K80" i="63"/>
  <c r="M80" i="63"/>
  <c r="AA80" i="63"/>
  <c r="M84" i="63"/>
  <c r="AA84" i="63"/>
  <c r="K84" i="63"/>
  <c r="AH70" i="63"/>
  <c r="AH69" i="63"/>
  <c r="AH68" i="63"/>
  <c r="AH67" i="63"/>
  <c r="AH66" i="63"/>
  <c r="AH65" i="63"/>
  <c r="AH64" i="63"/>
  <c r="AH63" i="63"/>
  <c r="AH58" i="63"/>
  <c r="AH57" i="63"/>
  <c r="AH56" i="63"/>
  <c r="AH55" i="63"/>
  <c r="AH54" i="63"/>
  <c r="AH53" i="63"/>
  <c r="AH52" i="63"/>
  <c r="AH51" i="63"/>
  <c r="AH50" i="63"/>
  <c r="AH49" i="63"/>
  <c r="AH48" i="63"/>
  <c r="AH47" i="63"/>
  <c r="AH46" i="63"/>
  <c r="AH45" i="63"/>
  <c r="AH44" i="63"/>
  <c r="AH43" i="63"/>
  <c r="AH42" i="63"/>
  <c r="AH41" i="63"/>
  <c r="AH40" i="63"/>
  <c r="AH39" i="63"/>
  <c r="AH38" i="63"/>
  <c r="AH37" i="63"/>
  <c r="AH36" i="63"/>
  <c r="AH84" i="61"/>
  <c r="AE84" i="61"/>
  <c r="AH80" i="61"/>
  <c r="AE80" i="61"/>
  <c r="AH77" i="61"/>
  <c r="AE77" i="61"/>
  <c r="M66" i="54"/>
  <c r="M56" i="54"/>
  <c r="M67" i="54"/>
  <c r="I68" i="63"/>
  <c r="J67" i="63"/>
  <c r="L65" i="63"/>
  <c r="N63" i="63"/>
  <c r="I56" i="63"/>
  <c r="J55" i="63"/>
  <c r="L53" i="63"/>
  <c r="N51" i="63"/>
  <c r="I48" i="63"/>
  <c r="J47" i="63"/>
  <c r="L45" i="63"/>
  <c r="N43" i="63"/>
  <c r="I40" i="63"/>
  <c r="J39" i="63"/>
  <c r="L37" i="63"/>
  <c r="I44" i="63"/>
  <c r="L41" i="63"/>
  <c r="I36" i="63"/>
  <c r="N38" i="63"/>
  <c r="N70" i="63"/>
  <c r="I67" i="63"/>
  <c r="J66" i="63"/>
  <c r="L64" i="63"/>
  <c r="N58" i="63"/>
  <c r="I55" i="63"/>
  <c r="J54" i="63"/>
  <c r="L52" i="63"/>
  <c r="N50" i="63"/>
  <c r="I47" i="63"/>
  <c r="J46" i="63"/>
  <c r="L44" i="63"/>
  <c r="N42" i="63"/>
  <c r="I39" i="63"/>
  <c r="J38" i="63"/>
  <c r="L36" i="63"/>
  <c r="J36" i="63"/>
  <c r="J43" i="63"/>
  <c r="J69" i="63"/>
  <c r="J57" i="63"/>
  <c r="N45" i="63"/>
  <c r="J41" i="63"/>
  <c r="N69" i="63"/>
  <c r="I66" i="63"/>
  <c r="J65" i="63"/>
  <c r="L63" i="63"/>
  <c r="N57" i="63"/>
  <c r="I54" i="63"/>
  <c r="J53" i="63"/>
  <c r="L51" i="63"/>
  <c r="N49" i="63"/>
  <c r="I46" i="63"/>
  <c r="J45" i="63"/>
  <c r="L43" i="63"/>
  <c r="N41" i="63"/>
  <c r="I38" i="63"/>
  <c r="J37" i="63"/>
  <c r="I42" i="63"/>
  <c r="L70" i="63"/>
  <c r="N68" i="63"/>
  <c r="I65" i="63"/>
  <c r="J64" i="63"/>
  <c r="L58" i="63"/>
  <c r="N56" i="63"/>
  <c r="I53" i="63"/>
  <c r="J52" i="63"/>
  <c r="L50" i="63"/>
  <c r="N48" i="63"/>
  <c r="I45" i="63"/>
  <c r="J44" i="63"/>
  <c r="L42" i="63"/>
  <c r="N40" i="63"/>
  <c r="I37" i="63"/>
  <c r="N39" i="63"/>
  <c r="J42" i="63"/>
  <c r="L67" i="63"/>
  <c r="I50" i="63"/>
  <c r="L47" i="63"/>
  <c r="L69" i="63"/>
  <c r="N67" i="63"/>
  <c r="I64" i="63"/>
  <c r="J63" i="63"/>
  <c r="L57" i="63"/>
  <c r="N55" i="63"/>
  <c r="I52" i="63"/>
  <c r="J51" i="63"/>
  <c r="L49" i="63"/>
  <c r="N47" i="63"/>
  <c r="I70" i="63"/>
  <c r="N53" i="63"/>
  <c r="J49" i="63"/>
  <c r="L39" i="63"/>
  <c r="N37" i="63"/>
  <c r="J70" i="63"/>
  <c r="L68" i="63"/>
  <c r="N66" i="63"/>
  <c r="I63" i="63"/>
  <c r="J58" i="63"/>
  <c r="L56" i="63"/>
  <c r="N54" i="63"/>
  <c r="I51" i="63"/>
  <c r="J50" i="63"/>
  <c r="L48" i="63"/>
  <c r="N46" i="63"/>
  <c r="I43" i="63"/>
  <c r="L40" i="63"/>
  <c r="N65" i="63"/>
  <c r="L55" i="63"/>
  <c r="I69" i="63"/>
  <c r="J68" i="63"/>
  <c r="L66" i="63"/>
  <c r="N64" i="63"/>
  <c r="I57" i="63"/>
  <c r="J56" i="63"/>
  <c r="L54" i="63"/>
  <c r="N52" i="63"/>
  <c r="I49" i="63"/>
  <c r="J48" i="63"/>
  <c r="L46" i="63"/>
  <c r="N44" i="63"/>
  <c r="I41" i="63"/>
  <c r="J40" i="63"/>
  <c r="L38" i="63"/>
  <c r="N36" i="63"/>
  <c r="I58" i="63"/>
  <c r="N80" i="61"/>
  <c r="N77" i="61"/>
  <c r="L80" i="61"/>
  <c r="I84" i="61"/>
  <c r="J80" i="61"/>
  <c r="L84" i="61"/>
  <c r="L77" i="61"/>
  <c r="I80" i="61"/>
  <c r="N84" i="61"/>
  <c r="J84" i="61"/>
  <c r="J77" i="61"/>
  <c r="I77" i="61"/>
  <c r="AF67" i="116" l="1"/>
  <c r="AB126" i="79"/>
  <c r="AF126" i="79"/>
  <c r="AA127" i="79"/>
  <c r="AJ67" i="116"/>
  <c r="AI126" i="79"/>
  <c r="R86" i="72"/>
  <c r="R88" i="72" s="1"/>
  <c r="R75" i="72"/>
  <c r="R82" i="72"/>
  <c r="R84" i="72" s="1"/>
  <c r="R85" i="72" s="1"/>
  <c r="AB112" i="97"/>
  <c r="AE51" i="37"/>
  <c r="AI112" i="97"/>
  <c r="AJ68" i="116"/>
  <c r="AF112" i="97"/>
  <c r="AF68" i="116"/>
  <c r="AB67" i="116"/>
  <c r="AB68" i="116"/>
  <c r="AN47" i="75"/>
  <c r="AL47" i="75"/>
  <c r="AM46" i="118"/>
  <c r="AN46" i="118"/>
  <c r="AM89" i="107"/>
  <c r="AN89" i="107"/>
  <c r="AC86" i="72"/>
  <c r="AC75" i="72"/>
  <c r="AD75" i="72" s="1"/>
  <c r="AC82" i="72"/>
  <c r="AD74" i="72"/>
  <c r="AI60" i="117"/>
  <c r="AF60" i="117"/>
  <c r="AB60" i="117"/>
  <c r="AM37" i="114"/>
  <c r="AN37" i="114"/>
  <c r="AI126" i="85"/>
  <c r="AB126" i="85"/>
  <c r="AF126" i="85"/>
  <c r="AA127" i="85"/>
  <c r="AE58" i="101"/>
  <c r="AA58" i="101"/>
  <c r="AH58" i="101"/>
  <c r="AI58" i="101"/>
  <c r="AL52" i="101"/>
  <c r="AM52" i="101"/>
  <c r="AM93" i="107"/>
  <c r="AN93" i="107"/>
  <c r="AN48" i="118"/>
  <c r="AM48" i="118"/>
  <c r="AI72" i="72"/>
  <c r="AK72" i="72"/>
  <c r="AI57" i="72"/>
  <c r="AK57" i="72"/>
  <c r="AI126" i="81"/>
  <c r="AB126" i="81"/>
  <c r="AF126" i="81"/>
  <c r="AA127" i="81"/>
  <c r="AF96" i="107"/>
  <c r="AA100" i="107"/>
  <c r="AI96" i="107"/>
  <c r="AJ96" i="107"/>
  <c r="AB96" i="107"/>
  <c r="AM51" i="117"/>
  <c r="AN51" i="117"/>
  <c r="AM94" i="107"/>
  <c r="AN94" i="107"/>
  <c r="AI71" i="72"/>
  <c r="AK71" i="72"/>
  <c r="AM58" i="117"/>
  <c r="AN58" i="117"/>
  <c r="AL55" i="101"/>
  <c r="AM55" i="101"/>
  <c r="AL40" i="101"/>
  <c r="AM40" i="101"/>
  <c r="L52" i="72"/>
  <c r="M52" i="72" s="1"/>
  <c r="AI126" i="83"/>
  <c r="AB126" i="83"/>
  <c r="AF126" i="83"/>
  <c r="AA127" i="83"/>
  <c r="AH61" i="72"/>
  <c r="AG89" i="72" s="1"/>
  <c r="AE61" i="72"/>
  <c r="AD89" i="72" s="1"/>
  <c r="AA61" i="72"/>
  <c r="Z62" i="72"/>
  <c r="AA62" i="72" s="1"/>
  <c r="L62" i="72" s="1"/>
  <c r="M62" i="72" s="1"/>
  <c r="AI70" i="72"/>
  <c r="AK70" i="72"/>
  <c r="AM49" i="101"/>
  <c r="AL49" i="101"/>
  <c r="AN53" i="111"/>
  <c r="AM53" i="111"/>
  <c r="AI54" i="72"/>
  <c r="AK54" i="72"/>
  <c r="AN92" i="107"/>
  <c r="AM92" i="107"/>
  <c r="AM87" i="107"/>
  <c r="AN87" i="107"/>
  <c r="AI67" i="72"/>
  <c r="AK67" i="72"/>
  <c r="AI126" i="93"/>
  <c r="AB126" i="93"/>
  <c r="AF126" i="93"/>
  <c r="AA127" i="93"/>
  <c r="AE51" i="72"/>
  <c r="Z52" i="72"/>
  <c r="AA52" i="72" s="1"/>
  <c r="AH51" i="72"/>
  <c r="AA51" i="72"/>
  <c r="AM46" i="117"/>
  <c r="AN46" i="117"/>
  <c r="AH89" i="72"/>
  <c r="N88" i="72"/>
  <c r="AN72" i="88"/>
  <c r="AM72" i="88"/>
  <c r="S75" i="72"/>
  <c r="S82" i="72"/>
  <c r="S84" i="72" s="1"/>
  <c r="S85" i="72" s="1"/>
  <c r="S86" i="72"/>
  <c r="S88" i="72" s="1"/>
  <c r="AN44" i="111"/>
  <c r="AM44" i="111"/>
  <c r="N84" i="72"/>
  <c r="AM70" i="76"/>
  <c r="AN70" i="76"/>
  <c r="AF75" i="72"/>
  <c r="AG75" i="72" s="1"/>
  <c r="AG74" i="72"/>
  <c r="AF86" i="72"/>
  <c r="AF82" i="72"/>
  <c r="Z64" i="72"/>
  <c r="Y86" i="72"/>
  <c r="Y88" i="72" s="1"/>
  <c r="Y75" i="72"/>
  <c r="Y82" i="72"/>
  <c r="Y84" i="72" s="1"/>
  <c r="Y85" i="72" s="1"/>
  <c r="AM72" i="82"/>
  <c r="AN72" i="82"/>
  <c r="AM51" i="100"/>
  <c r="AN51" i="100"/>
  <c r="AF59" i="118"/>
  <c r="AB59" i="118"/>
  <c r="AI59" i="118"/>
  <c r="AI49" i="72"/>
  <c r="AK49" i="72"/>
  <c r="AF122" i="95"/>
  <c r="AI122" i="95"/>
  <c r="AB122" i="95"/>
  <c r="AA123" i="95"/>
  <c r="AE89" i="72"/>
  <c r="U75" i="72"/>
  <c r="U82" i="72"/>
  <c r="U84" i="72" s="1"/>
  <c r="U85" i="72" s="1"/>
  <c r="U86" i="72"/>
  <c r="U88" i="72" s="1"/>
  <c r="AM44" i="117"/>
  <c r="AN44" i="117"/>
  <c r="AI56" i="72"/>
  <c r="AK56" i="72"/>
  <c r="AN72" i="80"/>
  <c r="AM72" i="80"/>
  <c r="AM83" i="107"/>
  <c r="AN83" i="107"/>
  <c r="AM72" i="78"/>
  <c r="AN72" i="78"/>
  <c r="AI126" i="87"/>
  <c r="AB126" i="87"/>
  <c r="AF126" i="87"/>
  <c r="AA127" i="87"/>
  <c r="AB52" i="118"/>
  <c r="AI52" i="118"/>
  <c r="AJ52" i="118"/>
  <c r="AF52" i="118"/>
  <c r="AI55" i="72"/>
  <c r="AK55" i="72"/>
  <c r="AN57" i="118"/>
  <c r="AM57" i="118"/>
  <c r="AI58" i="72"/>
  <c r="AK58" i="72"/>
  <c r="AM91" i="107"/>
  <c r="AN91" i="107"/>
  <c r="AA44" i="72"/>
  <c r="L44" i="72"/>
  <c r="M44" i="72" s="1"/>
  <c r="AH74" i="72"/>
  <c r="AA74" i="72"/>
  <c r="AE74" i="72"/>
  <c r="Z75" i="72"/>
  <c r="AA75" i="72" s="1"/>
  <c r="AM66" i="116"/>
  <c r="AN66" i="116"/>
  <c r="AF148" i="77"/>
  <c r="AI148" i="77"/>
  <c r="AB148" i="77"/>
  <c r="AN88" i="107"/>
  <c r="AM88" i="107"/>
  <c r="AM85" i="107"/>
  <c r="AN85" i="107"/>
  <c r="AN44" i="110"/>
  <c r="AM44" i="110"/>
  <c r="AN84" i="107"/>
  <c r="AM84" i="107"/>
  <c r="AM81" i="107"/>
  <c r="AN81" i="107"/>
  <c r="Q86" i="72"/>
  <c r="Q88" i="72" s="1"/>
  <c r="Q75" i="72"/>
  <c r="Q82" i="72"/>
  <c r="Q84" i="72" s="1"/>
  <c r="Q85" i="72" s="1"/>
  <c r="AI80" i="72"/>
  <c r="AK80" i="72"/>
  <c r="AI126" i="89"/>
  <c r="AB126" i="89"/>
  <c r="AA127" i="89"/>
  <c r="AF126" i="89"/>
  <c r="AM78" i="107"/>
  <c r="AN78" i="107"/>
  <c r="AN67" i="116"/>
  <c r="AM67" i="116"/>
  <c r="AM68" i="116"/>
  <c r="AN68" i="116"/>
  <c r="AI126" i="91"/>
  <c r="AB126" i="91"/>
  <c r="AA127" i="91"/>
  <c r="AF126" i="91"/>
  <c r="AN72" i="84"/>
  <c r="AM72" i="84"/>
  <c r="AI78" i="72"/>
  <c r="AK78" i="72"/>
  <c r="AM58" i="105"/>
  <c r="AN58" i="105"/>
  <c r="AF53" i="117"/>
  <c r="AI53" i="117"/>
  <c r="AJ53" i="117"/>
  <c r="AB53" i="117"/>
  <c r="AM86" i="107"/>
  <c r="AN86" i="107"/>
  <c r="AM63" i="92"/>
  <c r="AN63" i="92"/>
  <c r="AN80" i="107"/>
  <c r="AM80" i="107"/>
  <c r="AM79" i="107"/>
  <c r="AN79" i="107"/>
  <c r="AM77" i="107"/>
  <c r="AN77" i="107"/>
  <c r="AF122" i="66"/>
  <c r="AE64" i="37"/>
  <c r="AA64" i="37"/>
  <c r="AA58" i="63"/>
  <c r="AA41" i="63"/>
  <c r="AA49" i="63"/>
  <c r="AA57" i="63"/>
  <c r="AA69" i="63"/>
  <c r="AA43" i="63"/>
  <c r="AA51" i="63"/>
  <c r="AA63" i="63"/>
  <c r="AA70" i="63"/>
  <c r="AA52" i="63"/>
  <c r="AA64" i="63"/>
  <c r="AA50" i="63"/>
  <c r="AA37" i="63"/>
  <c r="AA45" i="63"/>
  <c r="AA53" i="63"/>
  <c r="AA65" i="63"/>
  <c r="AA42" i="63"/>
  <c r="AA38" i="63"/>
  <c r="AA46" i="63"/>
  <c r="AA54" i="63"/>
  <c r="AA66" i="63"/>
  <c r="AA39" i="63"/>
  <c r="AA47" i="63"/>
  <c r="AA55" i="63"/>
  <c r="AA67" i="63"/>
  <c r="AA36" i="63"/>
  <c r="AA44" i="63"/>
  <c r="AA40" i="63"/>
  <c r="AA48" i="63"/>
  <c r="AA56" i="63"/>
  <c r="AA68" i="63"/>
  <c r="AF126" i="56"/>
  <c r="AB126" i="56"/>
  <c r="AA127" i="56"/>
  <c r="AF49" i="54"/>
  <c r="AF54" i="54"/>
  <c r="AF45" i="54"/>
  <c r="AA127" i="55"/>
  <c r="AF126" i="55"/>
  <c r="AF63" i="54"/>
  <c r="AB69" i="54"/>
  <c r="AF69" i="54"/>
  <c r="AB46" i="54"/>
  <c r="AF46" i="54"/>
  <c r="AB37" i="54"/>
  <c r="AF37" i="54"/>
  <c r="AB126" i="64"/>
  <c r="AA127" i="64"/>
  <c r="AF126" i="64"/>
  <c r="AA127" i="57"/>
  <c r="AF126" i="57"/>
  <c r="AB126" i="57"/>
  <c r="AB51" i="54"/>
  <c r="AF51" i="54"/>
  <c r="AF57" i="54"/>
  <c r="AB67" i="54"/>
  <c r="AF67" i="54"/>
  <c r="AF64" i="54"/>
  <c r="AF43" i="54"/>
  <c r="AB68" i="54"/>
  <c r="AF68" i="54"/>
  <c r="AF55" i="54"/>
  <c r="AB52" i="54"/>
  <c r="AF52" i="54"/>
  <c r="AA127" i="58"/>
  <c r="AF126" i="58"/>
  <c r="AF70" i="54"/>
  <c r="AB56" i="54"/>
  <c r="AF56" i="54"/>
  <c r="AF47" i="54"/>
  <c r="AF38" i="54"/>
  <c r="AB126" i="59"/>
  <c r="AA127" i="59"/>
  <c r="AF126" i="59"/>
  <c r="AB126" i="62"/>
  <c r="AF126" i="62"/>
  <c r="AA127" i="62"/>
  <c r="AF58" i="54"/>
  <c r="AF48" i="54"/>
  <c r="AB39" i="54"/>
  <c r="AF39" i="54"/>
  <c r="AB36" i="54"/>
  <c r="AF36" i="54"/>
  <c r="AA127" i="39"/>
  <c r="AF126" i="39"/>
  <c r="AF50" i="54"/>
  <c r="AF40" i="54"/>
  <c r="AF65" i="54"/>
  <c r="AB44" i="54"/>
  <c r="AF44" i="54"/>
  <c r="AB42" i="54"/>
  <c r="AF42" i="54"/>
  <c r="AB66" i="54"/>
  <c r="AF66" i="54"/>
  <c r="AB53" i="54"/>
  <c r="AF53" i="54"/>
  <c r="AF41" i="54"/>
  <c r="AI43" i="54"/>
  <c r="AI52" i="54"/>
  <c r="AI65" i="54"/>
  <c r="AI38" i="54"/>
  <c r="AN77" i="54"/>
  <c r="AM77" i="54"/>
  <c r="AI51" i="54"/>
  <c r="AI48" i="54"/>
  <c r="AI54" i="54"/>
  <c r="AI64" i="54"/>
  <c r="AN100" i="54"/>
  <c r="AI58" i="54"/>
  <c r="AI49" i="54"/>
  <c r="AI55" i="54"/>
  <c r="AI36" i="54"/>
  <c r="AI68" i="54"/>
  <c r="AI40" i="54"/>
  <c r="AI45" i="54"/>
  <c r="AI47" i="54"/>
  <c r="AI44" i="54"/>
  <c r="AM99" i="54"/>
  <c r="AM84" i="54"/>
  <c r="AI70" i="54"/>
  <c r="AI56" i="54"/>
  <c r="AI67" i="54"/>
  <c r="AI41" i="54"/>
  <c r="AI46" i="54"/>
  <c r="AI50" i="54"/>
  <c r="AI69" i="54"/>
  <c r="AI63" i="54"/>
  <c r="AI66" i="54"/>
  <c r="AI37" i="54"/>
  <c r="AI42" i="54"/>
  <c r="AI57" i="54"/>
  <c r="AI39" i="54"/>
  <c r="AI53" i="54"/>
  <c r="M58" i="63"/>
  <c r="K58" i="63"/>
  <c r="M41" i="63"/>
  <c r="K41" i="63"/>
  <c r="M49" i="63"/>
  <c r="K49" i="63"/>
  <c r="M57" i="63"/>
  <c r="K57" i="63"/>
  <c r="M69" i="63"/>
  <c r="K69" i="63"/>
  <c r="M43" i="63"/>
  <c r="K43" i="63"/>
  <c r="M51" i="63"/>
  <c r="K51" i="63"/>
  <c r="M63" i="63"/>
  <c r="K63" i="63"/>
  <c r="M70" i="63"/>
  <c r="K70" i="63"/>
  <c r="M52" i="63"/>
  <c r="K52" i="63"/>
  <c r="M64" i="63"/>
  <c r="K64" i="63"/>
  <c r="M50" i="63"/>
  <c r="K50" i="63"/>
  <c r="K37" i="63"/>
  <c r="M37" i="63"/>
  <c r="K45" i="63"/>
  <c r="M45" i="63"/>
  <c r="K53" i="63"/>
  <c r="M53" i="63"/>
  <c r="K65" i="63"/>
  <c r="M65" i="63"/>
  <c r="M42" i="63"/>
  <c r="K42" i="63"/>
  <c r="K38" i="63"/>
  <c r="M38" i="63"/>
  <c r="K46" i="63"/>
  <c r="M46" i="63"/>
  <c r="K54" i="63"/>
  <c r="M54" i="63"/>
  <c r="K66" i="63"/>
  <c r="M39" i="63"/>
  <c r="K39" i="63"/>
  <c r="M47" i="63"/>
  <c r="K47" i="63"/>
  <c r="M55" i="63"/>
  <c r="K55" i="63"/>
  <c r="K67" i="63"/>
  <c r="M36" i="63"/>
  <c r="K36" i="63"/>
  <c r="M44" i="63"/>
  <c r="K44" i="63"/>
  <c r="M40" i="63"/>
  <c r="K40" i="63"/>
  <c r="K48" i="63"/>
  <c r="M48" i="63"/>
  <c r="K56" i="63"/>
  <c r="M68" i="63"/>
  <c r="K68" i="63"/>
  <c r="AI84" i="63"/>
  <c r="AF84" i="63"/>
  <c r="AB84" i="63"/>
  <c r="AI80" i="63"/>
  <c r="AF80" i="63"/>
  <c r="AB80" i="63"/>
  <c r="AI77" i="63"/>
  <c r="AF77" i="63"/>
  <c r="AB77" i="63"/>
  <c r="AA77" i="61"/>
  <c r="M77" i="61"/>
  <c r="K77" i="61"/>
  <c r="M80" i="61"/>
  <c r="K80" i="61"/>
  <c r="AA80" i="61"/>
  <c r="M84" i="61"/>
  <c r="K84" i="61"/>
  <c r="AA84" i="61"/>
  <c r="AH70" i="61"/>
  <c r="AH69" i="61"/>
  <c r="AH68" i="61"/>
  <c r="AH67" i="61"/>
  <c r="AH66" i="61"/>
  <c r="AH65" i="61"/>
  <c r="AH64" i="61"/>
  <c r="AH63" i="61"/>
  <c r="AH58" i="61"/>
  <c r="AH57" i="61"/>
  <c r="AH56" i="61"/>
  <c r="AH55" i="61"/>
  <c r="AH54" i="61"/>
  <c r="AH53" i="61"/>
  <c r="AH52" i="61"/>
  <c r="AH51" i="61"/>
  <c r="AH50" i="61"/>
  <c r="AH49" i="61"/>
  <c r="AH48" i="61"/>
  <c r="AH47" i="61"/>
  <c r="AH46" i="61"/>
  <c r="AH45" i="61"/>
  <c r="AH44" i="61"/>
  <c r="AH43" i="61"/>
  <c r="AH42" i="61"/>
  <c r="AH41" i="61"/>
  <c r="AH40" i="61"/>
  <c r="AH39" i="61"/>
  <c r="AH38" i="61"/>
  <c r="AH37" i="61"/>
  <c r="AH36" i="61"/>
  <c r="AH84" i="53"/>
  <c r="AE84" i="53"/>
  <c r="AH80" i="53"/>
  <c r="AE80" i="53"/>
  <c r="AH77" i="53"/>
  <c r="AE77" i="53"/>
  <c r="M67" i="63"/>
  <c r="M56" i="63"/>
  <c r="M66" i="63"/>
  <c r="I68" i="61"/>
  <c r="J67" i="61"/>
  <c r="L65" i="61"/>
  <c r="N63" i="61"/>
  <c r="I56" i="61"/>
  <c r="J55" i="61"/>
  <c r="L53" i="61"/>
  <c r="N51" i="61"/>
  <c r="I48" i="61"/>
  <c r="J47" i="61"/>
  <c r="L45" i="61"/>
  <c r="N43" i="61"/>
  <c r="I40" i="61"/>
  <c r="J39" i="61"/>
  <c r="L37" i="61"/>
  <c r="I39" i="61"/>
  <c r="J38" i="61"/>
  <c r="L36" i="61"/>
  <c r="I46" i="61"/>
  <c r="N41" i="61"/>
  <c r="I69" i="61"/>
  <c r="I57" i="61"/>
  <c r="N36" i="61"/>
  <c r="N70" i="61"/>
  <c r="I67" i="61"/>
  <c r="J66" i="61"/>
  <c r="L64" i="61"/>
  <c r="N58" i="61"/>
  <c r="I55" i="61"/>
  <c r="J54" i="61"/>
  <c r="L52" i="61"/>
  <c r="N50" i="61"/>
  <c r="I47" i="61"/>
  <c r="J46" i="61"/>
  <c r="L44" i="61"/>
  <c r="N42" i="61"/>
  <c r="J37" i="61"/>
  <c r="I37" i="61"/>
  <c r="N39" i="61"/>
  <c r="I36" i="61"/>
  <c r="L48" i="61"/>
  <c r="I43" i="61"/>
  <c r="L40" i="61"/>
  <c r="L66" i="61"/>
  <c r="N64" i="61"/>
  <c r="L46" i="61"/>
  <c r="I41" i="61"/>
  <c r="N69" i="61"/>
  <c r="I66" i="61"/>
  <c r="J65" i="61"/>
  <c r="L63" i="61"/>
  <c r="N57" i="61"/>
  <c r="I54" i="61"/>
  <c r="J53" i="61"/>
  <c r="L51" i="61"/>
  <c r="N49" i="61"/>
  <c r="J45" i="61"/>
  <c r="L43" i="61"/>
  <c r="I38" i="61"/>
  <c r="J36" i="61"/>
  <c r="N38" i="61"/>
  <c r="N52" i="61"/>
  <c r="I49" i="61"/>
  <c r="L38" i="61"/>
  <c r="L70" i="61"/>
  <c r="N68" i="61"/>
  <c r="I65" i="61"/>
  <c r="J64" i="61"/>
  <c r="L58" i="61"/>
  <c r="N56" i="61"/>
  <c r="I53" i="61"/>
  <c r="J52" i="61"/>
  <c r="L50" i="61"/>
  <c r="N48" i="61"/>
  <c r="I45" i="61"/>
  <c r="J44" i="61"/>
  <c r="L42" i="61"/>
  <c r="N40" i="61"/>
  <c r="L41" i="61"/>
  <c r="J42" i="61"/>
  <c r="J56" i="61"/>
  <c r="J40" i="61"/>
  <c r="L69" i="61"/>
  <c r="N67" i="61"/>
  <c r="I64" i="61"/>
  <c r="J63" i="61"/>
  <c r="L57" i="61"/>
  <c r="N55" i="61"/>
  <c r="I52" i="61"/>
  <c r="J51" i="61"/>
  <c r="L49" i="61"/>
  <c r="N47" i="61"/>
  <c r="I44" i="61"/>
  <c r="J43" i="61"/>
  <c r="J70" i="61"/>
  <c r="L68" i="61"/>
  <c r="N66" i="61"/>
  <c r="I63" i="61"/>
  <c r="J58" i="61"/>
  <c r="L56" i="61"/>
  <c r="N54" i="61"/>
  <c r="I51" i="61"/>
  <c r="J50" i="61"/>
  <c r="N46" i="61"/>
  <c r="J48" i="61"/>
  <c r="N44" i="61"/>
  <c r="I70" i="61"/>
  <c r="J69" i="61"/>
  <c r="L67" i="61"/>
  <c r="N65" i="61"/>
  <c r="I58" i="61"/>
  <c r="J57" i="61"/>
  <c r="L55" i="61"/>
  <c r="N53" i="61"/>
  <c r="I50" i="61"/>
  <c r="J49" i="61"/>
  <c r="L47" i="61"/>
  <c r="N45" i="61"/>
  <c r="I42" i="61"/>
  <c r="J41" i="61"/>
  <c r="L39" i="61"/>
  <c r="N37" i="61"/>
  <c r="J68" i="61"/>
  <c r="L54" i="61"/>
  <c r="N80" i="53"/>
  <c r="N77" i="53"/>
  <c r="L80" i="53"/>
  <c r="L77" i="53"/>
  <c r="I84" i="53"/>
  <c r="L84" i="53"/>
  <c r="J80" i="53"/>
  <c r="J84" i="53"/>
  <c r="I80" i="53"/>
  <c r="J77" i="53"/>
  <c r="I77" i="53"/>
  <c r="N84" i="53"/>
  <c r="L75" i="72" l="1"/>
  <c r="M75" i="72" s="1"/>
  <c r="AD86" i="72"/>
  <c r="AC88" i="72"/>
  <c r="AD88" i="72" s="1"/>
  <c r="AI61" i="72"/>
  <c r="AK61" i="72"/>
  <c r="AI51" i="72"/>
  <c r="AK51" i="72"/>
  <c r="AL58" i="101"/>
  <c r="AM58" i="101"/>
  <c r="Z82" i="72"/>
  <c r="AI74" i="72"/>
  <c r="AK74" i="72"/>
  <c r="AE64" i="72"/>
  <c r="AH64" i="72"/>
  <c r="AA64" i="72"/>
  <c r="N85" i="72"/>
  <c r="Z84" i="72"/>
  <c r="Z88" i="72"/>
  <c r="AM53" i="117"/>
  <c r="AN53" i="117"/>
  <c r="AF84" i="72"/>
  <c r="AG82" i="72"/>
  <c r="Z86" i="72"/>
  <c r="AN96" i="107"/>
  <c r="AM96" i="107"/>
  <c r="AG86" i="72"/>
  <c r="AF88" i="72"/>
  <c r="AG88" i="72" s="1"/>
  <c r="AC84" i="72"/>
  <c r="AD82" i="72"/>
  <c r="AM52" i="118"/>
  <c r="AN52" i="118"/>
  <c r="AA42" i="61"/>
  <c r="AA50" i="61"/>
  <c r="AA58" i="61"/>
  <c r="AA70" i="61"/>
  <c r="AA51" i="61"/>
  <c r="AA63" i="61"/>
  <c r="AA44" i="61"/>
  <c r="AA52" i="61"/>
  <c r="AA64" i="61"/>
  <c r="AA45" i="61"/>
  <c r="AA53" i="61"/>
  <c r="AA65" i="61"/>
  <c r="AA49" i="61"/>
  <c r="AA38" i="61"/>
  <c r="AA54" i="61"/>
  <c r="AA66" i="61"/>
  <c r="AA41" i="61"/>
  <c r="AA43" i="61"/>
  <c r="AA36" i="61"/>
  <c r="AA37" i="61"/>
  <c r="AA47" i="61"/>
  <c r="AA55" i="61"/>
  <c r="AA67" i="61"/>
  <c r="AA57" i="61"/>
  <c r="AA69" i="61"/>
  <c r="AA46" i="61"/>
  <c r="AA39" i="61"/>
  <c r="AA40" i="61"/>
  <c r="AA48" i="61"/>
  <c r="AA56" i="61"/>
  <c r="AA68" i="61"/>
  <c r="AB55" i="63"/>
  <c r="AF55" i="63"/>
  <c r="AF65" i="63"/>
  <c r="AB63" i="63"/>
  <c r="AF63" i="63"/>
  <c r="AB68" i="63"/>
  <c r="AF68" i="63"/>
  <c r="AB47" i="63"/>
  <c r="AF47" i="63"/>
  <c r="AB53" i="63"/>
  <c r="AF53" i="63"/>
  <c r="AB51" i="63"/>
  <c r="AF51" i="63"/>
  <c r="AB56" i="63"/>
  <c r="AF56" i="63"/>
  <c r="AB39" i="63"/>
  <c r="AF39" i="63"/>
  <c r="AB45" i="63"/>
  <c r="AF45" i="63"/>
  <c r="AB43" i="63"/>
  <c r="AF43" i="63"/>
  <c r="AB48" i="63"/>
  <c r="AF48" i="63"/>
  <c r="AB66" i="63"/>
  <c r="AF66" i="63"/>
  <c r="AB37" i="63"/>
  <c r="AF37" i="63"/>
  <c r="AB69" i="63"/>
  <c r="AF69" i="63"/>
  <c r="AB40" i="63"/>
  <c r="AF40" i="63"/>
  <c r="AB54" i="63"/>
  <c r="AF54" i="63"/>
  <c r="AF50" i="63"/>
  <c r="AB57" i="63"/>
  <c r="AF57" i="63"/>
  <c r="AB44" i="63"/>
  <c r="AF44" i="63"/>
  <c r="AB46" i="63"/>
  <c r="AF46" i="63"/>
  <c r="AB64" i="63"/>
  <c r="AF64" i="63"/>
  <c r="AB49" i="63"/>
  <c r="AF49" i="63"/>
  <c r="AB36" i="63"/>
  <c r="AF36" i="63"/>
  <c r="AB38" i="63"/>
  <c r="AF38" i="63"/>
  <c r="AB52" i="63"/>
  <c r="AF52" i="63"/>
  <c r="AF41" i="63"/>
  <c r="AB67" i="63"/>
  <c r="AF67" i="63"/>
  <c r="AB42" i="63"/>
  <c r="AF42" i="63"/>
  <c r="AB70" i="63"/>
  <c r="AF70" i="63"/>
  <c r="AB58" i="63"/>
  <c r="AF58" i="63"/>
  <c r="AN66" i="54"/>
  <c r="AM66" i="54"/>
  <c r="AN46" i="54"/>
  <c r="AM46" i="54"/>
  <c r="AM52" i="54"/>
  <c r="AN52" i="54"/>
  <c r="AN53" i="54"/>
  <c r="AM53" i="54"/>
  <c r="AN37" i="54"/>
  <c r="AM37" i="54"/>
  <c r="AN69" i="54"/>
  <c r="AM69" i="54"/>
  <c r="AN51" i="54"/>
  <c r="AM51" i="54"/>
  <c r="AM42" i="54"/>
  <c r="AN42" i="54"/>
  <c r="AM36" i="54"/>
  <c r="AN36" i="54"/>
  <c r="AN67" i="54"/>
  <c r="AM67" i="54"/>
  <c r="AN39" i="54"/>
  <c r="AM39" i="54"/>
  <c r="AM44" i="54"/>
  <c r="AN44" i="54"/>
  <c r="AN68" i="54"/>
  <c r="AM68" i="54"/>
  <c r="AN56" i="54"/>
  <c r="AM56" i="54"/>
  <c r="AI56" i="63"/>
  <c r="AI46" i="63"/>
  <c r="AI63" i="63"/>
  <c r="AI49" i="63"/>
  <c r="AI36" i="63"/>
  <c r="AI38" i="63"/>
  <c r="AI51" i="63"/>
  <c r="AI69" i="63"/>
  <c r="AI55" i="63"/>
  <c r="AI37" i="63"/>
  <c r="AI53" i="63"/>
  <c r="AI41" i="63"/>
  <c r="AI65" i="63"/>
  <c r="AI48" i="63"/>
  <c r="AI52" i="63"/>
  <c r="AI47" i="63"/>
  <c r="AI54" i="63"/>
  <c r="AI66" i="63"/>
  <c r="AM80" i="63"/>
  <c r="AN80" i="63"/>
  <c r="AI40" i="63"/>
  <c r="AI43" i="63"/>
  <c r="AI57" i="63"/>
  <c r="AI68" i="63"/>
  <c r="AI50" i="63"/>
  <c r="AM77" i="63"/>
  <c r="AN77" i="63"/>
  <c r="AN84" i="63"/>
  <c r="AM84" i="63"/>
  <c r="AI44" i="63"/>
  <c r="AI67" i="63"/>
  <c r="AI39" i="63"/>
  <c r="AI42" i="63"/>
  <c r="AI45" i="63"/>
  <c r="AI64" i="63"/>
  <c r="AI70" i="63"/>
  <c r="AI58" i="63"/>
  <c r="M42" i="61"/>
  <c r="K42" i="61"/>
  <c r="M50" i="61"/>
  <c r="K50" i="61"/>
  <c r="M58" i="61"/>
  <c r="K58" i="61"/>
  <c r="M70" i="61"/>
  <c r="K70" i="61"/>
  <c r="M51" i="61"/>
  <c r="K51" i="61"/>
  <c r="M63" i="61"/>
  <c r="K63" i="61"/>
  <c r="M44" i="61"/>
  <c r="K44" i="61"/>
  <c r="M52" i="61"/>
  <c r="K52" i="61"/>
  <c r="M64" i="61"/>
  <c r="K64" i="61"/>
  <c r="K45" i="61"/>
  <c r="M45" i="61"/>
  <c r="M53" i="61"/>
  <c r="K53" i="61"/>
  <c r="K65" i="61"/>
  <c r="M65" i="61"/>
  <c r="K49" i="61"/>
  <c r="M49" i="61"/>
  <c r="K38" i="61"/>
  <c r="M38" i="61"/>
  <c r="K54" i="61"/>
  <c r="M54" i="61"/>
  <c r="K66" i="61"/>
  <c r="M41" i="61"/>
  <c r="K41" i="61"/>
  <c r="M43" i="61"/>
  <c r="K43" i="61"/>
  <c r="M36" i="61"/>
  <c r="K36" i="61"/>
  <c r="K37" i="61"/>
  <c r="M37" i="61"/>
  <c r="K47" i="61"/>
  <c r="M47" i="61"/>
  <c r="M55" i="61"/>
  <c r="K55" i="61"/>
  <c r="K67" i="61"/>
  <c r="M57" i="61"/>
  <c r="K57" i="61"/>
  <c r="M69" i="61"/>
  <c r="K69" i="61"/>
  <c r="K46" i="61"/>
  <c r="M46" i="61"/>
  <c r="M39" i="61"/>
  <c r="K39" i="61"/>
  <c r="M40" i="61"/>
  <c r="K40" i="61"/>
  <c r="M48" i="61"/>
  <c r="K48" i="61"/>
  <c r="K56" i="61"/>
  <c r="M68" i="61"/>
  <c r="K68" i="61"/>
  <c r="AI80" i="61"/>
  <c r="AF80" i="61"/>
  <c r="AB80" i="61"/>
  <c r="AI84" i="61"/>
  <c r="AF84" i="61"/>
  <c r="AB84" i="61"/>
  <c r="AI77" i="61"/>
  <c r="AF77" i="61"/>
  <c r="AB77" i="61"/>
  <c r="AA77" i="53"/>
  <c r="M77" i="53"/>
  <c r="K77" i="53"/>
  <c r="M80" i="53"/>
  <c r="K80" i="53"/>
  <c r="AA80" i="53"/>
  <c r="M84" i="53"/>
  <c r="K84" i="53"/>
  <c r="AA84" i="53"/>
  <c r="AH70" i="53"/>
  <c r="AH69" i="53"/>
  <c r="AH68" i="53"/>
  <c r="AH67" i="53"/>
  <c r="AH66" i="53"/>
  <c r="AH65" i="53"/>
  <c r="AH64" i="53"/>
  <c r="AH63" i="53"/>
  <c r="AH58" i="53"/>
  <c r="AH57" i="53"/>
  <c r="AH56" i="53"/>
  <c r="AH55" i="53"/>
  <c r="AH54" i="53"/>
  <c r="AH53" i="53"/>
  <c r="AH52" i="53"/>
  <c r="AH51" i="53"/>
  <c r="AH50" i="53"/>
  <c r="AH49" i="53"/>
  <c r="AH48" i="53"/>
  <c r="AH47" i="53"/>
  <c r="AH46" i="53"/>
  <c r="AH45" i="53"/>
  <c r="AH44" i="53"/>
  <c r="AH43" i="53"/>
  <c r="AH42" i="53"/>
  <c r="AH41" i="53"/>
  <c r="AH40" i="53"/>
  <c r="AH39" i="53"/>
  <c r="AH38" i="53"/>
  <c r="AH37" i="53"/>
  <c r="AH36" i="53"/>
  <c r="AH84" i="52"/>
  <c r="AE84" i="52"/>
  <c r="AH80" i="52"/>
  <c r="AE80" i="52"/>
  <c r="AH77" i="52"/>
  <c r="AE77" i="52"/>
  <c r="M67" i="61"/>
  <c r="M56" i="61"/>
  <c r="M66" i="61"/>
  <c r="I68" i="53"/>
  <c r="J67" i="53"/>
  <c r="L65" i="53"/>
  <c r="N63" i="53"/>
  <c r="I56" i="53"/>
  <c r="J55" i="53"/>
  <c r="L53" i="53"/>
  <c r="N51" i="53"/>
  <c r="I48" i="53"/>
  <c r="J47" i="53"/>
  <c r="L45" i="53"/>
  <c r="N43" i="53"/>
  <c r="I40" i="53"/>
  <c r="J39" i="53"/>
  <c r="L37" i="53"/>
  <c r="N50" i="53"/>
  <c r="J46" i="53"/>
  <c r="L44" i="53"/>
  <c r="J38" i="53"/>
  <c r="L36" i="53"/>
  <c r="J69" i="53"/>
  <c r="J57" i="53"/>
  <c r="N70" i="53"/>
  <c r="I67" i="53"/>
  <c r="J66" i="53"/>
  <c r="L64" i="53"/>
  <c r="N58" i="53"/>
  <c r="I55" i="53"/>
  <c r="J54" i="53"/>
  <c r="L52" i="53"/>
  <c r="I47" i="53"/>
  <c r="N42" i="53"/>
  <c r="I39" i="53"/>
  <c r="I37" i="53"/>
  <c r="L47" i="53"/>
  <c r="N69" i="53"/>
  <c r="I66" i="53"/>
  <c r="J65" i="53"/>
  <c r="L63" i="53"/>
  <c r="N57" i="53"/>
  <c r="I54" i="53"/>
  <c r="J53" i="53"/>
  <c r="L51" i="53"/>
  <c r="N49" i="53"/>
  <c r="I46" i="53"/>
  <c r="J45" i="53"/>
  <c r="L43" i="53"/>
  <c r="N41" i="53"/>
  <c r="I38" i="53"/>
  <c r="J37" i="53"/>
  <c r="J36" i="53"/>
  <c r="I36" i="53"/>
  <c r="J42" i="53"/>
  <c r="N38" i="53"/>
  <c r="L55" i="53"/>
  <c r="N37" i="53"/>
  <c r="L70" i="53"/>
  <c r="N68" i="53"/>
  <c r="I65" i="53"/>
  <c r="J64" i="53"/>
  <c r="L58" i="53"/>
  <c r="N56" i="53"/>
  <c r="I53" i="53"/>
  <c r="J52" i="53"/>
  <c r="L50" i="53"/>
  <c r="N48" i="53"/>
  <c r="I45" i="53"/>
  <c r="J44" i="53"/>
  <c r="L42" i="53"/>
  <c r="N40" i="53"/>
  <c r="N39" i="53"/>
  <c r="I43" i="53"/>
  <c r="I70" i="53"/>
  <c r="L67" i="53"/>
  <c r="N65" i="53"/>
  <c r="I58" i="53"/>
  <c r="N53" i="53"/>
  <c r="I50" i="53"/>
  <c r="I42" i="53"/>
  <c r="L39" i="53"/>
  <c r="L69" i="53"/>
  <c r="N67" i="53"/>
  <c r="I64" i="53"/>
  <c r="J63" i="53"/>
  <c r="L57" i="53"/>
  <c r="N55" i="53"/>
  <c r="I52" i="53"/>
  <c r="J51" i="53"/>
  <c r="L49" i="53"/>
  <c r="N47" i="53"/>
  <c r="I44" i="53"/>
  <c r="J43" i="53"/>
  <c r="L41" i="53"/>
  <c r="J70" i="53"/>
  <c r="L68" i="53"/>
  <c r="N66" i="53"/>
  <c r="I63" i="53"/>
  <c r="J58" i="53"/>
  <c r="L56" i="53"/>
  <c r="N54" i="53"/>
  <c r="I51" i="53"/>
  <c r="J50" i="53"/>
  <c r="L48" i="53"/>
  <c r="N46" i="53"/>
  <c r="L40" i="53"/>
  <c r="J41" i="53"/>
  <c r="I69" i="53"/>
  <c r="J68" i="53"/>
  <c r="L66" i="53"/>
  <c r="N64" i="53"/>
  <c r="I57" i="53"/>
  <c r="J56" i="53"/>
  <c r="L54" i="53"/>
  <c r="N52" i="53"/>
  <c r="I49" i="53"/>
  <c r="J48" i="53"/>
  <c r="L46" i="53"/>
  <c r="N44" i="53"/>
  <c r="I41" i="53"/>
  <c r="J40" i="53"/>
  <c r="L38" i="53"/>
  <c r="N36" i="53"/>
  <c r="J49" i="53"/>
  <c r="N45" i="53"/>
  <c r="N80" i="52"/>
  <c r="N77" i="52"/>
  <c r="L84" i="52"/>
  <c r="J80" i="52"/>
  <c r="L80" i="52"/>
  <c r="L77" i="52"/>
  <c r="I84" i="52"/>
  <c r="I80" i="52"/>
  <c r="J77" i="52"/>
  <c r="J84" i="52"/>
  <c r="I77" i="52"/>
  <c r="N84" i="52"/>
  <c r="AE84" i="72" l="1"/>
  <c r="AH84" i="72"/>
  <c r="AA84" i="72"/>
  <c r="Z85" i="72"/>
  <c r="AA85" i="72" s="1"/>
  <c r="AD84" i="72"/>
  <c r="AC85" i="72"/>
  <c r="AD85" i="72" s="1"/>
  <c r="AI64" i="72"/>
  <c r="AK64" i="72"/>
  <c r="AA86" i="72"/>
  <c r="AH86" i="72"/>
  <c r="AE86" i="72"/>
  <c r="AG84" i="72"/>
  <c r="AF85" i="72"/>
  <c r="AG85" i="72" s="1"/>
  <c r="AE88" i="72"/>
  <c r="AH88" i="72"/>
  <c r="AA88" i="72"/>
  <c r="AA82" i="72"/>
  <c r="AH82" i="72"/>
  <c r="AE82" i="72"/>
  <c r="AA41" i="53"/>
  <c r="AA49" i="53"/>
  <c r="AA57" i="53"/>
  <c r="AA69" i="53"/>
  <c r="AA51" i="53"/>
  <c r="AA63" i="53"/>
  <c r="AA44" i="53"/>
  <c r="AA52" i="53"/>
  <c r="AA64" i="53"/>
  <c r="AA42" i="53"/>
  <c r="AA50" i="53"/>
  <c r="AA58" i="53"/>
  <c r="AA70" i="53"/>
  <c r="AA43" i="53"/>
  <c r="AA45" i="53"/>
  <c r="AA53" i="53"/>
  <c r="AA65" i="53"/>
  <c r="AA36" i="53"/>
  <c r="AA38" i="53"/>
  <c r="AA46" i="53"/>
  <c r="AA54" i="53"/>
  <c r="AA66" i="53"/>
  <c r="AA37" i="53"/>
  <c r="AA39" i="53"/>
  <c r="AA47" i="53"/>
  <c r="AA55" i="53"/>
  <c r="AA67" i="53"/>
  <c r="AA40" i="53"/>
  <c r="AA48" i="53"/>
  <c r="AA56" i="53"/>
  <c r="AA68" i="53"/>
  <c r="AB57" i="61"/>
  <c r="AF57" i="61"/>
  <c r="AB66" i="61"/>
  <c r="AF66" i="61"/>
  <c r="AB52" i="61"/>
  <c r="AF52" i="61"/>
  <c r="AB68" i="61"/>
  <c r="AF68" i="61"/>
  <c r="AB67" i="61"/>
  <c r="AF67" i="61"/>
  <c r="AB54" i="61"/>
  <c r="AF54" i="61"/>
  <c r="AB44" i="61"/>
  <c r="AF44" i="61"/>
  <c r="AB56" i="61"/>
  <c r="AF56" i="61"/>
  <c r="AB55" i="61"/>
  <c r="AF55" i="61"/>
  <c r="AB38" i="61"/>
  <c r="AF38" i="61"/>
  <c r="AB63" i="61"/>
  <c r="AF63" i="61"/>
  <c r="AB48" i="61"/>
  <c r="AF48" i="61"/>
  <c r="AB47" i="61"/>
  <c r="AF47" i="61"/>
  <c r="AB49" i="61"/>
  <c r="AF49" i="61"/>
  <c r="AB51" i="61"/>
  <c r="AF51" i="61"/>
  <c r="AB40" i="61"/>
  <c r="AF40" i="61"/>
  <c r="AB37" i="61"/>
  <c r="AF37" i="61"/>
  <c r="AF65" i="61"/>
  <c r="AB70" i="61"/>
  <c r="AF70" i="61"/>
  <c r="AB39" i="61"/>
  <c r="AF39" i="61"/>
  <c r="AB36" i="61"/>
  <c r="AF36" i="61"/>
  <c r="AB53" i="61"/>
  <c r="AF53" i="61"/>
  <c r="AB58" i="61"/>
  <c r="AF58" i="61"/>
  <c r="AB46" i="61"/>
  <c r="AF46" i="61"/>
  <c r="AB43" i="61"/>
  <c r="AF43" i="61"/>
  <c r="AB45" i="61"/>
  <c r="AF45" i="61"/>
  <c r="AF50" i="61"/>
  <c r="AB69" i="61"/>
  <c r="AF69" i="61"/>
  <c r="AF41" i="61"/>
  <c r="AB64" i="61"/>
  <c r="AF64" i="61"/>
  <c r="AB42" i="61"/>
  <c r="AF42" i="61"/>
  <c r="AN67" i="63"/>
  <c r="AM67" i="63"/>
  <c r="AN44" i="63"/>
  <c r="AM44" i="63"/>
  <c r="AN47" i="63"/>
  <c r="AM47" i="63"/>
  <c r="AN38" i="63"/>
  <c r="AM38" i="63"/>
  <c r="AM37" i="63"/>
  <c r="AN37" i="63"/>
  <c r="AN48" i="63"/>
  <c r="AM48" i="63"/>
  <c r="AM69" i="63"/>
  <c r="AN69" i="63"/>
  <c r="AM49" i="63"/>
  <c r="AN49" i="63"/>
  <c r="AN43" i="63"/>
  <c r="AM43" i="63"/>
  <c r="AN46" i="63"/>
  <c r="AM46" i="63"/>
  <c r="AN52" i="63"/>
  <c r="AM52" i="63"/>
  <c r="AM51" i="63"/>
  <c r="AN51" i="63"/>
  <c r="AN68" i="63"/>
  <c r="AM68" i="63"/>
  <c r="AN70" i="63"/>
  <c r="AM70" i="63"/>
  <c r="AM45" i="63"/>
  <c r="AN45" i="63"/>
  <c r="AM57" i="63"/>
  <c r="AN57" i="63"/>
  <c r="AN40" i="63"/>
  <c r="AM40" i="63"/>
  <c r="AN54" i="63"/>
  <c r="AM54" i="63"/>
  <c r="AN53" i="63"/>
  <c r="AM53" i="63"/>
  <c r="AM63" i="63"/>
  <c r="AN63" i="63"/>
  <c r="AN66" i="63"/>
  <c r="AM66" i="63"/>
  <c r="AN58" i="63"/>
  <c r="AM58" i="63"/>
  <c r="AN64" i="63"/>
  <c r="AM64" i="63"/>
  <c r="AN42" i="63"/>
  <c r="AM42" i="63"/>
  <c r="AN55" i="63"/>
  <c r="AM55" i="63"/>
  <c r="AN36" i="63"/>
  <c r="AM36" i="63"/>
  <c r="AN39" i="63"/>
  <c r="AM39" i="63"/>
  <c r="AN56" i="63"/>
  <c r="AM56" i="63"/>
  <c r="AI41" i="61"/>
  <c r="AI38" i="61"/>
  <c r="AI66" i="61"/>
  <c r="AI51" i="61"/>
  <c r="AI58" i="61"/>
  <c r="AI57" i="61"/>
  <c r="AI47" i="61"/>
  <c r="AI43" i="61"/>
  <c r="AI45" i="61"/>
  <c r="AN80" i="61"/>
  <c r="AM80" i="61"/>
  <c r="AI36" i="61"/>
  <c r="AI56" i="61"/>
  <c r="AM84" i="61"/>
  <c r="AN84" i="61"/>
  <c r="AI48" i="61"/>
  <c r="AI46" i="61"/>
  <c r="AI49" i="61"/>
  <c r="AI44" i="61"/>
  <c r="AM77" i="61"/>
  <c r="AN77" i="61"/>
  <c r="AI53" i="61"/>
  <c r="AI54" i="61"/>
  <c r="AI50" i="61"/>
  <c r="AI69" i="61"/>
  <c r="AI55" i="61"/>
  <c r="AI52" i="61"/>
  <c r="AI68" i="61"/>
  <c r="AI67" i="61"/>
  <c r="AI37" i="61"/>
  <c r="AI65" i="61"/>
  <c r="AI64" i="61"/>
  <c r="AI42" i="61"/>
  <c r="AI39" i="61"/>
  <c r="AI40" i="61"/>
  <c r="AI63" i="61"/>
  <c r="AI70" i="61"/>
  <c r="K41" i="53"/>
  <c r="M41" i="53"/>
  <c r="M49" i="53"/>
  <c r="K49" i="53"/>
  <c r="M57" i="53"/>
  <c r="K57" i="53"/>
  <c r="M69" i="53"/>
  <c r="K69" i="53"/>
  <c r="M51" i="53"/>
  <c r="K51" i="53"/>
  <c r="M63" i="53"/>
  <c r="K63" i="53"/>
  <c r="M44" i="53"/>
  <c r="K44" i="53"/>
  <c r="M52" i="53"/>
  <c r="K52" i="53"/>
  <c r="M64" i="53"/>
  <c r="K64" i="53"/>
  <c r="M42" i="53"/>
  <c r="K42" i="53"/>
  <c r="M50" i="53"/>
  <c r="K50" i="53"/>
  <c r="M58" i="53"/>
  <c r="K58" i="53"/>
  <c r="M70" i="53"/>
  <c r="K70" i="53"/>
  <c r="M43" i="53"/>
  <c r="K43" i="53"/>
  <c r="K45" i="53"/>
  <c r="M45" i="53"/>
  <c r="K53" i="53"/>
  <c r="M53" i="53"/>
  <c r="K65" i="53"/>
  <c r="M65" i="53"/>
  <c r="M36" i="53"/>
  <c r="K36" i="53"/>
  <c r="K38" i="53"/>
  <c r="M38" i="53"/>
  <c r="K46" i="53"/>
  <c r="M46" i="53"/>
  <c r="K54" i="53"/>
  <c r="M54" i="53"/>
  <c r="K66" i="53"/>
  <c r="K37" i="53"/>
  <c r="M37" i="53"/>
  <c r="M39" i="53"/>
  <c r="K39" i="53"/>
  <c r="M47" i="53"/>
  <c r="K47" i="53"/>
  <c r="M55" i="53"/>
  <c r="K55" i="53"/>
  <c r="K67" i="53"/>
  <c r="M40" i="53"/>
  <c r="K40" i="53"/>
  <c r="K48" i="53"/>
  <c r="M48" i="53"/>
  <c r="K56" i="53"/>
  <c r="K68" i="53"/>
  <c r="M68" i="53"/>
  <c r="AF80" i="53"/>
  <c r="AI80" i="53"/>
  <c r="AB80" i="53"/>
  <c r="AI84" i="53"/>
  <c r="AF84" i="53"/>
  <c r="AB84" i="53"/>
  <c r="AF77" i="53"/>
  <c r="AI77" i="53"/>
  <c r="AB77" i="53"/>
  <c r="AA77" i="52"/>
  <c r="M77" i="52"/>
  <c r="K77" i="52"/>
  <c r="M80" i="52"/>
  <c r="K80" i="52"/>
  <c r="AA80" i="52"/>
  <c r="M84" i="52"/>
  <c r="K84" i="52"/>
  <c r="AA84" i="52"/>
  <c r="AH70" i="52"/>
  <c r="AH69" i="52"/>
  <c r="AH68" i="52"/>
  <c r="AH67" i="52"/>
  <c r="AH66" i="52"/>
  <c r="AH65" i="52"/>
  <c r="AH64" i="52"/>
  <c r="AH63" i="52"/>
  <c r="AH58" i="52"/>
  <c r="AH57" i="52"/>
  <c r="AH56" i="52"/>
  <c r="AH55" i="52"/>
  <c r="AH54" i="52"/>
  <c r="AH53" i="52"/>
  <c r="AH52" i="52"/>
  <c r="AH51" i="52"/>
  <c r="AH50" i="52"/>
  <c r="AH49" i="52"/>
  <c r="AH48" i="52"/>
  <c r="AH47" i="52"/>
  <c r="AH46" i="52"/>
  <c r="AH45" i="52"/>
  <c r="AH44" i="52"/>
  <c r="AH43" i="52"/>
  <c r="AH42" i="52"/>
  <c r="AH41" i="52"/>
  <c r="AH40" i="52"/>
  <c r="AH39" i="52"/>
  <c r="AH38" i="52"/>
  <c r="AH37" i="52"/>
  <c r="AH36" i="52"/>
  <c r="AH95" i="51"/>
  <c r="AH94" i="51"/>
  <c r="AH93" i="51"/>
  <c r="AH92" i="51"/>
  <c r="AH89" i="51"/>
  <c r="AH84" i="51"/>
  <c r="AH83" i="51"/>
  <c r="AH77" i="51"/>
  <c r="AE77" i="51"/>
  <c r="M66" i="53"/>
  <c r="M56" i="53"/>
  <c r="M67" i="53"/>
  <c r="I68" i="52"/>
  <c r="J67" i="52"/>
  <c r="L65" i="52"/>
  <c r="N63" i="52"/>
  <c r="I56" i="52"/>
  <c r="J55" i="52"/>
  <c r="L53" i="52"/>
  <c r="N51" i="52"/>
  <c r="I48" i="52"/>
  <c r="J47" i="52"/>
  <c r="L45" i="52"/>
  <c r="N43" i="52"/>
  <c r="I40" i="52"/>
  <c r="J39" i="52"/>
  <c r="L37" i="52"/>
  <c r="N48" i="52"/>
  <c r="I37" i="52"/>
  <c r="L40" i="52"/>
  <c r="J69" i="52"/>
  <c r="L67" i="52"/>
  <c r="N70" i="52"/>
  <c r="I67" i="52"/>
  <c r="J66" i="52"/>
  <c r="L64" i="52"/>
  <c r="N58" i="52"/>
  <c r="I55" i="52"/>
  <c r="J54" i="52"/>
  <c r="L52" i="52"/>
  <c r="N50" i="52"/>
  <c r="I47" i="52"/>
  <c r="J46" i="52"/>
  <c r="L44" i="52"/>
  <c r="N42" i="52"/>
  <c r="I39" i="52"/>
  <c r="J38" i="52"/>
  <c r="L36" i="52"/>
  <c r="J44" i="52"/>
  <c r="N40" i="52"/>
  <c r="I36" i="52"/>
  <c r="N45" i="52"/>
  <c r="N69" i="52"/>
  <c r="I66" i="52"/>
  <c r="J65" i="52"/>
  <c r="L63" i="52"/>
  <c r="N57" i="52"/>
  <c r="I54" i="52"/>
  <c r="J53" i="52"/>
  <c r="L51" i="52"/>
  <c r="N49" i="52"/>
  <c r="I46" i="52"/>
  <c r="J45" i="52"/>
  <c r="L43" i="52"/>
  <c r="N41" i="52"/>
  <c r="I38" i="52"/>
  <c r="J37" i="52"/>
  <c r="I45" i="52"/>
  <c r="I70" i="52"/>
  <c r="J57" i="52"/>
  <c r="N37" i="52"/>
  <c r="L70" i="52"/>
  <c r="N68" i="52"/>
  <c r="I65" i="52"/>
  <c r="J64" i="52"/>
  <c r="L58" i="52"/>
  <c r="N56" i="52"/>
  <c r="I53" i="52"/>
  <c r="J52" i="52"/>
  <c r="L50" i="52"/>
  <c r="L42" i="52"/>
  <c r="J36" i="52"/>
  <c r="L55" i="52"/>
  <c r="L39" i="52"/>
  <c r="L69" i="52"/>
  <c r="N67" i="52"/>
  <c r="I64" i="52"/>
  <c r="J63" i="52"/>
  <c r="L57" i="52"/>
  <c r="N55" i="52"/>
  <c r="I52" i="52"/>
  <c r="J51" i="52"/>
  <c r="L49" i="52"/>
  <c r="N47" i="52"/>
  <c r="I44" i="52"/>
  <c r="J43" i="52"/>
  <c r="L41" i="52"/>
  <c r="N39" i="52"/>
  <c r="N38" i="52"/>
  <c r="J49" i="52"/>
  <c r="J41" i="52"/>
  <c r="J70" i="52"/>
  <c r="L68" i="52"/>
  <c r="N66" i="52"/>
  <c r="I63" i="52"/>
  <c r="J58" i="52"/>
  <c r="L56" i="52"/>
  <c r="N54" i="52"/>
  <c r="I51" i="52"/>
  <c r="J50" i="52"/>
  <c r="L48" i="52"/>
  <c r="N46" i="52"/>
  <c r="I43" i="52"/>
  <c r="J42" i="52"/>
  <c r="N65" i="52"/>
  <c r="N53" i="52"/>
  <c r="I50" i="52"/>
  <c r="L47" i="52"/>
  <c r="I42" i="52"/>
  <c r="I69" i="52"/>
  <c r="J68" i="52"/>
  <c r="L66" i="52"/>
  <c r="N64" i="52"/>
  <c r="I57" i="52"/>
  <c r="J56" i="52"/>
  <c r="L54" i="52"/>
  <c r="N52" i="52"/>
  <c r="I49" i="52"/>
  <c r="J48" i="52"/>
  <c r="L46" i="52"/>
  <c r="N44" i="52"/>
  <c r="I41" i="52"/>
  <c r="J40" i="52"/>
  <c r="L38" i="52"/>
  <c r="N36" i="52"/>
  <c r="I58" i="52"/>
  <c r="N94" i="51"/>
  <c r="I91" i="51"/>
  <c r="J90" i="51"/>
  <c r="L85" i="51"/>
  <c r="N83" i="51"/>
  <c r="I80" i="51"/>
  <c r="J77" i="51"/>
  <c r="L95" i="51"/>
  <c r="N93" i="51"/>
  <c r="I90" i="51"/>
  <c r="J89" i="51"/>
  <c r="L84" i="51"/>
  <c r="N82" i="51"/>
  <c r="I77" i="51"/>
  <c r="J83" i="51"/>
  <c r="L81" i="51"/>
  <c r="I93" i="51"/>
  <c r="L90" i="51"/>
  <c r="L94" i="51"/>
  <c r="N92" i="51"/>
  <c r="I89" i="51"/>
  <c r="J85" i="51"/>
  <c r="L83" i="51"/>
  <c r="N81" i="51"/>
  <c r="I84" i="51"/>
  <c r="I83" i="51"/>
  <c r="J95" i="51"/>
  <c r="L93" i="51"/>
  <c r="N91" i="51"/>
  <c r="I85" i="51"/>
  <c r="J84" i="51"/>
  <c r="L82" i="51"/>
  <c r="N80" i="51"/>
  <c r="N77" i="51"/>
  <c r="I95" i="51"/>
  <c r="J94" i="51"/>
  <c r="L92" i="51"/>
  <c r="N90" i="51"/>
  <c r="L80" i="51"/>
  <c r="N85" i="51"/>
  <c r="J81" i="51"/>
  <c r="I94" i="51"/>
  <c r="J93" i="51"/>
  <c r="L91" i="51"/>
  <c r="N89" i="51"/>
  <c r="J82" i="51"/>
  <c r="J92" i="51"/>
  <c r="I82" i="51"/>
  <c r="L77" i="51"/>
  <c r="N95" i="51"/>
  <c r="I92" i="51"/>
  <c r="J91" i="51"/>
  <c r="L89" i="51"/>
  <c r="N84" i="51"/>
  <c r="I81" i="51"/>
  <c r="J80" i="51"/>
  <c r="AI84" i="72" l="1"/>
  <c r="AK84" i="72"/>
  <c r="AI82" i="72"/>
  <c r="AK82" i="72"/>
  <c r="L85" i="72"/>
  <c r="M85" i="72" s="1"/>
  <c r="AA81" i="51"/>
  <c r="AA92" i="51"/>
  <c r="AA82" i="51"/>
  <c r="AA94" i="51"/>
  <c r="AA95" i="51"/>
  <c r="AA85" i="51"/>
  <c r="AA83" i="51"/>
  <c r="AA84" i="51"/>
  <c r="AA89" i="51"/>
  <c r="AA93" i="51"/>
  <c r="AA90" i="51"/>
  <c r="AA80" i="51"/>
  <c r="AA91" i="51"/>
  <c r="AA58" i="52"/>
  <c r="AA41" i="52"/>
  <c r="AA49" i="52"/>
  <c r="AA57" i="52"/>
  <c r="AA69" i="52"/>
  <c r="AA42" i="52"/>
  <c r="AA50" i="52"/>
  <c r="AA43" i="52"/>
  <c r="AA51" i="52"/>
  <c r="AA63" i="52"/>
  <c r="AA44" i="52"/>
  <c r="AA52" i="52"/>
  <c r="AA64" i="52"/>
  <c r="AA53" i="52"/>
  <c r="AA65" i="52"/>
  <c r="AA70" i="52"/>
  <c r="AA45" i="52"/>
  <c r="AA38" i="52"/>
  <c r="AA46" i="52"/>
  <c r="AA54" i="52"/>
  <c r="AA66" i="52"/>
  <c r="AA36" i="52"/>
  <c r="AA39" i="52"/>
  <c r="AA47" i="52"/>
  <c r="AA55" i="52"/>
  <c r="AA67" i="52"/>
  <c r="AA37" i="52"/>
  <c r="AA40" i="52"/>
  <c r="AA48" i="52"/>
  <c r="AA56" i="52"/>
  <c r="AA68" i="52"/>
  <c r="AB39" i="53"/>
  <c r="AF39" i="53"/>
  <c r="AB53" i="53"/>
  <c r="AF53" i="53"/>
  <c r="AB52" i="53"/>
  <c r="AF52" i="53"/>
  <c r="AB68" i="53"/>
  <c r="AF68" i="53"/>
  <c r="AB37" i="53"/>
  <c r="AF37" i="53"/>
  <c r="AB45" i="53"/>
  <c r="AF45" i="53"/>
  <c r="AB44" i="53"/>
  <c r="AF44" i="53"/>
  <c r="AB56" i="53"/>
  <c r="AF56" i="53"/>
  <c r="AB66" i="53"/>
  <c r="AF66" i="53"/>
  <c r="AB43" i="53"/>
  <c r="AF43" i="53"/>
  <c r="AB63" i="53"/>
  <c r="AF63" i="53"/>
  <c r="AB48" i="53"/>
  <c r="AF48" i="53"/>
  <c r="AB54" i="53"/>
  <c r="AF54" i="53"/>
  <c r="AB70" i="53"/>
  <c r="AF70" i="53"/>
  <c r="AB51" i="53"/>
  <c r="AF51" i="53"/>
  <c r="AB40" i="53"/>
  <c r="AF40" i="53"/>
  <c r="AB46" i="53"/>
  <c r="AF46" i="53"/>
  <c r="AB58" i="53"/>
  <c r="AF58" i="53"/>
  <c r="AB69" i="53"/>
  <c r="AF69" i="53"/>
  <c r="AB67" i="53"/>
  <c r="AF67" i="53"/>
  <c r="AB38" i="53"/>
  <c r="AF38" i="53"/>
  <c r="AF50" i="53"/>
  <c r="AB57" i="53"/>
  <c r="AF57" i="53"/>
  <c r="AB55" i="53"/>
  <c r="AF55" i="53"/>
  <c r="AB36" i="53"/>
  <c r="AF36" i="53"/>
  <c r="AB42" i="53"/>
  <c r="AF42" i="53"/>
  <c r="AB49" i="53"/>
  <c r="AF49" i="53"/>
  <c r="AB47" i="53"/>
  <c r="AF47" i="53"/>
  <c r="AF65" i="53"/>
  <c r="AB64" i="53"/>
  <c r="AF64" i="53"/>
  <c r="AF41" i="53"/>
  <c r="AM70" i="61"/>
  <c r="AN70" i="61"/>
  <c r="AN67" i="61"/>
  <c r="AM67" i="61"/>
  <c r="AN43" i="61"/>
  <c r="AM43" i="61"/>
  <c r="AN51" i="61"/>
  <c r="AM51" i="61"/>
  <c r="AN64" i="61"/>
  <c r="AM64" i="61"/>
  <c r="AN53" i="61"/>
  <c r="AM53" i="61"/>
  <c r="AN40" i="61"/>
  <c r="AM40" i="61"/>
  <c r="AM57" i="61"/>
  <c r="AN57" i="61"/>
  <c r="AM42" i="61"/>
  <c r="AN42" i="61"/>
  <c r="AN38" i="61"/>
  <c r="AM38" i="61"/>
  <c r="AN39" i="61"/>
  <c r="AM39" i="61"/>
  <c r="AN55" i="61"/>
  <c r="AM55" i="61"/>
  <c r="AM69" i="61"/>
  <c r="AN69" i="61"/>
  <c r="AN46" i="61"/>
  <c r="AM46" i="61"/>
  <c r="AN63" i="61"/>
  <c r="AM63" i="61"/>
  <c r="AN37" i="61"/>
  <c r="AM37" i="61"/>
  <c r="AN68" i="61"/>
  <c r="AM68" i="61"/>
  <c r="AN56" i="61"/>
  <c r="AM56" i="61"/>
  <c r="AN45" i="61"/>
  <c r="AM45" i="61"/>
  <c r="AM58" i="61"/>
  <c r="AN58" i="61"/>
  <c r="AM44" i="61"/>
  <c r="AN44" i="61"/>
  <c r="AN52" i="61"/>
  <c r="AM52" i="61"/>
  <c r="AN36" i="61"/>
  <c r="AM36" i="61"/>
  <c r="AN47" i="61"/>
  <c r="AM47" i="61"/>
  <c r="AN66" i="61"/>
  <c r="AM66" i="61"/>
  <c r="AN54" i="61"/>
  <c r="AM54" i="61"/>
  <c r="AM49" i="61"/>
  <c r="AN49" i="61"/>
  <c r="AN48" i="61"/>
  <c r="AM48" i="61"/>
  <c r="AI56" i="53"/>
  <c r="AI38" i="53"/>
  <c r="AI67" i="53"/>
  <c r="AI48" i="53"/>
  <c r="AI54" i="53"/>
  <c r="AI51" i="53"/>
  <c r="AN84" i="53"/>
  <c r="AM84" i="53"/>
  <c r="AI37" i="53"/>
  <c r="AI36" i="53"/>
  <c r="AI70" i="53"/>
  <c r="AI44" i="53"/>
  <c r="AI55" i="53"/>
  <c r="AI46" i="53"/>
  <c r="AI45" i="53"/>
  <c r="AI42" i="53"/>
  <c r="AI49" i="53"/>
  <c r="AI39" i="53"/>
  <c r="AI53" i="53"/>
  <c r="AI52" i="53"/>
  <c r="AI68" i="53"/>
  <c r="AI40" i="53"/>
  <c r="AI64" i="53"/>
  <c r="AI50" i="53"/>
  <c r="AI66" i="53"/>
  <c r="AI65" i="53"/>
  <c r="AI69" i="53"/>
  <c r="AI57" i="53"/>
  <c r="AI43" i="53"/>
  <c r="AI58" i="53"/>
  <c r="AI63" i="53"/>
  <c r="AN77" i="53"/>
  <c r="AM77" i="53"/>
  <c r="AM80" i="53"/>
  <c r="AN80" i="53"/>
  <c r="AI47" i="53"/>
  <c r="AI41" i="53"/>
  <c r="M58" i="52"/>
  <c r="K58" i="52"/>
  <c r="M41" i="52"/>
  <c r="K41" i="52"/>
  <c r="M49" i="52"/>
  <c r="K49" i="52"/>
  <c r="M57" i="52"/>
  <c r="K57" i="52"/>
  <c r="M69" i="52"/>
  <c r="K69" i="52"/>
  <c r="M42" i="52"/>
  <c r="K42" i="52"/>
  <c r="M50" i="52"/>
  <c r="K50" i="52"/>
  <c r="M43" i="52"/>
  <c r="K43" i="52"/>
  <c r="M51" i="52"/>
  <c r="K51" i="52"/>
  <c r="M63" i="52"/>
  <c r="K63" i="52"/>
  <c r="M44" i="52"/>
  <c r="K44" i="52"/>
  <c r="M52" i="52"/>
  <c r="K52" i="52"/>
  <c r="M64" i="52"/>
  <c r="K64" i="52"/>
  <c r="K53" i="52"/>
  <c r="M53" i="52"/>
  <c r="K65" i="52"/>
  <c r="M65" i="52"/>
  <c r="M70" i="52"/>
  <c r="K70" i="52"/>
  <c r="K45" i="52"/>
  <c r="M45" i="52"/>
  <c r="K38" i="52"/>
  <c r="M38" i="52"/>
  <c r="K46" i="52"/>
  <c r="M46" i="52"/>
  <c r="K54" i="52"/>
  <c r="M54" i="52"/>
  <c r="K66" i="52"/>
  <c r="M36" i="52"/>
  <c r="K36" i="52"/>
  <c r="M39" i="52"/>
  <c r="K39" i="52"/>
  <c r="M47" i="52"/>
  <c r="K47" i="52"/>
  <c r="M55" i="52"/>
  <c r="K55" i="52"/>
  <c r="K67" i="52"/>
  <c r="K37" i="52"/>
  <c r="M37" i="52"/>
  <c r="M40" i="52"/>
  <c r="K40" i="52"/>
  <c r="K48" i="52"/>
  <c r="M48" i="52"/>
  <c r="K56" i="52"/>
  <c r="M68" i="52"/>
  <c r="K68" i="52"/>
  <c r="AF80" i="52"/>
  <c r="AI80" i="52"/>
  <c r="AB80" i="52"/>
  <c r="AI84" i="52"/>
  <c r="AB84" i="52"/>
  <c r="AF84" i="52"/>
  <c r="AB77" i="52"/>
  <c r="AI77" i="52"/>
  <c r="AF77" i="52"/>
  <c r="M81" i="51"/>
  <c r="K81" i="51"/>
  <c r="K92" i="51"/>
  <c r="M82" i="51"/>
  <c r="K82" i="51"/>
  <c r="K94" i="51"/>
  <c r="K95" i="51"/>
  <c r="K85" i="51"/>
  <c r="M85" i="51"/>
  <c r="M83" i="51"/>
  <c r="K83" i="51"/>
  <c r="M84" i="51"/>
  <c r="K84" i="51"/>
  <c r="K89" i="51"/>
  <c r="K93" i="51"/>
  <c r="AA77" i="51"/>
  <c r="M77" i="51"/>
  <c r="K77" i="51"/>
  <c r="K90" i="51"/>
  <c r="K80" i="51"/>
  <c r="M80" i="51"/>
  <c r="K91" i="51"/>
  <c r="M91" i="51"/>
  <c r="AH69" i="51"/>
  <c r="AH68" i="51"/>
  <c r="AH67" i="51"/>
  <c r="AH66" i="51"/>
  <c r="AH65" i="51"/>
  <c r="AH56" i="51"/>
  <c r="AH53" i="51"/>
  <c r="AH52" i="51"/>
  <c r="AH51" i="51"/>
  <c r="AH50" i="51"/>
  <c r="AH46" i="51"/>
  <c r="AH45" i="51"/>
  <c r="AH44" i="51"/>
  <c r="AH41" i="51"/>
  <c r="AH39" i="51"/>
  <c r="AH38" i="51"/>
  <c r="AH37" i="51"/>
  <c r="AH107" i="9"/>
  <c r="AH94" i="9"/>
  <c r="M56" i="52"/>
  <c r="M67" i="52"/>
  <c r="M66" i="52"/>
  <c r="I69" i="51"/>
  <c r="J68" i="51"/>
  <c r="L66" i="51"/>
  <c r="N64" i="51"/>
  <c r="I57" i="51"/>
  <c r="J56" i="51"/>
  <c r="L54" i="51"/>
  <c r="N52" i="51"/>
  <c r="I49" i="51"/>
  <c r="J48" i="51"/>
  <c r="L46" i="51"/>
  <c r="N44" i="51"/>
  <c r="I41" i="51"/>
  <c r="J40" i="51"/>
  <c r="L38" i="51"/>
  <c r="N36" i="51"/>
  <c r="I39" i="51"/>
  <c r="J38" i="51"/>
  <c r="J36" i="51"/>
  <c r="J70" i="51"/>
  <c r="N66" i="51"/>
  <c r="J42" i="51"/>
  <c r="M94" i="51"/>
  <c r="M89" i="51"/>
  <c r="I68" i="51"/>
  <c r="J67" i="51"/>
  <c r="L65" i="51"/>
  <c r="N63" i="51"/>
  <c r="I56" i="51"/>
  <c r="J55" i="51"/>
  <c r="L53" i="51"/>
  <c r="N51" i="51"/>
  <c r="I48" i="51"/>
  <c r="J47" i="51"/>
  <c r="L45" i="51"/>
  <c r="N43" i="51"/>
  <c r="I40" i="51"/>
  <c r="J39" i="51"/>
  <c r="L37" i="51"/>
  <c r="I47" i="51"/>
  <c r="N42" i="51"/>
  <c r="L36" i="51"/>
  <c r="I37" i="51"/>
  <c r="L41" i="51"/>
  <c r="J58" i="51"/>
  <c r="L56" i="51"/>
  <c r="J50" i="51"/>
  <c r="N38" i="51"/>
  <c r="M90" i="51"/>
  <c r="N70" i="51"/>
  <c r="I67" i="51"/>
  <c r="J66" i="51"/>
  <c r="L64" i="51"/>
  <c r="N58" i="51"/>
  <c r="I55" i="51"/>
  <c r="J54" i="51"/>
  <c r="L52" i="51"/>
  <c r="N50" i="51"/>
  <c r="J46" i="51"/>
  <c r="L44" i="51"/>
  <c r="I36" i="51"/>
  <c r="L40" i="51"/>
  <c r="N69" i="51"/>
  <c r="I66" i="51"/>
  <c r="J65" i="51"/>
  <c r="L63" i="51"/>
  <c r="N57" i="51"/>
  <c r="I54" i="51"/>
  <c r="J53" i="51"/>
  <c r="L51" i="51"/>
  <c r="N49" i="51"/>
  <c r="I46" i="51"/>
  <c r="J45" i="51"/>
  <c r="L43" i="51"/>
  <c r="N41" i="51"/>
  <c r="I38" i="51"/>
  <c r="J37" i="51"/>
  <c r="L68" i="51"/>
  <c r="N54" i="51"/>
  <c r="L48" i="51"/>
  <c r="M92" i="51"/>
  <c r="M95" i="51"/>
  <c r="M93" i="51"/>
  <c r="L70" i="51"/>
  <c r="N68" i="51"/>
  <c r="I65" i="51"/>
  <c r="J64" i="51"/>
  <c r="L58" i="51"/>
  <c r="N56" i="51"/>
  <c r="I53" i="51"/>
  <c r="J52" i="51"/>
  <c r="L50" i="51"/>
  <c r="N48" i="51"/>
  <c r="I45" i="51"/>
  <c r="J44" i="51"/>
  <c r="L42" i="51"/>
  <c r="N40" i="51"/>
  <c r="I63" i="51"/>
  <c r="N46" i="51"/>
  <c r="L69" i="51"/>
  <c r="N67" i="51"/>
  <c r="I64" i="51"/>
  <c r="J63" i="51"/>
  <c r="L57" i="51"/>
  <c r="N55" i="51"/>
  <c r="I52" i="51"/>
  <c r="J51" i="51"/>
  <c r="L49" i="51"/>
  <c r="N47" i="51"/>
  <c r="I44" i="51"/>
  <c r="J43" i="51"/>
  <c r="N39" i="51"/>
  <c r="I51" i="51"/>
  <c r="I43" i="51"/>
  <c r="I70" i="51"/>
  <c r="J69" i="51"/>
  <c r="L67" i="51"/>
  <c r="N65" i="51"/>
  <c r="I58" i="51"/>
  <c r="J57" i="51"/>
  <c r="L55" i="51"/>
  <c r="N53" i="51"/>
  <c r="I50" i="51"/>
  <c r="J49" i="51"/>
  <c r="L47" i="51"/>
  <c r="N45" i="51"/>
  <c r="I42" i="51"/>
  <c r="J41" i="51"/>
  <c r="L39" i="51"/>
  <c r="N37" i="51"/>
  <c r="N117" i="9"/>
  <c r="I114" i="9"/>
  <c r="J113" i="9"/>
  <c r="L111" i="9"/>
  <c r="N109" i="9"/>
  <c r="I106" i="9"/>
  <c r="J105" i="9"/>
  <c r="L103" i="9"/>
  <c r="N101" i="9"/>
  <c r="I98" i="9"/>
  <c r="J97" i="9"/>
  <c r="L95" i="9"/>
  <c r="N90" i="9"/>
  <c r="I87" i="9"/>
  <c r="J86" i="9"/>
  <c r="L84" i="9"/>
  <c r="N82" i="9"/>
  <c r="I77" i="9"/>
  <c r="N81" i="9"/>
  <c r="J108" i="9"/>
  <c r="L106" i="9"/>
  <c r="N85" i="9"/>
  <c r="J81" i="9"/>
  <c r="L118" i="9"/>
  <c r="N116" i="9"/>
  <c r="I113" i="9"/>
  <c r="J112" i="9"/>
  <c r="L110" i="9"/>
  <c r="N108" i="9"/>
  <c r="I105" i="9"/>
  <c r="J104" i="9"/>
  <c r="L102" i="9"/>
  <c r="N100" i="9"/>
  <c r="I97" i="9"/>
  <c r="J96" i="9"/>
  <c r="L94" i="9"/>
  <c r="N89" i="9"/>
  <c r="I86" i="9"/>
  <c r="J85" i="9"/>
  <c r="L83" i="9"/>
  <c r="L98" i="9"/>
  <c r="L112" i="9"/>
  <c r="J106" i="9"/>
  <c r="L117" i="9"/>
  <c r="N115" i="9"/>
  <c r="I112" i="9"/>
  <c r="J111" i="9"/>
  <c r="L109" i="9"/>
  <c r="N107" i="9"/>
  <c r="I104" i="9"/>
  <c r="J103" i="9"/>
  <c r="L101" i="9"/>
  <c r="N99" i="9"/>
  <c r="I96" i="9"/>
  <c r="J95" i="9"/>
  <c r="L90" i="9"/>
  <c r="N88" i="9"/>
  <c r="I85" i="9"/>
  <c r="J84" i="9"/>
  <c r="L82" i="9"/>
  <c r="N80" i="9"/>
  <c r="L114" i="9"/>
  <c r="I101" i="9"/>
  <c r="J114" i="9"/>
  <c r="L104" i="9"/>
  <c r="J118" i="9"/>
  <c r="L116" i="9"/>
  <c r="N114" i="9"/>
  <c r="I111" i="9"/>
  <c r="J110" i="9"/>
  <c r="L108" i="9"/>
  <c r="N106" i="9"/>
  <c r="I103" i="9"/>
  <c r="J102" i="9"/>
  <c r="L100" i="9"/>
  <c r="N98" i="9"/>
  <c r="I95" i="9"/>
  <c r="J94" i="9"/>
  <c r="L89" i="9"/>
  <c r="N87" i="9"/>
  <c r="I84" i="9"/>
  <c r="J83" i="9"/>
  <c r="L81" i="9"/>
  <c r="N77" i="9"/>
  <c r="I117" i="9"/>
  <c r="N112" i="9"/>
  <c r="I109" i="9"/>
  <c r="N104" i="9"/>
  <c r="J100" i="9"/>
  <c r="I90" i="9"/>
  <c r="I82" i="9"/>
  <c r="I107" i="9"/>
  <c r="I118" i="9"/>
  <c r="J117" i="9"/>
  <c r="L115" i="9"/>
  <c r="N113" i="9"/>
  <c r="I110" i="9"/>
  <c r="J109" i="9"/>
  <c r="L107" i="9"/>
  <c r="N105" i="9"/>
  <c r="I102" i="9"/>
  <c r="J101" i="9"/>
  <c r="L99" i="9"/>
  <c r="N97" i="9"/>
  <c r="I94" i="9"/>
  <c r="J90" i="9"/>
  <c r="L88" i="9"/>
  <c r="N86" i="9"/>
  <c r="I83" i="9"/>
  <c r="J82" i="9"/>
  <c r="L80" i="9"/>
  <c r="J116" i="9"/>
  <c r="J89" i="9"/>
  <c r="L87" i="9"/>
  <c r="L77" i="9"/>
  <c r="N102" i="9"/>
  <c r="N96" i="9"/>
  <c r="I116" i="9"/>
  <c r="J115" i="9"/>
  <c r="L113" i="9"/>
  <c r="N111" i="9"/>
  <c r="I108" i="9"/>
  <c r="J107" i="9"/>
  <c r="L105" i="9"/>
  <c r="N103" i="9"/>
  <c r="I100" i="9"/>
  <c r="J99" i="9"/>
  <c r="L97" i="9"/>
  <c r="N95" i="9"/>
  <c r="I89" i="9"/>
  <c r="J88" i="9"/>
  <c r="L86" i="9"/>
  <c r="N84" i="9"/>
  <c r="I81" i="9"/>
  <c r="J80" i="9"/>
  <c r="N118" i="9"/>
  <c r="I115" i="9"/>
  <c r="N110" i="9"/>
  <c r="L85" i="9"/>
  <c r="N83" i="9"/>
  <c r="J77" i="9"/>
  <c r="J87" i="9"/>
  <c r="I80" i="9"/>
  <c r="L96" i="9"/>
  <c r="N94" i="9"/>
  <c r="J98" i="9"/>
  <c r="I88" i="9"/>
  <c r="I99" i="9"/>
  <c r="AA99" i="9" l="1"/>
  <c r="AA88" i="9"/>
  <c r="AA80" i="9"/>
  <c r="AA115" i="9"/>
  <c r="AA81" i="9"/>
  <c r="AA89" i="9"/>
  <c r="AA100" i="9"/>
  <c r="AA108" i="9"/>
  <c r="AA116" i="9"/>
  <c r="AA83" i="9"/>
  <c r="AA94" i="9"/>
  <c r="AA102" i="9"/>
  <c r="AA110" i="9"/>
  <c r="AA118" i="9"/>
  <c r="AA107" i="9"/>
  <c r="AA82" i="9"/>
  <c r="AA90" i="9"/>
  <c r="AA109" i="9"/>
  <c r="AA117" i="9"/>
  <c r="AA84" i="9"/>
  <c r="AA95" i="9"/>
  <c r="AA103" i="9"/>
  <c r="AA111" i="9"/>
  <c r="AA101" i="9"/>
  <c r="AA85" i="9"/>
  <c r="AA96" i="9"/>
  <c r="AA104" i="9"/>
  <c r="AA112" i="9"/>
  <c r="AA86" i="9"/>
  <c r="AA97" i="9"/>
  <c r="AA105" i="9"/>
  <c r="AA113" i="9"/>
  <c r="AA77" i="9"/>
  <c r="AA87" i="9"/>
  <c r="AA98" i="9"/>
  <c r="AA106" i="9"/>
  <c r="AA114" i="9"/>
  <c r="AA42" i="51"/>
  <c r="AA50" i="51"/>
  <c r="AA58" i="51"/>
  <c r="AA70" i="51"/>
  <c r="AA43" i="51"/>
  <c r="AA51" i="51"/>
  <c r="AA44" i="51"/>
  <c r="AA52" i="51"/>
  <c r="AA64" i="51"/>
  <c r="AA63" i="51"/>
  <c r="AA45" i="51"/>
  <c r="AA53" i="51"/>
  <c r="AA65" i="51"/>
  <c r="AA38" i="51"/>
  <c r="AA46" i="51"/>
  <c r="AA54" i="51"/>
  <c r="AA66" i="51"/>
  <c r="AA36" i="51"/>
  <c r="AA55" i="51"/>
  <c r="AA67" i="51"/>
  <c r="AA37" i="51"/>
  <c r="AA47" i="51"/>
  <c r="AA40" i="51"/>
  <c r="AA48" i="51"/>
  <c r="AA56" i="51"/>
  <c r="AA68" i="51"/>
  <c r="AA39" i="51"/>
  <c r="AA41" i="51"/>
  <c r="AA49" i="51"/>
  <c r="AA57" i="51"/>
  <c r="AA69" i="51"/>
  <c r="AB37" i="52"/>
  <c r="AF37" i="52"/>
  <c r="AB46" i="52"/>
  <c r="AF46" i="52"/>
  <c r="AB44" i="52"/>
  <c r="AF44" i="52"/>
  <c r="AB49" i="52"/>
  <c r="AF49" i="52"/>
  <c r="AB84" i="51"/>
  <c r="AF84" i="51"/>
  <c r="AB67" i="52"/>
  <c r="AF67" i="52"/>
  <c r="AB38" i="52"/>
  <c r="AF38" i="52"/>
  <c r="AB63" i="52"/>
  <c r="AF63" i="52"/>
  <c r="AF41" i="52"/>
  <c r="AB83" i="51"/>
  <c r="AF83" i="51"/>
  <c r="AB55" i="52"/>
  <c r="AF55" i="52"/>
  <c r="AB45" i="52"/>
  <c r="AF45" i="52"/>
  <c r="AB51" i="52"/>
  <c r="AF51" i="52"/>
  <c r="AB58" i="52"/>
  <c r="AF58" i="52"/>
  <c r="AF85" i="51"/>
  <c r="AB47" i="52"/>
  <c r="AF47" i="52"/>
  <c r="AB70" i="52"/>
  <c r="AF70" i="52"/>
  <c r="AB43" i="52"/>
  <c r="AF43" i="52"/>
  <c r="AF91" i="51"/>
  <c r="AF95" i="51"/>
  <c r="AB68" i="52"/>
  <c r="AF68" i="52"/>
  <c r="AB39" i="52"/>
  <c r="AF39" i="52"/>
  <c r="AF65" i="52"/>
  <c r="AF50" i="52"/>
  <c r="AF80" i="51"/>
  <c r="AF94" i="51"/>
  <c r="AB56" i="52"/>
  <c r="AF56" i="52"/>
  <c r="AB36" i="52"/>
  <c r="AF36" i="52"/>
  <c r="AB53" i="52"/>
  <c r="AF53" i="52"/>
  <c r="AB42" i="52"/>
  <c r="AF42" i="52"/>
  <c r="AF90" i="51"/>
  <c r="AF82" i="51"/>
  <c r="AB48" i="52"/>
  <c r="AF48" i="52"/>
  <c r="AB66" i="52"/>
  <c r="AF66" i="52"/>
  <c r="AB64" i="52"/>
  <c r="AF64" i="52"/>
  <c r="AB69" i="52"/>
  <c r="AF69" i="52"/>
  <c r="AF93" i="51"/>
  <c r="AF92" i="51"/>
  <c r="AB40" i="52"/>
  <c r="AF40" i="52"/>
  <c r="AB54" i="52"/>
  <c r="AF54" i="52"/>
  <c r="AB52" i="52"/>
  <c r="AF52" i="52"/>
  <c r="AB57" i="52"/>
  <c r="AF57" i="52"/>
  <c r="AF89" i="51"/>
  <c r="AF81" i="51"/>
  <c r="AN46" i="53"/>
  <c r="AM46" i="53"/>
  <c r="AN64" i="53"/>
  <c r="AM64" i="53"/>
  <c r="AN70" i="53"/>
  <c r="AM70" i="53"/>
  <c r="AN53" i="53"/>
  <c r="AM53" i="53"/>
  <c r="AN45" i="53"/>
  <c r="AM45" i="53"/>
  <c r="AN55" i="53"/>
  <c r="AM55" i="53"/>
  <c r="AN37" i="53"/>
  <c r="AM37" i="53"/>
  <c r="AN51" i="53"/>
  <c r="AM51" i="53"/>
  <c r="AN48" i="53"/>
  <c r="AM48" i="53"/>
  <c r="AN47" i="53"/>
  <c r="AM47" i="53"/>
  <c r="AN66" i="53"/>
  <c r="AM66" i="53"/>
  <c r="AN40" i="53"/>
  <c r="AM40" i="53"/>
  <c r="AM38" i="53"/>
  <c r="AN38" i="53"/>
  <c r="AM63" i="53"/>
  <c r="AN63" i="53"/>
  <c r="AM43" i="53"/>
  <c r="AN43" i="53"/>
  <c r="AM69" i="53"/>
  <c r="AN69" i="53"/>
  <c r="AN68" i="53"/>
  <c r="AM68" i="53"/>
  <c r="AM49" i="53"/>
  <c r="AN49" i="53"/>
  <c r="AN58" i="53"/>
  <c r="AM58" i="53"/>
  <c r="AN52" i="53"/>
  <c r="AM52" i="53"/>
  <c r="AN42" i="53"/>
  <c r="AM42" i="53"/>
  <c r="AN44" i="53"/>
  <c r="AM44" i="53"/>
  <c r="AN54" i="53"/>
  <c r="AM54" i="53"/>
  <c r="AN67" i="53"/>
  <c r="AM67" i="53"/>
  <c r="AM57" i="53"/>
  <c r="AN57" i="53"/>
  <c r="AN39" i="53"/>
  <c r="AM39" i="53"/>
  <c r="AN36" i="53"/>
  <c r="AM36" i="53"/>
  <c r="AN56" i="53"/>
  <c r="AM56" i="53"/>
  <c r="AN77" i="52"/>
  <c r="AM77" i="52"/>
  <c r="AI66" i="52"/>
  <c r="AI64" i="52"/>
  <c r="AI49" i="52"/>
  <c r="AI37" i="52"/>
  <c r="AI42" i="52"/>
  <c r="AI48" i="52"/>
  <c r="AI38" i="52"/>
  <c r="AI69" i="52"/>
  <c r="AI41" i="52"/>
  <c r="AI67" i="52"/>
  <c r="AI65" i="52"/>
  <c r="AI68" i="52"/>
  <c r="AI40" i="52"/>
  <c r="AI51" i="52"/>
  <c r="AI50" i="52"/>
  <c r="AI56" i="52"/>
  <c r="AI44" i="52"/>
  <c r="AI47" i="52"/>
  <c r="AI70" i="52"/>
  <c r="AI36" i="52"/>
  <c r="AI45" i="52"/>
  <c r="AI57" i="52"/>
  <c r="AI43" i="52"/>
  <c r="AI63" i="52"/>
  <c r="AN84" i="52"/>
  <c r="AM84" i="52"/>
  <c r="AI39" i="52"/>
  <c r="AI54" i="52"/>
  <c r="AI52" i="52"/>
  <c r="AN80" i="52"/>
  <c r="AM80" i="52"/>
  <c r="AI55" i="52"/>
  <c r="AI46" i="52"/>
  <c r="AI53" i="52"/>
  <c r="AI58" i="52"/>
  <c r="M42" i="51"/>
  <c r="K42" i="51"/>
  <c r="M50" i="51"/>
  <c r="K50" i="51"/>
  <c r="M58" i="51"/>
  <c r="K58" i="51"/>
  <c r="M70" i="51"/>
  <c r="K70" i="51"/>
  <c r="M43" i="51"/>
  <c r="K43" i="51"/>
  <c r="M51" i="51"/>
  <c r="K51" i="51"/>
  <c r="M44" i="51"/>
  <c r="K44" i="51"/>
  <c r="M52" i="51"/>
  <c r="K52" i="51"/>
  <c r="M64" i="51"/>
  <c r="K64" i="51"/>
  <c r="M63" i="51"/>
  <c r="K63" i="51"/>
  <c r="M45" i="51"/>
  <c r="K45" i="51"/>
  <c r="M53" i="51"/>
  <c r="K53" i="51"/>
  <c r="M65" i="51"/>
  <c r="K65" i="51"/>
  <c r="K38" i="51"/>
  <c r="M38" i="51"/>
  <c r="K46" i="51"/>
  <c r="M46" i="51"/>
  <c r="K54" i="51"/>
  <c r="M54" i="51"/>
  <c r="K66" i="51"/>
  <c r="M36" i="51"/>
  <c r="K36" i="51"/>
  <c r="K55" i="51"/>
  <c r="M55" i="51"/>
  <c r="K67" i="51"/>
  <c r="M37" i="51"/>
  <c r="K37" i="51"/>
  <c r="K47" i="51"/>
  <c r="M47" i="51"/>
  <c r="M40" i="51"/>
  <c r="K40" i="51"/>
  <c r="M48" i="51"/>
  <c r="K48" i="51"/>
  <c r="K56" i="51"/>
  <c r="M68" i="51"/>
  <c r="K68" i="51"/>
  <c r="K39" i="51"/>
  <c r="M39" i="51"/>
  <c r="K41" i="51"/>
  <c r="M41" i="51"/>
  <c r="K49" i="51"/>
  <c r="M49" i="51"/>
  <c r="M57" i="51"/>
  <c r="K57" i="51"/>
  <c r="K69" i="51"/>
  <c r="M69" i="51"/>
  <c r="AI95" i="51"/>
  <c r="AI80" i="51"/>
  <c r="AI83" i="51"/>
  <c r="AI84" i="51"/>
  <c r="AI93" i="51"/>
  <c r="AI94" i="51"/>
  <c r="AI92" i="51"/>
  <c r="AI89" i="51"/>
  <c r="AF77" i="51"/>
  <c r="AB77" i="51"/>
  <c r="AI77" i="51"/>
  <c r="AI90" i="51"/>
  <c r="AI82" i="51"/>
  <c r="AI91" i="51"/>
  <c r="AI85" i="51"/>
  <c r="AI81" i="51"/>
  <c r="K99" i="9"/>
  <c r="K88" i="9"/>
  <c r="M88" i="9"/>
  <c r="K80" i="9"/>
  <c r="M80" i="9"/>
  <c r="K115" i="9"/>
  <c r="M81" i="9"/>
  <c r="K81" i="9"/>
  <c r="M89" i="9"/>
  <c r="K89" i="9"/>
  <c r="K100" i="9"/>
  <c r="K108" i="9"/>
  <c r="K116" i="9"/>
  <c r="M83" i="9"/>
  <c r="K83" i="9"/>
  <c r="K94" i="9"/>
  <c r="K102" i="9"/>
  <c r="K110" i="9"/>
  <c r="M118" i="9"/>
  <c r="K118" i="9"/>
  <c r="K107" i="9"/>
  <c r="M82" i="9"/>
  <c r="K82" i="9"/>
  <c r="M90" i="9"/>
  <c r="K90" i="9"/>
  <c r="K109" i="9"/>
  <c r="K117" i="9"/>
  <c r="K84" i="9"/>
  <c r="M84" i="9"/>
  <c r="K95" i="9"/>
  <c r="K103" i="9"/>
  <c r="M103" i="9"/>
  <c r="K111" i="9"/>
  <c r="K101" i="9"/>
  <c r="K85" i="9"/>
  <c r="M85" i="9"/>
  <c r="K96" i="9"/>
  <c r="M96" i="9"/>
  <c r="K104" i="9"/>
  <c r="M104" i="9"/>
  <c r="K112" i="9"/>
  <c r="M86" i="9"/>
  <c r="K86" i="9"/>
  <c r="K97" i="9"/>
  <c r="M105" i="9"/>
  <c r="K105" i="9"/>
  <c r="K113" i="9"/>
  <c r="M77" i="9"/>
  <c r="K77" i="9"/>
  <c r="M87" i="9"/>
  <c r="K87" i="9"/>
  <c r="K98" i="9"/>
  <c r="M106" i="9"/>
  <c r="K106" i="9"/>
  <c r="K114" i="9"/>
  <c r="AH69" i="9"/>
  <c r="AH68" i="9"/>
  <c r="AH67" i="9"/>
  <c r="AH66" i="9"/>
  <c r="AH65" i="9"/>
  <c r="AH56" i="9"/>
  <c r="AH53" i="9"/>
  <c r="AH52" i="9"/>
  <c r="AH51" i="9"/>
  <c r="AH50" i="9"/>
  <c r="AH46" i="9"/>
  <c r="AH45" i="9"/>
  <c r="AH43" i="9"/>
  <c r="AH41" i="9"/>
  <c r="AH39" i="9"/>
  <c r="AH38" i="9"/>
  <c r="AH36" i="9"/>
  <c r="AH60" i="18"/>
  <c r="AE60" i="18"/>
  <c r="AH56" i="18"/>
  <c r="AE56" i="18"/>
  <c r="AB56" i="18"/>
  <c r="AH53" i="18"/>
  <c r="AE53" i="18"/>
  <c r="AB53" i="18"/>
  <c r="M56" i="51"/>
  <c r="M66" i="51"/>
  <c r="M67" i="51"/>
  <c r="M97" i="9"/>
  <c r="N69" i="9"/>
  <c r="I66" i="9"/>
  <c r="J65" i="9"/>
  <c r="L63" i="9"/>
  <c r="N57" i="9"/>
  <c r="I54" i="9"/>
  <c r="J53" i="9"/>
  <c r="L51" i="9"/>
  <c r="N49" i="9"/>
  <c r="I46" i="9"/>
  <c r="J45" i="9"/>
  <c r="L43" i="9"/>
  <c r="N41" i="9"/>
  <c r="I38" i="9"/>
  <c r="J37" i="9"/>
  <c r="J44" i="9"/>
  <c r="L42" i="9"/>
  <c r="N40" i="9"/>
  <c r="J36" i="9"/>
  <c r="N67" i="9"/>
  <c r="I64" i="9"/>
  <c r="J63" i="9"/>
  <c r="L57" i="9"/>
  <c r="I52" i="9"/>
  <c r="J51" i="9"/>
  <c r="M99" i="9"/>
  <c r="M116" i="9"/>
  <c r="M102" i="9"/>
  <c r="L70" i="9"/>
  <c r="N68" i="9"/>
  <c r="I65" i="9"/>
  <c r="J64" i="9"/>
  <c r="L58" i="9"/>
  <c r="N56" i="9"/>
  <c r="I53" i="9"/>
  <c r="J52" i="9"/>
  <c r="L50" i="9"/>
  <c r="N48" i="9"/>
  <c r="I45" i="9"/>
  <c r="I37" i="9"/>
  <c r="L69" i="9"/>
  <c r="N55" i="9"/>
  <c r="M115" i="9"/>
  <c r="M100" i="9"/>
  <c r="M109" i="9"/>
  <c r="M112" i="9"/>
  <c r="J70" i="9"/>
  <c r="L68" i="9"/>
  <c r="N66" i="9"/>
  <c r="I63" i="9"/>
  <c r="J58" i="9"/>
  <c r="L56" i="9"/>
  <c r="M110" i="9"/>
  <c r="M107" i="9"/>
  <c r="M111" i="9"/>
  <c r="I70" i="9"/>
  <c r="J69" i="9"/>
  <c r="L67" i="9"/>
  <c r="N65" i="9"/>
  <c r="I58" i="9"/>
  <c r="J57" i="9"/>
  <c r="L55" i="9"/>
  <c r="N53" i="9"/>
  <c r="I50" i="9"/>
  <c r="J49" i="9"/>
  <c r="L47" i="9"/>
  <c r="N45" i="9"/>
  <c r="I42" i="9"/>
  <c r="J41" i="9"/>
  <c r="L39" i="9"/>
  <c r="N37" i="9"/>
  <c r="I49" i="9"/>
  <c r="J48" i="9"/>
  <c r="L46" i="9"/>
  <c r="N44" i="9"/>
  <c r="I41" i="9"/>
  <c r="J40" i="9"/>
  <c r="M101" i="9"/>
  <c r="M114" i="9"/>
  <c r="I69" i="9"/>
  <c r="J68" i="9"/>
  <c r="L66" i="9"/>
  <c r="N64" i="9"/>
  <c r="I57" i="9"/>
  <c r="J56" i="9"/>
  <c r="L54" i="9"/>
  <c r="N52" i="9"/>
  <c r="M108" i="9"/>
  <c r="M94" i="9"/>
  <c r="M117" i="9"/>
  <c r="M95" i="9"/>
  <c r="M113" i="9"/>
  <c r="I68" i="9"/>
  <c r="J67" i="9"/>
  <c r="L65" i="9"/>
  <c r="N63" i="9"/>
  <c r="I56" i="9"/>
  <c r="J55" i="9"/>
  <c r="L53" i="9"/>
  <c r="N51" i="9"/>
  <c r="I48" i="9"/>
  <c r="J47" i="9"/>
  <c r="L45" i="9"/>
  <c r="N43" i="9"/>
  <c r="I40" i="9"/>
  <c r="J39" i="9"/>
  <c r="L37" i="9"/>
  <c r="I55" i="9"/>
  <c r="N39" i="9"/>
  <c r="N42" i="9"/>
  <c r="I39" i="9"/>
  <c r="N47" i="9"/>
  <c r="J42" i="9"/>
  <c r="L38" i="9"/>
  <c r="L49" i="9"/>
  <c r="I44" i="9"/>
  <c r="N36" i="9"/>
  <c r="L36" i="9"/>
  <c r="I67" i="9"/>
  <c r="L52" i="9"/>
  <c r="L41" i="9"/>
  <c r="L40" i="9"/>
  <c r="N38" i="9"/>
  <c r="L44" i="9"/>
  <c r="L64" i="9"/>
  <c r="N50" i="9"/>
  <c r="N46" i="9"/>
  <c r="I47" i="9"/>
  <c r="I36" i="9"/>
  <c r="J43" i="9"/>
  <c r="N58" i="9"/>
  <c r="J38" i="9"/>
  <c r="I43" i="9"/>
  <c r="N70" i="9"/>
  <c r="J66" i="9"/>
  <c r="N54" i="9"/>
  <c r="L48" i="9"/>
  <c r="J46" i="9"/>
  <c r="I51" i="9"/>
  <c r="M98" i="9"/>
  <c r="J54" i="9"/>
  <c r="J50" i="9"/>
  <c r="L56" i="18"/>
  <c r="I56" i="18"/>
  <c r="I60" i="18"/>
  <c r="L60" i="18"/>
  <c r="J53" i="18"/>
  <c r="N60" i="18"/>
  <c r="J56" i="18"/>
  <c r="N53" i="18"/>
  <c r="N56" i="18"/>
  <c r="L53" i="18"/>
  <c r="J60" i="18"/>
  <c r="I53" i="18"/>
  <c r="AA51" i="9" l="1"/>
  <c r="AA43" i="9"/>
  <c r="AA36" i="9"/>
  <c r="AA47" i="9"/>
  <c r="AA67" i="9"/>
  <c r="AA44" i="9"/>
  <c r="AA39" i="9"/>
  <c r="AA55" i="9"/>
  <c r="AA40" i="9"/>
  <c r="AA48" i="9"/>
  <c r="AA56" i="9"/>
  <c r="AA68" i="9"/>
  <c r="AA57" i="9"/>
  <c r="AA69" i="9"/>
  <c r="AA41" i="9"/>
  <c r="AA49" i="9"/>
  <c r="AA42" i="9"/>
  <c r="AA50" i="9"/>
  <c r="AA58" i="9"/>
  <c r="AA70" i="9"/>
  <c r="AA63" i="9"/>
  <c r="AA37" i="9"/>
  <c r="AA45" i="9"/>
  <c r="AA53" i="9"/>
  <c r="AA65" i="9"/>
  <c r="AA52" i="9"/>
  <c r="AA64" i="9"/>
  <c r="AA38" i="9"/>
  <c r="AA46" i="9"/>
  <c r="AA54" i="9"/>
  <c r="AA66" i="9"/>
  <c r="AB39" i="51"/>
  <c r="AF39" i="51"/>
  <c r="AF55" i="51"/>
  <c r="AB45" i="51"/>
  <c r="AF45" i="51"/>
  <c r="AF58" i="51"/>
  <c r="AF113" i="9"/>
  <c r="AF101" i="9"/>
  <c r="AF82" i="9"/>
  <c r="AF108" i="9"/>
  <c r="AB68" i="51"/>
  <c r="AF68" i="51"/>
  <c r="AF36" i="51"/>
  <c r="AF63" i="51"/>
  <c r="AF50" i="51"/>
  <c r="AB105" i="9"/>
  <c r="AF105" i="9"/>
  <c r="AF111" i="9"/>
  <c r="AF107" i="9"/>
  <c r="AF100" i="9"/>
  <c r="AB56" i="51"/>
  <c r="AF56" i="51"/>
  <c r="AB66" i="51"/>
  <c r="AF66" i="51"/>
  <c r="AF64" i="51"/>
  <c r="AF42" i="51"/>
  <c r="AF97" i="9"/>
  <c r="AF103" i="9"/>
  <c r="AF118" i="9"/>
  <c r="AF89" i="9"/>
  <c r="AF48" i="51"/>
  <c r="AF54" i="51"/>
  <c r="AB52" i="51"/>
  <c r="AF52" i="51"/>
  <c r="AF114" i="9"/>
  <c r="AF86" i="9"/>
  <c r="AF95" i="9"/>
  <c r="AF110" i="9"/>
  <c r="AF81" i="9"/>
  <c r="AB69" i="51"/>
  <c r="AF69" i="51"/>
  <c r="AF40" i="51"/>
  <c r="AB46" i="51"/>
  <c r="AF46" i="51"/>
  <c r="AF44" i="51"/>
  <c r="AF106" i="9"/>
  <c r="AF112" i="9"/>
  <c r="AF84" i="9"/>
  <c r="AF102" i="9"/>
  <c r="AF115" i="9"/>
  <c r="AF57" i="51"/>
  <c r="AF47" i="51"/>
  <c r="AB38" i="51"/>
  <c r="AF38" i="51"/>
  <c r="AB51" i="51"/>
  <c r="AF51" i="51"/>
  <c r="AF98" i="9"/>
  <c r="AF104" i="9"/>
  <c r="AF117" i="9"/>
  <c r="AF94" i="9"/>
  <c r="AF80" i="9"/>
  <c r="AF49" i="51"/>
  <c r="AF37" i="51"/>
  <c r="AF65" i="51"/>
  <c r="AF43" i="51"/>
  <c r="AF87" i="9"/>
  <c r="AF96" i="9"/>
  <c r="AF109" i="9"/>
  <c r="AF83" i="9"/>
  <c r="AF88" i="9"/>
  <c r="AF41" i="51"/>
  <c r="AB67" i="51"/>
  <c r="AF67" i="51"/>
  <c r="AB53" i="51"/>
  <c r="AF53" i="51"/>
  <c r="AF70" i="51"/>
  <c r="AF77" i="9"/>
  <c r="AF85" i="9"/>
  <c r="AF90" i="9"/>
  <c r="AF116" i="9"/>
  <c r="AF99" i="9"/>
  <c r="AN52" i="52"/>
  <c r="AM52" i="52"/>
  <c r="AN47" i="52"/>
  <c r="AM47" i="52"/>
  <c r="AM57" i="52"/>
  <c r="AN57" i="52"/>
  <c r="AN56" i="52"/>
  <c r="AM56" i="52"/>
  <c r="AN68" i="52"/>
  <c r="AM68" i="52"/>
  <c r="AM69" i="52"/>
  <c r="AN69" i="52"/>
  <c r="AN48" i="52"/>
  <c r="AM48" i="52"/>
  <c r="AN44" i="52"/>
  <c r="AM44" i="52"/>
  <c r="AN42" i="52"/>
  <c r="AM42" i="52"/>
  <c r="AN53" i="52"/>
  <c r="AM53" i="52"/>
  <c r="AN55" i="52"/>
  <c r="AM55" i="52"/>
  <c r="AM43" i="52"/>
  <c r="AN43" i="52"/>
  <c r="AN45" i="52"/>
  <c r="AM45" i="52"/>
  <c r="AM38" i="52"/>
  <c r="AN38" i="52"/>
  <c r="AN66" i="52"/>
  <c r="AM66" i="52"/>
  <c r="AN46" i="52"/>
  <c r="AM46" i="52"/>
  <c r="AN54" i="52"/>
  <c r="AM54" i="52"/>
  <c r="AN40" i="52"/>
  <c r="AM40" i="52"/>
  <c r="AM49" i="52"/>
  <c r="AN49" i="52"/>
  <c r="AN70" i="52"/>
  <c r="AM70" i="52"/>
  <c r="AN58" i="52"/>
  <c r="AM58" i="52"/>
  <c r="AM63" i="52"/>
  <c r="AN63" i="52"/>
  <c r="AN36" i="52"/>
  <c r="AM36" i="52"/>
  <c r="AN64" i="52"/>
  <c r="AM64" i="52"/>
  <c r="AN39" i="52"/>
  <c r="AM39" i="52"/>
  <c r="AM51" i="52"/>
  <c r="AN51" i="52"/>
  <c r="AN67" i="52"/>
  <c r="AM67" i="52"/>
  <c r="AN37" i="52"/>
  <c r="AM37" i="52"/>
  <c r="AI57" i="51"/>
  <c r="AI65" i="51"/>
  <c r="AI49" i="51"/>
  <c r="AI48" i="51"/>
  <c r="AI36" i="51"/>
  <c r="AI39" i="51"/>
  <c r="AI37" i="51"/>
  <c r="AN84" i="51"/>
  <c r="AI44" i="51"/>
  <c r="AI43" i="51"/>
  <c r="AI52" i="51"/>
  <c r="AI58" i="51"/>
  <c r="AI69" i="51"/>
  <c r="AI68" i="51"/>
  <c r="AI67" i="51"/>
  <c r="AI46" i="51"/>
  <c r="AI63" i="51"/>
  <c r="AI50" i="51"/>
  <c r="AI55" i="51"/>
  <c r="AI51" i="51"/>
  <c r="AI40" i="51"/>
  <c r="AI53" i="51"/>
  <c r="AI64" i="51"/>
  <c r="AN77" i="51"/>
  <c r="AM77" i="51"/>
  <c r="AI41" i="51"/>
  <c r="AI47" i="51"/>
  <c r="AI66" i="51"/>
  <c r="AI70" i="51"/>
  <c r="AN83" i="51"/>
  <c r="AI38" i="51"/>
  <c r="AI54" i="51"/>
  <c r="AI56" i="51"/>
  <c r="AI45" i="51"/>
  <c r="AI42" i="51"/>
  <c r="K51" i="9"/>
  <c r="M51" i="9"/>
  <c r="K43" i="9"/>
  <c r="M43" i="9"/>
  <c r="K36" i="9"/>
  <c r="M36" i="9"/>
  <c r="K47" i="9"/>
  <c r="M47" i="9"/>
  <c r="K67" i="9"/>
  <c r="K44" i="9"/>
  <c r="M44" i="9"/>
  <c r="K39" i="9"/>
  <c r="M39" i="9"/>
  <c r="M55" i="9"/>
  <c r="K55" i="9"/>
  <c r="K40" i="9"/>
  <c r="M40" i="9"/>
  <c r="K48" i="9"/>
  <c r="M48" i="9"/>
  <c r="K56" i="9"/>
  <c r="M68" i="9"/>
  <c r="K68" i="9"/>
  <c r="M57" i="9"/>
  <c r="K57" i="9"/>
  <c r="M69" i="9"/>
  <c r="K69" i="9"/>
  <c r="M41" i="9"/>
  <c r="K41" i="9"/>
  <c r="M49" i="9"/>
  <c r="K49" i="9"/>
  <c r="M42" i="9"/>
  <c r="K42" i="9"/>
  <c r="M50" i="9"/>
  <c r="K50" i="9"/>
  <c r="M58" i="9"/>
  <c r="K58" i="9"/>
  <c r="M70" i="9"/>
  <c r="K70" i="9"/>
  <c r="K63" i="9"/>
  <c r="M63" i="9"/>
  <c r="M37" i="9"/>
  <c r="K37" i="9"/>
  <c r="M45" i="9"/>
  <c r="K45" i="9"/>
  <c r="M53" i="9"/>
  <c r="K53" i="9"/>
  <c r="M65" i="9"/>
  <c r="K65" i="9"/>
  <c r="K52" i="9"/>
  <c r="M52" i="9"/>
  <c r="K64" i="9"/>
  <c r="M64" i="9"/>
  <c r="M38" i="9"/>
  <c r="K38" i="9"/>
  <c r="M46" i="9"/>
  <c r="K46" i="9"/>
  <c r="M54" i="9"/>
  <c r="K54" i="9"/>
  <c r="K66" i="9"/>
  <c r="AI104" i="9"/>
  <c r="AI101" i="9"/>
  <c r="AI97" i="9"/>
  <c r="AI82" i="9"/>
  <c r="AI89" i="9"/>
  <c r="AI98" i="9"/>
  <c r="AI110" i="9"/>
  <c r="AI80" i="9"/>
  <c r="AI113" i="9"/>
  <c r="AI86" i="9"/>
  <c r="AI95" i="9"/>
  <c r="AI109" i="9"/>
  <c r="AI83" i="9"/>
  <c r="AI108" i="9"/>
  <c r="AI114" i="9"/>
  <c r="AI96" i="9"/>
  <c r="AI81" i="9"/>
  <c r="AI87" i="9"/>
  <c r="AI111" i="9"/>
  <c r="AI102" i="9"/>
  <c r="AI88" i="9"/>
  <c r="AI105" i="9"/>
  <c r="AI112" i="9"/>
  <c r="AI107" i="9"/>
  <c r="AI100" i="9"/>
  <c r="AI115" i="9"/>
  <c r="AI84" i="9"/>
  <c r="AI106" i="9"/>
  <c r="AI85" i="9"/>
  <c r="AI118" i="9"/>
  <c r="AI90" i="9"/>
  <c r="AI77" i="9"/>
  <c r="AI103" i="9"/>
  <c r="AI117" i="9"/>
  <c r="AI94" i="9"/>
  <c r="AI116" i="9"/>
  <c r="AI99" i="9"/>
  <c r="AA53" i="18"/>
  <c r="M53" i="18"/>
  <c r="K53" i="18"/>
  <c r="AA60" i="18"/>
  <c r="M60" i="18"/>
  <c r="K60" i="18"/>
  <c r="K56" i="18"/>
  <c r="AA56" i="18"/>
  <c r="M56" i="18"/>
  <c r="AH46" i="18"/>
  <c r="AH45" i="18"/>
  <c r="AH44" i="18"/>
  <c r="AH43" i="18"/>
  <c r="AH39" i="18"/>
  <c r="AH38" i="18"/>
  <c r="AH37" i="18"/>
  <c r="AH36" i="18"/>
  <c r="AH35" i="18"/>
  <c r="AH66" i="29"/>
  <c r="AH65" i="29"/>
  <c r="AH63" i="29"/>
  <c r="AH60" i="29"/>
  <c r="AH58" i="29"/>
  <c r="AH52" i="29"/>
  <c r="AH36" i="29"/>
  <c r="AE36" i="29"/>
  <c r="M66" i="9"/>
  <c r="M67" i="9"/>
  <c r="M56" i="9"/>
  <c r="J46" i="18"/>
  <c r="N45" i="18"/>
  <c r="J44" i="18"/>
  <c r="N43" i="18"/>
  <c r="J39" i="18"/>
  <c r="N38" i="18"/>
  <c r="J37" i="18"/>
  <c r="N36" i="18"/>
  <c r="J35" i="18"/>
  <c r="N39" i="18"/>
  <c r="I45" i="18"/>
  <c r="I46" i="18"/>
  <c r="I44" i="18"/>
  <c r="I39" i="18"/>
  <c r="I37" i="18"/>
  <c r="I35" i="18"/>
  <c r="L36" i="18"/>
  <c r="N37" i="18"/>
  <c r="L45" i="18"/>
  <c r="L43" i="18"/>
  <c r="L38" i="18"/>
  <c r="N44" i="18"/>
  <c r="I36" i="18"/>
  <c r="J36" i="18"/>
  <c r="I43" i="18"/>
  <c r="N46" i="18"/>
  <c r="J45" i="18"/>
  <c r="J43" i="18"/>
  <c r="J38" i="18"/>
  <c r="N35" i="18"/>
  <c r="I38" i="18"/>
  <c r="L46" i="18"/>
  <c r="L44" i="18"/>
  <c r="L39" i="18"/>
  <c r="L37" i="18"/>
  <c r="L35" i="18"/>
  <c r="J72" i="29"/>
  <c r="L70" i="29"/>
  <c r="N68" i="29"/>
  <c r="I65" i="29"/>
  <c r="J64" i="29"/>
  <c r="L62" i="29"/>
  <c r="N60" i="29"/>
  <c r="I57" i="29"/>
  <c r="J56" i="29"/>
  <c r="L54" i="29"/>
  <c r="N52" i="29"/>
  <c r="I46" i="29"/>
  <c r="J45" i="29"/>
  <c r="L43" i="29"/>
  <c r="N41" i="29"/>
  <c r="I36" i="29"/>
  <c r="J58" i="29"/>
  <c r="J39" i="29"/>
  <c r="N69" i="29"/>
  <c r="I72" i="29"/>
  <c r="J71" i="29"/>
  <c r="L69" i="29"/>
  <c r="N67" i="29"/>
  <c r="I64" i="29"/>
  <c r="J63" i="29"/>
  <c r="L61" i="29"/>
  <c r="N59" i="29"/>
  <c r="I56" i="29"/>
  <c r="J55" i="29"/>
  <c r="L53" i="29"/>
  <c r="N51" i="29"/>
  <c r="I45" i="29"/>
  <c r="J44" i="29"/>
  <c r="L42" i="29"/>
  <c r="N40" i="29"/>
  <c r="I67" i="29"/>
  <c r="I58" i="29"/>
  <c r="J36" i="29"/>
  <c r="I71" i="29"/>
  <c r="J70" i="29"/>
  <c r="L68" i="29"/>
  <c r="N66" i="29"/>
  <c r="I63" i="29"/>
  <c r="J62" i="29"/>
  <c r="L60" i="29"/>
  <c r="N58" i="29"/>
  <c r="I55" i="29"/>
  <c r="J54" i="29"/>
  <c r="L52" i="29"/>
  <c r="N47" i="29"/>
  <c r="I44" i="29"/>
  <c r="J43" i="29"/>
  <c r="L41" i="29"/>
  <c r="N39" i="29"/>
  <c r="L45" i="29"/>
  <c r="N43" i="29"/>
  <c r="I66" i="29"/>
  <c r="N61" i="29"/>
  <c r="J57" i="29"/>
  <c r="I47" i="29"/>
  <c r="I39" i="29"/>
  <c r="I70" i="29"/>
  <c r="J69" i="29"/>
  <c r="L67" i="29"/>
  <c r="N65" i="29"/>
  <c r="I62" i="29"/>
  <c r="J61" i="29"/>
  <c r="L59" i="29"/>
  <c r="N57" i="29"/>
  <c r="I54" i="29"/>
  <c r="J53" i="29"/>
  <c r="L51" i="29"/>
  <c r="N46" i="29"/>
  <c r="I43" i="29"/>
  <c r="J42" i="29"/>
  <c r="L40" i="29"/>
  <c r="N36" i="29"/>
  <c r="J66" i="29"/>
  <c r="L64" i="29"/>
  <c r="N62" i="29"/>
  <c r="N54" i="29"/>
  <c r="J65" i="29"/>
  <c r="L55" i="29"/>
  <c r="N53" i="29"/>
  <c r="J46" i="29"/>
  <c r="N42" i="29"/>
  <c r="N72" i="29"/>
  <c r="I69" i="29"/>
  <c r="J68" i="29"/>
  <c r="L66" i="29"/>
  <c r="N64" i="29"/>
  <c r="I61" i="29"/>
  <c r="J60" i="29"/>
  <c r="L58" i="29"/>
  <c r="N56" i="29"/>
  <c r="I53" i="29"/>
  <c r="J52" i="29"/>
  <c r="L47" i="29"/>
  <c r="N45" i="29"/>
  <c r="I42" i="29"/>
  <c r="J41" i="29"/>
  <c r="L39" i="29"/>
  <c r="N70" i="29"/>
  <c r="I59" i="29"/>
  <c r="L56" i="29"/>
  <c r="I51" i="29"/>
  <c r="L71" i="29"/>
  <c r="L63" i="29"/>
  <c r="L44" i="29"/>
  <c r="N71" i="29"/>
  <c r="I68" i="29"/>
  <c r="J67" i="29"/>
  <c r="L65" i="29"/>
  <c r="N63" i="29"/>
  <c r="I60" i="29"/>
  <c r="J59" i="29"/>
  <c r="L57" i="29"/>
  <c r="N55" i="29"/>
  <c r="I52" i="29"/>
  <c r="J51" i="29"/>
  <c r="L46" i="29"/>
  <c r="N44" i="29"/>
  <c r="I41" i="29"/>
  <c r="J40" i="29"/>
  <c r="L36" i="29"/>
  <c r="L72" i="29"/>
  <c r="J47" i="29"/>
  <c r="I40" i="29"/>
  <c r="AA40" i="29" l="1"/>
  <c r="AA41" i="29"/>
  <c r="AA52" i="29"/>
  <c r="AA60" i="29"/>
  <c r="AA68" i="29"/>
  <c r="AA51" i="29"/>
  <c r="AA59" i="29"/>
  <c r="AA42" i="29"/>
  <c r="AA53" i="29"/>
  <c r="AA61" i="29"/>
  <c r="AA69" i="29"/>
  <c r="AA43" i="29"/>
  <c r="AA54" i="29"/>
  <c r="AA62" i="29"/>
  <c r="AA70" i="29"/>
  <c r="AA39" i="29"/>
  <c r="AA47" i="29"/>
  <c r="AA66" i="29"/>
  <c r="AA44" i="29"/>
  <c r="AA55" i="29"/>
  <c r="AA63" i="29"/>
  <c r="AA71" i="29"/>
  <c r="AA58" i="29"/>
  <c r="AA67" i="29"/>
  <c r="AA45" i="29"/>
  <c r="AA56" i="29"/>
  <c r="AA64" i="29"/>
  <c r="AA72" i="29"/>
  <c r="AA46" i="29"/>
  <c r="AA57" i="29"/>
  <c r="AA65" i="29"/>
  <c r="AA38" i="18"/>
  <c r="AA43" i="18"/>
  <c r="AA36" i="18"/>
  <c r="AA35" i="18"/>
  <c r="AA37" i="18"/>
  <c r="AA39" i="18"/>
  <c r="AA44" i="18"/>
  <c r="AA46" i="18"/>
  <c r="AA45" i="18"/>
  <c r="AB53" i="9"/>
  <c r="AF53" i="9"/>
  <c r="AF49" i="9"/>
  <c r="AF55" i="9"/>
  <c r="AB66" i="9"/>
  <c r="AF66" i="9"/>
  <c r="AB45" i="9"/>
  <c r="AF45" i="9"/>
  <c r="AF41" i="9"/>
  <c r="AB39" i="9"/>
  <c r="AF39" i="9"/>
  <c r="AF54" i="9"/>
  <c r="AF37" i="9"/>
  <c r="AB69" i="9"/>
  <c r="AF69" i="9"/>
  <c r="AF44" i="9"/>
  <c r="AB46" i="9"/>
  <c r="AF46" i="9"/>
  <c r="AF63" i="9"/>
  <c r="AF57" i="9"/>
  <c r="AB67" i="9"/>
  <c r="AF67" i="9"/>
  <c r="AB38" i="9"/>
  <c r="AF38" i="9"/>
  <c r="AF70" i="9"/>
  <c r="AB68" i="9"/>
  <c r="AF68" i="9"/>
  <c r="AF47" i="9"/>
  <c r="AF64" i="9"/>
  <c r="AF58" i="9"/>
  <c r="AB56" i="9"/>
  <c r="AF56" i="9"/>
  <c r="AB36" i="9"/>
  <c r="AF36" i="9"/>
  <c r="AB52" i="9"/>
  <c r="AF52" i="9"/>
  <c r="AF50" i="9"/>
  <c r="AF48" i="9"/>
  <c r="AB43" i="9"/>
  <c r="AF43" i="9"/>
  <c r="AF65" i="9"/>
  <c r="AF42" i="9"/>
  <c r="AF40" i="9"/>
  <c r="AB51" i="9"/>
  <c r="AF51" i="9"/>
  <c r="AN67" i="51"/>
  <c r="AM67" i="51"/>
  <c r="AM52" i="51"/>
  <c r="AN52" i="51"/>
  <c r="AN56" i="51"/>
  <c r="AM56" i="51"/>
  <c r="AN69" i="51"/>
  <c r="AM69" i="51"/>
  <c r="AN53" i="51"/>
  <c r="AM53" i="51"/>
  <c r="AN45" i="51"/>
  <c r="AM45" i="51"/>
  <c r="AN51" i="51"/>
  <c r="AM51" i="51"/>
  <c r="AN66" i="51"/>
  <c r="AM66" i="51"/>
  <c r="AN68" i="51"/>
  <c r="AM68" i="51"/>
  <c r="AN39" i="51"/>
  <c r="AM39" i="51"/>
  <c r="AN46" i="51"/>
  <c r="AM46" i="51"/>
  <c r="AN38" i="51"/>
  <c r="AM38" i="51"/>
  <c r="AI54" i="9"/>
  <c r="AI64" i="9"/>
  <c r="AI37" i="9"/>
  <c r="AI36" i="9"/>
  <c r="AI46" i="9"/>
  <c r="AI53" i="9"/>
  <c r="AI49" i="9"/>
  <c r="AI57" i="9"/>
  <c r="AI56" i="9"/>
  <c r="AI63" i="9"/>
  <c r="AI55" i="9"/>
  <c r="AI52" i="9"/>
  <c r="AI45" i="9"/>
  <c r="AI50" i="9"/>
  <c r="AI67" i="9"/>
  <c r="AI43" i="9"/>
  <c r="AI38" i="9"/>
  <c r="AI70" i="9"/>
  <c r="AI41" i="9"/>
  <c r="AI48" i="9"/>
  <c r="AI66" i="9"/>
  <c r="AI39" i="9"/>
  <c r="AI42" i="9"/>
  <c r="AI69" i="9"/>
  <c r="AI68" i="9"/>
  <c r="AI47" i="9"/>
  <c r="AI51" i="9"/>
  <c r="AI65" i="9"/>
  <c r="AI58" i="9"/>
  <c r="AI40" i="9"/>
  <c r="AI44" i="9"/>
  <c r="K38" i="18"/>
  <c r="K43" i="18"/>
  <c r="K36" i="18"/>
  <c r="K35" i="18"/>
  <c r="K37" i="18"/>
  <c r="M39" i="18"/>
  <c r="K39" i="18"/>
  <c r="K44" i="18"/>
  <c r="M46" i="18"/>
  <c r="K46" i="18"/>
  <c r="K45" i="18"/>
  <c r="AI56" i="18"/>
  <c r="AF56" i="18"/>
  <c r="AB60" i="18"/>
  <c r="AI60" i="18"/>
  <c r="AF60" i="18"/>
  <c r="AI53" i="18"/>
  <c r="AF53" i="18"/>
  <c r="M40" i="29"/>
  <c r="K40" i="29"/>
  <c r="M41" i="29"/>
  <c r="K41" i="29"/>
  <c r="K52" i="29"/>
  <c r="K60" i="29"/>
  <c r="M68" i="29"/>
  <c r="K68" i="29"/>
  <c r="K51" i="29"/>
  <c r="K59" i="29"/>
  <c r="M42" i="29"/>
  <c r="K42" i="29"/>
  <c r="M53" i="29"/>
  <c r="K53" i="29"/>
  <c r="M61" i="29"/>
  <c r="K61" i="29"/>
  <c r="K69" i="29"/>
  <c r="M43" i="29"/>
  <c r="K43" i="29"/>
  <c r="M54" i="29"/>
  <c r="K54" i="29"/>
  <c r="K62" i="29"/>
  <c r="M62" i="29"/>
  <c r="K70" i="29"/>
  <c r="M39" i="29"/>
  <c r="K39" i="29"/>
  <c r="M47" i="29"/>
  <c r="K47" i="29"/>
  <c r="K66" i="29"/>
  <c r="K44" i="29"/>
  <c r="M44" i="29"/>
  <c r="K55" i="29"/>
  <c r="M55" i="29"/>
  <c r="K63" i="29"/>
  <c r="K71" i="29"/>
  <c r="M71" i="29"/>
  <c r="K58" i="29"/>
  <c r="K67" i="29"/>
  <c r="K45" i="29"/>
  <c r="M45" i="29"/>
  <c r="K56" i="29"/>
  <c r="M56" i="29"/>
  <c r="K64" i="29"/>
  <c r="K72" i="29"/>
  <c r="K36" i="29"/>
  <c r="AA36" i="29"/>
  <c r="M36" i="29"/>
  <c r="K46" i="29"/>
  <c r="M46" i="29"/>
  <c r="M57" i="29"/>
  <c r="K57" i="29"/>
  <c r="K65" i="29"/>
  <c r="M65" i="29"/>
  <c r="AH56" i="4"/>
  <c r="AE56" i="4"/>
  <c r="M38" i="18"/>
  <c r="M44" i="18"/>
  <c r="M45" i="18"/>
  <c r="M35" i="18"/>
  <c r="M43" i="18"/>
  <c r="M37" i="18"/>
  <c r="M36" i="18"/>
  <c r="M51" i="29"/>
  <c r="M64" i="29"/>
  <c r="M69" i="29"/>
  <c r="M60" i="29"/>
  <c r="M59" i="29"/>
  <c r="M70" i="29"/>
  <c r="M58" i="29"/>
  <c r="M72" i="29"/>
  <c r="M66" i="29"/>
  <c r="M63" i="29"/>
  <c r="M67" i="29"/>
  <c r="M52" i="29"/>
  <c r="N92" i="4"/>
  <c r="I89" i="4"/>
  <c r="J88" i="4"/>
  <c r="L86" i="4"/>
  <c r="N84" i="4"/>
  <c r="I81" i="4"/>
  <c r="J80" i="4"/>
  <c r="L78" i="4"/>
  <c r="N76" i="4"/>
  <c r="I73" i="4"/>
  <c r="J72" i="4"/>
  <c r="L67" i="4"/>
  <c r="N65" i="4"/>
  <c r="I62" i="4"/>
  <c r="J61" i="4"/>
  <c r="L59" i="4"/>
  <c r="L63" i="4"/>
  <c r="I56" i="4"/>
  <c r="J90" i="4"/>
  <c r="I83" i="4"/>
  <c r="L80" i="4"/>
  <c r="L93" i="4"/>
  <c r="N91" i="4"/>
  <c r="I88" i="4"/>
  <c r="J87" i="4"/>
  <c r="L85" i="4"/>
  <c r="N83" i="4"/>
  <c r="I80" i="4"/>
  <c r="J79" i="4"/>
  <c r="L77" i="4"/>
  <c r="N75" i="4"/>
  <c r="I72" i="4"/>
  <c r="J68" i="4"/>
  <c r="L66" i="4"/>
  <c r="N64" i="4"/>
  <c r="I61" i="4"/>
  <c r="J60" i="4"/>
  <c r="L56" i="4"/>
  <c r="J56" i="4"/>
  <c r="I75" i="4"/>
  <c r="L92" i="4"/>
  <c r="N90" i="4"/>
  <c r="I87" i="4"/>
  <c r="J86" i="4"/>
  <c r="L84" i="4"/>
  <c r="N82" i="4"/>
  <c r="I79" i="4"/>
  <c r="J78" i="4"/>
  <c r="L76" i="4"/>
  <c r="N74" i="4"/>
  <c r="I68" i="4"/>
  <c r="J67" i="4"/>
  <c r="L65" i="4"/>
  <c r="N63" i="4"/>
  <c r="I60" i="4"/>
  <c r="J59" i="4"/>
  <c r="J64" i="4"/>
  <c r="N86" i="4"/>
  <c r="L61" i="4"/>
  <c r="N59" i="4"/>
  <c r="J93" i="4"/>
  <c r="L91" i="4"/>
  <c r="N89" i="4"/>
  <c r="I86" i="4"/>
  <c r="J85" i="4"/>
  <c r="L83" i="4"/>
  <c r="N81" i="4"/>
  <c r="I78" i="4"/>
  <c r="J77" i="4"/>
  <c r="L75" i="4"/>
  <c r="N73" i="4"/>
  <c r="I67" i="4"/>
  <c r="J66" i="4"/>
  <c r="L64" i="4"/>
  <c r="N62" i="4"/>
  <c r="I59" i="4"/>
  <c r="L88" i="4"/>
  <c r="N78" i="4"/>
  <c r="L72" i="4"/>
  <c r="I93" i="4"/>
  <c r="J92" i="4"/>
  <c r="L90" i="4"/>
  <c r="N88" i="4"/>
  <c r="I85" i="4"/>
  <c r="J84" i="4"/>
  <c r="L82" i="4"/>
  <c r="N80" i="4"/>
  <c r="I77" i="4"/>
  <c r="J76" i="4"/>
  <c r="L74" i="4"/>
  <c r="N72" i="4"/>
  <c r="I66" i="4"/>
  <c r="J65" i="4"/>
  <c r="N61" i="4"/>
  <c r="N60" i="4"/>
  <c r="I92" i="4"/>
  <c r="J91" i="4"/>
  <c r="L89" i="4"/>
  <c r="N87" i="4"/>
  <c r="I84" i="4"/>
  <c r="J83" i="4"/>
  <c r="L81" i="4"/>
  <c r="N79" i="4"/>
  <c r="I76" i="4"/>
  <c r="J75" i="4"/>
  <c r="L73" i="4"/>
  <c r="N68" i="4"/>
  <c r="I65" i="4"/>
  <c r="L62" i="4"/>
  <c r="I91" i="4"/>
  <c r="J82" i="4"/>
  <c r="J74" i="4"/>
  <c r="N67" i="4"/>
  <c r="J63" i="4"/>
  <c r="N93" i="4"/>
  <c r="I90" i="4"/>
  <c r="J89" i="4"/>
  <c r="L87" i="4"/>
  <c r="N85" i="4"/>
  <c r="I82" i="4"/>
  <c r="J81" i="4"/>
  <c r="L79" i="4"/>
  <c r="N77" i="4"/>
  <c r="I74" i="4"/>
  <c r="J73" i="4"/>
  <c r="L68" i="4"/>
  <c r="N66" i="4"/>
  <c r="I63" i="4"/>
  <c r="J62" i="4"/>
  <c r="L60" i="4"/>
  <c r="N56" i="4"/>
  <c r="I64" i="4"/>
  <c r="AA64" i="4" l="1"/>
  <c r="AA63" i="4"/>
  <c r="AA74" i="4"/>
  <c r="AA82" i="4"/>
  <c r="AA90" i="4"/>
  <c r="AA91" i="4"/>
  <c r="AA65" i="4"/>
  <c r="AA76" i="4"/>
  <c r="AA84" i="4"/>
  <c r="AA92" i="4"/>
  <c r="AA66" i="4"/>
  <c r="AA77" i="4"/>
  <c r="AA85" i="4"/>
  <c r="AA93" i="4"/>
  <c r="AA59" i="4"/>
  <c r="AA67" i="4"/>
  <c r="AA78" i="4"/>
  <c r="AA86" i="4"/>
  <c r="AA60" i="4"/>
  <c r="AA68" i="4"/>
  <c r="AA79" i="4"/>
  <c r="AA87" i="4"/>
  <c r="AA75" i="4"/>
  <c r="AA61" i="4"/>
  <c r="AA72" i="4"/>
  <c r="AA80" i="4"/>
  <c r="AA88" i="4"/>
  <c r="AA83" i="4"/>
  <c r="AA62" i="4"/>
  <c r="AA73" i="4"/>
  <c r="AA81" i="4"/>
  <c r="AA89" i="4"/>
  <c r="AB45" i="18"/>
  <c r="AF45" i="18"/>
  <c r="AB38" i="18"/>
  <c r="AF38" i="18"/>
  <c r="AF67" i="29"/>
  <c r="AF39" i="29"/>
  <c r="AF42" i="29"/>
  <c r="AB46" i="18"/>
  <c r="AF46" i="18"/>
  <c r="AB65" i="29"/>
  <c r="AF65" i="29"/>
  <c r="AF58" i="29"/>
  <c r="AF70" i="29"/>
  <c r="AF59" i="29"/>
  <c r="AB44" i="18"/>
  <c r="AF44" i="18"/>
  <c r="AF57" i="29"/>
  <c r="AF71" i="29"/>
  <c r="AF62" i="29"/>
  <c r="AB51" i="29"/>
  <c r="AF51" i="29"/>
  <c r="AB39" i="18"/>
  <c r="AF39" i="18"/>
  <c r="AF46" i="29"/>
  <c r="AF63" i="29"/>
  <c r="AF54" i="29"/>
  <c r="AF68" i="29"/>
  <c r="AB37" i="18"/>
  <c r="AF37" i="18"/>
  <c r="AF72" i="29"/>
  <c r="AF55" i="29"/>
  <c r="AF43" i="29"/>
  <c r="AB60" i="29"/>
  <c r="AF60" i="29"/>
  <c r="AB35" i="18"/>
  <c r="AF35" i="18"/>
  <c r="AF64" i="29"/>
  <c r="AF44" i="29"/>
  <c r="AF69" i="29"/>
  <c r="AF52" i="29"/>
  <c r="AB36" i="18"/>
  <c r="AF36" i="18"/>
  <c r="AF56" i="29"/>
  <c r="AF66" i="29"/>
  <c r="AF61" i="29"/>
  <c r="AF41" i="29"/>
  <c r="AB43" i="18"/>
  <c r="AF43" i="18"/>
  <c r="AF45" i="29"/>
  <c r="AF47" i="29"/>
  <c r="AF53" i="29"/>
  <c r="AF40" i="29"/>
  <c r="AM67" i="9"/>
  <c r="AN67" i="9"/>
  <c r="AN69" i="9"/>
  <c r="AM69" i="9"/>
  <c r="AN53" i="9"/>
  <c r="AM53" i="9"/>
  <c r="AM39" i="9"/>
  <c r="AN39" i="9"/>
  <c r="AN38" i="9"/>
  <c r="AM38" i="9"/>
  <c r="AN52" i="9"/>
  <c r="AM52" i="9"/>
  <c r="AM43" i="9"/>
  <c r="AN43" i="9"/>
  <c r="AN56" i="9"/>
  <c r="AM56" i="9"/>
  <c r="AN68" i="9"/>
  <c r="AM68" i="9"/>
  <c r="AN45" i="9"/>
  <c r="AM45" i="9"/>
  <c r="AM36" i="9"/>
  <c r="AN36" i="9"/>
  <c r="AM51" i="9"/>
  <c r="AN51" i="9"/>
  <c r="AN66" i="9"/>
  <c r="AM66" i="9"/>
  <c r="AN46" i="9"/>
  <c r="AM46" i="9"/>
  <c r="AI39" i="18"/>
  <c r="AI46" i="18"/>
  <c r="AI44" i="18"/>
  <c r="AI37" i="18"/>
  <c r="AI35" i="18"/>
  <c r="AI38" i="18"/>
  <c r="AI43" i="18"/>
  <c r="AI45" i="18"/>
  <c r="AI36" i="18"/>
  <c r="AI63" i="29"/>
  <c r="AI68" i="29"/>
  <c r="AI46" i="29"/>
  <c r="AI52" i="29"/>
  <c r="AI41" i="29"/>
  <c r="AI61" i="29"/>
  <c r="AI51" i="29"/>
  <c r="AI54" i="29"/>
  <c r="AB36" i="29"/>
  <c r="AF36" i="29"/>
  <c r="AI36" i="29"/>
  <c r="AI39" i="29"/>
  <c r="AI56" i="29"/>
  <c r="AI55" i="29"/>
  <c r="AI66" i="29"/>
  <c r="AI43" i="29"/>
  <c r="AI70" i="29"/>
  <c r="AI58" i="29"/>
  <c r="AI59" i="29"/>
  <c r="AI65" i="29"/>
  <c r="AI42" i="29"/>
  <c r="AI67" i="29"/>
  <c r="AI57" i="29"/>
  <c r="AI72" i="29"/>
  <c r="AI60" i="29"/>
  <c r="AI44" i="29"/>
  <c r="AI64" i="29"/>
  <c r="AI53" i="29"/>
  <c r="AI45" i="29"/>
  <c r="AI71" i="29"/>
  <c r="AI47" i="29"/>
  <c r="AI62" i="29"/>
  <c r="AI69" i="29"/>
  <c r="AI40" i="29"/>
  <c r="K64" i="4"/>
  <c r="M64" i="4"/>
  <c r="K63" i="4"/>
  <c r="M63" i="4"/>
  <c r="K74" i="4"/>
  <c r="K82" i="4"/>
  <c r="K90" i="4"/>
  <c r="K91" i="4"/>
  <c r="M65" i="4"/>
  <c r="K65" i="4"/>
  <c r="M76" i="4"/>
  <c r="K76" i="4"/>
  <c r="K84" i="4"/>
  <c r="M92" i="4"/>
  <c r="K92" i="4"/>
  <c r="M66" i="4"/>
  <c r="K66" i="4"/>
  <c r="M77" i="4"/>
  <c r="K77" i="4"/>
  <c r="K85" i="4"/>
  <c r="M93" i="4"/>
  <c r="K93" i="4"/>
  <c r="K59" i="4"/>
  <c r="M59" i="4"/>
  <c r="K67" i="4"/>
  <c r="M67" i="4"/>
  <c r="K78" i="4"/>
  <c r="M78" i="4"/>
  <c r="K86" i="4"/>
  <c r="K60" i="4"/>
  <c r="M60" i="4"/>
  <c r="K68" i="4"/>
  <c r="M68" i="4"/>
  <c r="K79" i="4"/>
  <c r="M79" i="4"/>
  <c r="K87" i="4"/>
  <c r="M87" i="4"/>
  <c r="K75" i="4"/>
  <c r="M61" i="4"/>
  <c r="K61" i="4"/>
  <c r="M72" i="4"/>
  <c r="K72" i="4"/>
  <c r="K80" i="4"/>
  <c r="K88" i="4"/>
  <c r="K83" i="4"/>
  <c r="M56" i="4"/>
  <c r="K56" i="4"/>
  <c r="AA56" i="4"/>
  <c r="M62" i="4"/>
  <c r="K62" i="4"/>
  <c r="K73" i="4"/>
  <c r="K81" i="4"/>
  <c r="M81" i="4"/>
  <c r="K89" i="4"/>
  <c r="AH48" i="4"/>
  <c r="AH45" i="4"/>
  <c r="AH44" i="4"/>
  <c r="AH41" i="4"/>
  <c r="AH70" i="21"/>
  <c r="AE70" i="21"/>
  <c r="AH66" i="21"/>
  <c r="AE66" i="21"/>
  <c r="AH63" i="21"/>
  <c r="AE63" i="21"/>
  <c r="I50" i="4"/>
  <c r="I49" i="4"/>
  <c r="J48" i="4"/>
  <c r="L46" i="4"/>
  <c r="N44" i="4"/>
  <c r="I41" i="4"/>
  <c r="J40" i="4"/>
  <c r="L38" i="4"/>
  <c r="N36" i="4"/>
  <c r="M83" i="4"/>
  <c r="N51" i="4"/>
  <c r="I48" i="4"/>
  <c r="J47" i="4"/>
  <c r="L45" i="4"/>
  <c r="N43" i="4"/>
  <c r="I40" i="4"/>
  <c r="J39" i="4"/>
  <c r="L37" i="4"/>
  <c r="I38" i="4"/>
  <c r="M82" i="4"/>
  <c r="M89" i="4"/>
  <c r="J37" i="4"/>
  <c r="I36" i="4"/>
  <c r="M75" i="4"/>
  <c r="N50" i="4"/>
  <c r="I47" i="4"/>
  <c r="J46" i="4"/>
  <c r="L44" i="4"/>
  <c r="N42" i="4"/>
  <c r="I39" i="4"/>
  <c r="J38" i="4"/>
  <c r="L36" i="4"/>
  <c r="M85" i="4"/>
  <c r="M80" i="4"/>
  <c r="M73" i="4"/>
  <c r="L51" i="4"/>
  <c r="N49" i="4"/>
  <c r="I46" i="4"/>
  <c r="J45" i="4"/>
  <c r="L43" i="4"/>
  <c r="N41" i="4"/>
  <c r="M90" i="4"/>
  <c r="M86" i="4"/>
  <c r="L50" i="4"/>
  <c r="N48" i="4"/>
  <c r="I45" i="4"/>
  <c r="J44" i="4"/>
  <c r="L42" i="4"/>
  <c r="N40" i="4"/>
  <c r="I37" i="4"/>
  <c r="J36" i="4"/>
  <c r="J51" i="4"/>
  <c r="L49" i="4"/>
  <c r="N47" i="4"/>
  <c r="I44" i="4"/>
  <c r="J43" i="4"/>
  <c r="L41" i="4"/>
  <c r="N39" i="4"/>
  <c r="M74" i="4"/>
  <c r="M88" i="4"/>
  <c r="I51" i="4"/>
  <c r="J50" i="4"/>
  <c r="L48" i="4"/>
  <c r="N46" i="4"/>
  <c r="I43" i="4"/>
  <c r="J42" i="4"/>
  <c r="L40" i="4"/>
  <c r="N38" i="4"/>
  <c r="M91" i="4"/>
  <c r="M84" i="4"/>
  <c r="J49" i="4"/>
  <c r="L47" i="4"/>
  <c r="N45" i="4"/>
  <c r="I42" i="4"/>
  <c r="J41" i="4"/>
  <c r="L39" i="4"/>
  <c r="N37" i="4"/>
  <c r="N66" i="21"/>
  <c r="J70" i="21"/>
  <c r="L70" i="21"/>
  <c r="N63" i="21"/>
  <c r="I70" i="21"/>
  <c r="I66" i="21"/>
  <c r="L66" i="21"/>
  <c r="L63" i="21"/>
  <c r="J63" i="21"/>
  <c r="J66" i="21"/>
  <c r="I63" i="21"/>
  <c r="N70" i="21"/>
  <c r="AA42" i="4" l="1"/>
  <c r="AA43" i="4"/>
  <c r="AA51" i="4"/>
  <c r="AA44" i="4"/>
  <c r="AA37" i="4"/>
  <c r="AA45" i="4"/>
  <c r="AA46" i="4"/>
  <c r="AA39" i="4"/>
  <c r="AA47" i="4"/>
  <c r="AA36" i="4"/>
  <c r="AA38" i="4"/>
  <c r="AA40" i="4"/>
  <c r="AA48" i="4"/>
  <c r="AA41" i="4"/>
  <c r="AA49" i="4"/>
  <c r="AA50" i="4"/>
  <c r="AF89" i="4"/>
  <c r="AF61" i="4"/>
  <c r="AF67" i="4"/>
  <c r="AF76" i="4"/>
  <c r="AF81" i="4"/>
  <c r="AF75" i="4"/>
  <c r="AF59" i="4"/>
  <c r="AF65" i="4"/>
  <c r="AF73" i="4"/>
  <c r="AF87" i="4"/>
  <c r="AF93" i="4"/>
  <c r="AB91" i="4"/>
  <c r="AF91" i="4"/>
  <c r="AF62" i="4"/>
  <c r="AF79" i="4"/>
  <c r="AF85" i="4"/>
  <c r="AF90" i="4"/>
  <c r="AB90" i="4"/>
  <c r="AF83" i="4"/>
  <c r="AF68" i="4"/>
  <c r="AF77" i="4"/>
  <c r="AF82" i="4"/>
  <c r="AF88" i="4"/>
  <c r="AF60" i="4"/>
  <c r="AF66" i="4"/>
  <c r="AF74" i="4"/>
  <c r="AF80" i="4"/>
  <c r="AF86" i="4"/>
  <c r="AF92" i="4"/>
  <c r="AF63" i="4"/>
  <c r="AF72" i="4"/>
  <c r="AF78" i="4"/>
  <c r="AF84" i="4"/>
  <c r="AF64" i="4"/>
  <c r="AM60" i="29"/>
  <c r="AN60" i="29"/>
  <c r="AN65" i="29"/>
  <c r="AN36" i="29"/>
  <c r="AM36" i="29"/>
  <c r="M42" i="4"/>
  <c r="K42" i="4"/>
  <c r="M43" i="4"/>
  <c r="K43" i="4"/>
  <c r="M51" i="4"/>
  <c r="K51" i="4"/>
  <c r="M44" i="4"/>
  <c r="K44" i="4"/>
  <c r="M37" i="4"/>
  <c r="K37" i="4"/>
  <c r="M45" i="4"/>
  <c r="K45" i="4"/>
  <c r="K46" i="4"/>
  <c r="M46" i="4"/>
  <c r="K39" i="4"/>
  <c r="M39" i="4"/>
  <c r="K47" i="4"/>
  <c r="M47" i="4"/>
  <c r="M36" i="4"/>
  <c r="K36" i="4"/>
  <c r="K38" i="4"/>
  <c r="M38" i="4"/>
  <c r="M40" i="4"/>
  <c r="K40" i="4"/>
  <c r="M48" i="4"/>
  <c r="K48" i="4"/>
  <c r="M41" i="4"/>
  <c r="K41" i="4"/>
  <c r="M49" i="4"/>
  <c r="K49" i="4"/>
  <c r="K50" i="4"/>
  <c r="AI89" i="4"/>
  <c r="AI72" i="4"/>
  <c r="AI66" i="4"/>
  <c r="AI64" i="4"/>
  <c r="AI62" i="4"/>
  <c r="AI60" i="4"/>
  <c r="AI76" i="4"/>
  <c r="AI91" i="4"/>
  <c r="AI56" i="4"/>
  <c r="AB56" i="4"/>
  <c r="AF56" i="4"/>
  <c r="AI88" i="4"/>
  <c r="AI67" i="4"/>
  <c r="AI85" i="4"/>
  <c r="AI74" i="4"/>
  <c r="AI81" i="4"/>
  <c r="AI61" i="4"/>
  <c r="AI79" i="4"/>
  <c r="AI92" i="4"/>
  <c r="AI86" i="4"/>
  <c r="AI65" i="4"/>
  <c r="AI90" i="4"/>
  <c r="AI80" i="4"/>
  <c r="AI68" i="4"/>
  <c r="AI59" i="4"/>
  <c r="AI63" i="4"/>
  <c r="AI73" i="4"/>
  <c r="AI75" i="4"/>
  <c r="AI77" i="4"/>
  <c r="AI84" i="4"/>
  <c r="AI83" i="4"/>
  <c r="AI87" i="4"/>
  <c r="AI78" i="4"/>
  <c r="AI93" i="4"/>
  <c r="AI82" i="4"/>
  <c r="AA63" i="21"/>
  <c r="M63" i="21"/>
  <c r="K63" i="21"/>
  <c r="M66" i="21"/>
  <c r="K66" i="21"/>
  <c r="AA66" i="21"/>
  <c r="M70" i="21"/>
  <c r="AA70" i="21"/>
  <c r="K70" i="21"/>
  <c r="AH56" i="21"/>
  <c r="AH55" i="21"/>
  <c r="AH54" i="21"/>
  <c r="AH53" i="21"/>
  <c r="AH52" i="21"/>
  <c r="AH51" i="21"/>
  <c r="AH50" i="21"/>
  <c r="AH49" i="21"/>
  <c r="AH48" i="21"/>
  <c r="AH44" i="21"/>
  <c r="AH43" i="21"/>
  <c r="AH42" i="21"/>
  <c r="AH41" i="21"/>
  <c r="AH40" i="21"/>
  <c r="AH39" i="21"/>
  <c r="AH38" i="21"/>
  <c r="AH37" i="21"/>
  <c r="AH36" i="21"/>
  <c r="AH35" i="21"/>
  <c r="AH60" i="7"/>
  <c r="AH59" i="7"/>
  <c r="AH57" i="7"/>
  <c r="AH56" i="7"/>
  <c r="AH55" i="7"/>
  <c r="M50" i="4"/>
  <c r="I54" i="21"/>
  <c r="J53" i="21"/>
  <c r="L51" i="21"/>
  <c r="N49" i="21"/>
  <c r="I43" i="21"/>
  <c r="J42" i="21"/>
  <c r="L40" i="21"/>
  <c r="N38" i="21"/>
  <c r="I35" i="21"/>
  <c r="J37" i="21"/>
  <c r="N56" i="21"/>
  <c r="I53" i="21"/>
  <c r="J52" i="21"/>
  <c r="L50" i="21"/>
  <c r="N48" i="21"/>
  <c r="I42" i="21"/>
  <c r="J41" i="21"/>
  <c r="L39" i="21"/>
  <c r="N37" i="21"/>
  <c r="L36" i="21"/>
  <c r="L43" i="21"/>
  <c r="N55" i="21"/>
  <c r="I52" i="21"/>
  <c r="J51" i="21"/>
  <c r="L49" i="21"/>
  <c r="N44" i="21"/>
  <c r="I41" i="21"/>
  <c r="J40" i="21"/>
  <c r="L38" i="21"/>
  <c r="N36" i="21"/>
  <c r="L37" i="21"/>
  <c r="I38" i="21"/>
  <c r="J54" i="21"/>
  <c r="L41" i="21"/>
  <c r="L56" i="21"/>
  <c r="N54" i="21"/>
  <c r="I51" i="21"/>
  <c r="J50" i="21"/>
  <c r="L48" i="21"/>
  <c r="N43" i="21"/>
  <c r="I40" i="21"/>
  <c r="J39" i="21"/>
  <c r="N35" i="21"/>
  <c r="J38" i="21"/>
  <c r="I55" i="21"/>
  <c r="J43" i="21"/>
  <c r="N39" i="21"/>
  <c r="I36" i="21"/>
  <c r="L55" i="21"/>
  <c r="N53" i="21"/>
  <c r="I50" i="21"/>
  <c r="J49" i="21"/>
  <c r="L44" i="21"/>
  <c r="N42" i="21"/>
  <c r="I39" i="21"/>
  <c r="N41" i="21"/>
  <c r="L52" i="21"/>
  <c r="N50" i="21"/>
  <c r="J56" i="21"/>
  <c r="L54" i="21"/>
  <c r="N52" i="21"/>
  <c r="I49" i="21"/>
  <c r="J48" i="21"/>
  <c r="L35" i="21"/>
  <c r="I44" i="21"/>
  <c r="I56" i="21"/>
  <c r="J55" i="21"/>
  <c r="L53" i="21"/>
  <c r="N51" i="21"/>
  <c r="I48" i="21"/>
  <c r="J44" i="21"/>
  <c r="L42" i="21"/>
  <c r="N40" i="21"/>
  <c r="I37" i="21"/>
  <c r="J36" i="21"/>
  <c r="J35" i="21"/>
  <c r="L61" i="7"/>
  <c r="L59" i="7"/>
  <c r="L57" i="7"/>
  <c r="L55" i="7"/>
  <c r="N58" i="7"/>
  <c r="N56" i="7"/>
  <c r="J55" i="7"/>
  <c r="I55" i="7"/>
  <c r="L58" i="7"/>
  <c r="J56" i="7"/>
  <c r="I58" i="7"/>
  <c r="I56" i="7"/>
  <c r="I57" i="7"/>
  <c r="L60" i="7"/>
  <c r="N59" i="7"/>
  <c r="I60" i="7"/>
  <c r="J61" i="7"/>
  <c r="N60" i="7"/>
  <c r="J59" i="7"/>
  <c r="J57" i="7"/>
  <c r="L56" i="7"/>
  <c r="J58" i="7"/>
  <c r="I61" i="7"/>
  <c r="I59" i="7"/>
  <c r="N55" i="7"/>
  <c r="N61" i="7"/>
  <c r="J60" i="7"/>
  <c r="N57" i="7"/>
  <c r="AA59" i="7" l="1"/>
  <c r="AA61" i="7"/>
  <c r="AA60" i="7"/>
  <c r="AA57" i="7"/>
  <c r="AA56" i="7"/>
  <c r="AA58" i="7"/>
  <c r="AA55" i="7"/>
  <c r="AA37" i="21"/>
  <c r="AA48" i="21"/>
  <c r="AA56" i="21"/>
  <c r="AA44" i="21"/>
  <c r="AA49" i="21"/>
  <c r="AA39" i="21"/>
  <c r="AA50" i="21"/>
  <c r="AA36" i="21"/>
  <c r="AA55" i="21"/>
  <c r="AA40" i="21"/>
  <c r="AA51" i="21"/>
  <c r="AA38" i="21"/>
  <c r="AA41" i="21"/>
  <c r="AA52" i="21"/>
  <c r="AA42" i="21"/>
  <c r="AA53" i="21"/>
  <c r="AA35" i="21"/>
  <c r="AA43" i="21"/>
  <c r="AA54" i="21"/>
  <c r="AF50" i="4"/>
  <c r="AF39" i="4"/>
  <c r="AF49" i="4"/>
  <c r="AF46" i="4"/>
  <c r="AF41" i="4"/>
  <c r="AF45" i="4"/>
  <c r="AB45" i="4"/>
  <c r="AB48" i="4"/>
  <c r="AF48" i="4"/>
  <c r="AF37" i="4"/>
  <c r="AF40" i="4"/>
  <c r="AB44" i="4"/>
  <c r="AF44" i="4"/>
  <c r="AF38" i="4"/>
  <c r="AF51" i="4"/>
  <c r="AF36" i="4"/>
  <c r="AF43" i="4"/>
  <c r="AF47" i="4"/>
  <c r="AF42" i="4"/>
  <c r="AI41" i="4"/>
  <c r="AI38" i="4"/>
  <c r="AI39" i="4"/>
  <c r="AI37" i="4"/>
  <c r="AI51" i="4"/>
  <c r="AI50" i="4"/>
  <c r="AI48" i="4"/>
  <c r="AI36" i="4"/>
  <c r="AI46" i="4"/>
  <c r="AI44" i="4"/>
  <c r="AI43" i="4"/>
  <c r="AI49" i="4"/>
  <c r="AI40" i="4"/>
  <c r="AI47" i="4"/>
  <c r="AI45" i="4"/>
  <c r="AI42" i="4"/>
  <c r="K37" i="21"/>
  <c r="K48" i="21"/>
  <c r="M56" i="21"/>
  <c r="K56" i="21"/>
  <c r="M44" i="21"/>
  <c r="K44" i="21"/>
  <c r="K49" i="21"/>
  <c r="K39" i="21"/>
  <c r="K50" i="21"/>
  <c r="K36" i="21"/>
  <c r="K55" i="21"/>
  <c r="K40" i="21"/>
  <c r="K51" i="21"/>
  <c r="K38" i="21"/>
  <c r="K41" i="21"/>
  <c r="K52" i="21"/>
  <c r="K42" i="21"/>
  <c r="K53" i="21"/>
  <c r="K35" i="21"/>
  <c r="K43" i="21"/>
  <c r="K54" i="21"/>
  <c r="AI70" i="21"/>
  <c r="AB70" i="21"/>
  <c r="AF70" i="21"/>
  <c r="AI66" i="21"/>
  <c r="AF66" i="21"/>
  <c r="AB66" i="21"/>
  <c r="AI63" i="21"/>
  <c r="AB63" i="21"/>
  <c r="AF63" i="21"/>
  <c r="K59" i="7"/>
  <c r="M61" i="7"/>
  <c r="K61" i="7"/>
  <c r="M60" i="7"/>
  <c r="K60" i="7"/>
  <c r="K57" i="7"/>
  <c r="K56" i="7"/>
  <c r="M56" i="7"/>
  <c r="K58" i="7"/>
  <c r="K55" i="7"/>
  <c r="M55" i="7"/>
  <c r="AH44" i="7"/>
  <c r="AH43" i="7"/>
  <c r="AH42" i="7"/>
  <c r="AH40" i="7"/>
  <c r="AH39" i="7"/>
  <c r="AH37" i="7"/>
  <c r="AH36" i="7"/>
  <c r="AH35" i="7"/>
  <c r="AH64" i="36"/>
  <c r="AE64" i="36"/>
  <c r="AH45" i="36"/>
  <c r="AH39" i="36"/>
  <c r="M35" i="21"/>
  <c r="M37" i="21"/>
  <c r="M55" i="21"/>
  <c r="M52" i="21"/>
  <c r="M50" i="21"/>
  <c r="M38" i="21"/>
  <c r="M42" i="21"/>
  <c r="M39" i="21"/>
  <c r="M53" i="21"/>
  <c r="M48" i="21"/>
  <c r="M43" i="21"/>
  <c r="M36" i="21"/>
  <c r="M49" i="21"/>
  <c r="M40" i="21"/>
  <c r="M41" i="21"/>
  <c r="M51" i="21"/>
  <c r="M54" i="21"/>
  <c r="M58" i="7"/>
  <c r="J45" i="7"/>
  <c r="L43" i="7"/>
  <c r="N41" i="7"/>
  <c r="I38" i="7"/>
  <c r="J37" i="7"/>
  <c r="L35" i="7"/>
  <c r="J36" i="7"/>
  <c r="I36" i="7"/>
  <c r="N38" i="7"/>
  <c r="I35" i="7"/>
  <c r="I41" i="7"/>
  <c r="L38" i="7"/>
  <c r="N36" i="7"/>
  <c r="I45" i="7"/>
  <c r="J44" i="7"/>
  <c r="L42" i="7"/>
  <c r="N40" i="7"/>
  <c r="I37" i="7"/>
  <c r="I44" i="7"/>
  <c r="L41" i="7"/>
  <c r="N39" i="7"/>
  <c r="J35" i="7"/>
  <c r="N37" i="7"/>
  <c r="J40" i="7"/>
  <c r="I40" i="7"/>
  <c r="L37" i="7"/>
  <c r="N42" i="7"/>
  <c r="L36" i="7"/>
  <c r="M59" i="7"/>
  <c r="J43" i="7"/>
  <c r="I42" i="7"/>
  <c r="I39" i="7"/>
  <c r="M57" i="7"/>
  <c r="I43" i="7"/>
  <c r="J42" i="7"/>
  <c r="L40" i="7"/>
  <c r="N45" i="7"/>
  <c r="L39" i="7"/>
  <c r="N44" i="7"/>
  <c r="N43" i="7"/>
  <c r="J41" i="7"/>
  <c r="J38" i="7"/>
  <c r="N35" i="7"/>
  <c r="L45" i="7"/>
  <c r="J39" i="7"/>
  <c r="L44" i="7"/>
  <c r="N61" i="36"/>
  <c r="I58" i="36"/>
  <c r="J57" i="36"/>
  <c r="L55" i="36"/>
  <c r="N53" i="36"/>
  <c r="I47" i="36"/>
  <c r="J46" i="36"/>
  <c r="L44" i="36"/>
  <c r="N39" i="36"/>
  <c r="I36" i="36"/>
  <c r="N60" i="36"/>
  <c r="I57" i="36"/>
  <c r="J56" i="36"/>
  <c r="L54" i="36"/>
  <c r="N49" i="36"/>
  <c r="I46" i="36"/>
  <c r="J45" i="36"/>
  <c r="L40" i="36"/>
  <c r="N38" i="36"/>
  <c r="L53" i="36"/>
  <c r="N64" i="36"/>
  <c r="L61" i="36"/>
  <c r="N59" i="36"/>
  <c r="I56" i="36"/>
  <c r="J55" i="36"/>
  <c r="N48" i="36"/>
  <c r="I45" i="36"/>
  <c r="J44" i="36"/>
  <c r="L39" i="36"/>
  <c r="N37" i="36"/>
  <c r="J47" i="36"/>
  <c r="J64" i="36"/>
  <c r="L60" i="36"/>
  <c r="N58" i="36"/>
  <c r="I55" i="36"/>
  <c r="J54" i="36"/>
  <c r="L49" i="36"/>
  <c r="N47" i="36"/>
  <c r="I44" i="36"/>
  <c r="J40" i="36"/>
  <c r="L38" i="36"/>
  <c r="N36" i="36"/>
  <c r="L37" i="36"/>
  <c r="I59" i="36"/>
  <c r="L56" i="36"/>
  <c r="N54" i="36"/>
  <c r="J36" i="36"/>
  <c r="I64" i="36"/>
  <c r="J61" i="36"/>
  <c r="L59" i="36"/>
  <c r="N57" i="36"/>
  <c r="I54" i="36"/>
  <c r="J53" i="36"/>
  <c r="L48" i="36"/>
  <c r="N46" i="36"/>
  <c r="I40" i="36"/>
  <c r="J39" i="36"/>
  <c r="J58" i="36"/>
  <c r="N40" i="36"/>
  <c r="I61" i="36"/>
  <c r="J60" i="36"/>
  <c r="L58" i="36"/>
  <c r="N56" i="36"/>
  <c r="I53" i="36"/>
  <c r="J49" i="36"/>
  <c r="L47" i="36"/>
  <c r="N45" i="36"/>
  <c r="I39" i="36"/>
  <c r="J38" i="36"/>
  <c r="L36" i="36"/>
  <c r="I48" i="36"/>
  <c r="L45" i="36"/>
  <c r="I37" i="36"/>
  <c r="I60" i="36"/>
  <c r="J59" i="36"/>
  <c r="L57" i="36"/>
  <c r="N55" i="36"/>
  <c r="I49" i="36"/>
  <c r="J48" i="36"/>
  <c r="L46" i="36"/>
  <c r="N44" i="36"/>
  <c r="I38" i="36"/>
  <c r="J37" i="36"/>
  <c r="AA38" i="36" l="1"/>
  <c r="AA49" i="36"/>
  <c r="AA60" i="36"/>
  <c r="AA37" i="36"/>
  <c r="AA48" i="36"/>
  <c r="AA39" i="36"/>
  <c r="AA53" i="36"/>
  <c r="AA61" i="36"/>
  <c r="AA40" i="36"/>
  <c r="AA54" i="36"/>
  <c r="AA59" i="36"/>
  <c r="AA44" i="36"/>
  <c r="AA55" i="36"/>
  <c r="AA45" i="36"/>
  <c r="AA56" i="36"/>
  <c r="AA46" i="36"/>
  <c r="AA57" i="36"/>
  <c r="AA36" i="36"/>
  <c r="AA47" i="36"/>
  <c r="AA58" i="36"/>
  <c r="AA43" i="7"/>
  <c r="AA39" i="7"/>
  <c r="AA42" i="7"/>
  <c r="AA40" i="7"/>
  <c r="AA44" i="7"/>
  <c r="AA37" i="7"/>
  <c r="AA45" i="7"/>
  <c r="AA41" i="7"/>
  <c r="AA35" i="7"/>
  <c r="AA36" i="7"/>
  <c r="AA38" i="7"/>
  <c r="AF55" i="21"/>
  <c r="AB55" i="21"/>
  <c r="AB37" i="21"/>
  <c r="AF37" i="21"/>
  <c r="AF42" i="21"/>
  <c r="AB42" i="21"/>
  <c r="AB50" i="21"/>
  <c r="AF50" i="21"/>
  <c r="AF58" i="7"/>
  <c r="AF53" i="21"/>
  <c r="AB53" i="21"/>
  <c r="AB52" i="21"/>
  <c r="AF52" i="21"/>
  <c r="AB39" i="21"/>
  <c r="AF39" i="21"/>
  <c r="AB56" i="7"/>
  <c r="AF56" i="7"/>
  <c r="AF36" i="21"/>
  <c r="AB36" i="21"/>
  <c r="AB41" i="21"/>
  <c r="AF41" i="21"/>
  <c r="AF49" i="21"/>
  <c r="AB49" i="21"/>
  <c r="AF57" i="7"/>
  <c r="AB57" i="7"/>
  <c r="AF35" i="21"/>
  <c r="AF38" i="21"/>
  <c r="AB38" i="21"/>
  <c r="AF44" i="21"/>
  <c r="AB60" i="7"/>
  <c r="AF60" i="7"/>
  <c r="AF55" i="7"/>
  <c r="AB54" i="21"/>
  <c r="AF54" i="21"/>
  <c r="AF51" i="21"/>
  <c r="AB51" i="21"/>
  <c r="AB56" i="21"/>
  <c r="AF56" i="21"/>
  <c r="AF61" i="7"/>
  <c r="AB43" i="21"/>
  <c r="AF43" i="21"/>
  <c r="AF40" i="21"/>
  <c r="AB40" i="21"/>
  <c r="AB48" i="21"/>
  <c r="AF48" i="21"/>
  <c r="AF59" i="7"/>
  <c r="AB59" i="7"/>
  <c r="AI54" i="21"/>
  <c r="AI56" i="21"/>
  <c r="AI53" i="21"/>
  <c r="AI41" i="21"/>
  <c r="AI36" i="21"/>
  <c r="AI40" i="21"/>
  <c r="AI50" i="21"/>
  <c r="AI49" i="21"/>
  <c r="AM70" i="21"/>
  <c r="AN70" i="21"/>
  <c r="AN63" i="21"/>
  <c r="AM63" i="21"/>
  <c r="AI43" i="21"/>
  <c r="AI42" i="21"/>
  <c r="AI48" i="21"/>
  <c r="AI35" i="21"/>
  <c r="AI38" i="21"/>
  <c r="AI39" i="21"/>
  <c r="AI44" i="21"/>
  <c r="AM66" i="21"/>
  <c r="AN66" i="21"/>
  <c r="AI52" i="21"/>
  <c r="AI51" i="21"/>
  <c r="AI55" i="21"/>
  <c r="AI37" i="21"/>
  <c r="K43" i="7"/>
  <c r="M43" i="7"/>
  <c r="K39" i="7"/>
  <c r="M42" i="7"/>
  <c r="K42" i="7"/>
  <c r="K40" i="7"/>
  <c r="M40" i="7"/>
  <c r="K44" i="7"/>
  <c r="M44" i="7"/>
  <c r="K37" i="7"/>
  <c r="K45" i="7"/>
  <c r="M45" i="7"/>
  <c r="M41" i="7"/>
  <c r="K41" i="7"/>
  <c r="K35" i="7"/>
  <c r="K36" i="7"/>
  <c r="K38" i="7"/>
  <c r="AI60" i="7"/>
  <c r="AI61" i="7"/>
  <c r="AI58" i="7"/>
  <c r="AI55" i="7"/>
  <c r="AI57" i="7"/>
  <c r="AI59" i="7"/>
  <c r="AI56" i="7"/>
  <c r="M38" i="36"/>
  <c r="K38" i="36"/>
  <c r="M49" i="36"/>
  <c r="K49" i="36"/>
  <c r="M60" i="36"/>
  <c r="K60" i="36"/>
  <c r="M37" i="36"/>
  <c r="K37" i="36"/>
  <c r="M48" i="36"/>
  <c r="K48" i="36"/>
  <c r="M39" i="36"/>
  <c r="K39" i="36"/>
  <c r="M53" i="36"/>
  <c r="K53" i="36"/>
  <c r="M61" i="36"/>
  <c r="K61" i="36"/>
  <c r="M40" i="36"/>
  <c r="K40" i="36"/>
  <c r="K54" i="36"/>
  <c r="AA64" i="36"/>
  <c r="K59" i="36"/>
  <c r="K44" i="36"/>
  <c r="K55" i="36"/>
  <c r="K45" i="36"/>
  <c r="K56" i="36"/>
  <c r="K46" i="36"/>
  <c r="M46" i="36"/>
  <c r="K57" i="36"/>
  <c r="M57" i="36"/>
  <c r="M36" i="36"/>
  <c r="K36" i="36"/>
  <c r="K47" i="36"/>
  <c r="M58" i="36"/>
  <c r="K58" i="36"/>
  <c r="AH64" i="30"/>
  <c r="AH56" i="30"/>
  <c r="AH36" i="30"/>
  <c r="AE36" i="30"/>
  <c r="M37" i="7"/>
  <c r="M39" i="7"/>
  <c r="M36" i="7"/>
  <c r="M38" i="7"/>
  <c r="M35" i="7"/>
  <c r="M59" i="36"/>
  <c r="M47" i="36"/>
  <c r="M45" i="36"/>
  <c r="M44" i="36"/>
  <c r="M55" i="36"/>
  <c r="M54" i="36"/>
  <c r="M56" i="36"/>
  <c r="N70" i="30"/>
  <c r="I67" i="30"/>
  <c r="J66" i="30"/>
  <c r="L64" i="30"/>
  <c r="N62" i="30"/>
  <c r="I59" i="30"/>
  <c r="J58" i="30"/>
  <c r="L56" i="30"/>
  <c r="N54" i="30"/>
  <c r="I51" i="30"/>
  <c r="J47" i="30"/>
  <c r="L45" i="30"/>
  <c r="N43" i="30"/>
  <c r="I40" i="30"/>
  <c r="J39" i="30"/>
  <c r="I36" i="30"/>
  <c r="L39" i="30"/>
  <c r="J51" i="30"/>
  <c r="L36" i="30"/>
  <c r="L71" i="30"/>
  <c r="N69" i="30"/>
  <c r="I66" i="30"/>
  <c r="J65" i="30"/>
  <c r="L63" i="30"/>
  <c r="N61" i="30"/>
  <c r="I58" i="30"/>
  <c r="J57" i="30"/>
  <c r="L55" i="30"/>
  <c r="N53" i="30"/>
  <c r="I47" i="30"/>
  <c r="J46" i="30"/>
  <c r="L44" i="30"/>
  <c r="N42" i="30"/>
  <c r="I39" i="30"/>
  <c r="J36" i="30"/>
  <c r="J42" i="30"/>
  <c r="I42" i="30"/>
  <c r="L57" i="30"/>
  <c r="N55" i="30"/>
  <c r="I41" i="30"/>
  <c r="L70" i="30"/>
  <c r="N68" i="30"/>
  <c r="I65" i="30"/>
  <c r="J64" i="30"/>
  <c r="L62" i="30"/>
  <c r="N60" i="30"/>
  <c r="I57" i="30"/>
  <c r="J56" i="30"/>
  <c r="L54" i="30"/>
  <c r="N52" i="30"/>
  <c r="I46" i="30"/>
  <c r="J45" i="30"/>
  <c r="L43" i="30"/>
  <c r="N41" i="30"/>
  <c r="N46" i="30"/>
  <c r="N36" i="30"/>
  <c r="N63" i="30"/>
  <c r="L46" i="30"/>
  <c r="J71" i="30"/>
  <c r="L69" i="30"/>
  <c r="N67" i="30"/>
  <c r="I64" i="30"/>
  <c r="J63" i="30"/>
  <c r="L61" i="30"/>
  <c r="N59" i="30"/>
  <c r="I56" i="30"/>
  <c r="J55" i="30"/>
  <c r="L53" i="30"/>
  <c r="N51" i="30"/>
  <c r="I45" i="30"/>
  <c r="J44" i="30"/>
  <c r="L42" i="30"/>
  <c r="N40" i="30"/>
  <c r="N71" i="30"/>
  <c r="I71" i="30"/>
  <c r="J70" i="30"/>
  <c r="L68" i="30"/>
  <c r="N66" i="30"/>
  <c r="I63" i="30"/>
  <c r="J62" i="30"/>
  <c r="L60" i="30"/>
  <c r="N58" i="30"/>
  <c r="I55" i="30"/>
  <c r="J54" i="30"/>
  <c r="L52" i="30"/>
  <c r="N47" i="30"/>
  <c r="I44" i="30"/>
  <c r="J43" i="30"/>
  <c r="L41" i="30"/>
  <c r="N39" i="30"/>
  <c r="L40" i="30"/>
  <c r="J67" i="30"/>
  <c r="J59" i="30"/>
  <c r="J40" i="30"/>
  <c r="I70" i="30"/>
  <c r="J69" i="30"/>
  <c r="L67" i="30"/>
  <c r="N65" i="30"/>
  <c r="I62" i="30"/>
  <c r="J61" i="30"/>
  <c r="L59" i="30"/>
  <c r="N57" i="30"/>
  <c r="I54" i="30"/>
  <c r="J53" i="30"/>
  <c r="L51" i="30"/>
  <c r="I43" i="30"/>
  <c r="J41" i="30"/>
  <c r="L65" i="30"/>
  <c r="I60" i="30"/>
  <c r="I52" i="30"/>
  <c r="N44" i="30"/>
  <c r="I69" i="30"/>
  <c r="J68" i="30"/>
  <c r="L66" i="30"/>
  <c r="N64" i="30"/>
  <c r="I61" i="30"/>
  <c r="J60" i="30"/>
  <c r="L58" i="30"/>
  <c r="N56" i="30"/>
  <c r="I53" i="30"/>
  <c r="J52" i="30"/>
  <c r="L47" i="30"/>
  <c r="N45" i="30"/>
  <c r="I68" i="30"/>
  <c r="AA68" i="30" l="1"/>
  <c r="AA53" i="30"/>
  <c r="AA61" i="30"/>
  <c r="AA69" i="30"/>
  <c r="AA52" i="30"/>
  <c r="AA60" i="30"/>
  <c r="AA43" i="30"/>
  <c r="AA54" i="30"/>
  <c r="AA62" i="30"/>
  <c r="AA70" i="30"/>
  <c r="AA44" i="30"/>
  <c r="AA55" i="30"/>
  <c r="AA63" i="30"/>
  <c r="AA71" i="30"/>
  <c r="AA45" i="30"/>
  <c r="AA56" i="30"/>
  <c r="AA64" i="30"/>
  <c r="AA46" i="30"/>
  <c r="AA57" i="30"/>
  <c r="AA65" i="30"/>
  <c r="AA41" i="30"/>
  <c r="AA42" i="30"/>
  <c r="AA39" i="30"/>
  <c r="AA47" i="30"/>
  <c r="AA58" i="30"/>
  <c r="AA66" i="30"/>
  <c r="AA40" i="30"/>
  <c r="AA51" i="30"/>
  <c r="AA59" i="30"/>
  <c r="AA67" i="30"/>
  <c r="AB40" i="7"/>
  <c r="AF40" i="7"/>
  <c r="AF46" i="36"/>
  <c r="AF61" i="36"/>
  <c r="AF38" i="7"/>
  <c r="AB42" i="7"/>
  <c r="AF42" i="7"/>
  <c r="AF56" i="36"/>
  <c r="AF53" i="36"/>
  <c r="AB36" i="7"/>
  <c r="AF36" i="7"/>
  <c r="AF39" i="7"/>
  <c r="AB39" i="7"/>
  <c r="AF45" i="36"/>
  <c r="AF39" i="36"/>
  <c r="AF35" i="7"/>
  <c r="AB35" i="7"/>
  <c r="AF43" i="7"/>
  <c r="AB43" i="7"/>
  <c r="AF55" i="36"/>
  <c r="AF48" i="36"/>
  <c r="AF41" i="7"/>
  <c r="AF58" i="36"/>
  <c r="AF44" i="36"/>
  <c r="AF37" i="36"/>
  <c r="AF45" i="7"/>
  <c r="AF47" i="36"/>
  <c r="AF59" i="36"/>
  <c r="AF60" i="36"/>
  <c r="AF37" i="7"/>
  <c r="AB37" i="7"/>
  <c r="AF36" i="36"/>
  <c r="AF54" i="36"/>
  <c r="AF49" i="36"/>
  <c r="AB44" i="7"/>
  <c r="AF44" i="7"/>
  <c r="AF57" i="36"/>
  <c r="AF40" i="36"/>
  <c r="AF38" i="36"/>
  <c r="AN38" i="21"/>
  <c r="AM38" i="21"/>
  <c r="AN49" i="21"/>
  <c r="AM49" i="21"/>
  <c r="AN40" i="21"/>
  <c r="AM40" i="21"/>
  <c r="AN52" i="21"/>
  <c r="AM52" i="21"/>
  <c r="AM48" i="21"/>
  <c r="AN48" i="21"/>
  <c r="AN43" i="21"/>
  <c r="AM43" i="21"/>
  <c r="AM56" i="21"/>
  <c r="AN56" i="21"/>
  <c r="AN50" i="21"/>
  <c r="AM50" i="21"/>
  <c r="AN41" i="21"/>
  <c r="AM41" i="21"/>
  <c r="AM55" i="21"/>
  <c r="AN55" i="21"/>
  <c r="AN39" i="21"/>
  <c r="AM39" i="21"/>
  <c r="AN42" i="21"/>
  <c r="AM42" i="21"/>
  <c r="AN53" i="21"/>
  <c r="AM53" i="21"/>
  <c r="AM37" i="21"/>
  <c r="AN37" i="21"/>
  <c r="AN51" i="21"/>
  <c r="AM51" i="21"/>
  <c r="AM36" i="21"/>
  <c r="AN36" i="21"/>
  <c r="AN54" i="21"/>
  <c r="AM54" i="21"/>
  <c r="AI38" i="7"/>
  <c r="AI44" i="7"/>
  <c r="AI36" i="7"/>
  <c r="AI35" i="7"/>
  <c r="AI40" i="7"/>
  <c r="AI37" i="7"/>
  <c r="AI41" i="7"/>
  <c r="AI39" i="7"/>
  <c r="AI45" i="7"/>
  <c r="AI43" i="7"/>
  <c r="AI42" i="7"/>
  <c r="AI46" i="36"/>
  <c r="AI55" i="36"/>
  <c r="AB64" i="36"/>
  <c r="AI64" i="36"/>
  <c r="AF64" i="36"/>
  <c r="AI60" i="36"/>
  <c r="AI47" i="36"/>
  <c r="AI36" i="36"/>
  <c r="AI56" i="36"/>
  <c r="AI44" i="36"/>
  <c r="AI53" i="36"/>
  <c r="AI48" i="36"/>
  <c r="AI61" i="36"/>
  <c r="AI49" i="36"/>
  <c r="AI54" i="36"/>
  <c r="AI40" i="36"/>
  <c r="AI57" i="36"/>
  <c r="AI37" i="36"/>
  <c r="AI59" i="36"/>
  <c r="AI58" i="36"/>
  <c r="AI45" i="36"/>
  <c r="AI39" i="36"/>
  <c r="AI38" i="36"/>
  <c r="K68" i="30"/>
  <c r="M53" i="30"/>
  <c r="K53" i="30"/>
  <c r="M61" i="30"/>
  <c r="K61" i="30"/>
  <c r="K69" i="30"/>
  <c r="M52" i="30"/>
  <c r="K52" i="30"/>
  <c r="K60" i="30"/>
  <c r="M43" i="30"/>
  <c r="K43" i="30"/>
  <c r="K54" i="30"/>
  <c r="K62" i="30"/>
  <c r="K70" i="30"/>
  <c r="M44" i="30"/>
  <c r="K44" i="30"/>
  <c r="K55" i="30"/>
  <c r="K63" i="30"/>
  <c r="K71" i="30"/>
  <c r="M45" i="30"/>
  <c r="K45" i="30"/>
  <c r="K56" i="30"/>
  <c r="K64" i="30"/>
  <c r="K46" i="30"/>
  <c r="M46" i="30"/>
  <c r="K57" i="30"/>
  <c r="K65" i="30"/>
  <c r="K41" i="30"/>
  <c r="M41" i="30"/>
  <c r="M42" i="30"/>
  <c r="K42" i="30"/>
  <c r="M39" i="30"/>
  <c r="K39" i="30"/>
  <c r="K47" i="30"/>
  <c r="M47" i="30"/>
  <c r="K58" i="30"/>
  <c r="K66" i="30"/>
  <c r="K36" i="30"/>
  <c r="M36" i="30"/>
  <c r="AA36" i="30"/>
  <c r="K40" i="30"/>
  <c r="M40" i="30"/>
  <c r="M51" i="30"/>
  <c r="K51" i="30"/>
  <c r="K59" i="30"/>
  <c r="K67" i="30"/>
  <c r="AH56" i="20"/>
  <c r="AE56" i="20"/>
  <c r="AH52" i="20"/>
  <c r="AE52" i="20"/>
  <c r="AH49" i="20"/>
  <c r="AE49" i="20"/>
  <c r="M60" i="30"/>
  <c r="M62" i="30"/>
  <c r="M57" i="30"/>
  <c r="M59" i="30"/>
  <c r="M55" i="30"/>
  <c r="M63" i="30"/>
  <c r="M54" i="30"/>
  <c r="M68" i="30"/>
  <c r="M66" i="30"/>
  <c r="M69" i="30"/>
  <c r="M64" i="30"/>
  <c r="M58" i="30"/>
  <c r="M65" i="30"/>
  <c r="M70" i="30"/>
  <c r="M67" i="30"/>
  <c r="M71" i="30"/>
  <c r="M56" i="30"/>
  <c r="N52" i="20"/>
  <c r="L56" i="20"/>
  <c r="N49" i="20"/>
  <c r="N56" i="20"/>
  <c r="L52" i="20"/>
  <c r="I49" i="20"/>
  <c r="J56" i="20"/>
  <c r="L49" i="20"/>
  <c r="I56" i="20"/>
  <c r="J52" i="20"/>
  <c r="I52" i="20"/>
  <c r="J49" i="20"/>
  <c r="AF47" i="30" l="1"/>
  <c r="AB56" i="30"/>
  <c r="AF56" i="30"/>
  <c r="AF54" i="30"/>
  <c r="AF39" i="30"/>
  <c r="AF45" i="30"/>
  <c r="AF43" i="30"/>
  <c r="AF67" i="30"/>
  <c r="AF42" i="30"/>
  <c r="AF71" i="30"/>
  <c r="AF60" i="30"/>
  <c r="AF59" i="30"/>
  <c r="AF41" i="30"/>
  <c r="AF63" i="30"/>
  <c r="AF52" i="30"/>
  <c r="AF51" i="30"/>
  <c r="AF65" i="30"/>
  <c r="AF55" i="30"/>
  <c r="AF69" i="30"/>
  <c r="AF40" i="30"/>
  <c r="AF57" i="30"/>
  <c r="AF44" i="30"/>
  <c r="AF61" i="30"/>
  <c r="AF66" i="30"/>
  <c r="AF46" i="30"/>
  <c r="AF70" i="30"/>
  <c r="AF53" i="30"/>
  <c r="AF58" i="30"/>
  <c r="AF64" i="30"/>
  <c r="AF62" i="30"/>
  <c r="AF68" i="30"/>
  <c r="AM64" i="36"/>
  <c r="AN64" i="36"/>
  <c r="AI56" i="30"/>
  <c r="AI63" i="30"/>
  <c r="AI61" i="30"/>
  <c r="AI54" i="30"/>
  <c r="AI46" i="30"/>
  <c r="AI59" i="30"/>
  <c r="AI55" i="30"/>
  <c r="AI70" i="30"/>
  <c r="AI43" i="30"/>
  <c r="AI53" i="30"/>
  <c r="AI57" i="30"/>
  <c r="AI60" i="30"/>
  <c r="AI51" i="30"/>
  <c r="AI45" i="30"/>
  <c r="AI52" i="30"/>
  <c r="AI67" i="30"/>
  <c r="AI39" i="30"/>
  <c r="AI65" i="30"/>
  <c r="AI66" i="30"/>
  <c r="AI42" i="30"/>
  <c r="AI47" i="30"/>
  <c r="AI41" i="30"/>
  <c r="AI40" i="30"/>
  <c r="AI58" i="30"/>
  <c r="AI64" i="30"/>
  <c r="AI71" i="30"/>
  <c r="AI62" i="30"/>
  <c r="AI69" i="30"/>
  <c r="AF36" i="30"/>
  <c r="AI36" i="30"/>
  <c r="AB36" i="30"/>
  <c r="AI44" i="30"/>
  <c r="AI68" i="30"/>
  <c r="M52" i="20"/>
  <c r="K52" i="20"/>
  <c r="AA52" i="20"/>
  <c r="M56" i="20"/>
  <c r="K56" i="20"/>
  <c r="AA56" i="20"/>
  <c r="AA49" i="20"/>
  <c r="M49" i="20"/>
  <c r="K49" i="20"/>
  <c r="AH42" i="20"/>
  <c r="AH38" i="20"/>
  <c r="AH37" i="20"/>
  <c r="AH36" i="20"/>
  <c r="AH35" i="20"/>
  <c r="AF57" i="24"/>
  <c r="AG57" i="24" s="1"/>
  <c r="AC57" i="24"/>
  <c r="AD57" i="24" s="1"/>
  <c r="Y57" i="24"/>
  <c r="X57" i="24"/>
  <c r="W57" i="24"/>
  <c r="V57" i="24"/>
  <c r="U57" i="24"/>
  <c r="T57" i="24"/>
  <c r="S57" i="24"/>
  <c r="R57" i="24"/>
  <c r="Q57" i="24"/>
  <c r="P57" i="24"/>
  <c r="O57" i="24"/>
  <c r="N57" i="24"/>
  <c r="AF56" i="24"/>
  <c r="AC56" i="24"/>
  <c r="AD56" i="24" s="1"/>
  <c r="Y56" i="24"/>
  <c r="X56" i="24"/>
  <c r="W56" i="24"/>
  <c r="V56" i="24"/>
  <c r="U56" i="24"/>
  <c r="T56" i="24"/>
  <c r="S56" i="24"/>
  <c r="R56" i="24"/>
  <c r="Q56" i="24"/>
  <c r="P56" i="24"/>
  <c r="O56" i="24"/>
  <c r="N56" i="24"/>
  <c r="AF55" i="24"/>
  <c r="AG55" i="24" s="1"/>
  <c r="AC55" i="24"/>
  <c r="AD55" i="24" s="1"/>
  <c r="Y55" i="24"/>
  <c r="X55" i="24"/>
  <c r="W55" i="24"/>
  <c r="V55" i="24"/>
  <c r="U55" i="24"/>
  <c r="T55" i="24"/>
  <c r="S55" i="24"/>
  <c r="R55" i="24"/>
  <c r="Q55" i="24"/>
  <c r="P55" i="24"/>
  <c r="O55" i="24"/>
  <c r="N55" i="24"/>
  <c r="AF54" i="24"/>
  <c r="AC54" i="24"/>
  <c r="AD54" i="24" s="1"/>
  <c r="Y54" i="24"/>
  <c r="X54" i="24"/>
  <c r="W54" i="24"/>
  <c r="V54" i="24"/>
  <c r="U54" i="24"/>
  <c r="T54" i="24"/>
  <c r="S54" i="24"/>
  <c r="R54" i="24"/>
  <c r="Q54" i="24"/>
  <c r="P54" i="24"/>
  <c r="O54" i="24"/>
  <c r="N54" i="24"/>
  <c r="AF53" i="24"/>
  <c r="AG53" i="24" s="1"/>
  <c r="AC53" i="24"/>
  <c r="AD53" i="24" s="1"/>
  <c r="Y53" i="24"/>
  <c r="X53" i="24"/>
  <c r="W53" i="24"/>
  <c r="V53" i="24"/>
  <c r="U53" i="24"/>
  <c r="T53" i="24"/>
  <c r="S53" i="24"/>
  <c r="R53" i="24"/>
  <c r="Q53" i="24"/>
  <c r="P53" i="24"/>
  <c r="O53" i="24"/>
  <c r="N53" i="24"/>
  <c r="AG48" i="24"/>
  <c r="AG47" i="24"/>
  <c r="AG46" i="24"/>
  <c r="AG45" i="24"/>
  <c r="AG44" i="24"/>
  <c r="AG38" i="24"/>
  <c r="AG37" i="24"/>
  <c r="AG36" i="24"/>
  <c r="AG35" i="24"/>
  <c r="I37" i="20"/>
  <c r="J36" i="20"/>
  <c r="I36" i="20"/>
  <c r="J35" i="20"/>
  <c r="I35" i="20"/>
  <c r="N42" i="20"/>
  <c r="N38" i="20"/>
  <c r="I42" i="20"/>
  <c r="L42" i="20"/>
  <c r="N37" i="20"/>
  <c r="I38" i="20"/>
  <c r="L38" i="20"/>
  <c r="N36" i="20"/>
  <c r="J38" i="20"/>
  <c r="L36" i="20"/>
  <c r="J37" i="20"/>
  <c r="L35" i="20"/>
  <c r="J42" i="20"/>
  <c r="L37" i="20"/>
  <c r="N35" i="20"/>
  <c r="J56" i="24"/>
  <c r="J54" i="24"/>
  <c r="J47" i="24"/>
  <c r="J38" i="24"/>
  <c r="I37" i="24"/>
  <c r="J44" i="24"/>
  <c r="I39" i="24"/>
  <c r="I46" i="24"/>
  <c r="J37" i="24"/>
  <c r="I56" i="24"/>
  <c r="I54" i="24"/>
  <c r="M48" i="24"/>
  <c r="I47" i="24"/>
  <c r="M44" i="24"/>
  <c r="J39" i="24"/>
  <c r="I38" i="24"/>
  <c r="J48" i="24"/>
  <c r="M57" i="24"/>
  <c r="M55" i="24"/>
  <c r="M53" i="24"/>
  <c r="I48" i="24"/>
  <c r="M45" i="24"/>
  <c r="I44" i="24"/>
  <c r="M35" i="24"/>
  <c r="J57" i="24"/>
  <c r="J55" i="24"/>
  <c r="J53" i="24"/>
  <c r="J45" i="24"/>
  <c r="M36" i="24"/>
  <c r="I57" i="24"/>
  <c r="I55" i="24"/>
  <c r="I53" i="24"/>
  <c r="M46" i="24"/>
  <c r="I45" i="24"/>
  <c r="M37" i="24"/>
  <c r="J35" i="24"/>
  <c r="I36" i="24"/>
  <c r="J46" i="24"/>
  <c r="M38" i="24"/>
  <c r="J36" i="24"/>
  <c r="I35" i="24"/>
  <c r="M56" i="24"/>
  <c r="M54" i="24"/>
  <c r="M47" i="24"/>
  <c r="M39" i="24"/>
  <c r="Z35" i="24" l="1"/>
  <c r="Z36" i="24"/>
  <c r="Z45" i="24"/>
  <c r="Z44" i="24"/>
  <c r="Z48" i="24"/>
  <c r="Z38" i="24"/>
  <c r="Z47" i="24"/>
  <c r="Z46" i="24"/>
  <c r="Z39" i="24"/>
  <c r="Z37" i="24"/>
  <c r="AA38" i="20"/>
  <c r="AA42" i="20"/>
  <c r="AA35" i="20"/>
  <c r="AA36" i="20"/>
  <c r="AA37" i="20"/>
  <c r="AN36" i="30"/>
  <c r="AM36" i="30"/>
  <c r="AN56" i="30"/>
  <c r="AM56" i="30"/>
  <c r="M38" i="20"/>
  <c r="K38" i="20"/>
  <c r="M42" i="20"/>
  <c r="K42" i="20"/>
  <c r="K35" i="20"/>
  <c r="M35" i="20"/>
  <c r="K36" i="20"/>
  <c r="K37" i="20"/>
  <c r="AI56" i="20"/>
  <c r="AF56" i="20"/>
  <c r="AB56" i="20"/>
  <c r="AI52" i="20"/>
  <c r="AB52" i="20"/>
  <c r="AF52" i="20"/>
  <c r="AB49" i="20"/>
  <c r="AI49" i="20"/>
  <c r="AF49" i="20"/>
  <c r="K35" i="24"/>
  <c r="K36" i="24"/>
  <c r="Z53" i="24"/>
  <c r="Z55" i="24"/>
  <c r="Z57" i="24"/>
  <c r="K38" i="24"/>
  <c r="Z54" i="24"/>
  <c r="Z56" i="24"/>
  <c r="K39" i="24"/>
  <c r="K37" i="24"/>
  <c r="AG54" i="24"/>
  <c r="AG56" i="24"/>
  <c r="AH65" i="33"/>
  <c r="AH64" i="33"/>
  <c r="AH63" i="33"/>
  <c r="AH62" i="33"/>
  <c r="AH61" i="33"/>
  <c r="AH60" i="33"/>
  <c r="AH59" i="33"/>
  <c r="AH58" i="33"/>
  <c r="AH57" i="33"/>
  <c r="AH56" i="33"/>
  <c r="AH50" i="33"/>
  <c r="AH49" i="33"/>
  <c r="AH47" i="33"/>
  <c r="AH46" i="33"/>
  <c r="AH42" i="33"/>
  <c r="AH39" i="33"/>
  <c r="AH38" i="33"/>
  <c r="AH37" i="33"/>
  <c r="AH36" i="33"/>
  <c r="AH35" i="33"/>
  <c r="M36" i="20"/>
  <c r="M37" i="20"/>
  <c r="N64" i="33"/>
  <c r="I61" i="33"/>
  <c r="J60" i="33"/>
  <c r="L58" i="33"/>
  <c r="N56" i="33"/>
  <c r="I53" i="33"/>
  <c r="J52" i="33"/>
  <c r="L50" i="33"/>
  <c r="N48" i="33"/>
  <c r="I45" i="33"/>
  <c r="J44" i="33"/>
  <c r="L42" i="33"/>
  <c r="N40" i="33"/>
  <c r="I37" i="33"/>
  <c r="J36" i="33"/>
  <c r="I64" i="33"/>
  <c r="J47" i="33"/>
  <c r="N43" i="33"/>
  <c r="J39" i="33"/>
  <c r="N35" i="33"/>
  <c r="N49" i="33"/>
  <c r="L65" i="33"/>
  <c r="N63" i="33"/>
  <c r="I60" i="33"/>
  <c r="J59" i="33"/>
  <c r="L57" i="33"/>
  <c r="N55" i="33"/>
  <c r="I52" i="33"/>
  <c r="J51" i="33"/>
  <c r="L49" i="33"/>
  <c r="N47" i="33"/>
  <c r="I44" i="33"/>
  <c r="J43" i="33"/>
  <c r="L41" i="33"/>
  <c r="N39" i="33"/>
  <c r="I36" i="33"/>
  <c r="J35" i="33"/>
  <c r="L37" i="33"/>
  <c r="L64" i="33"/>
  <c r="N62" i="33"/>
  <c r="I59" i="33"/>
  <c r="J58" i="33"/>
  <c r="L56" i="33"/>
  <c r="N54" i="33"/>
  <c r="I51" i="33"/>
  <c r="J50" i="33"/>
  <c r="L48" i="33"/>
  <c r="N46" i="33"/>
  <c r="I43" i="33"/>
  <c r="J42" i="33"/>
  <c r="L40" i="33"/>
  <c r="N38" i="33"/>
  <c r="I35" i="33"/>
  <c r="N36" i="33"/>
  <c r="I48" i="33"/>
  <c r="I40" i="33"/>
  <c r="J65" i="33"/>
  <c r="L63" i="33"/>
  <c r="N61" i="33"/>
  <c r="I58" i="33"/>
  <c r="J57" i="33"/>
  <c r="L55" i="33"/>
  <c r="N53" i="33"/>
  <c r="I50" i="33"/>
  <c r="J49" i="33"/>
  <c r="L47" i="33"/>
  <c r="N45" i="33"/>
  <c r="I42" i="33"/>
  <c r="J41" i="33"/>
  <c r="L39" i="33"/>
  <c r="N37" i="33"/>
  <c r="N59" i="33"/>
  <c r="I56" i="33"/>
  <c r="N51" i="33"/>
  <c r="L45" i="33"/>
  <c r="N41" i="33"/>
  <c r="I65" i="33"/>
  <c r="J64" i="33"/>
  <c r="L62" i="33"/>
  <c r="N60" i="33"/>
  <c r="I57" i="33"/>
  <c r="J56" i="33"/>
  <c r="L54" i="33"/>
  <c r="N52" i="33"/>
  <c r="I49" i="33"/>
  <c r="J48" i="33"/>
  <c r="L46" i="33"/>
  <c r="N44" i="33"/>
  <c r="I41" i="33"/>
  <c r="J40" i="33"/>
  <c r="L38" i="33"/>
  <c r="J63" i="33"/>
  <c r="L61" i="33"/>
  <c r="J55" i="33"/>
  <c r="L53" i="33"/>
  <c r="I46" i="33"/>
  <c r="J45" i="33"/>
  <c r="L43" i="33"/>
  <c r="J37" i="33"/>
  <c r="L35" i="33"/>
  <c r="I63" i="33"/>
  <c r="J62" i="33"/>
  <c r="L60" i="33"/>
  <c r="N58" i="33"/>
  <c r="I55" i="33"/>
  <c r="J54" i="33"/>
  <c r="L52" i="33"/>
  <c r="N50" i="33"/>
  <c r="I47" i="33"/>
  <c r="J46" i="33"/>
  <c r="L44" i="33"/>
  <c r="N42" i="33"/>
  <c r="I39" i="33"/>
  <c r="J38" i="33"/>
  <c r="L36" i="33"/>
  <c r="N65" i="33"/>
  <c r="I62" i="33"/>
  <c r="J61" i="33"/>
  <c r="L59" i="33"/>
  <c r="N57" i="33"/>
  <c r="I54" i="33"/>
  <c r="J53" i="33"/>
  <c r="L51" i="33"/>
  <c r="I38" i="33"/>
  <c r="AA38" i="33" l="1"/>
  <c r="AA54" i="33"/>
  <c r="AA62" i="33"/>
  <c r="AA39" i="33"/>
  <c r="AA47" i="33"/>
  <c r="AA55" i="33"/>
  <c r="AA63" i="33"/>
  <c r="AA46" i="33"/>
  <c r="AA41" i="33"/>
  <c r="AA49" i="33"/>
  <c r="AA57" i="33"/>
  <c r="AA65" i="33"/>
  <c r="AA56" i="33"/>
  <c r="AA42" i="33"/>
  <c r="AA50" i="33"/>
  <c r="AA58" i="33"/>
  <c r="AA40" i="33"/>
  <c r="AA48" i="33"/>
  <c r="AA35" i="33"/>
  <c r="AA43" i="33"/>
  <c r="AA51" i="33"/>
  <c r="AA59" i="33"/>
  <c r="AA36" i="33"/>
  <c r="AA44" i="33"/>
  <c r="AA52" i="33"/>
  <c r="AA60" i="33"/>
  <c r="AA64" i="33"/>
  <c r="AA37" i="33"/>
  <c r="AA45" i="33"/>
  <c r="AA53" i="33"/>
  <c r="AA61" i="33"/>
  <c r="AE46" i="24"/>
  <c r="AA46" i="24"/>
  <c r="AA47" i="24"/>
  <c r="AE47" i="24"/>
  <c r="AB36" i="20"/>
  <c r="AF36" i="20"/>
  <c r="AA38" i="24"/>
  <c r="AE38" i="24"/>
  <c r="AB35" i="20"/>
  <c r="AF35" i="20"/>
  <c r="AA48" i="24"/>
  <c r="AE48" i="24"/>
  <c r="AB42" i="20"/>
  <c r="AF42" i="20"/>
  <c r="AA44" i="24"/>
  <c r="AE44" i="24"/>
  <c r="AB38" i="20"/>
  <c r="AF38" i="20"/>
  <c r="AA45" i="24"/>
  <c r="AE45" i="24"/>
  <c r="AB37" i="20"/>
  <c r="AF37" i="20"/>
  <c r="AE37" i="24"/>
  <c r="AA36" i="24"/>
  <c r="AE36" i="24"/>
  <c r="AE39" i="24"/>
  <c r="AA35" i="24"/>
  <c r="AE35" i="24"/>
  <c r="AI42" i="20"/>
  <c r="AM52" i="20"/>
  <c r="AN52" i="20"/>
  <c r="AI37" i="20"/>
  <c r="AN56" i="20"/>
  <c r="AM56" i="20"/>
  <c r="AI36" i="20"/>
  <c r="AN49" i="20"/>
  <c r="AM49" i="20"/>
  <c r="AI35" i="20"/>
  <c r="AI38" i="20"/>
  <c r="AA56" i="24"/>
  <c r="AH56" i="24"/>
  <c r="AE56" i="24"/>
  <c r="AE55" i="24"/>
  <c r="AA55" i="24"/>
  <c r="AH55" i="24"/>
  <c r="AE53" i="24"/>
  <c r="AH53" i="24"/>
  <c r="AA53" i="24"/>
  <c r="AE57" i="24"/>
  <c r="AA57" i="24"/>
  <c r="AH57" i="24"/>
  <c r="AH46" i="24"/>
  <c r="AH47" i="24"/>
  <c r="AH45" i="24"/>
  <c r="AH37" i="24"/>
  <c r="AH38" i="24"/>
  <c r="AH36" i="24"/>
  <c r="AH39" i="24"/>
  <c r="AH48" i="24"/>
  <c r="AA54" i="24"/>
  <c r="AH54" i="24"/>
  <c r="AE54" i="24"/>
  <c r="AH44" i="24"/>
  <c r="AH35" i="24"/>
  <c r="K38" i="33"/>
  <c r="M38" i="33"/>
  <c r="M54" i="33"/>
  <c r="K54" i="33"/>
  <c r="M62" i="33"/>
  <c r="K62" i="33"/>
  <c r="M39" i="33"/>
  <c r="K39" i="33"/>
  <c r="K47" i="33"/>
  <c r="M55" i="33"/>
  <c r="K55" i="33"/>
  <c r="K63" i="33"/>
  <c r="K46" i="33"/>
  <c r="M41" i="33"/>
  <c r="K41" i="33"/>
  <c r="M49" i="33"/>
  <c r="K49" i="33"/>
  <c r="K57" i="33"/>
  <c r="M65" i="33"/>
  <c r="K65" i="33"/>
  <c r="M56" i="33"/>
  <c r="K56" i="33"/>
  <c r="K42" i="33"/>
  <c r="M42" i="33"/>
  <c r="K50" i="33"/>
  <c r="M50" i="33"/>
  <c r="K58" i="33"/>
  <c r="M40" i="33"/>
  <c r="K40" i="33"/>
  <c r="M48" i="33"/>
  <c r="K48" i="33"/>
  <c r="K35" i="33"/>
  <c r="K43" i="33"/>
  <c r="K51" i="33"/>
  <c r="M51" i="33"/>
  <c r="K59" i="33"/>
  <c r="K36" i="33"/>
  <c r="K44" i="33"/>
  <c r="M52" i="33"/>
  <c r="K52" i="33"/>
  <c r="K60" i="33"/>
  <c r="M64" i="33"/>
  <c r="K64" i="33"/>
  <c r="M37" i="33"/>
  <c r="K37" i="33"/>
  <c r="K45" i="33"/>
  <c r="M53" i="33"/>
  <c r="K53" i="33"/>
  <c r="K61" i="33"/>
  <c r="AH49" i="25"/>
  <c r="AH48" i="25"/>
  <c r="AH47" i="25"/>
  <c r="AH44" i="25"/>
  <c r="AH43" i="25"/>
  <c r="AH42" i="25"/>
  <c r="AH41" i="25"/>
  <c r="AH40" i="25"/>
  <c r="AH39" i="25"/>
  <c r="AH37" i="25"/>
  <c r="M35" i="33"/>
  <c r="M46" i="33"/>
  <c r="M59" i="33"/>
  <c r="M61" i="33"/>
  <c r="M36" i="33"/>
  <c r="M47" i="33"/>
  <c r="M60" i="33"/>
  <c r="M45" i="33"/>
  <c r="M57" i="33"/>
  <c r="M44" i="33"/>
  <c r="M58" i="33"/>
  <c r="M63" i="33"/>
  <c r="M43" i="33"/>
  <c r="N49" i="25"/>
  <c r="I46" i="25"/>
  <c r="J45" i="25"/>
  <c r="L43" i="25"/>
  <c r="N41" i="25"/>
  <c r="I38" i="25"/>
  <c r="J37" i="25"/>
  <c r="L35" i="25"/>
  <c r="J41" i="25"/>
  <c r="N36" i="25"/>
  <c r="I40" i="25"/>
  <c r="N35" i="25"/>
  <c r="L50" i="25"/>
  <c r="N48" i="25"/>
  <c r="I45" i="25"/>
  <c r="J44" i="25"/>
  <c r="L42" i="25"/>
  <c r="N40" i="25"/>
  <c r="I37" i="25"/>
  <c r="J36" i="25"/>
  <c r="L39" i="25"/>
  <c r="N37" i="25"/>
  <c r="I41" i="25"/>
  <c r="L38" i="25"/>
  <c r="L49" i="25"/>
  <c r="N47" i="25"/>
  <c r="I44" i="25"/>
  <c r="J43" i="25"/>
  <c r="L41" i="25"/>
  <c r="N39" i="25"/>
  <c r="I36" i="25"/>
  <c r="J35" i="25"/>
  <c r="L40" i="25"/>
  <c r="I42" i="25"/>
  <c r="J50" i="25"/>
  <c r="L48" i="25"/>
  <c r="N46" i="25"/>
  <c r="I43" i="25"/>
  <c r="J42" i="25"/>
  <c r="N38" i="25"/>
  <c r="I35" i="25"/>
  <c r="J40" i="25"/>
  <c r="I48" i="25"/>
  <c r="J47" i="25"/>
  <c r="J39" i="25"/>
  <c r="I50" i="25"/>
  <c r="J49" i="25"/>
  <c r="L47" i="25"/>
  <c r="N45" i="25"/>
  <c r="L45" i="25"/>
  <c r="I49" i="25"/>
  <c r="J48" i="25"/>
  <c r="L46" i="25"/>
  <c r="N44" i="25"/>
  <c r="N50" i="25"/>
  <c r="I47" i="25"/>
  <c r="J46" i="25"/>
  <c r="L44" i="25"/>
  <c r="N42" i="25"/>
  <c r="I39" i="25"/>
  <c r="J38" i="25"/>
  <c r="L36" i="25"/>
  <c r="N43" i="25"/>
  <c r="L37" i="25"/>
  <c r="AA39" i="25" l="1"/>
  <c r="AA47" i="25"/>
  <c r="AA49" i="25"/>
  <c r="AA50" i="25"/>
  <c r="AA48" i="25"/>
  <c r="AA35" i="25"/>
  <c r="AA43" i="25"/>
  <c r="AA42" i="25"/>
  <c r="AA36" i="25"/>
  <c r="AA44" i="25"/>
  <c r="AA41" i="25"/>
  <c r="AA37" i="25"/>
  <c r="AA45" i="25"/>
  <c r="AA40" i="25"/>
  <c r="AA38" i="25"/>
  <c r="AA46" i="25"/>
  <c r="AF44" i="33"/>
  <c r="AB58" i="33"/>
  <c r="AF58" i="33"/>
  <c r="AB46" i="33"/>
  <c r="AF46" i="33"/>
  <c r="AB61" i="33"/>
  <c r="AF61" i="33"/>
  <c r="AB36" i="33"/>
  <c r="AF36" i="33"/>
  <c r="AB50" i="33"/>
  <c r="AF50" i="33"/>
  <c r="AB63" i="33"/>
  <c r="AF63" i="33"/>
  <c r="AF53" i="33"/>
  <c r="AB59" i="33"/>
  <c r="AF59" i="33"/>
  <c r="AF42" i="33"/>
  <c r="AF55" i="33"/>
  <c r="AF45" i="33"/>
  <c r="AF51" i="33"/>
  <c r="AF56" i="33"/>
  <c r="AB47" i="33"/>
  <c r="AF47" i="33"/>
  <c r="AF37" i="33"/>
  <c r="AF43" i="33"/>
  <c r="AF65" i="33"/>
  <c r="AB65" i="33"/>
  <c r="AB39" i="33"/>
  <c r="AF39" i="33"/>
  <c r="AB64" i="33"/>
  <c r="AF64" i="33"/>
  <c r="AF35" i="33"/>
  <c r="AF57" i="33"/>
  <c r="AB57" i="33"/>
  <c r="AB62" i="33"/>
  <c r="AF62" i="33"/>
  <c r="AB60" i="33"/>
  <c r="AF60" i="33"/>
  <c r="AF48" i="33"/>
  <c r="AF49" i="33"/>
  <c r="AF54" i="33"/>
  <c r="AF52" i="33"/>
  <c r="AF40" i="33"/>
  <c r="AF41" i="33"/>
  <c r="AF38" i="33"/>
  <c r="AM38" i="20"/>
  <c r="AN38" i="20"/>
  <c r="AN36" i="20"/>
  <c r="AM36" i="20"/>
  <c r="AN37" i="20"/>
  <c r="AM37" i="20"/>
  <c r="AM35" i="20"/>
  <c r="AN35" i="20"/>
  <c r="AN42" i="20"/>
  <c r="AM42" i="20"/>
  <c r="AL48" i="24"/>
  <c r="AM48" i="24"/>
  <c r="AM57" i="24"/>
  <c r="AL57" i="24"/>
  <c r="AM55" i="24"/>
  <c r="AL55" i="24"/>
  <c r="AM47" i="24"/>
  <c r="AL47" i="24"/>
  <c r="AL44" i="24"/>
  <c r="AM44" i="24"/>
  <c r="AM53" i="24"/>
  <c r="AL53" i="24"/>
  <c r="AM46" i="24"/>
  <c r="AL46" i="24"/>
  <c r="AM36" i="24"/>
  <c r="AL36" i="24"/>
  <c r="AM38" i="24"/>
  <c r="AL38" i="24"/>
  <c r="AM35" i="24"/>
  <c r="AL35" i="24"/>
  <c r="AL54" i="24"/>
  <c r="AM54" i="24"/>
  <c r="AM45" i="24"/>
  <c r="AL45" i="24"/>
  <c r="AL56" i="24"/>
  <c r="AM56" i="24"/>
  <c r="AI62" i="33"/>
  <c r="AI49" i="33"/>
  <c r="AI44" i="33"/>
  <c r="AI35" i="33"/>
  <c r="AI56" i="33"/>
  <c r="AI46" i="33"/>
  <c r="AI60" i="33"/>
  <c r="AI65" i="33"/>
  <c r="AI54" i="33"/>
  <c r="AI55" i="33"/>
  <c r="AI58" i="33"/>
  <c r="AI36" i="33"/>
  <c r="AI43" i="33"/>
  <c r="AI40" i="33"/>
  <c r="AI50" i="33"/>
  <c r="AI41" i="33"/>
  <c r="AI63" i="33"/>
  <c r="AI53" i="33"/>
  <c r="AI51" i="33"/>
  <c r="AI48" i="33"/>
  <c r="AI47" i="33"/>
  <c r="AI37" i="33"/>
  <c r="AI52" i="33"/>
  <c r="AI39" i="33"/>
  <c r="AI45" i="33"/>
  <c r="AI61" i="33"/>
  <c r="AI64" i="33"/>
  <c r="AI59" i="33"/>
  <c r="AI42" i="33"/>
  <c r="AI57" i="33"/>
  <c r="AI38" i="33"/>
  <c r="K39" i="25"/>
  <c r="K47" i="25"/>
  <c r="K49" i="25"/>
  <c r="M50" i="25"/>
  <c r="K50" i="25"/>
  <c r="K48" i="25"/>
  <c r="K35" i="25"/>
  <c r="M35" i="25"/>
  <c r="K43" i="25"/>
  <c r="K42" i="25"/>
  <c r="K36" i="25"/>
  <c r="K44" i="25"/>
  <c r="K41" i="25"/>
  <c r="M37" i="25"/>
  <c r="K37" i="25"/>
  <c r="M45" i="25"/>
  <c r="K45" i="25"/>
  <c r="K40" i="25"/>
  <c r="K38" i="25"/>
  <c r="M38" i="25"/>
  <c r="K46" i="25"/>
  <c r="AG94" i="23"/>
  <c r="AH94" i="23" s="1"/>
  <c r="AD94" i="23"/>
  <c r="AE94" i="23" s="1"/>
  <c r="Z94" i="23"/>
  <c r="Y94" i="23"/>
  <c r="X94" i="23"/>
  <c r="W94" i="23"/>
  <c r="V94" i="23"/>
  <c r="U94" i="23"/>
  <c r="T94" i="23"/>
  <c r="S94" i="23"/>
  <c r="R94" i="23"/>
  <c r="Q94" i="23"/>
  <c r="P94" i="23"/>
  <c r="O94" i="23"/>
  <c r="N94" i="23"/>
  <c r="AG93" i="23"/>
  <c r="AD93" i="23"/>
  <c r="AE93" i="23" s="1"/>
  <c r="Z93" i="23"/>
  <c r="Y93" i="23"/>
  <c r="X93" i="23"/>
  <c r="W93" i="23"/>
  <c r="V93" i="23"/>
  <c r="U93" i="23"/>
  <c r="T93" i="23"/>
  <c r="S93" i="23"/>
  <c r="R93" i="23"/>
  <c r="Q93" i="23"/>
  <c r="P93" i="23"/>
  <c r="O93" i="23"/>
  <c r="N93" i="23"/>
  <c r="AG92" i="23"/>
  <c r="AH92" i="23" s="1"/>
  <c r="AD92" i="23"/>
  <c r="AE92" i="23" s="1"/>
  <c r="Z92" i="23"/>
  <c r="Y92" i="23"/>
  <c r="X92" i="23"/>
  <c r="W92" i="23"/>
  <c r="V92" i="23"/>
  <c r="U92" i="23"/>
  <c r="T92" i="23"/>
  <c r="S92" i="23"/>
  <c r="R92" i="23"/>
  <c r="Q92" i="23"/>
  <c r="P92" i="23"/>
  <c r="O92" i="23"/>
  <c r="N92" i="23"/>
  <c r="AG91" i="23"/>
  <c r="AD91" i="23"/>
  <c r="AE91" i="23" s="1"/>
  <c r="Z91" i="23"/>
  <c r="Y91" i="23"/>
  <c r="X91" i="23"/>
  <c r="W91" i="23"/>
  <c r="V91" i="23"/>
  <c r="U91" i="23"/>
  <c r="T91" i="23"/>
  <c r="S91" i="23"/>
  <c r="R91" i="23"/>
  <c r="Q91" i="23"/>
  <c r="P91" i="23"/>
  <c r="O91" i="23"/>
  <c r="N91" i="23"/>
  <c r="AG90" i="23"/>
  <c r="AH90" i="23" s="1"/>
  <c r="AD90" i="23"/>
  <c r="AE90" i="23" s="1"/>
  <c r="Z90" i="23"/>
  <c r="Y90" i="23"/>
  <c r="X90" i="23"/>
  <c r="W90" i="23"/>
  <c r="V90" i="23"/>
  <c r="U90" i="23"/>
  <c r="T90" i="23"/>
  <c r="S90" i="23"/>
  <c r="R90" i="23"/>
  <c r="Q90" i="23"/>
  <c r="P90" i="23"/>
  <c r="O90" i="23"/>
  <c r="N90" i="23"/>
  <c r="AG89" i="23"/>
  <c r="AD89" i="23"/>
  <c r="AE89" i="23" s="1"/>
  <c r="Z89" i="23"/>
  <c r="Y89" i="23"/>
  <c r="X89" i="23"/>
  <c r="W89" i="23"/>
  <c r="V89" i="23"/>
  <c r="U89" i="23"/>
  <c r="T89" i="23"/>
  <c r="S89" i="23"/>
  <c r="R89" i="23"/>
  <c r="Q89" i="23"/>
  <c r="P89" i="23"/>
  <c r="O89" i="23"/>
  <c r="N89" i="23"/>
  <c r="AG88" i="23"/>
  <c r="AH88" i="23" s="1"/>
  <c r="AD88" i="23"/>
  <c r="AE88" i="23" s="1"/>
  <c r="Z88" i="23"/>
  <c r="Y88" i="23"/>
  <c r="X88" i="23"/>
  <c r="W88" i="23"/>
  <c r="V88" i="23"/>
  <c r="U88" i="23"/>
  <c r="T88" i="23"/>
  <c r="S88" i="23"/>
  <c r="R88" i="23"/>
  <c r="Q88" i="23"/>
  <c r="P88" i="23"/>
  <c r="O88" i="23"/>
  <c r="N88" i="23"/>
  <c r="AG87" i="23"/>
  <c r="AD87" i="23"/>
  <c r="AE87" i="23" s="1"/>
  <c r="Z87" i="23"/>
  <c r="Y87" i="23"/>
  <c r="X87" i="23"/>
  <c r="W87" i="23"/>
  <c r="V87" i="23"/>
  <c r="U87" i="23"/>
  <c r="T87" i="23"/>
  <c r="S87" i="23"/>
  <c r="R87" i="23"/>
  <c r="Q87" i="23"/>
  <c r="P87" i="23"/>
  <c r="O87" i="23"/>
  <c r="N87" i="23"/>
  <c r="AG86" i="23"/>
  <c r="AH86" i="23" s="1"/>
  <c r="AD86" i="23"/>
  <c r="AE86" i="23" s="1"/>
  <c r="Z86" i="23"/>
  <c r="Y86" i="23"/>
  <c r="X86" i="23"/>
  <c r="W86" i="23"/>
  <c r="V86" i="23"/>
  <c r="U86" i="23"/>
  <c r="T86" i="23"/>
  <c r="S86" i="23"/>
  <c r="R86" i="23"/>
  <c r="Q86" i="23"/>
  <c r="P86" i="23"/>
  <c r="O86" i="23"/>
  <c r="N86" i="23"/>
  <c r="AG85" i="23"/>
  <c r="AD85" i="23"/>
  <c r="AE85" i="23" s="1"/>
  <c r="Z85" i="23"/>
  <c r="Y85" i="23"/>
  <c r="X85" i="23"/>
  <c r="W85" i="23"/>
  <c r="V85" i="23"/>
  <c r="U85" i="23"/>
  <c r="T85" i="23"/>
  <c r="S85" i="23"/>
  <c r="R85" i="23"/>
  <c r="Q85" i="23"/>
  <c r="P85" i="23"/>
  <c r="O85" i="23"/>
  <c r="N85" i="23"/>
  <c r="AG84" i="23"/>
  <c r="AH84" i="23" s="1"/>
  <c r="AD84" i="23"/>
  <c r="AE84" i="23" s="1"/>
  <c r="Z84" i="23"/>
  <c r="Y84" i="23"/>
  <c r="X84" i="23"/>
  <c r="W84" i="23"/>
  <c r="V84" i="23"/>
  <c r="U84" i="23"/>
  <c r="T84" i="23"/>
  <c r="S84" i="23"/>
  <c r="R84" i="23"/>
  <c r="Q84" i="23"/>
  <c r="P84" i="23"/>
  <c r="O84" i="23"/>
  <c r="N84" i="23"/>
  <c r="AG83" i="23"/>
  <c r="AD83" i="23"/>
  <c r="AE83" i="23" s="1"/>
  <c r="Z83" i="23"/>
  <c r="Y83" i="23"/>
  <c r="X83" i="23"/>
  <c r="W83" i="23"/>
  <c r="V83" i="23"/>
  <c r="U83" i="23"/>
  <c r="T83" i="23"/>
  <c r="S83" i="23"/>
  <c r="R83" i="23"/>
  <c r="Q83" i="23"/>
  <c r="P83" i="23"/>
  <c r="O83" i="23"/>
  <c r="N83" i="23"/>
  <c r="AG82" i="23"/>
  <c r="AH82" i="23" s="1"/>
  <c r="AD82" i="23"/>
  <c r="AE82" i="23" s="1"/>
  <c r="Z82" i="23"/>
  <c r="Y82" i="23"/>
  <c r="X82" i="23"/>
  <c r="W82" i="23"/>
  <c r="V82" i="23"/>
  <c r="U82" i="23"/>
  <c r="T82" i="23"/>
  <c r="S82" i="23"/>
  <c r="R82" i="23"/>
  <c r="Q82" i="23"/>
  <c r="P82" i="23"/>
  <c r="O82" i="23"/>
  <c r="N82" i="23"/>
  <c r="AG81" i="23"/>
  <c r="AD81" i="23"/>
  <c r="AE81" i="23" s="1"/>
  <c r="Z81" i="23"/>
  <c r="Y81" i="23"/>
  <c r="X81" i="23"/>
  <c r="W81" i="23"/>
  <c r="V81" i="23"/>
  <c r="U81" i="23"/>
  <c r="T81" i="23"/>
  <c r="S81" i="23"/>
  <c r="R81" i="23"/>
  <c r="Q81" i="23"/>
  <c r="P81" i="23"/>
  <c r="O81" i="23"/>
  <c r="N81" i="23"/>
  <c r="AG80" i="23"/>
  <c r="AH80" i="23" s="1"/>
  <c r="AD80" i="23"/>
  <c r="AE80" i="23" s="1"/>
  <c r="Z80" i="23"/>
  <c r="Y80" i="23"/>
  <c r="X80" i="23"/>
  <c r="W80" i="23"/>
  <c r="V80" i="23"/>
  <c r="U80" i="23"/>
  <c r="T80" i="23"/>
  <c r="S80" i="23"/>
  <c r="R80" i="23"/>
  <c r="Q80" i="23"/>
  <c r="P80" i="23"/>
  <c r="O80" i="23"/>
  <c r="N80" i="23"/>
  <c r="AG79" i="23"/>
  <c r="AD79" i="23"/>
  <c r="AE79" i="23" s="1"/>
  <c r="Z79" i="23"/>
  <c r="Y79" i="23"/>
  <c r="X79" i="23"/>
  <c r="W79" i="23"/>
  <c r="V79" i="23"/>
  <c r="U79" i="23"/>
  <c r="T79" i="23"/>
  <c r="S79" i="23"/>
  <c r="R79" i="23"/>
  <c r="Q79" i="23"/>
  <c r="P79" i="23"/>
  <c r="O79" i="23"/>
  <c r="N79" i="23"/>
  <c r="AG78" i="23"/>
  <c r="AH78" i="23" s="1"/>
  <c r="AD78" i="23"/>
  <c r="AE78" i="23" s="1"/>
  <c r="Z78" i="23"/>
  <c r="Y78" i="23"/>
  <c r="X78" i="23"/>
  <c r="W78" i="23"/>
  <c r="V78" i="23"/>
  <c r="U78" i="23"/>
  <c r="T78" i="23"/>
  <c r="S78" i="23"/>
  <c r="R78" i="23"/>
  <c r="Q78" i="23"/>
  <c r="P78" i="23"/>
  <c r="O78" i="23"/>
  <c r="N78" i="23"/>
  <c r="M42" i="25"/>
  <c r="M36" i="25"/>
  <c r="M40" i="25"/>
  <c r="M39" i="25"/>
  <c r="M44" i="25"/>
  <c r="M48" i="25"/>
  <c r="M47" i="25"/>
  <c r="M43" i="25"/>
  <c r="M46" i="25"/>
  <c r="M49" i="25"/>
  <c r="M41" i="25"/>
  <c r="I88" i="23"/>
  <c r="I79" i="23"/>
  <c r="I94" i="23"/>
  <c r="J93" i="23"/>
  <c r="J91" i="23"/>
  <c r="J89" i="23"/>
  <c r="J87" i="23"/>
  <c r="J85" i="23"/>
  <c r="J83" i="23"/>
  <c r="J81" i="23"/>
  <c r="J79" i="23"/>
  <c r="I92" i="23"/>
  <c r="I93" i="23"/>
  <c r="I91" i="23"/>
  <c r="I89" i="23"/>
  <c r="I87" i="23"/>
  <c r="I85" i="23"/>
  <c r="I83" i="23"/>
  <c r="I81" i="23"/>
  <c r="I86" i="23"/>
  <c r="I82" i="23"/>
  <c r="I90" i="23"/>
  <c r="J94" i="23"/>
  <c r="J92" i="23"/>
  <c r="J90" i="23"/>
  <c r="J88" i="23"/>
  <c r="J86" i="23"/>
  <c r="J84" i="23"/>
  <c r="J82" i="23"/>
  <c r="J80" i="23"/>
  <c r="J78" i="23"/>
  <c r="I84" i="23"/>
  <c r="I80" i="23"/>
  <c r="I78" i="23"/>
  <c r="AF46" i="25" l="1"/>
  <c r="AB42" i="25"/>
  <c r="AF42" i="25"/>
  <c r="AF38" i="25"/>
  <c r="AB43" i="25"/>
  <c r="AF43" i="25"/>
  <c r="AB40" i="25"/>
  <c r="AF40" i="25"/>
  <c r="AF35" i="25"/>
  <c r="AB45" i="25"/>
  <c r="AF45" i="25"/>
  <c r="AB48" i="25"/>
  <c r="AF48" i="25"/>
  <c r="AF37" i="25"/>
  <c r="AF50" i="25"/>
  <c r="AB41" i="25"/>
  <c r="AF41" i="25"/>
  <c r="AB49" i="25"/>
  <c r="AF49" i="25"/>
  <c r="AB44" i="25"/>
  <c r="AF44" i="25"/>
  <c r="AB47" i="25"/>
  <c r="AF47" i="25"/>
  <c r="AF36" i="25"/>
  <c r="AB39" i="25"/>
  <c r="AF39" i="25"/>
  <c r="AN57" i="33"/>
  <c r="AM57" i="33"/>
  <c r="AM65" i="33"/>
  <c r="AN65" i="33"/>
  <c r="AN36" i="33"/>
  <c r="AM36" i="33"/>
  <c r="AM39" i="33"/>
  <c r="AN39" i="33"/>
  <c r="AN59" i="33"/>
  <c r="AM59" i="33"/>
  <c r="AN61" i="33"/>
  <c r="AM61" i="33"/>
  <c r="AM46" i="33"/>
  <c r="AN46" i="33"/>
  <c r="AN64" i="33"/>
  <c r="AM64" i="33"/>
  <c r="AM47" i="33"/>
  <c r="AN47" i="33"/>
  <c r="AN63" i="33"/>
  <c r="AM63" i="33"/>
  <c r="AN50" i="33"/>
  <c r="AM50" i="33"/>
  <c r="AN58" i="33"/>
  <c r="AM58" i="33"/>
  <c r="AN60" i="33"/>
  <c r="AM60" i="33"/>
  <c r="AM62" i="33"/>
  <c r="AN62" i="33"/>
  <c r="AI42" i="25"/>
  <c r="AI40" i="25"/>
  <c r="AI46" i="25"/>
  <c r="AI45" i="25"/>
  <c r="AI43" i="25"/>
  <c r="AI50" i="25"/>
  <c r="AI47" i="25"/>
  <c r="AI36" i="25"/>
  <c r="AI37" i="25"/>
  <c r="AI39" i="25"/>
  <c r="AI44" i="25"/>
  <c r="AI48" i="25"/>
  <c r="AI38" i="25"/>
  <c r="AI41" i="25"/>
  <c r="AI35" i="25"/>
  <c r="AI49" i="25"/>
  <c r="AA78" i="23"/>
  <c r="AA80" i="23"/>
  <c r="AA84" i="23"/>
  <c r="AA90" i="23"/>
  <c r="AA82" i="23"/>
  <c r="AA86" i="23"/>
  <c r="AA81" i="23"/>
  <c r="AA83" i="23"/>
  <c r="AA85" i="23"/>
  <c r="AA87" i="23"/>
  <c r="AA89" i="23"/>
  <c r="AA91" i="23"/>
  <c r="AA93" i="23"/>
  <c r="AA92" i="23"/>
  <c r="AA94" i="23"/>
  <c r="AA79" i="23"/>
  <c r="AA88" i="23"/>
  <c r="AH79" i="23"/>
  <c r="AH81" i="23"/>
  <c r="AH83" i="23"/>
  <c r="AH85" i="23"/>
  <c r="AH87" i="23"/>
  <c r="AH89" i="23"/>
  <c r="AH91" i="23"/>
  <c r="AH93" i="23"/>
  <c r="AH73" i="23"/>
  <c r="AH72" i="23"/>
  <c r="AH71" i="23"/>
  <c r="AH70" i="23"/>
  <c r="AH69" i="23"/>
  <c r="AH68" i="23"/>
  <c r="AH67" i="23"/>
  <c r="AH66" i="23"/>
  <c r="AH65" i="23"/>
  <c r="AH64" i="23"/>
  <c r="AH63" i="23"/>
  <c r="AH62" i="23"/>
  <c r="AH61" i="23"/>
  <c r="AH60" i="23"/>
  <c r="AH59" i="23"/>
  <c r="AH57" i="23"/>
  <c r="AH52" i="23"/>
  <c r="AH51" i="23"/>
  <c r="AH50" i="23"/>
  <c r="AH49" i="23"/>
  <c r="AH48" i="23"/>
  <c r="AH47" i="23"/>
  <c r="AH46" i="23"/>
  <c r="AH45" i="23"/>
  <c r="AH44" i="23"/>
  <c r="AH43" i="23"/>
  <c r="AH42" i="23"/>
  <c r="AH41" i="23"/>
  <c r="AH40" i="23"/>
  <c r="AH39" i="23"/>
  <c r="AH37" i="23"/>
  <c r="AH35" i="23"/>
  <c r="AH63" i="15"/>
  <c r="AE63" i="15"/>
  <c r="AH59" i="15"/>
  <c r="AE59" i="15"/>
  <c r="AH56" i="15"/>
  <c r="AE56" i="15"/>
  <c r="I72" i="23"/>
  <c r="J71" i="23"/>
  <c r="L69" i="23"/>
  <c r="N67" i="23"/>
  <c r="I64" i="23"/>
  <c r="J63" i="23"/>
  <c r="L61" i="23"/>
  <c r="N59" i="23"/>
  <c r="I53" i="23"/>
  <c r="J52" i="23"/>
  <c r="L50" i="23"/>
  <c r="N48" i="23"/>
  <c r="I45" i="23"/>
  <c r="J44" i="23"/>
  <c r="L42" i="23"/>
  <c r="N40" i="23"/>
  <c r="I37" i="23"/>
  <c r="J36" i="23"/>
  <c r="N39" i="23"/>
  <c r="I35" i="23"/>
  <c r="L46" i="23"/>
  <c r="N36" i="23"/>
  <c r="N74" i="23"/>
  <c r="I71" i="23"/>
  <c r="J70" i="23"/>
  <c r="L68" i="23"/>
  <c r="N66" i="23"/>
  <c r="I63" i="23"/>
  <c r="J62" i="23"/>
  <c r="L60" i="23"/>
  <c r="N58" i="23"/>
  <c r="I52" i="23"/>
  <c r="J51" i="23"/>
  <c r="L49" i="23"/>
  <c r="N47" i="23"/>
  <c r="I44" i="23"/>
  <c r="J43" i="23"/>
  <c r="L41" i="23"/>
  <c r="I36" i="23"/>
  <c r="J35" i="23"/>
  <c r="L39" i="23"/>
  <c r="I41" i="23"/>
  <c r="L38" i="23"/>
  <c r="J39" i="23"/>
  <c r="L37" i="23"/>
  <c r="I66" i="23"/>
  <c r="N73" i="23"/>
  <c r="I70" i="23"/>
  <c r="J69" i="23"/>
  <c r="L67" i="23"/>
  <c r="N65" i="23"/>
  <c r="I62" i="23"/>
  <c r="J61" i="23"/>
  <c r="L59" i="23"/>
  <c r="N57" i="23"/>
  <c r="I51" i="23"/>
  <c r="J50" i="23"/>
  <c r="L48" i="23"/>
  <c r="N46" i="23"/>
  <c r="I43" i="23"/>
  <c r="J42" i="23"/>
  <c r="L40" i="23"/>
  <c r="N38" i="23"/>
  <c r="L71" i="23"/>
  <c r="N61" i="23"/>
  <c r="L74" i="23"/>
  <c r="N72" i="23"/>
  <c r="I69" i="23"/>
  <c r="J68" i="23"/>
  <c r="L66" i="23"/>
  <c r="N64" i="23"/>
  <c r="I61" i="23"/>
  <c r="J60" i="23"/>
  <c r="L58" i="23"/>
  <c r="N53" i="23"/>
  <c r="I50" i="23"/>
  <c r="J49" i="23"/>
  <c r="L47" i="23"/>
  <c r="N45" i="23"/>
  <c r="I42" i="23"/>
  <c r="J41" i="23"/>
  <c r="N37" i="23"/>
  <c r="J47" i="23"/>
  <c r="N69" i="23"/>
  <c r="J65" i="23"/>
  <c r="L63" i="23"/>
  <c r="L73" i="23"/>
  <c r="N71" i="23"/>
  <c r="I68" i="23"/>
  <c r="J67" i="23"/>
  <c r="L65" i="23"/>
  <c r="N63" i="23"/>
  <c r="I60" i="23"/>
  <c r="J59" i="23"/>
  <c r="L57" i="23"/>
  <c r="N52" i="23"/>
  <c r="I49" i="23"/>
  <c r="J48" i="23"/>
  <c r="N44" i="23"/>
  <c r="J40" i="23"/>
  <c r="L45" i="23"/>
  <c r="J73" i="23"/>
  <c r="I58" i="23"/>
  <c r="J74" i="23"/>
  <c r="L72" i="23"/>
  <c r="N70" i="23"/>
  <c r="I67" i="23"/>
  <c r="J66" i="23"/>
  <c r="L64" i="23"/>
  <c r="N62" i="23"/>
  <c r="I59" i="23"/>
  <c r="J58" i="23"/>
  <c r="L53" i="23"/>
  <c r="N51" i="23"/>
  <c r="I48" i="23"/>
  <c r="N43" i="23"/>
  <c r="I40" i="23"/>
  <c r="N35" i="23"/>
  <c r="I73" i="23"/>
  <c r="J72" i="23"/>
  <c r="L70" i="23"/>
  <c r="N68" i="23"/>
  <c r="I65" i="23"/>
  <c r="J64" i="23"/>
  <c r="L62" i="23"/>
  <c r="N60" i="23"/>
  <c r="I57" i="23"/>
  <c r="J53" i="23"/>
  <c r="L51" i="23"/>
  <c r="N49" i="23"/>
  <c r="I46" i="23"/>
  <c r="J45" i="23"/>
  <c r="L43" i="23"/>
  <c r="N41" i="23"/>
  <c r="I38" i="23"/>
  <c r="J37" i="23"/>
  <c r="L35" i="23"/>
  <c r="I74" i="23"/>
  <c r="N42" i="23"/>
  <c r="J46" i="23"/>
  <c r="J57" i="23"/>
  <c r="I39" i="23"/>
  <c r="I47" i="23"/>
  <c r="L36" i="23"/>
  <c r="L44" i="23"/>
  <c r="J38" i="23"/>
  <c r="L52" i="23"/>
  <c r="N50" i="23"/>
  <c r="L59" i="15"/>
  <c r="L56" i="15"/>
  <c r="J56" i="15"/>
  <c r="J63" i="15"/>
  <c r="I59" i="15"/>
  <c r="N63" i="15"/>
  <c r="I63" i="15"/>
  <c r="J59" i="15"/>
  <c r="L63" i="15"/>
  <c r="N56" i="15"/>
  <c r="I56" i="15"/>
  <c r="N59" i="15"/>
  <c r="AA47" i="23" l="1"/>
  <c r="AA39" i="23"/>
  <c r="AA74" i="23"/>
  <c r="AA38" i="23"/>
  <c r="AB81" i="23" s="1"/>
  <c r="AA46" i="23"/>
  <c r="AA57" i="23"/>
  <c r="AA65" i="23"/>
  <c r="AA73" i="23"/>
  <c r="AA40" i="23"/>
  <c r="AA48" i="23"/>
  <c r="AA59" i="23"/>
  <c r="AA67" i="23"/>
  <c r="AA58" i="23"/>
  <c r="AA49" i="23"/>
  <c r="AA60" i="23"/>
  <c r="AA68" i="23"/>
  <c r="AA42" i="23"/>
  <c r="AA50" i="23"/>
  <c r="AA61" i="23"/>
  <c r="AA69" i="23"/>
  <c r="AA43" i="23"/>
  <c r="AA51" i="23"/>
  <c r="AA62" i="23"/>
  <c r="AA70" i="23"/>
  <c r="AA66" i="23"/>
  <c r="AA41" i="23"/>
  <c r="AA36" i="23"/>
  <c r="AA44" i="23"/>
  <c r="AA52" i="23"/>
  <c r="AA63" i="23"/>
  <c r="AA71" i="23"/>
  <c r="AA35" i="23"/>
  <c r="AA37" i="23"/>
  <c r="AA45" i="23"/>
  <c r="AA53" i="23"/>
  <c r="AA64" i="23"/>
  <c r="AA72" i="23"/>
  <c r="AM49" i="25"/>
  <c r="AN49" i="25"/>
  <c r="AN48" i="25"/>
  <c r="AM48" i="25"/>
  <c r="AM43" i="25"/>
  <c r="AN43" i="25"/>
  <c r="AN42" i="25"/>
  <c r="AM42" i="25"/>
  <c r="AN44" i="25"/>
  <c r="AM44" i="25"/>
  <c r="AN41" i="25"/>
  <c r="AM41" i="25"/>
  <c r="AN40" i="25"/>
  <c r="AM40" i="25"/>
  <c r="AM39" i="25"/>
  <c r="AN39" i="25"/>
  <c r="AM47" i="25"/>
  <c r="AN47" i="25"/>
  <c r="K47" i="23"/>
  <c r="M47" i="23"/>
  <c r="K39" i="23"/>
  <c r="M39" i="23"/>
  <c r="M74" i="23"/>
  <c r="K74" i="23"/>
  <c r="M38" i="23"/>
  <c r="K38" i="23"/>
  <c r="K46" i="23"/>
  <c r="M46" i="23"/>
  <c r="K57" i="23"/>
  <c r="K65" i="23"/>
  <c r="K73" i="23"/>
  <c r="K40" i="23"/>
  <c r="M40" i="23"/>
  <c r="M48" i="23"/>
  <c r="K48" i="23"/>
  <c r="K59" i="23"/>
  <c r="K67" i="23"/>
  <c r="K58" i="23"/>
  <c r="M49" i="23"/>
  <c r="K49" i="23"/>
  <c r="K60" i="23"/>
  <c r="K68" i="23"/>
  <c r="K42" i="23"/>
  <c r="M42" i="23"/>
  <c r="K50" i="23"/>
  <c r="M50" i="23"/>
  <c r="K61" i="23"/>
  <c r="K69" i="23"/>
  <c r="K43" i="23"/>
  <c r="M43" i="23"/>
  <c r="K51" i="23"/>
  <c r="M51" i="23"/>
  <c r="K62" i="23"/>
  <c r="K70" i="23"/>
  <c r="K66" i="23"/>
  <c r="K41" i="23"/>
  <c r="M36" i="23"/>
  <c r="K36" i="23"/>
  <c r="M44" i="23"/>
  <c r="K44" i="23"/>
  <c r="M52" i="23"/>
  <c r="K52" i="23"/>
  <c r="K63" i="23"/>
  <c r="K71" i="23"/>
  <c r="K35" i="23"/>
  <c r="M35" i="23"/>
  <c r="M37" i="23"/>
  <c r="K37" i="23"/>
  <c r="M45" i="23"/>
  <c r="K45" i="23"/>
  <c r="K53" i="23"/>
  <c r="M53" i="23"/>
  <c r="K64" i="23"/>
  <c r="K72" i="23"/>
  <c r="AF79" i="23"/>
  <c r="AB79" i="23"/>
  <c r="AI79" i="23"/>
  <c r="AF83" i="23"/>
  <c r="AB83" i="23"/>
  <c r="AI83" i="23"/>
  <c r="AB92" i="23"/>
  <c r="AI92" i="23"/>
  <c r="AF92" i="23"/>
  <c r="AI86" i="23"/>
  <c r="AB86" i="23"/>
  <c r="AF86" i="23"/>
  <c r="AF93" i="23"/>
  <c r="AB93" i="23"/>
  <c r="AI93" i="23"/>
  <c r="AI82" i="23"/>
  <c r="AB82" i="23"/>
  <c r="AF82" i="23"/>
  <c r="AF91" i="23"/>
  <c r="AB91" i="23"/>
  <c r="AI91" i="23"/>
  <c r="AI90" i="23"/>
  <c r="AB90" i="23"/>
  <c r="AF90" i="23"/>
  <c r="AI94" i="23"/>
  <c r="AF94" i="23"/>
  <c r="AB94" i="23"/>
  <c r="AF89" i="23"/>
  <c r="AB89" i="23"/>
  <c r="AI89" i="23"/>
  <c r="AI84" i="23"/>
  <c r="AF84" i="23"/>
  <c r="AB84" i="23"/>
  <c r="AF81" i="23"/>
  <c r="AI81" i="23"/>
  <c r="AF87" i="23"/>
  <c r="AI87" i="23"/>
  <c r="AB87" i="23"/>
  <c r="AI80" i="23"/>
  <c r="AF80" i="23"/>
  <c r="AB80" i="23"/>
  <c r="AI88" i="23"/>
  <c r="AF88" i="23"/>
  <c r="AB88" i="23"/>
  <c r="AF85" i="23"/>
  <c r="AB85" i="23"/>
  <c r="AI85" i="23"/>
  <c r="AI78" i="23"/>
  <c r="AB78" i="23"/>
  <c r="AF78" i="23"/>
  <c r="M56" i="15"/>
  <c r="AA56" i="15"/>
  <c r="K56" i="15"/>
  <c r="K63" i="15"/>
  <c r="AA63" i="15"/>
  <c r="M63" i="15"/>
  <c r="K59" i="15"/>
  <c r="AA59" i="15"/>
  <c r="M59" i="15"/>
  <c r="AH40" i="15"/>
  <c r="AH37" i="15"/>
  <c r="AH35" i="32"/>
  <c r="AE35" i="32"/>
  <c r="M57" i="23"/>
  <c r="M61" i="23"/>
  <c r="M63" i="23"/>
  <c r="M67" i="23"/>
  <c r="M66" i="23"/>
  <c r="M60" i="23"/>
  <c r="M65" i="23"/>
  <c r="M69" i="23"/>
  <c r="M62" i="23"/>
  <c r="M41" i="23"/>
  <c r="M71" i="23"/>
  <c r="M64" i="23"/>
  <c r="M58" i="23"/>
  <c r="M68" i="23"/>
  <c r="M73" i="23"/>
  <c r="M59" i="23"/>
  <c r="M70" i="23"/>
  <c r="M72" i="23"/>
  <c r="I47" i="15"/>
  <c r="J46" i="15"/>
  <c r="L40" i="15"/>
  <c r="N38" i="15"/>
  <c r="I40" i="15"/>
  <c r="I37" i="15"/>
  <c r="N49" i="15"/>
  <c r="I46" i="15"/>
  <c r="J41" i="15"/>
  <c r="L39" i="15"/>
  <c r="N37" i="15"/>
  <c r="I41" i="15"/>
  <c r="J40" i="15"/>
  <c r="L38" i="15"/>
  <c r="N47" i="15"/>
  <c r="I39" i="15"/>
  <c r="L36" i="15"/>
  <c r="I38" i="15"/>
  <c r="L46" i="15"/>
  <c r="J36" i="15"/>
  <c r="N48" i="15"/>
  <c r="N36" i="15"/>
  <c r="L37" i="15"/>
  <c r="J49" i="15"/>
  <c r="N41" i="15"/>
  <c r="L49" i="15"/>
  <c r="J39" i="15"/>
  <c r="L47" i="15"/>
  <c r="I49" i="15"/>
  <c r="L48" i="15"/>
  <c r="N46" i="15"/>
  <c r="J38" i="15"/>
  <c r="J37" i="15"/>
  <c r="N40" i="15"/>
  <c r="J48" i="15"/>
  <c r="I48" i="15"/>
  <c r="J47" i="15"/>
  <c r="L41" i="15"/>
  <c r="N39" i="15"/>
  <c r="I36" i="15"/>
  <c r="J35" i="32"/>
  <c r="N35" i="32"/>
  <c r="L35" i="32"/>
  <c r="I35" i="32"/>
  <c r="AA36" i="15" l="1"/>
  <c r="AA48" i="15"/>
  <c r="AA49" i="15"/>
  <c r="AA38" i="15"/>
  <c r="AA39" i="15"/>
  <c r="AA41" i="15"/>
  <c r="AA46" i="15"/>
  <c r="AA37" i="15"/>
  <c r="AA40" i="15"/>
  <c r="AA47" i="15"/>
  <c r="AB35" i="23"/>
  <c r="AF35" i="23"/>
  <c r="AB70" i="23"/>
  <c r="AF70" i="23"/>
  <c r="AB68" i="23"/>
  <c r="AF68" i="23"/>
  <c r="AB73" i="23"/>
  <c r="AF73" i="23"/>
  <c r="AB62" i="23"/>
  <c r="AF62" i="23"/>
  <c r="AB60" i="23"/>
  <c r="AF60" i="23"/>
  <c r="AB65" i="23"/>
  <c r="AF65" i="23"/>
  <c r="AB63" i="23"/>
  <c r="AF63" i="23"/>
  <c r="AB51" i="23"/>
  <c r="AF51" i="23"/>
  <c r="AB49" i="23"/>
  <c r="AF49" i="23"/>
  <c r="AB57" i="23"/>
  <c r="AF57" i="23"/>
  <c r="AB72" i="23"/>
  <c r="AF72" i="23"/>
  <c r="AB52" i="23"/>
  <c r="AF52" i="23"/>
  <c r="AB43" i="23"/>
  <c r="AF43" i="23"/>
  <c r="AF58" i="23"/>
  <c r="AB46" i="23"/>
  <c r="AF46" i="23"/>
  <c r="AB64" i="23"/>
  <c r="AF64" i="23"/>
  <c r="AB44" i="23"/>
  <c r="AF44" i="23"/>
  <c r="AB69" i="23"/>
  <c r="AF69" i="23"/>
  <c r="AB67" i="23"/>
  <c r="AF67" i="23"/>
  <c r="AF38" i="23"/>
  <c r="AF53" i="23"/>
  <c r="AF36" i="23"/>
  <c r="AB61" i="23"/>
  <c r="AF61" i="23"/>
  <c r="AB59" i="23"/>
  <c r="AF59" i="23"/>
  <c r="AF74" i="23"/>
  <c r="AB45" i="23"/>
  <c r="AF45" i="23"/>
  <c r="AB41" i="23"/>
  <c r="AF41" i="23"/>
  <c r="AB50" i="23"/>
  <c r="AF50" i="23"/>
  <c r="AB48" i="23"/>
  <c r="AF48" i="23"/>
  <c r="AB39" i="23"/>
  <c r="AF39" i="23"/>
  <c r="AB71" i="23"/>
  <c r="AF71" i="23"/>
  <c r="AB37" i="23"/>
  <c r="AF37" i="23"/>
  <c r="AB66" i="23"/>
  <c r="AF66" i="23"/>
  <c r="AB42" i="23"/>
  <c r="AF42" i="23"/>
  <c r="AB40" i="23"/>
  <c r="AF40" i="23"/>
  <c r="AB47" i="23"/>
  <c r="AF47" i="23"/>
  <c r="AI53" i="23"/>
  <c r="AI63" i="23"/>
  <c r="AI70" i="23"/>
  <c r="AI61" i="23"/>
  <c r="AI35" i="23"/>
  <c r="AI36" i="23"/>
  <c r="AI68" i="23"/>
  <c r="AI74" i="23"/>
  <c r="AI48" i="23"/>
  <c r="AI73" i="23"/>
  <c r="AN90" i="23"/>
  <c r="AM90" i="23"/>
  <c r="AN89" i="23"/>
  <c r="AM89" i="23"/>
  <c r="AN83" i="23"/>
  <c r="AM83" i="23"/>
  <c r="AI72" i="23"/>
  <c r="AI52" i="23"/>
  <c r="AI62" i="23"/>
  <c r="AI50" i="23"/>
  <c r="AI58" i="23"/>
  <c r="AI46" i="23"/>
  <c r="AI57" i="23"/>
  <c r="AN81" i="23"/>
  <c r="AM81" i="23"/>
  <c r="AI45" i="23"/>
  <c r="AI60" i="23"/>
  <c r="AI67" i="23"/>
  <c r="AI39" i="23"/>
  <c r="AN80" i="23"/>
  <c r="AM80" i="23"/>
  <c r="AM86" i="23"/>
  <c r="AN86" i="23"/>
  <c r="AI43" i="23"/>
  <c r="AN84" i="23"/>
  <c r="AM84" i="23"/>
  <c r="AI64" i="23"/>
  <c r="AI69" i="23"/>
  <c r="AI40" i="23"/>
  <c r="AI65" i="23"/>
  <c r="AI38" i="23"/>
  <c r="AN82" i="23"/>
  <c r="AM82" i="23"/>
  <c r="AI41" i="23"/>
  <c r="AN85" i="23"/>
  <c r="AM85" i="23"/>
  <c r="AN88" i="23"/>
  <c r="AM88" i="23"/>
  <c r="AN94" i="23"/>
  <c r="AM94" i="23"/>
  <c r="AI71" i="23"/>
  <c r="AM78" i="23"/>
  <c r="AN78" i="23"/>
  <c r="AN87" i="23"/>
  <c r="AM87" i="23"/>
  <c r="AI37" i="23"/>
  <c r="AI44" i="23"/>
  <c r="AI42" i="23"/>
  <c r="AI49" i="23"/>
  <c r="AN91" i="23"/>
  <c r="AM91" i="23"/>
  <c r="AN93" i="23"/>
  <c r="AM93" i="23"/>
  <c r="AN92" i="23"/>
  <c r="AM92" i="23"/>
  <c r="AN79" i="23"/>
  <c r="AM79" i="23"/>
  <c r="AI66" i="23"/>
  <c r="AI51" i="23"/>
  <c r="AI59" i="23"/>
  <c r="AI47" i="23"/>
  <c r="M36" i="15"/>
  <c r="K36" i="15"/>
  <c r="K48" i="15"/>
  <c r="M49" i="15"/>
  <c r="K49" i="15"/>
  <c r="K38" i="15"/>
  <c r="M38" i="15"/>
  <c r="M39" i="15"/>
  <c r="K39" i="15"/>
  <c r="K41" i="15"/>
  <c r="M41" i="15"/>
  <c r="K46" i="15"/>
  <c r="M37" i="15"/>
  <c r="K37" i="15"/>
  <c r="K40" i="15"/>
  <c r="M47" i="15"/>
  <c r="K47" i="15"/>
  <c r="AI59" i="15"/>
  <c r="AF59" i="15"/>
  <c r="AB59" i="15"/>
  <c r="AF63" i="15"/>
  <c r="AB63" i="15"/>
  <c r="AI63" i="15"/>
  <c r="AF56" i="15"/>
  <c r="AI56" i="15"/>
  <c r="AB56" i="15"/>
  <c r="AA35" i="32"/>
  <c r="M35" i="32"/>
  <c r="K35" i="32"/>
  <c r="AH57" i="34"/>
  <c r="AE57" i="34"/>
  <c r="M40" i="15"/>
  <c r="M48" i="15"/>
  <c r="M46" i="15"/>
  <c r="J57" i="34"/>
  <c r="I57" i="34"/>
  <c r="N57" i="34"/>
  <c r="AF37" i="15" l="1"/>
  <c r="AF46" i="15"/>
  <c r="AF41" i="15"/>
  <c r="AF39" i="15"/>
  <c r="AF38" i="15"/>
  <c r="AF49" i="15"/>
  <c r="AF47" i="15"/>
  <c r="AF48" i="15"/>
  <c r="AB40" i="15"/>
  <c r="AF40" i="15"/>
  <c r="AF36" i="15"/>
  <c r="AN37" i="23"/>
  <c r="AM37" i="23"/>
  <c r="AM41" i="23"/>
  <c r="AN41" i="23"/>
  <c r="AN64" i="23"/>
  <c r="AM64" i="23"/>
  <c r="AM57" i="23"/>
  <c r="AN57" i="23"/>
  <c r="AN72" i="23"/>
  <c r="AM72" i="23"/>
  <c r="AN61" i="23"/>
  <c r="AM61" i="23"/>
  <c r="AM59" i="23"/>
  <c r="AN59" i="23"/>
  <c r="AN62" i="23"/>
  <c r="AM62" i="23"/>
  <c r="AM47" i="23"/>
  <c r="AN47" i="23"/>
  <c r="AN63" i="23"/>
  <c r="AM63" i="23"/>
  <c r="AN69" i="23"/>
  <c r="AM69" i="23"/>
  <c r="AN45" i="23"/>
  <c r="AM45" i="23"/>
  <c r="AN50" i="23"/>
  <c r="AM50" i="23"/>
  <c r="AN52" i="23"/>
  <c r="AM52" i="23"/>
  <c r="AM73" i="23"/>
  <c r="AN73" i="23"/>
  <c r="AN51" i="23"/>
  <c r="AM51" i="23"/>
  <c r="AM39" i="23"/>
  <c r="AN39" i="23"/>
  <c r="AN60" i="23"/>
  <c r="AM60" i="23"/>
  <c r="AN48" i="23"/>
  <c r="AM48" i="23"/>
  <c r="AN68" i="23"/>
  <c r="AM68" i="23"/>
  <c r="AN67" i="23"/>
  <c r="AM67" i="23"/>
  <c r="AM65" i="23"/>
  <c r="AN65" i="23"/>
  <c r="AM46" i="23"/>
  <c r="AN46" i="23"/>
  <c r="AN49" i="23"/>
  <c r="AM49" i="23"/>
  <c r="AN44" i="23"/>
  <c r="AM44" i="23"/>
  <c r="AN66" i="23"/>
  <c r="AM66" i="23"/>
  <c r="AN40" i="23"/>
  <c r="AM40" i="23"/>
  <c r="AN43" i="23"/>
  <c r="AM43" i="23"/>
  <c r="AM35" i="23"/>
  <c r="AN35" i="23"/>
  <c r="AN70" i="23"/>
  <c r="AM70" i="23"/>
  <c r="AN42" i="23"/>
  <c r="AM42" i="23"/>
  <c r="AN71" i="23"/>
  <c r="AM71" i="23"/>
  <c r="AI46" i="15"/>
  <c r="AI39" i="15"/>
  <c r="AI47" i="15"/>
  <c r="AI37" i="15"/>
  <c r="AI38" i="15"/>
  <c r="AM56" i="15"/>
  <c r="AN56" i="15"/>
  <c r="AI40" i="15"/>
  <c r="AI36" i="15"/>
  <c r="AI49" i="15"/>
  <c r="AN63" i="15"/>
  <c r="AM63" i="15"/>
  <c r="AI48" i="15"/>
  <c r="AN59" i="15"/>
  <c r="AM59" i="15"/>
  <c r="AI41" i="15"/>
  <c r="AB35" i="32"/>
  <c r="AI35" i="32"/>
  <c r="AF35" i="32"/>
  <c r="AA57" i="34"/>
  <c r="AH43" i="34"/>
  <c r="AE43" i="34"/>
  <c r="AH39" i="34"/>
  <c r="AE39" i="34"/>
  <c r="AH36" i="34"/>
  <c r="AE36" i="34"/>
  <c r="N43" i="34"/>
  <c r="N39" i="34"/>
  <c r="I36" i="34"/>
  <c r="L43" i="34"/>
  <c r="N36" i="34"/>
  <c r="J43" i="34"/>
  <c r="L36" i="34"/>
  <c r="L39" i="34"/>
  <c r="I39" i="34"/>
  <c r="J36" i="34"/>
  <c r="I43" i="34"/>
  <c r="J39" i="34"/>
  <c r="I57" i="28"/>
  <c r="J52" i="28"/>
  <c r="L50" i="28"/>
  <c r="N48" i="28"/>
  <c r="N58" i="28"/>
  <c r="L48" i="28"/>
  <c r="I50" i="28"/>
  <c r="J49" i="28"/>
  <c r="I52" i="28"/>
  <c r="J51" i="28"/>
  <c r="L49" i="28"/>
  <c r="I51" i="28"/>
  <c r="J50" i="28"/>
  <c r="N50" i="28"/>
  <c r="J57" i="28"/>
  <c r="N57" i="28"/>
  <c r="L58" i="28"/>
  <c r="N52" i="28"/>
  <c r="I49" i="28"/>
  <c r="J48" i="28"/>
  <c r="J58" i="28"/>
  <c r="L57" i="28"/>
  <c r="N51" i="28"/>
  <c r="I48" i="28"/>
  <c r="L52" i="28"/>
  <c r="I58" i="28"/>
  <c r="L51" i="28"/>
  <c r="N49" i="28"/>
  <c r="AA58" i="28" l="1"/>
  <c r="AA48" i="28"/>
  <c r="AA49" i="28"/>
  <c r="AA51" i="28"/>
  <c r="AA52" i="28"/>
  <c r="AA50" i="28"/>
  <c r="AA57" i="28"/>
  <c r="AM40" i="15"/>
  <c r="AN40" i="15"/>
  <c r="AM35" i="32"/>
  <c r="AN35" i="32"/>
  <c r="M43" i="34"/>
  <c r="AA43" i="34"/>
  <c r="K43" i="34"/>
  <c r="AA39" i="34"/>
  <c r="M39" i="34"/>
  <c r="K39" i="34"/>
  <c r="AA36" i="34"/>
  <c r="M36" i="34"/>
  <c r="K36" i="34"/>
  <c r="AI57" i="34"/>
  <c r="AF57" i="34"/>
  <c r="AB57" i="34"/>
  <c r="M58" i="28"/>
  <c r="K58" i="28"/>
  <c r="K48" i="28"/>
  <c r="M48" i="28"/>
  <c r="M49" i="28"/>
  <c r="K49" i="28"/>
  <c r="K51" i="28"/>
  <c r="M51" i="28"/>
  <c r="K52" i="28"/>
  <c r="M52" i="28"/>
  <c r="K50" i="28"/>
  <c r="M50" i="28"/>
  <c r="M57" i="28"/>
  <c r="K57" i="28"/>
  <c r="AH42" i="28"/>
  <c r="AH41" i="28"/>
  <c r="AH36" i="28"/>
  <c r="AE36" i="28"/>
  <c r="AH75" i="11"/>
  <c r="AE75" i="11"/>
  <c r="AH71" i="11"/>
  <c r="AE71" i="11"/>
  <c r="AH68" i="11"/>
  <c r="AE68" i="11"/>
  <c r="J43" i="28"/>
  <c r="L41" i="28"/>
  <c r="N36" i="28"/>
  <c r="J42" i="28"/>
  <c r="L40" i="28"/>
  <c r="I42" i="28"/>
  <c r="I40" i="28"/>
  <c r="J36" i="28"/>
  <c r="N41" i="28"/>
  <c r="I43" i="28"/>
  <c r="I41" i="28"/>
  <c r="N42" i="28"/>
  <c r="I36" i="28"/>
  <c r="N40" i="28"/>
  <c r="J41" i="28"/>
  <c r="L36" i="28"/>
  <c r="J40" i="28"/>
  <c r="N43" i="28"/>
  <c r="L43" i="28"/>
  <c r="L42" i="28"/>
  <c r="J75" i="11"/>
  <c r="L68" i="11"/>
  <c r="I68" i="11"/>
  <c r="I75" i="11"/>
  <c r="J71" i="11"/>
  <c r="L75" i="11"/>
  <c r="I71" i="11"/>
  <c r="J68" i="11"/>
  <c r="L71" i="11"/>
  <c r="N75" i="11"/>
  <c r="N68" i="11"/>
  <c r="N71" i="11"/>
  <c r="AA41" i="28" l="1"/>
  <c r="AA43" i="28"/>
  <c r="AA40" i="28"/>
  <c r="AA42" i="28"/>
  <c r="AF52" i="28"/>
  <c r="AF50" i="28"/>
  <c r="AF51" i="28"/>
  <c r="AF57" i="28"/>
  <c r="AF49" i="28"/>
  <c r="AF48" i="28"/>
  <c r="AF58" i="28"/>
  <c r="AB36" i="34"/>
  <c r="AI36" i="34"/>
  <c r="AF36" i="34"/>
  <c r="AI43" i="34"/>
  <c r="AF43" i="34"/>
  <c r="AB43" i="34"/>
  <c r="AN57" i="34"/>
  <c r="AM57" i="34"/>
  <c r="AI39" i="34"/>
  <c r="AB39" i="34"/>
  <c r="AF39" i="34"/>
  <c r="M36" i="28"/>
  <c r="K36" i="28"/>
  <c r="AA36" i="28"/>
  <c r="K41" i="28"/>
  <c r="K43" i="28"/>
  <c r="K40" i="28"/>
  <c r="K42" i="28"/>
  <c r="AI49" i="28"/>
  <c r="AI48" i="28"/>
  <c r="AI52" i="28"/>
  <c r="AI57" i="28"/>
  <c r="AI51" i="28"/>
  <c r="AI50" i="28"/>
  <c r="AI58" i="28"/>
  <c r="K71" i="11"/>
  <c r="AA71" i="11"/>
  <c r="M71" i="11"/>
  <c r="M75" i="11"/>
  <c r="K75" i="11"/>
  <c r="AA75" i="11"/>
  <c r="M68" i="11"/>
  <c r="K68" i="11"/>
  <c r="AA68" i="11"/>
  <c r="AH61" i="11"/>
  <c r="AH60" i="11"/>
  <c r="AH59" i="11"/>
  <c r="AH58" i="11"/>
  <c r="AH57" i="11"/>
  <c r="AH56" i="11"/>
  <c r="AH51" i="11"/>
  <c r="AH50" i="11"/>
  <c r="AH49" i="11"/>
  <c r="AH48" i="11"/>
  <c r="AH47" i="11"/>
  <c r="AH46" i="11"/>
  <c r="AH45" i="11"/>
  <c r="AH44" i="11"/>
  <c r="AH43" i="11"/>
  <c r="AH42" i="11"/>
  <c r="AH41" i="11"/>
  <c r="AH40" i="11"/>
  <c r="AH39" i="11"/>
  <c r="AH38" i="11"/>
  <c r="AH37" i="11"/>
  <c r="AH36" i="11"/>
  <c r="AH36" i="27"/>
  <c r="M42" i="28"/>
  <c r="M40" i="28"/>
  <c r="M41" i="28"/>
  <c r="M43" i="28"/>
  <c r="I59" i="11"/>
  <c r="J58" i="11"/>
  <c r="L56" i="11"/>
  <c r="N50" i="11"/>
  <c r="I47" i="11"/>
  <c r="J46" i="11"/>
  <c r="L44" i="11"/>
  <c r="N42" i="11"/>
  <c r="I39" i="11"/>
  <c r="J38" i="11"/>
  <c r="L36" i="11"/>
  <c r="J43" i="11"/>
  <c r="N39" i="11"/>
  <c r="I43" i="11"/>
  <c r="N37" i="11"/>
  <c r="N61" i="11"/>
  <c r="I58" i="11"/>
  <c r="J57" i="11"/>
  <c r="L51" i="11"/>
  <c r="N49" i="11"/>
  <c r="I46" i="11"/>
  <c r="J45" i="11"/>
  <c r="L43" i="11"/>
  <c r="N41" i="11"/>
  <c r="I38" i="11"/>
  <c r="J37" i="11"/>
  <c r="I37" i="11"/>
  <c r="J36" i="11"/>
  <c r="L41" i="11"/>
  <c r="J42" i="11"/>
  <c r="L40" i="11"/>
  <c r="I41" i="11"/>
  <c r="N60" i="11"/>
  <c r="I57" i="11"/>
  <c r="J56" i="11"/>
  <c r="L50" i="11"/>
  <c r="N48" i="11"/>
  <c r="I45" i="11"/>
  <c r="J44" i="11"/>
  <c r="L42" i="11"/>
  <c r="N40" i="11"/>
  <c r="I44" i="11"/>
  <c r="L46" i="11"/>
  <c r="J40" i="11"/>
  <c r="L61" i="11"/>
  <c r="N59" i="11"/>
  <c r="I56" i="11"/>
  <c r="J51" i="11"/>
  <c r="L49" i="11"/>
  <c r="N47" i="11"/>
  <c r="I36" i="11"/>
  <c r="L60" i="11"/>
  <c r="N58" i="11"/>
  <c r="I51" i="11"/>
  <c r="J50" i="11"/>
  <c r="L48" i="11"/>
  <c r="N46" i="11"/>
  <c r="N38" i="11"/>
  <c r="J41" i="11"/>
  <c r="I40" i="11"/>
  <c r="J61" i="11"/>
  <c r="L59" i="11"/>
  <c r="N57" i="11"/>
  <c r="I50" i="11"/>
  <c r="J49" i="11"/>
  <c r="L47" i="11"/>
  <c r="N45" i="11"/>
  <c r="I42" i="11"/>
  <c r="L39" i="11"/>
  <c r="L38" i="11"/>
  <c r="N36" i="11"/>
  <c r="I61" i="11"/>
  <c r="J60" i="11"/>
  <c r="L58" i="11"/>
  <c r="N56" i="11"/>
  <c r="I49" i="11"/>
  <c r="J48" i="11"/>
  <c r="N44" i="11"/>
  <c r="L37" i="11"/>
  <c r="I60" i="11"/>
  <c r="J59" i="11"/>
  <c r="L57" i="11"/>
  <c r="N51" i="11"/>
  <c r="I48" i="11"/>
  <c r="J47" i="11"/>
  <c r="L45" i="11"/>
  <c r="N43" i="11"/>
  <c r="J39" i="11"/>
  <c r="L43" i="27"/>
  <c r="N41" i="27"/>
  <c r="I38" i="27"/>
  <c r="J37" i="27"/>
  <c r="L35" i="27"/>
  <c r="N36" i="27"/>
  <c r="L42" i="27"/>
  <c r="N40" i="27"/>
  <c r="I37" i="27"/>
  <c r="J36" i="27"/>
  <c r="L39" i="27"/>
  <c r="N37" i="27"/>
  <c r="J40" i="27"/>
  <c r="J43" i="27"/>
  <c r="L41" i="27"/>
  <c r="N39" i="27"/>
  <c r="I36" i="27"/>
  <c r="J35" i="27"/>
  <c r="L38" i="27"/>
  <c r="N43" i="27"/>
  <c r="I43" i="27"/>
  <c r="J42" i="27"/>
  <c r="L40" i="27"/>
  <c r="N38" i="27"/>
  <c r="I35" i="27"/>
  <c r="J39" i="27"/>
  <c r="N35" i="27"/>
  <c r="I42" i="27"/>
  <c r="J41" i="27"/>
  <c r="I40" i="27"/>
  <c r="L37" i="27"/>
  <c r="I41" i="27"/>
  <c r="N42" i="27"/>
  <c r="I39" i="27"/>
  <c r="J38" i="27"/>
  <c r="L36" i="27"/>
  <c r="AA39" i="27" l="1"/>
  <c r="AA41" i="27"/>
  <c r="AA40" i="27"/>
  <c r="AA42" i="27"/>
  <c r="AA35" i="27"/>
  <c r="AA43" i="27"/>
  <c r="AA36" i="27"/>
  <c r="AA37" i="27"/>
  <c r="AA38" i="27"/>
  <c r="AA48" i="11"/>
  <c r="AA60" i="11"/>
  <c r="AA49" i="11"/>
  <c r="AA61" i="11"/>
  <c r="AA42" i="11"/>
  <c r="AA50" i="11"/>
  <c r="AA40" i="11"/>
  <c r="AA51" i="11"/>
  <c r="AA36" i="11"/>
  <c r="AA56" i="11"/>
  <c r="AA44" i="11"/>
  <c r="AA45" i="11"/>
  <c r="AA57" i="11"/>
  <c r="AA41" i="11"/>
  <c r="AA37" i="11"/>
  <c r="AA38" i="11"/>
  <c r="AA46" i="11"/>
  <c r="AA58" i="11"/>
  <c r="AA43" i="11"/>
  <c r="AA39" i="11"/>
  <c r="AA47" i="11"/>
  <c r="AA59" i="11"/>
  <c r="AB42" i="28"/>
  <c r="AF42" i="28"/>
  <c r="AF40" i="28"/>
  <c r="AF43" i="28"/>
  <c r="AB41" i="28"/>
  <c r="AF41" i="28"/>
  <c r="AM39" i="34"/>
  <c r="AN39" i="34"/>
  <c r="AN43" i="34"/>
  <c r="AM43" i="34"/>
  <c r="AM36" i="34"/>
  <c r="AN36" i="34"/>
  <c r="AI43" i="28"/>
  <c r="AI36" i="28"/>
  <c r="AF36" i="28"/>
  <c r="AB36" i="28"/>
  <c r="AI42" i="28"/>
  <c r="AI41" i="28"/>
  <c r="AI40" i="28"/>
  <c r="M48" i="11"/>
  <c r="K48" i="11"/>
  <c r="M60" i="11"/>
  <c r="K60" i="11"/>
  <c r="K49" i="11"/>
  <c r="M61" i="11"/>
  <c r="K61" i="11"/>
  <c r="M42" i="11"/>
  <c r="K42" i="11"/>
  <c r="M50" i="11"/>
  <c r="K50" i="11"/>
  <c r="M40" i="11"/>
  <c r="K40" i="11"/>
  <c r="M51" i="11"/>
  <c r="K51" i="11"/>
  <c r="M36" i="11"/>
  <c r="K36" i="11"/>
  <c r="K56" i="11"/>
  <c r="M56" i="11"/>
  <c r="K44" i="11"/>
  <c r="M44" i="11"/>
  <c r="K45" i="11"/>
  <c r="M45" i="11"/>
  <c r="K57" i="11"/>
  <c r="M57" i="11"/>
  <c r="M41" i="11"/>
  <c r="K41" i="11"/>
  <c r="K37" i="11"/>
  <c r="M37" i="11"/>
  <c r="K38" i="11"/>
  <c r="M38" i="11"/>
  <c r="M46" i="11"/>
  <c r="K46" i="11"/>
  <c r="M58" i="11"/>
  <c r="K58" i="11"/>
  <c r="M43" i="11"/>
  <c r="K43" i="11"/>
  <c r="M39" i="11"/>
  <c r="K39" i="11"/>
  <c r="K47" i="11"/>
  <c r="M47" i="11"/>
  <c r="M59" i="11"/>
  <c r="K59" i="11"/>
  <c r="AF75" i="11"/>
  <c r="AB75" i="11"/>
  <c r="AI75" i="11"/>
  <c r="AF71" i="11"/>
  <c r="AB71" i="11"/>
  <c r="AI71" i="11"/>
  <c r="AI68" i="11"/>
  <c r="AB68" i="11"/>
  <c r="AF68" i="11"/>
  <c r="M39" i="27"/>
  <c r="K39" i="27"/>
  <c r="K41" i="27"/>
  <c r="K40" i="27"/>
  <c r="K42" i="27"/>
  <c r="K35" i="27"/>
  <c r="M35" i="27"/>
  <c r="K43" i="27"/>
  <c r="K36" i="27"/>
  <c r="M37" i="27"/>
  <c r="K37" i="27"/>
  <c r="M38" i="27"/>
  <c r="K38" i="27"/>
  <c r="AH63" i="19"/>
  <c r="AE63" i="19"/>
  <c r="AH59" i="19"/>
  <c r="AE59" i="19"/>
  <c r="AH56" i="19"/>
  <c r="AE56" i="19"/>
  <c r="M49" i="11"/>
  <c r="M42" i="27"/>
  <c r="M43" i="27"/>
  <c r="M41" i="27"/>
  <c r="M36" i="27"/>
  <c r="M40" i="27"/>
  <c r="N59" i="19"/>
  <c r="N56" i="19"/>
  <c r="J63" i="19"/>
  <c r="L56" i="19"/>
  <c r="N63" i="19"/>
  <c r="L63" i="19"/>
  <c r="I59" i="19"/>
  <c r="J56" i="19"/>
  <c r="L59" i="19"/>
  <c r="I63" i="19"/>
  <c r="J59" i="19"/>
  <c r="I56" i="19"/>
  <c r="AB37" i="11" l="1"/>
  <c r="AF37" i="11"/>
  <c r="AF37" i="27"/>
  <c r="AB41" i="11"/>
  <c r="AF41" i="11"/>
  <c r="AB47" i="11"/>
  <c r="AF47" i="11"/>
  <c r="AB57" i="11"/>
  <c r="AF57" i="11"/>
  <c r="AB42" i="11"/>
  <c r="AF42" i="11"/>
  <c r="AF43" i="27"/>
  <c r="AF39" i="11"/>
  <c r="AB45" i="11"/>
  <c r="AF45" i="11"/>
  <c r="AB61" i="11"/>
  <c r="AF61" i="11"/>
  <c r="AF35" i="27"/>
  <c r="AB40" i="11"/>
  <c r="AF40" i="11"/>
  <c r="AB59" i="11"/>
  <c r="AF59" i="11"/>
  <c r="AB50" i="11"/>
  <c r="AF50" i="11"/>
  <c r="AF36" i="27"/>
  <c r="AB43" i="11"/>
  <c r="AF43" i="11"/>
  <c r="AB44" i="11"/>
  <c r="AF44" i="11"/>
  <c r="AB49" i="11"/>
  <c r="AF49" i="11"/>
  <c r="AF42" i="27"/>
  <c r="AF58" i="11"/>
  <c r="AB56" i="11"/>
  <c r="AF56" i="11"/>
  <c r="AB60" i="11"/>
  <c r="AF60" i="11"/>
  <c r="AF40" i="27"/>
  <c r="AF46" i="11"/>
  <c r="AB36" i="11"/>
  <c r="AF36" i="11"/>
  <c r="AB48" i="11"/>
  <c r="AF48" i="11"/>
  <c r="AF41" i="27"/>
  <c r="AB38" i="11"/>
  <c r="AF38" i="11"/>
  <c r="AB51" i="11"/>
  <c r="AF51" i="11"/>
  <c r="AF38" i="27"/>
  <c r="AF39" i="27"/>
  <c r="AM41" i="28"/>
  <c r="AN41" i="28"/>
  <c r="AM36" i="28"/>
  <c r="AN36" i="28"/>
  <c r="AM42" i="28"/>
  <c r="AN42" i="28"/>
  <c r="AI43" i="11"/>
  <c r="AI51" i="11"/>
  <c r="AI42" i="11"/>
  <c r="AI49" i="11"/>
  <c r="AI57" i="11"/>
  <c r="AI56" i="11"/>
  <c r="AN71" i="11"/>
  <c r="AM71" i="11"/>
  <c r="AI38" i="11"/>
  <c r="AM68" i="11"/>
  <c r="AN68" i="11"/>
  <c r="AI60" i="11"/>
  <c r="AI47" i="11"/>
  <c r="AI59" i="11"/>
  <c r="AI44" i="11"/>
  <c r="AN75" i="11"/>
  <c r="AM75" i="11"/>
  <c r="AI58" i="11"/>
  <c r="AI37" i="11"/>
  <c r="AI39" i="11"/>
  <c r="AI45" i="11"/>
  <c r="AI40" i="11"/>
  <c r="AI50" i="11"/>
  <c r="AI61" i="11"/>
  <c r="AI41" i="11"/>
  <c r="AI36" i="11"/>
  <c r="AI46" i="11"/>
  <c r="AI48" i="11"/>
  <c r="AI35" i="27"/>
  <c r="AI41" i="27"/>
  <c r="AI36" i="27"/>
  <c r="AI37" i="27"/>
  <c r="AI40" i="27"/>
  <c r="AI42" i="27"/>
  <c r="AI38" i="27"/>
  <c r="AI43" i="27"/>
  <c r="AI39" i="27"/>
  <c r="AA56" i="19"/>
  <c r="M56" i="19"/>
  <c r="K56" i="19"/>
  <c r="M63" i="19"/>
  <c r="K63" i="19"/>
  <c r="AA63" i="19"/>
  <c r="M59" i="19"/>
  <c r="AA59" i="19"/>
  <c r="K59" i="19"/>
  <c r="AH49" i="19"/>
  <c r="AH48" i="19"/>
  <c r="AH44" i="19"/>
  <c r="AH43" i="19"/>
  <c r="AH42" i="19"/>
  <c r="AH41" i="19"/>
  <c r="AH40" i="19"/>
  <c r="AH39" i="19"/>
  <c r="AH38" i="19"/>
  <c r="AH37" i="19"/>
  <c r="AH36" i="19"/>
  <c r="AH35" i="19"/>
  <c r="AH68" i="22"/>
  <c r="AE68" i="22"/>
  <c r="AH64" i="22"/>
  <c r="AE64" i="22"/>
  <c r="AH61" i="22"/>
  <c r="AE61" i="22"/>
  <c r="I44" i="19"/>
  <c r="J43" i="19"/>
  <c r="L41" i="19"/>
  <c r="N39" i="19"/>
  <c r="I36" i="19"/>
  <c r="J35" i="19"/>
  <c r="I42" i="19"/>
  <c r="L39" i="19"/>
  <c r="N37" i="19"/>
  <c r="N35" i="19"/>
  <c r="L36" i="19"/>
  <c r="J48" i="19"/>
  <c r="N41" i="19"/>
  <c r="I48" i="19"/>
  <c r="I37" i="19"/>
  <c r="N49" i="19"/>
  <c r="I43" i="19"/>
  <c r="J42" i="19"/>
  <c r="L40" i="19"/>
  <c r="N38" i="19"/>
  <c r="I35" i="19"/>
  <c r="J38" i="19"/>
  <c r="L43" i="19"/>
  <c r="L35" i="19"/>
  <c r="N48" i="19"/>
  <c r="J41" i="19"/>
  <c r="J39" i="19"/>
  <c r="N42" i="19"/>
  <c r="I49" i="19"/>
  <c r="J44" i="19"/>
  <c r="N40" i="19"/>
  <c r="L49" i="19"/>
  <c r="N44" i="19"/>
  <c r="I41" i="19"/>
  <c r="J40" i="19"/>
  <c r="L38" i="19"/>
  <c r="N36" i="19"/>
  <c r="L37" i="19"/>
  <c r="L44" i="19"/>
  <c r="I39" i="19"/>
  <c r="I38" i="19"/>
  <c r="J37" i="19"/>
  <c r="J36" i="19"/>
  <c r="L48" i="19"/>
  <c r="N43" i="19"/>
  <c r="I40" i="19"/>
  <c r="J49" i="19"/>
  <c r="L42" i="19"/>
  <c r="J68" i="22"/>
  <c r="L61" i="22"/>
  <c r="L64" i="22"/>
  <c r="I68" i="22"/>
  <c r="J64" i="22"/>
  <c r="N64" i="22"/>
  <c r="I64" i="22"/>
  <c r="J61" i="22"/>
  <c r="I61" i="22"/>
  <c r="N68" i="22"/>
  <c r="L68" i="22"/>
  <c r="N61" i="22"/>
  <c r="AA40" i="19" l="1"/>
  <c r="AA38" i="19"/>
  <c r="AA39" i="19"/>
  <c r="AA41" i="19"/>
  <c r="AA49" i="19"/>
  <c r="AA35" i="19"/>
  <c r="AA43" i="19"/>
  <c r="AA37" i="19"/>
  <c r="AA48" i="19"/>
  <c r="AA42" i="19"/>
  <c r="AA36" i="19"/>
  <c r="AA44" i="19"/>
  <c r="AN49" i="11"/>
  <c r="AM49" i="11"/>
  <c r="AN51" i="11"/>
  <c r="AM51" i="11"/>
  <c r="AM45" i="11"/>
  <c r="AN45" i="11"/>
  <c r="AN47" i="11"/>
  <c r="AM47" i="11"/>
  <c r="AN38" i="11"/>
  <c r="AM38" i="11"/>
  <c r="AN42" i="11"/>
  <c r="AM42" i="11"/>
  <c r="AN43" i="11"/>
  <c r="AM43" i="11"/>
  <c r="AN56" i="11"/>
  <c r="AM56" i="11"/>
  <c r="AN36" i="11"/>
  <c r="AM36" i="11"/>
  <c r="AM48" i="11"/>
  <c r="AN48" i="11"/>
  <c r="AM40" i="11"/>
  <c r="AN40" i="11"/>
  <c r="AM44" i="11"/>
  <c r="AN44" i="11"/>
  <c r="AN41" i="11"/>
  <c r="AM41" i="11"/>
  <c r="AN50" i="11"/>
  <c r="AM50" i="11"/>
  <c r="AN57" i="11"/>
  <c r="AM57" i="11"/>
  <c r="AN61" i="11"/>
  <c r="AM61" i="11"/>
  <c r="AM37" i="11"/>
  <c r="AN37" i="11"/>
  <c r="AN59" i="11"/>
  <c r="AM59" i="11"/>
  <c r="AM60" i="11"/>
  <c r="AN60" i="11"/>
  <c r="M40" i="19"/>
  <c r="K40" i="19"/>
  <c r="M38" i="19"/>
  <c r="K38" i="19"/>
  <c r="K39" i="19"/>
  <c r="M41" i="19"/>
  <c r="K41" i="19"/>
  <c r="M49" i="19"/>
  <c r="K49" i="19"/>
  <c r="K35" i="19"/>
  <c r="M35" i="19"/>
  <c r="K43" i="19"/>
  <c r="M37" i="19"/>
  <c r="K37" i="19"/>
  <c r="K48" i="19"/>
  <c r="K42" i="19"/>
  <c r="M36" i="19"/>
  <c r="K36" i="19"/>
  <c r="K44" i="19"/>
  <c r="M44" i="19"/>
  <c r="AI59" i="19"/>
  <c r="AB59" i="19"/>
  <c r="AF59" i="19"/>
  <c r="AF63" i="19"/>
  <c r="AI63" i="19"/>
  <c r="AB63" i="19"/>
  <c r="AI56" i="19"/>
  <c r="AB56" i="19"/>
  <c r="AF56" i="19"/>
  <c r="K61" i="22"/>
  <c r="AA61" i="22"/>
  <c r="M61" i="22"/>
  <c r="K64" i="22"/>
  <c r="AA64" i="22"/>
  <c r="M64" i="22"/>
  <c r="AA68" i="22"/>
  <c r="M68" i="22"/>
  <c r="K68" i="22"/>
  <c r="AH54" i="22"/>
  <c r="AH53" i="22"/>
  <c r="AH52" i="22"/>
  <c r="AH51" i="22"/>
  <c r="AH50" i="22"/>
  <c r="AH49" i="22"/>
  <c r="AH48" i="22"/>
  <c r="AH47" i="22"/>
  <c r="AH43" i="22"/>
  <c r="AH42" i="22"/>
  <c r="AH41" i="22"/>
  <c r="AH40" i="22"/>
  <c r="AH39" i="22"/>
  <c r="AH38" i="22"/>
  <c r="AH37" i="22"/>
  <c r="AH36" i="22"/>
  <c r="AH35" i="22"/>
  <c r="AH107" i="16"/>
  <c r="AH99" i="16"/>
  <c r="AH93" i="16"/>
  <c r="M48" i="19"/>
  <c r="M43" i="19"/>
  <c r="M39" i="19"/>
  <c r="M42" i="19"/>
  <c r="I52" i="22"/>
  <c r="J51" i="22"/>
  <c r="L49" i="22"/>
  <c r="N47" i="22"/>
  <c r="I41" i="22"/>
  <c r="J40" i="22"/>
  <c r="L38" i="22"/>
  <c r="N36" i="22"/>
  <c r="J52" i="22"/>
  <c r="N54" i="22"/>
  <c r="I51" i="22"/>
  <c r="J50" i="22"/>
  <c r="L48" i="22"/>
  <c r="N43" i="22"/>
  <c r="I40" i="22"/>
  <c r="J39" i="22"/>
  <c r="L37" i="22"/>
  <c r="N35" i="22"/>
  <c r="N42" i="22"/>
  <c r="J38" i="22"/>
  <c r="L36" i="22"/>
  <c r="N37" i="22"/>
  <c r="N53" i="22"/>
  <c r="I50" i="22"/>
  <c r="J49" i="22"/>
  <c r="L47" i="22"/>
  <c r="I39" i="22"/>
  <c r="I36" i="22"/>
  <c r="I53" i="22"/>
  <c r="L39" i="22"/>
  <c r="L54" i="22"/>
  <c r="N52" i="22"/>
  <c r="I49" i="22"/>
  <c r="J48" i="22"/>
  <c r="L43" i="22"/>
  <c r="N41" i="22"/>
  <c r="I38" i="22"/>
  <c r="J37" i="22"/>
  <c r="L35" i="22"/>
  <c r="J36" i="22"/>
  <c r="I42" i="22"/>
  <c r="L53" i="22"/>
  <c r="N51" i="22"/>
  <c r="I48" i="22"/>
  <c r="J47" i="22"/>
  <c r="L42" i="22"/>
  <c r="N40" i="22"/>
  <c r="I37" i="22"/>
  <c r="N39" i="22"/>
  <c r="J35" i="22"/>
  <c r="N38" i="22"/>
  <c r="I35" i="22"/>
  <c r="L50" i="22"/>
  <c r="N48" i="22"/>
  <c r="J54" i="22"/>
  <c r="L52" i="22"/>
  <c r="N50" i="22"/>
  <c r="I47" i="22"/>
  <c r="J43" i="22"/>
  <c r="L41" i="22"/>
  <c r="J41" i="22"/>
  <c r="I54" i="22"/>
  <c r="J53" i="22"/>
  <c r="L51" i="22"/>
  <c r="N49" i="22"/>
  <c r="I43" i="22"/>
  <c r="J42" i="22"/>
  <c r="L40" i="22"/>
  <c r="I116" i="16"/>
  <c r="J115" i="16"/>
  <c r="L113" i="16"/>
  <c r="N111" i="16"/>
  <c r="I108" i="16"/>
  <c r="J107" i="16"/>
  <c r="L105" i="16"/>
  <c r="N103" i="16"/>
  <c r="I100" i="16"/>
  <c r="J99" i="16"/>
  <c r="L97" i="16"/>
  <c r="N95" i="16"/>
  <c r="I89" i="16"/>
  <c r="J88" i="16"/>
  <c r="L86" i="16"/>
  <c r="N84" i="16"/>
  <c r="I81" i="16"/>
  <c r="J80" i="16"/>
  <c r="L78" i="16"/>
  <c r="L115" i="16"/>
  <c r="N118" i="16"/>
  <c r="I115" i="16"/>
  <c r="J114" i="16"/>
  <c r="L112" i="16"/>
  <c r="N110" i="16"/>
  <c r="I107" i="16"/>
  <c r="J106" i="16"/>
  <c r="L104" i="16"/>
  <c r="N102" i="16"/>
  <c r="I99" i="16"/>
  <c r="J98" i="16"/>
  <c r="L96" i="16"/>
  <c r="N94" i="16"/>
  <c r="I88" i="16"/>
  <c r="J87" i="16"/>
  <c r="L85" i="16"/>
  <c r="N83" i="16"/>
  <c r="I80" i="16"/>
  <c r="J79" i="16"/>
  <c r="L75" i="16"/>
  <c r="L99" i="16"/>
  <c r="N97" i="16"/>
  <c r="L88" i="16"/>
  <c r="N117" i="16"/>
  <c r="I114" i="16"/>
  <c r="J113" i="16"/>
  <c r="L111" i="16"/>
  <c r="N109" i="16"/>
  <c r="I106" i="16"/>
  <c r="J105" i="16"/>
  <c r="L103" i="16"/>
  <c r="N101" i="16"/>
  <c r="I98" i="16"/>
  <c r="J97" i="16"/>
  <c r="L95" i="16"/>
  <c r="N93" i="16"/>
  <c r="I87" i="16"/>
  <c r="J86" i="16"/>
  <c r="L84" i="16"/>
  <c r="N82" i="16"/>
  <c r="I79" i="16"/>
  <c r="J78" i="16"/>
  <c r="I118" i="16"/>
  <c r="J109" i="16"/>
  <c r="L107" i="16"/>
  <c r="J101" i="16"/>
  <c r="J82" i="16"/>
  <c r="L118" i="16"/>
  <c r="N116" i="16"/>
  <c r="I113" i="16"/>
  <c r="J112" i="16"/>
  <c r="L110" i="16"/>
  <c r="N108" i="16"/>
  <c r="I105" i="16"/>
  <c r="J104" i="16"/>
  <c r="L102" i="16"/>
  <c r="N100" i="16"/>
  <c r="I97" i="16"/>
  <c r="J96" i="16"/>
  <c r="L94" i="16"/>
  <c r="N89" i="16"/>
  <c r="I86" i="16"/>
  <c r="J85" i="16"/>
  <c r="L83" i="16"/>
  <c r="N81" i="16"/>
  <c r="I78" i="16"/>
  <c r="J75" i="16"/>
  <c r="J117" i="16"/>
  <c r="I102" i="16"/>
  <c r="I94" i="16"/>
  <c r="L80" i="16"/>
  <c r="L117" i="16"/>
  <c r="N115" i="16"/>
  <c r="I112" i="16"/>
  <c r="J111" i="16"/>
  <c r="L109" i="16"/>
  <c r="N107" i="16"/>
  <c r="I104" i="16"/>
  <c r="J103" i="16"/>
  <c r="L101" i="16"/>
  <c r="N99" i="16"/>
  <c r="I96" i="16"/>
  <c r="J95" i="16"/>
  <c r="L93" i="16"/>
  <c r="N88" i="16"/>
  <c r="I85" i="16"/>
  <c r="J84" i="16"/>
  <c r="L82" i="16"/>
  <c r="N80" i="16"/>
  <c r="I75" i="16"/>
  <c r="N113" i="16"/>
  <c r="N105" i="16"/>
  <c r="N86" i="16"/>
  <c r="J118" i="16"/>
  <c r="L116" i="16"/>
  <c r="N114" i="16"/>
  <c r="I111" i="16"/>
  <c r="J110" i="16"/>
  <c r="L108" i="16"/>
  <c r="N106" i="16"/>
  <c r="I103" i="16"/>
  <c r="J102" i="16"/>
  <c r="L100" i="16"/>
  <c r="N98" i="16"/>
  <c r="I95" i="16"/>
  <c r="J94" i="16"/>
  <c r="L89" i="16"/>
  <c r="N87" i="16"/>
  <c r="I84" i="16"/>
  <c r="J83" i="16"/>
  <c r="L81" i="16"/>
  <c r="N79" i="16"/>
  <c r="I110" i="16"/>
  <c r="J93" i="16"/>
  <c r="I83" i="16"/>
  <c r="N78" i="16"/>
  <c r="I93" i="16"/>
  <c r="N85" i="16"/>
  <c r="I101" i="16"/>
  <c r="L79" i="16"/>
  <c r="N96" i="16"/>
  <c r="J108" i="16"/>
  <c r="I109" i="16"/>
  <c r="N75" i="16"/>
  <c r="L87" i="16"/>
  <c r="J81" i="16"/>
  <c r="J89" i="16"/>
  <c r="N104" i="16"/>
  <c r="J116" i="16"/>
  <c r="I117" i="16"/>
  <c r="L98" i="16"/>
  <c r="N112" i="16"/>
  <c r="I82" i="16"/>
  <c r="L106" i="16"/>
  <c r="J100" i="16"/>
  <c r="L114" i="16"/>
  <c r="AA82" i="16" l="1"/>
  <c r="AA117" i="16"/>
  <c r="AA109" i="16"/>
  <c r="AA101" i="16"/>
  <c r="AA93" i="16"/>
  <c r="AA83" i="16"/>
  <c r="AA110" i="16"/>
  <c r="AA84" i="16"/>
  <c r="AA95" i="16"/>
  <c r="AA103" i="16"/>
  <c r="AA111" i="16"/>
  <c r="AA75" i="16"/>
  <c r="AA85" i="16"/>
  <c r="AA96" i="16"/>
  <c r="AA104" i="16"/>
  <c r="AA112" i="16"/>
  <c r="AA94" i="16"/>
  <c r="AA102" i="16"/>
  <c r="AA78" i="16"/>
  <c r="AA86" i="16"/>
  <c r="AA97" i="16"/>
  <c r="AA105" i="16"/>
  <c r="AA113" i="16"/>
  <c r="AA118" i="16"/>
  <c r="AA79" i="16"/>
  <c r="AA87" i="16"/>
  <c r="AA98" i="16"/>
  <c r="AA106" i="16"/>
  <c r="AA114" i="16"/>
  <c r="AA80" i="16"/>
  <c r="AA88" i="16"/>
  <c r="AA99" i="16"/>
  <c r="AA107" i="16"/>
  <c r="AA115" i="16"/>
  <c r="AA81" i="16"/>
  <c r="AA89" i="16"/>
  <c r="AA100" i="16"/>
  <c r="AA108" i="16"/>
  <c r="AA116" i="16"/>
  <c r="AA43" i="22"/>
  <c r="AA54" i="22"/>
  <c r="AA47" i="22"/>
  <c r="AA35" i="22"/>
  <c r="AA37" i="22"/>
  <c r="AA48" i="22"/>
  <c r="AA42" i="22"/>
  <c r="AA38" i="22"/>
  <c r="AA49" i="22"/>
  <c r="AA53" i="22"/>
  <c r="AA36" i="22"/>
  <c r="AA39" i="22"/>
  <c r="AA50" i="22"/>
  <c r="AA40" i="22"/>
  <c r="AA51" i="22"/>
  <c r="AA41" i="22"/>
  <c r="AA52" i="22"/>
  <c r="AB37" i="19"/>
  <c r="AF37" i="19"/>
  <c r="AB43" i="19"/>
  <c r="AF43" i="19"/>
  <c r="AB35" i="19"/>
  <c r="AF35" i="19"/>
  <c r="AB49" i="19"/>
  <c r="AF49" i="19"/>
  <c r="AB44" i="19"/>
  <c r="AF44" i="19"/>
  <c r="AB41" i="19"/>
  <c r="AF41" i="19"/>
  <c r="AB36" i="19"/>
  <c r="AF36" i="19"/>
  <c r="AB39" i="19"/>
  <c r="AF39" i="19"/>
  <c r="AB42" i="19"/>
  <c r="AF42" i="19"/>
  <c r="AB38" i="19"/>
  <c r="AF38" i="19"/>
  <c r="AB48" i="19"/>
  <c r="AF48" i="19"/>
  <c r="AB40" i="19"/>
  <c r="AF40" i="19"/>
  <c r="AI49" i="19"/>
  <c r="AI35" i="19"/>
  <c r="AI43" i="19"/>
  <c r="AI41" i="19"/>
  <c r="AI38" i="19"/>
  <c r="AI37" i="19"/>
  <c r="AN59" i="19"/>
  <c r="AM59" i="19"/>
  <c r="AI40" i="19"/>
  <c r="AI36" i="19"/>
  <c r="AI42" i="19"/>
  <c r="AN56" i="19"/>
  <c r="AM56" i="19"/>
  <c r="AN63" i="19"/>
  <c r="AM63" i="19"/>
  <c r="AI44" i="19"/>
  <c r="AI48" i="19"/>
  <c r="AI39" i="19"/>
  <c r="M43" i="22"/>
  <c r="K43" i="22"/>
  <c r="M54" i="22"/>
  <c r="K54" i="22"/>
  <c r="K47" i="22"/>
  <c r="M35" i="22"/>
  <c r="K35" i="22"/>
  <c r="M37" i="22"/>
  <c r="K37" i="22"/>
  <c r="K48" i="22"/>
  <c r="K42" i="22"/>
  <c r="M38" i="22"/>
  <c r="K38" i="22"/>
  <c r="K49" i="22"/>
  <c r="K53" i="22"/>
  <c r="M36" i="22"/>
  <c r="K36" i="22"/>
  <c r="K39" i="22"/>
  <c r="M39" i="22"/>
  <c r="K50" i="22"/>
  <c r="M40" i="22"/>
  <c r="K40" i="22"/>
  <c r="K51" i="22"/>
  <c r="M41" i="22"/>
  <c r="K41" i="22"/>
  <c r="K52" i="22"/>
  <c r="AF68" i="22"/>
  <c r="AB68" i="22"/>
  <c r="AI68" i="22"/>
  <c r="AF64" i="22"/>
  <c r="AB64" i="22"/>
  <c r="AI64" i="22"/>
  <c r="AI61" i="22"/>
  <c r="AF61" i="22"/>
  <c r="AB61" i="22"/>
  <c r="M82" i="16"/>
  <c r="K82" i="16"/>
  <c r="K117" i="16"/>
  <c r="K109" i="16"/>
  <c r="K101" i="16"/>
  <c r="K93" i="16"/>
  <c r="M83" i="16"/>
  <c r="K83" i="16"/>
  <c r="K110" i="16"/>
  <c r="M84" i="16"/>
  <c r="K84" i="16"/>
  <c r="M95" i="16"/>
  <c r="K95" i="16"/>
  <c r="M103" i="16"/>
  <c r="K103" i="16"/>
  <c r="K111" i="16"/>
  <c r="M75" i="16"/>
  <c r="K75" i="16"/>
  <c r="M85" i="16"/>
  <c r="K85" i="16"/>
  <c r="K96" i="16"/>
  <c r="M104" i="16"/>
  <c r="K104" i="16"/>
  <c r="K112" i="16"/>
  <c r="K94" i="16"/>
  <c r="K102" i="16"/>
  <c r="K78" i="16"/>
  <c r="M78" i="16"/>
  <c r="K86" i="16"/>
  <c r="M86" i="16"/>
  <c r="K97" i="16"/>
  <c r="K105" i="16"/>
  <c r="M105" i="16"/>
  <c r="K113" i="16"/>
  <c r="M118" i="16"/>
  <c r="K118" i="16"/>
  <c r="K79" i="16"/>
  <c r="M79" i="16"/>
  <c r="K87" i="16"/>
  <c r="M87" i="16"/>
  <c r="K98" i="16"/>
  <c r="K106" i="16"/>
  <c r="M106" i="16"/>
  <c r="K114" i="16"/>
  <c r="M80" i="16"/>
  <c r="K80" i="16"/>
  <c r="M88" i="16"/>
  <c r="K88" i="16"/>
  <c r="K99" i="16"/>
  <c r="K107" i="16"/>
  <c r="K115" i="16"/>
  <c r="K81" i="16"/>
  <c r="M81" i="16"/>
  <c r="K89" i="16"/>
  <c r="M89" i="16"/>
  <c r="K100" i="16"/>
  <c r="K108" i="16"/>
  <c r="K116" i="16"/>
  <c r="AH65" i="16"/>
  <c r="AH64" i="16"/>
  <c r="AH63" i="16"/>
  <c r="M52" i="22"/>
  <c r="M51" i="22"/>
  <c r="M48" i="22"/>
  <c r="M42" i="22"/>
  <c r="M49" i="22"/>
  <c r="M53" i="22"/>
  <c r="M50" i="22"/>
  <c r="M47" i="22"/>
  <c r="L67" i="16"/>
  <c r="N65" i="16"/>
  <c r="I62" i="16"/>
  <c r="J61" i="16"/>
  <c r="N64" i="16"/>
  <c r="I68" i="16"/>
  <c r="L65" i="16"/>
  <c r="N63" i="16"/>
  <c r="I66" i="16"/>
  <c r="N61" i="16"/>
  <c r="I65" i="16"/>
  <c r="M111" i="16"/>
  <c r="M94" i="16"/>
  <c r="M107" i="16"/>
  <c r="M108" i="16"/>
  <c r="J68" i="16"/>
  <c r="L66" i="16"/>
  <c r="I61" i="16"/>
  <c r="J67" i="16"/>
  <c r="J65" i="16"/>
  <c r="N68" i="16"/>
  <c r="N67" i="16"/>
  <c r="I64" i="16"/>
  <c r="L61" i="16"/>
  <c r="M101" i="16"/>
  <c r="M93" i="16"/>
  <c r="L62" i="16"/>
  <c r="M99" i="16"/>
  <c r="M110" i="16"/>
  <c r="M116" i="16"/>
  <c r="I67" i="16"/>
  <c r="J66" i="16"/>
  <c r="L64" i="16"/>
  <c r="N62" i="16"/>
  <c r="M115" i="16"/>
  <c r="M112" i="16"/>
  <c r="M114" i="16"/>
  <c r="J64" i="16"/>
  <c r="M97" i="16"/>
  <c r="M117" i="16"/>
  <c r="M102" i="16"/>
  <c r="M113" i="16"/>
  <c r="J63" i="16"/>
  <c r="M109" i="16"/>
  <c r="M96" i="16"/>
  <c r="M98" i="16"/>
  <c r="L68" i="16"/>
  <c r="N66" i="16"/>
  <c r="I63" i="16"/>
  <c r="J62" i="16"/>
  <c r="L63" i="16"/>
  <c r="M100" i="16"/>
  <c r="N36" i="31"/>
  <c r="L35" i="31"/>
  <c r="N35" i="31"/>
  <c r="I35" i="31"/>
  <c r="L36" i="31"/>
  <c r="J36" i="31"/>
  <c r="I36" i="31"/>
  <c r="J35" i="31"/>
  <c r="AA36" i="31" l="1"/>
  <c r="AA35" i="31"/>
  <c r="AA63" i="16"/>
  <c r="AA67" i="16"/>
  <c r="AA64" i="16"/>
  <c r="AA61" i="16"/>
  <c r="AA65" i="16"/>
  <c r="AA66" i="16"/>
  <c r="AA68" i="16"/>
  <c r="AA62" i="16"/>
  <c r="AB52" i="22"/>
  <c r="AF52" i="22"/>
  <c r="AB49" i="22"/>
  <c r="AF49" i="22"/>
  <c r="AB43" i="22"/>
  <c r="AF43" i="22"/>
  <c r="AF99" i="16"/>
  <c r="AF118" i="16"/>
  <c r="AF112" i="16"/>
  <c r="AF84" i="16"/>
  <c r="AB41" i="22"/>
  <c r="AF41" i="22"/>
  <c r="AB38" i="22"/>
  <c r="AF38" i="22"/>
  <c r="AF116" i="16"/>
  <c r="AF88" i="16"/>
  <c r="AF113" i="16"/>
  <c r="AF104" i="16"/>
  <c r="AF110" i="16"/>
  <c r="AB51" i="22"/>
  <c r="AF51" i="22"/>
  <c r="AB42" i="22"/>
  <c r="AF42" i="22"/>
  <c r="AF108" i="16"/>
  <c r="AF80" i="16"/>
  <c r="AB105" i="16"/>
  <c r="AF105" i="16"/>
  <c r="AF96" i="16"/>
  <c r="AF83" i="16"/>
  <c r="AB40" i="22"/>
  <c r="AF40" i="22"/>
  <c r="AB48" i="22"/>
  <c r="AF48" i="22"/>
  <c r="AF100" i="16"/>
  <c r="AF114" i="16"/>
  <c r="AF97" i="16"/>
  <c r="AF85" i="16"/>
  <c r="AF93" i="16"/>
  <c r="AB50" i="22"/>
  <c r="AF50" i="22"/>
  <c r="AB37" i="22"/>
  <c r="AF37" i="22"/>
  <c r="AF89" i="16"/>
  <c r="AF106" i="16"/>
  <c r="AF86" i="16"/>
  <c r="AF75" i="16"/>
  <c r="AF101" i="16"/>
  <c r="AB39" i="22"/>
  <c r="AF39" i="22"/>
  <c r="AB35" i="22"/>
  <c r="AF35" i="22"/>
  <c r="AF81" i="16"/>
  <c r="AF98" i="16"/>
  <c r="AF78" i="16"/>
  <c r="AF111" i="16"/>
  <c r="AF109" i="16"/>
  <c r="AB36" i="22"/>
  <c r="AF36" i="22"/>
  <c r="AB47" i="22"/>
  <c r="AF47" i="22"/>
  <c r="AF115" i="16"/>
  <c r="AF87" i="16"/>
  <c r="AF102" i="16"/>
  <c r="AF103" i="16"/>
  <c r="AF117" i="16"/>
  <c r="AB53" i="22"/>
  <c r="AF53" i="22"/>
  <c r="AB54" i="22"/>
  <c r="AF54" i="22"/>
  <c r="AF107" i="16"/>
  <c r="AF79" i="16"/>
  <c r="AF94" i="16"/>
  <c r="AF95" i="16"/>
  <c r="AF82" i="16"/>
  <c r="AN41" i="19"/>
  <c r="AM41" i="19"/>
  <c r="AM37" i="19"/>
  <c r="AN37" i="19"/>
  <c r="AM38" i="19"/>
  <c r="AN38" i="19"/>
  <c r="AN36" i="19"/>
  <c r="AM36" i="19"/>
  <c r="AN42" i="19"/>
  <c r="AM42" i="19"/>
  <c r="AN44" i="19"/>
  <c r="AM44" i="19"/>
  <c r="AN43" i="19"/>
  <c r="AM43" i="19"/>
  <c r="AM40" i="19"/>
  <c r="AN40" i="19"/>
  <c r="AM48" i="19"/>
  <c r="AN48" i="19"/>
  <c r="AN39" i="19"/>
  <c r="AM39" i="19"/>
  <c r="AN35" i="19"/>
  <c r="AM35" i="19"/>
  <c r="AN49" i="19"/>
  <c r="AM49" i="19"/>
  <c r="AN61" i="22"/>
  <c r="AM61" i="22"/>
  <c r="AI54" i="22"/>
  <c r="AI41" i="22"/>
  <c r="AI38" i="22"/>
  <c r="AI51" i="22"/>
  <c r="AI50" i="22"/>
  <c r="AN68" i="22"/>
  <c r="AM68" i="22"/>
  <c r="AI49" i="22"/>
  <c r="AI48" i="22"/>
  <c r="AI35" i="22"/>
  <c r="AI37" i="22"/>
  <c r="AI39" i="22"/>
  <c r="AI53" i="22"/>
  <c r="AI42" i="22"/>
  <c r="AN64" i="22"/>
  <c r="AM64" i="22"/>
  <c r="AI52" i="22"/>
  <c r="AI40" i="22"/>
  <c r="AI36" i="22"/>
  <c r="AI47" i="22"/>
  <c r="AI43" i="22"/>
  <c r="M63" i="16"/>
  <c r="K63" i="16"/>
  <c r="K67" i="16"/>
  <c r="M67" i="16"/>
  <c r="K64" i="16"/>
  <c r="M61" i="16"/>
  <c r="K61" i="16"/>
  <c r="K65" i="16"/>
  <c r="M66" i="16"/>
  <c r="K66" i="16"/>
  <c r="K68" i="16"/>
  <c r="M68" i="16"/>
  <c r="M62" i="16"/>
  <c r="K62" i="16"/>
  <c r="AI81" i="16"/>
  <c r="AI80" i="16"/>
  <c r="AI78" i="16"/>
  <c r="AI112" i="16"/>
  <c r="AI84" i="16"/>
  <c r="AI83" i="16"/>
  <c r="AI97" i="16"/>
  <c r="AI87" i="16"/>
  <c r="AI93" i="16"/>
  <c r="AI109" i="16"/>
  <c r="AI115" i="16"/>
  <c r="AI106" i="16"/>
  <c r="AI113" i="16"/>
  <c r="AI102" i="16"/>
  <c r="AI104" i="16"/>
  <c r="AI75" i="16"/>
  <c r="AI117" i="16"/>
  <c r="AI100" i="16"/>
  <c r="AI116" i="16"/>
  <c r="AI89" i="16"/>
  <c r="AI88" i="16"/>
  <c r="AI86" i="16"/>
  <c r="AI95" i="16"/>
  <c r="AI110" i="16"/>
  <c r="AI114" i="16"/>
  <c r="AI99" i="16"/>
  <c r="AI118" i="16"/>
  <c r="AI85" i="16"/>
  <c r="AI79" i="16"/>
  <c r="AI96" i="16"/>
  <c r="AI101" i="16"/>
  <c r="AI103" i="16"/>
  <c r="AI108" i="16"/>
  <c r="AI107" i="16"/>
  <c r="AI98" i="16"/>
  <c r="AI105" i="16"/>
  <c r="AI94" i="16"/>
  <c r="AI111" i="16"/>
  <c r="AI82" i="16"/>
  <c r="K36" i="31"/>
  <c r="M36" i="31"/>
  <c r="K35" i="31"/>
  <c r="AH56" i="35"/>
  <c r="AE56" i="35"/>
  <c r="M65" i="16"/>
  <c r="M64" i="16"/>
  <c r="M35" i="31"/>
  <c r="I56" i="35"/>
  <c r="J56" i="35"/>
  <c r="N56" i="35"/>
  <c r="AF66" i="16" l="1"/>
  <c r="AB65" i="16"/>
  <c r="AF65" i="16"/>
  <c r="AF61" i="16"/>
  <c r="AB64" i="16"/>
  <c r="AF64" i="16"/>
  <c r="AF67" i="16"/>
  <c r="AF63" i="16"/>
  <c r="AF62" i="16"/>
  <c r="AF35" i="31"/>
  <c r="AF68" i="16"/>
  <c r="AF36" i="31"/>
  <c r="AN41" i="22"/>
  <c r="AM41" i="22"/>
  <c r="AN48" i="22"/>
  <c r="AM48" i="22"/>
  <c r="AM53" i="22"/>
  <c r="AN53" i="22"/>
  <c r="AN38" i="22"/>
  <c r="AM38" i="22"/>
  <c r="AN36" i="22"/>
  <c r="AM36" i="22"/>
  <c r="AN40" i="22"/>
  <c r="AM40" i="22"/>
  <c r="AN35" i="22"/>
  <c r="AM35" i="22"/>
  <c r="AN49" i="22"/>
  <c r="AM49" i="22"/>
  <c r="AN50" i="22"/>
  <c r="AM50" i="22"/>
  <c r="AM37" i="22"/>
  <c r="AN37" i="22"/>
  <c r="AN52" i="22"/>
  <c r="AM52" i="22"/>
  <c r="AM54" i="22"/>
  <c r="AN54" i="22"/>
  <c r="AN51" i="22"/>
  <c r="AM51" i="22"/>
  <c r="AN39" i="22"/>
  <c r="AM39" i="22"/>
  <c r="AM43" i="22"/>
  <c r="AN43" i="22"/>
  <c r="AN47" i="22"/>
  <c r="AM47" i="22"/>
  <c r="AM42" i="22"/>
  <c r="AN42" i="22"/>
  <c r="AI62" i="16"/>
  <c r="AI65" i="16"/>
  <c r="AI67" i="16"/>
  <c r="AI64" i="16"/>
  <c r="AI68" i="16"/>
  <c r="AI61" i="16"/>
  <c r="AI66" i="16"/>
  <c r="AI63" i="16"/>
  <c r="AI35" i="31"/>
  <c r="AI36" i="31"/>
  <c r="AA56" i="35"/>
  <c r="AH45" i="35"/>
  <c r="AE45" i="35"/>
  <c r="AH41" i="35"/>
  <c r="AE41" i="35"/>
  <c r="AH39" i="35"/>
  <c r="AE39" i="35"/>
  <c r="AH35" i="35"/>
  <c r="AE35" i="35"/>
  <c r="AH54" i="69"/>
  <c r="AH50" i="69"/>
  <c r="AH49" i="69"/>
  <c r="AH47" i="69"/>
  <c r="AH45" i="69"/>
  <c r="AH43" i="69"/>
  <c r="AH42" i="69"/>
  <c r="AH41" i="69"/>
  <c r="AH39" i="69"/>
  <c r="AH38" i="69"/>
  <c r="N45" i="35"/>
  <c r="I35" i="35"/>
  <c r="I39" i="35"/>
  <c r="N41" i="35"/>
  <c r="L45" i="35"/>
  <c r="N39" i="35"/>
  <c r="L41" i="35"/>
  <c r="N35" i="35"/>
  <c r="L39" i="35"/>
  <c r="I45" i="35"/>
  <c r="I41" i="35"/>
  <c r="J39" i="35"/>
  <c r="J45" i="35"/>
  <c r="L35" i="35"/>
  <c r="J35" i="35"/>
  <c r="J41" i="35"/>
  <c r="I56" i="69"/>
  <c r="J55" i="69"/>
  <c r="L53" i="69"/>
  <c r="N51" i="69"/>
  <c r="I48" i="69"/>
  <c r="J47" i="69"/>
  <c r="L45" i="69"/>
  <c r="N43" i="69"/>
  <c r="I40" i="69"/>
  <c r="J39" i="69"/>
  <c r="L37" i="69"/>
  <c r="J42" i="69"/>
  <c r="N37" i="69"/>
  <c r="J48" i="69"/>
  <c r="I41" i="69"/>
  <c r="N36" i="69"/>
  <c r="I55" i="69"/>
  <c r="J54" i="69"/>
  <c r="L52" i="69"/>
  <c r="N50" i="69"/>
  <c r="I47" i="69"/>
  <c r="J46" i="69"/>
  <c r="L44" i="69"/>
  <c r="N42" i="69"/>
  <c r="I39" i="69"/>
  <c r="J38" i="69"/>
  <c r="L36" i="69"/>
  <c r="N38" i="69"/>
  <c r="J56" i="69"/>
  <c r="N52" i="69"/>
  <c r="I54" i="69"/>
  <c r="J53" i="69"/>
  <c r="L51" i="69"/>
  <c r="N49" i="69"/>
  <c r="I46" i="69"/>
  <c r="J45" i="69"/>
  <c r="L43" i="69"/>
  <c r="N41" i="69"/>
  <c r="I38" i="69"/>
  <c r="J37" i="69"/>
  <c r="L40" i="69"/>
  <c r="L39" i="69"/>
  <c r="N56" i="69"/>
  <c r="I53" i="69"/>
  <c r="J52" i="69"/>
  <c r="L50" i="69"/>
  <c r="N48" i="69"/>
  <c r="I45" i="69"/>
  <c r="J44" i="69"/>
  <c r="L42" i="69"/>
  <c r="N40" i="69"/>
  <c r="I37" i="69"/>
  <c r="J36" i="69"/>
  <c r="L46" i="69"/>
  <c r="N55" i="69"/>
  <c r="I52" i="69"/>
  <c r="J51" i="69"/>
  <c r="L49" i="69"/>
  <c r="N47" i="69"/>
  <c r="I44" i="69"/>
  <c r="J43" i="69"/>
  <c r="L41" i="69"/>
  <c r="N39" i="69"/>
  <c r="I36" i="69"/>
  <c r="I49" i="69"/>
  <c r="J40" i="69"/>
  <c r="L56" i="69"/>
  <c r="N54" i="69"/>
  <c r="I51" i="69"/>
  <c r="J50" i="69"/>
  <c r="L48" i="69"/>
  <c r="N46" i="69"/>
  <c r="I43" i="69"/>
  <c r="L54" i="69"/>
  <c r="L38" i="69"/>
  <c r="L55" i="69"/>
  <c r="N53" i="69"/>
  <c r="I50" i="69"/>
  <c r="J49" i="69"/>
  <c r="L47" i="69"/>
  <c r="N45" i="69"/>
  <c r="I42" i="69"/>
  <c r="J41" i="69"/>
  <c r="N44" i="69"/>
  <c r="AA42" i="69" l="1"/>
  <c r="AA50" i="69"/>
  <c r="AA43" i="69"/>
  <c r="AA51" i="69"/>
  <c r="AA49" i="69"/>
  <c r="AA36" i="69"/>
  <c r="AA44" i="69"/>
  <c r="AA52" i="69"/>
  <c r="AA37" i="69"/>
  <c r="AA45" i="69"/>
  <c r="AA53" i="69"/>
  <c r="AA38" i="69"/>
  <c r="AA46" i="69"/>
  <c r="AA54" i="69"/>
  <c r="AA39" i="69"/>
  <c r="AA47" i="69"/>
  <c r="AA55" i="69"/>
  <c r="AA41" i="69"/>
  <c r="AA40" i="69"/>
  <c r="AA48" i="69"/>
  <c r="AA56" i="69"/>
  <c r="AN64" i="16"/>
  <c r="AM64" i="16"/>
  <c r="AN65" i="16"/>
  <c r="AM65" i="16"/>
  <c r="AA41" i="35"/>
  <c r="K41" i="35"/>
  <c r="M41" i="35"/>
  <c r="M45" i="35"/>
  <c r="K45" i="35"/>
  <c r="AA45" i="35"/>
  <c r="AA39" i="35"/>
  <c r="M39" i="35"/>
  <c r="K39" i="35"/>
  <c r="K35" i="35"/>
  <c r="AA35" i="35"/>
  <c r="M35" i="35"/>
  <c r="AI56" i="35"/>
  <c r="AF56" i="35"/>
  <c r="AB56" i="35"/>
  <c r="M42" i="69"/>
  <c r="K42" i="69"/>
  <c r="M50" i="69"/>
  <c r="K50" i="69"/>
  <c r="M43" i="69"/>
  <c r="K43" i="69"/>
  <c r="M51" i="69"/>
  <c r="K51" i="69"/>
  <c r="M49" i="69"/>
  <c r="K49" i="69"/>
  <c r="M36" i="69"/>
  <c r="K36" i="69"/>
  <c r="M44" i="69"/>
  <c r="K44" i="69"/>
  <c r="M52" i="69"/>
  <c r="K52" i="69"/>
  <c r="K37" i="69"/>
  <c r="M37" i="69"/>
  <c r="K45" i="69"/>
  <c r="M45" i="69"/>
  <c r="K53" i="69"/>
  <c r="M53" i="69"/>
  <c r="K38" i="69"/>
  <c r="K46" i="69"/>
  <c r="M46" i="69"/>
  <c r="K54" i="69"/>
  <c r="K39" i="69"/>
  <c r="M47" i="69"/>
  <c r="K47" i="69"/>
  <c r="K55" i="69"/>
  <c r="M55" i="69"/>
  <c r="M41" i="69"/>
  <c r="K41" i="69"/>
  <c r="M40" i="69"/>
  <c r="K40" i="69"/>
  <c r="M48" i="69"/>
  <c r="K48" i="69"/>
  <c r="M56" i="69"/>
  <c r="K56" i="69"/>
  <c r="AH54" i="67"/>
  <c r="AH49" i="67"/>
  <c r="AH47" i="67"/>
  <c r="AH42" i="67"/>
  <c r="AH41" i="67"/>
  <c r="AH38" i="67"/>
  <c r="M54" i="69"/>
  <c r="M38" i="69"/>
  <c r="M39" i="69"/>
  <c r="N56" i="67"/>
  <c r="I53" i="67"/>
  <c r="J52" i="67"/>
  <c r="L50" i="67"/>
  <c r="N48" i="67"/>
  <c r="I45" i="67"/>
  <c r="J44" i="67"/>
  <c r="L42" i="67"/>
  <c r="N40" i="67"/>
  <c r="I37" i="67"/>
  <c r="J36" i="67"/>
  <c r="I40" i="67"/>
  <c r="I47" i="67"/>
  <c r="I39" i="67"/>
  <c r="N55" i="67"/>
  <c r="I52" i="67"/>
  <c r="J51" i="67"/>
  <c r="L49" i="67"/>
  <c r="N47" i="67"/>
  <c r="I44" i="67"/>
  <c r="J43" i="67"/>
  <c r="L41" i="67"/>
  <c r="N39" i="67"/>
  <c r="I36" i="67"/>
  <c r="L40" i="67"/>
  <c r="N38" i="67"/>
  <c r="N36" i="67"/>
  <c r="J54" i="67"/>
  <c r="L56" i="67"/>
  <c r="N54" i="67"/>
  <c r="I51" i="67"/>
  <c r="J50" i="67"/>
  <c r="L48" i="67"/>
  <c r="N46" i="67"/>
  <c r="I43" i="67"/>
  <c r="J42" i="67"/>
  <c r="J40" i="67"/>
  <c r="L37" i="67"/>
  <c r="I55" i="67"/>
  <c r="L52" i="67"/>
  <c r="L36" i="67"/>
  <c r="L55" i="67"/>
  <c r="N53" i="67"/>
  <c r="I50" i="67"/>
  <c r="J49" i="67"/>
  <c r="L47" i="67"/>
  <c r="N45" i="67"/>
  <c r="I42" i="67"/>
  <c r="J41" i="67"/>
  <c r="L39" i="67"/>
  <c r="N37" i="67"/>
  <c r="N43" i="67"/>
  <c r="J46" i="67"/>
  <c r="N42" i="67"/>
  <c r="J56" i="67"/>
  <c r="L54" i="67"/>
  <c r="N52" i="67"/>
  <c r="I49" i="67"/>
  <c r="J48" i="67"/>
  <c r="L46" i="67"/>
  <c r="N44" i="67"/>
  <c r="I41" i="67"/>
  <c r="L38" i="67"/>
  <c r="N50" i="67"/>
  <c r="J38" i="67"/>
  <c r="I56" i="67"/>
  <c r="J55" i="67"/>
  <c r="L53" i="67"/>
  <c r="N51" i="67"/>
  <c r="I48" i="67"/>
  <c r="J47" i="67"/>
  <c r="L45" i="67"/>
  <c r="J39" i="67"/>
  <c r="L44" i="67"/>
  <c r="I54" i="67"/>
  <c r="J53" i="67"/>
  <c r="L51" i="67"/>
  <c r="N49" i="67"/>
  <c r="I46" i="67"/>
  <c r="J45" i="67"/>
  <c r="L43" i="67"/>
  <c r="N41" i="67"/>
  <c r="I38" i="67"/>
  <c r="J37" i="67"/>
  <c r="AA38" i="67" l="1"/>
  <c r="AA46" i="67"/>
  <c r="AA54" i="67"/>
  <c r="AA48" i="67"/>
  <c r="AA56" i="67"/>
  <c r="AA41" i="67"/>
  <c r="AA49" i="67"/>
  <c r="AA42" i="67"/>
  <c r="AA50" i="67"/>
  <c r="AA55" i="67"/>
  <c r="AA43" i="67"/>
  <c r="AA51" i="67"/>
  <c r="AA36" i="67"/>
  <c r="AA44" i="67"/>
  <c r="AA52" i="67"/>
  <c r="AA39" i="67"/>
  <c r="AA47" i="67"/>
  <c r="AA40" i="67"/>
  <c r="AA37" i="67"/>
  <c r="AA45" i="67"/>
  <c r="AA53" i="67"/>
  <c r="AB47" i="69"/>
  <c r="AF47" i="69"/>
  <c r="AF52" i="69"/>
  <c r="AF54" i="69"/>
  <c r="AB54" i="69"/>
  <c r="AF36" i="69"/>
  <c r="AB36" i="69"/>
  <c r="AF56" i="69"/>
  <c r="AF46" i="69"/>
  <c r="AF49" i="69"/>
  <c r="AF39" i="69"/>
  <c r="AF44" i="69"/>
  <c r="AF38" i="69"/>
  <c r="AB38" i="69"/>
  <c r="AF40" i="69"/>
  <c r="AF53" i="69"/>
  <c r="AB43" i="69"/>
  <c r="AF43" i="69"/>
  <c r="AF48" i="69"/>
  <c r="AF51" i="69"/>
  <c r="AF41" i="69"/>
  <c r="AF45" i="69"/>
  <c r="AF50" i="69"/>
  <c r="AF55" i="69"/>
  <c r="AF37" i="69"/>
  <c r="AF42" i="69"/>
  <c r="AB42" i="69"/>
  <c r="AN56" i="35"/>
  <c r="AM56" i="35"/>
  <c r="AF45" i="35"/>
  <c r="AB45" i="35"/>
  <c r="AI45" i="35"/>
  <c r="AI35" i="35"/>
  <c r="AB35" i="35"/>
  <c r="AF35" i="35"/>
  <c r="AB39" i="35"/>
  <c r="AF39" i="35"/>
  <c r="AI39" i="35"/>
  <c r="AI41" i="35"/>
  <c r="AF41" i="35"/>
  <c r="AB41" i="35"/>
  <c r="AI43" i="69"/>
  <c r="AI47" i="69"/>
  <c r="AI44" i="69"/>
  <c r="AI49" i="69"/>
  <c r="AI56" i="69"/>
  <c r="AI41" i="69"/>
  <c r="AI39" i="69"/>
  <c r="AI38" i="69"/>
  <c r="AI51" i="69"/>
  <c r="AI50" i="69"/>
  <c r="AI40" i="69"/>
  <c r="AI37" i="69"/>
  <c r="AI52" i="69"/>
  <c r="AI45" i="69"/>
  <c r="AI48" i="69"/>
  <c r="AI55" i="69"/>
  <c r="AI36" i="69"/>
  <c r="AI46" i="69"/>
  <c r="AI54" i="69"/>
  <c r="AI53" i="69"/>
  <c r="AI42" i="69"/>
  <c r="K38" i="67"/>
  <c r="M46" i="67"/>
  <c r="K46" i="67"/>
  <c r="K54" i="67"/>
  <c r="M48" i="67"/>
  <c r="K48" i="67"/>
  <c r="M56" i="67"/>
  <c r="K56" i="67"/>
  <c r="M41" i="67"/>
  <c r="K41" i="67"/>
  <c r="M49" i="67"/>
  <c r="K49" i="67"/>
  <c r="K42" i="67"/>
  <c r="M42" i="67"/>
  <c r="K50" i="67"/>
  <c r="M50" i="67"/>
  <c r="M55" i="67"/>
  <c r="K55" i="67"/>
  <c r="K43" i="67"/>
  <c r="M43" i="67"/>
  <c r="K51" i="67"/>
  <c r="M51" i="67"/>
  <c r="M36" i="67"/>
  <c r="K36" i="67"/>
  <c r="M44" i="67"/>
  <c r="K44" i="67"/>
  <c r="M52" i="67"/>
  <c r="K52" i="67"/>
  <c r="K39" i="67"/>
  <c r="M47" i="67"/>
  <c r="K47" i="67"/>
  <c r="M40" i="67"/>
  <c r="K40" i="67"/>
  <c r="M37" i="67"/>
  <c r="K37" i="67"/>
  <c r="K45" i="67"/>
  <c r="M45" i="67"/>
  <c r="M53" i="67"/>
  <c r="K53" i="67"/>
  <c r="AH93" i="65"/>
  <c r="AH92" i="65"/>
  <c r="AH91" i="65"/>
  <c r="AH75" i="65"/>
  <c r="AE75" i="65"/>
  <c r="M38" i="67"/>
  <c r="M39" i="67"/>
  <c r="M54" i="67"/>
  <c r="N96" i="65"/>
  <c r="I93" i="65"/>
  <c r="J92" i="65"/>
  <c r="L90" i="65"/>
  <c r="N85" i="65"/>
  <c r="I82" i="65"/>
  <c r="J81" i="65"/>
  <c r="L79" i="65"/>
  <c r="N75" i="65"/>
  <c r="L78" i="65"/>
  <c r="I78" i="65"/>
  <c r="N80" i="65"/>
  <c r="N95" i="65"/>
  <c r="I92" i="65"/>
  <c r="J91" i="65"/>
  <c r="L86" i="65"/>
  <c r="N84" i="65"/>
  <c r="I81" i="65"/>
  <c r="J80" i="65"/>
  <c r="L83" i="65"/>
  <c r="L96" i="65"/>
  <c r="N94" i="65"/>
  <c r="I91" i="65"/>
  <c r="J90" i="65"/>
  <c r="L85" i="65"/>
  <c r="N83" i="65"/>
  <c r="I80" i="65"/>
  <c r="J79" i="65"/>
  <c r="L75" i="65"/>
  <c r="J75" i="65"/>
  <c r="L81" i="65"/>
  <c r="L95" i="65"/>
  <c r="N93" i="65"/>
  <c r="I90" i="65"/>
  <c r="J86" i="65"/>
  <c r="L84" i="65"/>
  <c r="N82" i="65"/>
  <c r="I79" i="65"/>
  <c r="J78" i="65"/>
  <c r="N81" i="65"/>
  <c r="J96" i="65"/>
  <c r="L94" i="65"/>
  <c r="N92" i="65"/>
  <c r="I86" i="65"/>
  <c r="J85" i="65"/>
  <c r="N90" i="65"/>
  <c r="N79" i="65"/>
  <c r="I96" i="65"/>
  <c r="J95" i="65"/>
  <c r="L93" i="65"/>
  <c r="N91" i="65"/>
  <c r="I85" i="65"/>
  <c r="J84" i="65"/>
  <c r="L82" i="65"/>
  <c r="I75" i="65"/>
  <c r="I84" i="65"/>
  <c r="J83" i="65"/>
  <c r="I95" i="65"/>
  <c r="J94" i="65"/>
  <c r="L92" i="65"/>
  <c r="I94" i="65"/>
  <c r="J93" i="65"/>
  <c r="L91" i="65"/>
  <c r="N86" i="65"/>
  <c r="I83" i="65"/>
  <c r="J82" i="65"/>
  <c r="L80" i="65"/>
  <c r="N78" i="65"/>
  <c r="AA83" i="65" l="1"/>
  <c r="AA94" i="65"/>
  <c r="AA95" i="65"/>
  <c r="AA84" i="65"/>
  <c r="AA85" i="65"/>
  <c r="AA96" i="65"/>
  <c r="AA86" i="65"/>
  <c r="AA79" i="65"/>
  <c r="AA90" i="65"/>
  <c r="AA80" i="65"/>
  <c r="AA91" i="65"/>
  <c r="AA81" i="65"/>
  <c r="AA92" i="65"/>
  <c r="AA78" i="65"/>
  <c r="AA82" i="65"/>
  <c r="AA93" i="65"/>
  <c r="AF39" i="67"/>
  <c r="AF42" i="67"/>
  <c r="AF52" i="67"/>
  <c r="AF49" i="67"/>
  <c r="AF44" i="67"/>
  <c r="AF41" i="67"/>
  <c r="AF53" i="67"/>
  <c r="AF36" i="67"/>
  <c r="AF56" i="67"/>
  <c r="AF45" i="67"/>
  <c r="AF51" i="67"/>
  <c r="AF48" i="67"/>
  <c r="AF37" i="67"/>
  <c r="AF43" i="67"/>
  <c r="AB54" i="67"/>
  <c r="AF54" i="67"/>
  <c r="AF40" i="67"/>
  <c r="AF55" i="67"/>
  <c r="AF46" i="67"/>
  <c r="AB47" i="67"/>
  <c r="AF47" i="67"/>
  <c r="AF50" i="67"/>
  <c r="AF38" i="67"/>
  <c r="AM45" i="35"/>
  <c r="AN45" i="35"/>
  <c r="AN35" i="35"/>
  <c r="AM35" i="35"/>
  <c r="AM39" i="35"/>
  <c r="AN39" i="35"/>
  <c r="AM41" i="35"/>
  <c r="AN41" i="35"/>
  <c r="AN38" i="69"/>
  <c r="AM38" i="69"/>
  <c r="AN43" i="69"/>
  <c r="AM43" i="69"/>
  <c r="AN54" i="69"/>
  <c r="AM54" i="69"/>
  <c r="AN47" i="69"/>
  <c r="AM47" i="69"/>
  <c r="AM42" i="69"/>
  <c r="AN42" i="69"/>
  <c r="AI56" i="67"/>
  <c r="AI54" i="67"/>
  <c r="AI43" i="67"/>
  <c r="AI51" i="67"/>
  <c r="AI55" i="67"/>
  <c r="AI49" i="67"/>
  <c r="AI48" i="67"/>
  <c r="AI46" i="67"/>
  <c r="AI37" i="67"/>
  <c r="AI36" i="67"/>
  <c r="AI45" i="67"/>
  <c r="AI50" i="67"/>
  <c r="AI41" i="67"/>
  <c r="AI40" i="67"/>
  <c r="AI39" i="67"/>
  <c r="AI42" i="67"/>
  <c r="AI53" i="67"/>
  <c r="AI52" i="67"/>
  <c r="AI47" i="67"/>
  <c r="AI44" i="67"/>
  <c r="AI38" i="67"/>
  <c r="M83" i="65"/>
  <c r="K83" i="65"/>
  <c r="K94" i="65"/>
  <c r="K95" i="65"/>
  <c r="K84" i="65"/>
  <c r="M84" i="65"/>
  <c r="M75" i="65"/>
  <c r="K75" i="65"/>
  <c r="AA75" i="65"/>
  <c r="M85" i="65"/>
  <c r="K85" i="65"/>
  <c r="K96" i="65"/>
  <c r="M86" i="65"/>
  <c r="K86" i="65"/>
  <c r="K79" i="65"/>
  <c r="M79" i="65"/>
  <c r="K90" i="65"/>
  <c r="M90" i="65"/>
  <c r="K80" i="65"/>
  <c r="M80" i="65"/>
  <c r="K91" i="65"/>
  <c r="M81" i="65"/>
  <c r="K81" i="65"/>
  <c r="K92" i="65"/>
  <c r="M78" i="65"/>
  <c r="K78" i="65"/>
  <c r="K82" i="65"/>
  <c r="M82" i="65"/>
  <c r="K93" i="65"/>
  <c r="AH67" i="65"/>
  <c r="AH66" i="65"/>
  <c r="AH65" i="65"/>
  <c r="AH64" i="65"/>
  <c r="AH63" i="65"/>
  <c r="AH54" i="65"/>
  <c r="AH49" i="65"/>
  <c r="AH47" i="65"/>
  <c r="AH42" i="65"/>
  <c r="AH41" i="65"/>
  <c r="AH38" i="65"/>
  <c r="AH61" i="26"/>
  <c r="AH36" i="26"/>
  <c r="AE36" i="26"/>
  <c r="M92" i="65"/>
  <c r="I68" i="65"/>
  <c r="J67" i="65"/>
  <c r="L65" i="65"/>
  <c r="N63" i="65"/>
  <c r="I56" i="65"/>
  <c r="J55" i="65"/>
  <c r="L53" i="65"/>
  <c r="N51" i="65"/>
  <c r="I48" i="65"/>
  <c r="J47" i="65"/>
  <c r="L45" i="65"/>
  <c r="N43" i="65"/>
  <c r="I40" i="65"/>
  <c r="J39" i="65"/>
  <c r="L37" i="65"/>
  <c r="I47" i="65"/>
  <c r="N42" i="65"/>
  <c r="J38" i="65"/>
  <c r="L36" i="65"/>
  <c r="I64" i="65"/>
  <c r="N55" i="65"/>
  <c r="I52" i="65"/>
  <c r="J51" i="65"/>
  <c r="L49" i="65"/>
  <c r="L41" i="65"/>
  <c r="M93" i="65"/>
  <c r="I67" i="65"/>
  <c r="J66" i="65"/>
  <c r="L64" i="65"/>
  <c r="N62" i="65"/>
  <c r="I55" i="65"/>
  <c r="J54" i="65"/>
  <c r="L52" i="65"/>
  <c r="N50" i="65"/>
  <c r="J46" i="65"/>
  <c r="L44" i="65"/>
  <c r="I39" i="65"/>
  <c r="I44" i="65"/>
  <c r="I36" i="65"/>
  <c r="L47" i="65"/>
  <c r="M96" i="65"/>
  <c r="I66" i="65"/>
  <c r="J65" i="65"/>
  <c r="L63" i="65"/>
  <c r="N61" i="65"/>
  <c r="I54" i="65"/>
  <c r="J53" i="65"/>
  <c r="L51" i="65"/>
  <c r="N49" i="65"/>
  <c r="I46" i="65"/>
  <c r="J45" i="65"/>
  <c r="L43" i="65"/>
  <c r="N41" i="65"/>
  <c r="I38" i="65"/>
  <c r="J37" i="65"/>
  <c r="N47" i="65"/>
  <c r="N45" i="65"/>
  <c r="L39" i="65"/>
  <c r="M91" i="65"/>
  <c r="N68" i="65"/>
  <c r="I65" i="65"/>
  <c r="J64" i="65"/>
  <c r="L62" i="65"/>
  <c r="N56" i="65"/>
  <c r="I53" i="65"/>
  <c r="J52" i="65"/>
  <c r="L50" i="65"/>
  <c r="N48" i="65"/>
  <c r="I45" i="65"/>
  <c r="J44" i="65"/>
  <c r="L42" i="65"/>
  <c r="N40" i="65"/>
  <c r="I37" i="65"/>
  <c r="J36" i="65"/>
  <c r="N39" i="65"/>
  <c r="J41" i="65"/>
  <c r="M94" i="65"/>
  <c r="N67" i="65"/>
  <c r="J63" i="65"/>
  <c r="L61" i="65"/>
  <c r="J43" i="65"/>
  <c r="L68" i="65"/>
  <c r="N66" i="65"/>
  <c r="I63" i="65"/>
  <c r="J62" i="65"/>
  <c r="L56" i="65"/>
  <c r="N54" i="65"/>
  <c r="I51" i="65"/>
  <c r="J50" i="65"/>
  <c r="L48" i="65"/>
  <c r="N46" i="65"/>
  <c r="I43" i="65"/>
  <c r="J42" i="65"/>
  <c r="L40" i="65"/>
  <c r="N38" i="65"/>
  <c r="L67" i="65"/>
  <c r="N65" i="65"/>
  <c r="I62" i="65"/>
  <c r="J61" i="65"/>
  <c r="L55" i="65"/>
  <c r="N53" i="65"/>
  <c r="I50" i="65"/>
  <c r="J49" i="65"/>
  <c r="I42" i="65"/>
  <c r="N37" i="65"/>
  <c r="M95" i="65"/>
  <c r="J68" i="65"/>
  <c r="L66" i="65"/>
  <c r="N64" i="65"/>
  <c r="I61" i="65"/>
  <c r="J56" i="65"/>
  <c r="L54" i="65"/>
  <c r="N52" i="65"/>
  <c r="I49" i="65"/>
  <c r="J48" i="65"/>
  <c r="L46" i="65"/>
  <c r="N44" i="65"/>
  <c r="I41" i="65"/>
  <c r="J40" i="65"/>
  <c r="L38" i="65"/>
  <c r="N36" i="65"/>
  <c r="L65" i="26"/>
  <c r="N63" i="26"/>
  <c r="I60" i="26"/>
  <c r="J59" i="26"/>
  <c r="L57" i="26"/>
  <c r="N55" i="26"/>
  <c r="I52" i="26"/>
  <c r="J51" i="26"/>
  <c r="L46" i="26"/>
  <c r="N44" i="26"/>
  <c r="I41" i="26"/>
  <c r="J40" i="26"/>
  <c r="L36" i="26"/>
  <c r="N64" i="26"/>
  <c r="I61" i="26"/>
  <c r="I53" i="26"/>
  <c r="J66" i="26"/>
  <c r="L64" i="26"/>
  <c r="N62" i="26"/>
  <c r="I59" i="26"/>
  <c r="J58" i="26"/>
  <c r="L56" i="26"/>
  <c r="N54" i="26"/>
  <c r="I51" i="26"/>
  <c r="J47" i="26"/>
  <c r="L45" i="26"/>
  <c r="N43" i="26"/>
  <c r="I40" i="26"/>
  <c r="J39" i="26"/>
  <c r="J52" i="26"/>
  <c r="I66" i="26"/>
  <c r="J65" i="26"/>
  <c r="L63" i="26"/>
  <c r="N61" i="26"/>
  <c r="I58" i="26"/>
  <c r="J57" i="26"/>
  <c r="L55" i="26"/>
  <c r="N53" i="26"/>
  <c r="I47" i="26"/>
  <c r="J46" i="26"/>
  <c r="L44" i="26"/>
  <c r="N42" i="26"/>
  <c r="I39" i="26"/>
  <c r="J36" i="26"/>
  <c r="I42" i="26"/>
  <c r="I65" i="26"/>
  <c r="J64" i="26"/>
  <c r="L62" i="26"/>
  <c r="N60" i="26"/>
  <c r="I57" i="26"/>
  <c r="J56" i="26"/>
  <c r="L54" i="26"/>
  <c r="N52" i="26"/>
  <c r="I46" i="26"/>
  <c r="J45" i="26"/>
  <c r="L43" i="26"/>
  <c r="N41" i="26"/>
  <c r="I36" i="26"/>
  <c r="L47" i="26"/>
  <c r="I64" i="26"/>
  <c r="J63" i="26"/>
  <c r="L61" i="26"/>
  <c r="N59" i="26"/>
  <c r="I56" i="26"/>
  <c r="J55" i="26"/>
  <c r="L53" i="26"/>
  <c r="N51" i="26"/>
  <c r="I45" i="26"/>
  <c r="J44" i="26"/>
  <c r="L42" i="26"/>
  <c r="N40" i="26"/>
  <c r="J60" i="26"/>
  <c r="L58" i="26"/>
  <c r="N56" i="26"/>
  <c r="N66" i="26"/>
  <c r="I63" i="26"/>
  <c r="J62" i="26"/>
  <c r="L60" i="26"/>
  <c r="N58" i="26"/>
  <c r="I55" i="26"/>
  <c r="J54" i="26"/>
  <c r="L52" i="26"/>
  <c r="N47" i="26"/>
  <c r="I44" i="26"/>
  <c r="J43" i="26"/>
  <c r="L41" i="26"/>
  <c r="N39" i="26"/>
  <c r="J41" i="26"/>
  <c r="N65" i="26"/>
  <c r="I62" i="26"/>
  <c r="J61" i="26"/>
  <c r="L59" i="26"/>
  <c r="N57" i="26"/>
  <c r="I54" i="26"/>
  <c r="J53" i="26"/>
  <c r="L51" i="26"/>
  <c r="N46" i="26"/>
  <c r="I43" i="26"/>
  <c r="J42" i="26"/>
  <c r="L40" i="26"/>
  <c r="N36" i="26"/>
  <c r="L66" i="26"/>
  <c r="N45" i="26"/>
  <c r="L39" i="26"/>
  <c r="AA43" i="26" l="1"/>
  <c r="AA54" i="26"/>
  <c r="AA62" i="26"/>
  <c r="AA44" i="26"/>
  <c r="AA55" i="26"/>
  <c r="AA63" i="26"/>
  <c r="AA45" i="26"/>
  <c r="AA56" i="26"/>
  <c r="AA64" i="26"/>
  <c r="AA46" i="26"/>
  <c r="AA57" i="26"/>
  <c r="AA65" i="26"/>
  <c r="AA42" i="26"/>
  <c r="AA39" i="26"/>
  <c r="AA47" i="26"/>
  <c r="AA58" i="26"/>
  <c r="AA66" i="26"/>
  <c r="AA40" i="26"/>
  <c r="AA51" i="26"/>
  <c r="AA59" i="26"/>
  <c r="AA53" i="26"/>
  <c r="AA61" i="26"/>
  <c r="AA41" i="26"/>
  <c r="AA52" i="26"/>
  <c r="AA60" i="26"/>
  <c r="AA41" i="65"/>
  <c r="AA49" i="65"/>
  <c r="AA61" i="65"/>
  <c r="AA42" i="65"/>
  <c r="AA50" i="65"/>
  <c r="AA62" i="65"/>
  <c r="AA43" i="65"/>
  <c r="AA51" i="65"/>
  <c r="AA63" i="65"/>
  <c r="AA37" i="65"/>
  <c r="AA45" i="65"/>
  <c r="AA53" i="65"/>
  <c r="AA65" i="65"/>
  <c r="AA38" i="65"/>
  <c r="AA46" i="65"/>
  <c r="AA54" i="65"/>
  <c r="AA66" i="65"/>
  <c r="AA36" i="65"/>
  <c r="AA44" i="65"/>
  <c r="AA39" i="65"/>
  <c r="AA55" i="65"/>
  <c r="AA67" i="65"/>
  <c r="AA52" i="65"/>
  <c r="AA64" i="65"/>
  <c r="AA47" i="65"/>
  <c r="AA40" i="65"/>
  <c r="AA48" i="65"/>
  <c r="AA56" i="65"/>
  <c r="AA68" i="65"/>
  <c r="AF93" i="65"/>
  <c r="AF79" i="65"/>
  <c r="AF82" i="65"/>
  <c r="AF86" i="65"/>
  <c r="AF78" i="65"/>
  <c r="AF96" i="65"/>
  <c r="AF92" i="65"/>
  <c r="AF85" i="65"/>
  <c r="AB85" i="65"/>
  <c r="AF81" i="65"/>
  <c r="AB84" i="65"/>
  <c r="AF84" i="65"/>
  <c r="AF91" i="65"/>
  <c r="AF95" i="65"/>
  <c r="AB95" i="65"/>
  <c r="AF80" i="65"/>
  <c r="AB94" i="65"/>
  <c r="AF94" i="65"/>
  <c r="AF90" i="65"/>
  <c r="AF83" i="65"/>
  <c r="AB83" i="65"/>
  <c r="AM54" i="67"/>
  <c r="AN54" i="67"/>
  <c r="AN47" i="67"/>
  <c r="AM47" i="67"/>
  <c r="M41" i="65"/>
  <c r="K41" i="65"/>
  <c r="M49" i="65"/>
  <c r="K49" i="65"/>
  <c r="M61" i="65"/>
  <c r="K61" i="65"/>
  <c r="M42" i="65"/>
  <c r="K42" i="65"/>
  <c r="M50" i="65"/>
  <c r="K50" i="65"/>
  <c r="M62" i="65"/>
  <c r="K62" i="65"/>
  <c r="M43" i="65"/>
  <c r="K43" i="65"/>
  <c r="M51" i="65"/>
  <c r="K51" i="65"/>
  <c r="M63" i="65"/>
  <c r="K63" i="65"/>
  <c r="K37" i="65"/>
  <c r="M37" i="65"/>
  <c r="K45" i="65"/>
  <c r="M45" i="65"/>
  <c r="K53" i="65"/>
  <c r="M53" i="65"/>
  <c r="K65" i="65"/>
  <c r="K38" i="65"/>
  <c r="K46" i="65"/>
  <c r="M46" i="65"/>
  <c r="K54" i="65"/>
  <c r="K66" i="65"/>
  <c r="M66" i="65"/>
  <c r="M36" i="65"/>
  <c r="K36" i="65"/>
  <c r="M44" i="65"/>
  <c r="K44" i="65"/>
  <c r="K39" i="65"/>
  <c r="M55" i="65"/>
  <c r="K55" i="65"/>
  <c r="M67" i="65"/>
  <c r="K67" i="65"/>
  <c r="M52" i="65"/>
  <c r="K52" i="65"/>
  <c r="K64" i="65"/>
  <c r="M47" i="65"/>
  <c r="K47" i="65"/>
  <c r="M40" i="65"/>
  <c r="K40" i="65"/>
  <c r="M48" i="65"/>
  <c r="K48" i="65"/>
  <c r="M56" i="65"/>
  <c r="K56" i="65"/>
  <c r="M68" i="65"/>
  <c r="K68" i="65"/>
  <c r="AI92" i="65"/>
  <c r="AI86" i="65"/>
  <c r="AI82" i="65"/>
  <c r="AB75" i="65"/>
  <c r="AI75" i="65"/>
  <c r="AF75" i="65"/>
  <c r="AI95" i="65"/>
  <c r="AI78" i="65"/>
  <c r="AI81" i="65"/>
  <c r="AI90" i="65"/>
  <c r="AI96" i="65"/>
  <c r="AI94" i="65"/>
  <c r="AI91" i="65"/>
  <c r="AI79" i="65"/>
  <c r="AI85" i="65"/>
  <c r="AI84" i="65"/>
  <c r="AI93" i="65"/>
  <c r="AI80" i="65"/>
  <c r="AI83" i="65"/>
  <c r="M43" i="26"/>
  <c r="K43" i="26"/>
  <c r="M54" i="26"/>
  <c r="K54" i="26"/>
  <c r="K62" i="26"/>
  <c r="M44" i="26"/>
  <c r="K44" i="26"/>
  <c r="M55" i="26"/>
  <c r="K55" i="26"/>
  <c r="K63" i="26"/>
  <c r="M45" i="26"/>
  <c r="K45" i="26"/>
  <c r="M56" i="26"/>
  <c r="K56" i="26"/>
  <c r="K64" i="26"/>
  <c r="AA36" i="26"/>
  <c r="K36" i="26"/>
  <c r="M36" i="26"/>
  <c r="K46" i="26"/>
  <c r="M46" i="26"/>
  <c r="K57" i="26"/>
  <c r="K65" i="26"/>
  <c r="M65" i="26"/>
  <c r="M42" i="26"/>
  <c r="K42" i="26"/>
  <c r="K39" i="26"/>
  <c r="M39" i="26"/>
  <c r="K47" i="26"/>
  <c r="M47" i="26"/>
  <c r="K58" i="26"/>
  <c r="K66" i="26"/>
  <c r="M66" i="26"/>
  <c r="K40" i="26"/>
  <c r="M40" i="26"/>
  <c r="K51" i="26"/>
  <c r="K59" i="26"/>
  <c r="M53" i="26"/>
  <c r="K53" i="26"/>
  <c r="K61" i="26"/>
  <c r="M41" i="26"/>
  <c r="K41" i="26"/>
  <c r="K52" i="26"/>
  <c r="K60" i="26"/>
  <c r="M38" i="65"/>
  <c r="M39" i="65"/>
  <c r="M64" i="65"/>
  <c r="M65" i="65"/>
  <c r="M54" i="65"/>
  <c r="M64" i="26"/>
  <c r="M52" i="26"/>
  <c r="M58" i="26"/>
  <c r="M51" i="26"/>
  <c r="M61" i="26"/>
  <c r="M59" i="26"/>
  <c r="M63" i="26"/>
  <c r="M57" i="26"/>
  <c r="M60" i="26"/>
  <c r="M62" i="26"/>
  <c r="AF52" i="65" l="1"/>
  <c r="AF46" i="65"/>
  <c r="AF43" i="65"/>
  <c r="AF52" i="26"/>
  <c r="AF58" i="26"/>
  <c r="AF56" i="26"/>
  <c r="AB67" i="65"/>
  <c r="AF67" i="65"/>
  <c r="AF68" i="65"/>
  <c r="AF55" i="65"/>
  <c r="AB65" i="65"/>
  <c r="AF65" i="65"/>
  <c r="AF50" i="65"/>
  <c r="AF61" i="26"/>
  <c r="AB61" i="26"/>
  <c r="AB39" i="26"/>
  <c r="AF39" i="26"/>
  <c r="AF63" i="26"/>
  <c r="AF47" i="26"/>
  <c r="AF56" i="65"/>
  <c r="AF39" i="65"/>
  <c r="AF53" i="65"/>
  <c r="AF42" i="65"/>
  <c r="AF53" i="26"/>
  <c r="AF42" i="26"/>
  <c r="AF55" i="26"/>
  <c r="AF45" i="26"/>
  <c r="AF48" i="65"/>
  <c r="AF44" i="65"/>
  <c r="AF45" i="65"/>
  <c r="AF61" i="65"/>
  <c r="AF59" i="26"/>
  <c r="AF65" i="26"/>
  <c r="AB65" i="26"/>
  <c r="AF44" i="26"/>
  <c r="AF38" i="65"/>
  <c r="AF40" i="65"/>
  <c r="AF36" i="65"/>
  <c r="AF37" i="65"/>
  <c r="AF49" i="65"/>
  <c r="AF51" i="26"/>
  <c r="AF57" i="26"/>
  <c r="AF62" i="26"/>
  <c r="AF62" i="65"/>
  <c r="AB47" i="65"/>
  <c r="AF47" i="65"/>
  <c r="AF66" i="65"/>
  <c r="AB66" i="65"/>
  <c r="AF63" i="65"/>
  <c r="AF41" i="65"/>
  <c r="AF40" i="26"/>
  <c r="AF46" i="26"/>
  <c r="AF54" i="26"/>
  <c r="AF41" i="26"/>
  <c r="AF64" i="65"/>
  <c r="AB64" i="65"/>
  <c r="AF54" i="65"/>
  <c r="AB54" i="65"/>
  <c r="AF51" i="65"/>
  <c r="AF60" i="26"/>
  <c r="AF66" i="26"/>
  <c r="AF64" i="26"/>
  <c r="AF43" i="26"/>
  <c r="AI48" i="65"/>
  <c r="AI64" i="65"/>
  <c r="AI67" i="65"/>
  <c r="AI44" i="65"/>
  <c r="AI45" i="65"/>
  <c r="AI51" i="65"/>
  <c r="AI62" i="65"/>
  <c r="AI54" i="65"/>
  <c r="AI61" i="65"/>
  <c r="AI36" i="65"/>
  <c r="AI65" i="65"/>
  <c r="AM94" i="65"/>
  <c r="AN75" i="65"/>
  <c r="AM75" i="65"/>
  <c r="AI40" i="65"/>
  <c r="AI46" i="65"/>
  <c r="AI49" i="65"/>
  <c r="AM84" i="65"/>
  <c r="AI55" i="65"/>
  <c r="AI50" i="65"/>
  <c r="AI56" i="65"/>
  <c r="AI53" i="65"/>
  <c r="AI63" i="65"/>
  <c r="AI52" i="65"/>
  <c r="AI37" i="65"/>
  <c r="AI39" i="65"/>
  <c r="AI66" i="65"/>
  <c r="AI42" i="65"/>
  <c r="AI68" i="65"/>
  <c r="AI43" i="65"/>
  <c r="AI47" i="65"/>
  <c r="AI38" i="65"/>
  <c r="AI41" i="65"/>
  <c r="AI56" i="26"/>
  <c r="AI65" i="26"/>
  <c r="AI55" i="26"/>
  <c r="AI62" i="26"/>
  <c r="AI46" i="26"/>
  <c r="AI57" i="26"/>
  <c r="AI61" i="26"/>
  <c r="AI53" i="26"/>
  <c r="AI47" i="26"/>
  <c r="AI41" i="26"/>
  <c r="AI59" i="26"/>
  <c r="AI45" i="26"/>
  <c r="AI64" i="26"/>
  <c r="AI58" i="26"/>
  <c r="AI40" i="26"/>
  <c r="AI42" i="26"/>
  <c r="AI66" i="26"/>
  <c r="AI60" i="26"/>
  <c r="AI39" i="26"/>
  <c r="AI36" i="26"/>
  <c r="AF36" i="26"/>
  <c r="AB36" i="26"/>
  <c r="AI44" i="26"/>
  <c r="AI54" i="26"/>
  <c r="AI51" i="26"/>
  <c r="AI52" i="26"/>
  <c r="AI63" i="26"/>
  <c r="AI43" i="26"/>
  <c r="C13" i="5"/>
  <c r="AN66" i="65" l="1"/>
  <c r="AM66" i="65"/>
  <c r="AN64" i="65"/>
  <c r="AM64" i="65"/>
  <c r="AN65" i="65"/>
  <c r="AM65" i="65"/>
  <c r="AN54" i="65"/>
  <c r="AM54" i="65"/>
  <c r="AN47" i="65"/>
  <c r="AM47" i="65"/>
  <c r="AN67" i="65"/>
  <c r="AM67" i="65"/>
  <c r="AM65" i="26"/>
  <c r="AN36" i="26"/>
  <c r="AM36" i="26"/>
  <c r="AM39" i="26"/>
  <c r="AN61" i="26"/>
  <c r="G7" i="5"/>
  <c r="J7" i="5"/>
  <c r="D7" i="5"/>
  <c r="D6" i="5"/>
  <c r="D10" i="5"/>
  <c r="AG16" i="54" l="1"/>
  <c r="AG16" i="63"/>
  <c r="AG16" i="61"/>
  <c r="AG16" i="53"/>
  <c r="AG16" i="52"/>
  <c r="AG16" i="51"/>
  <c r="AG16" i="9"/>
  <c r="AG16" i="18"/>
  <c r="AG16" i="29"/>
  <c r="AG16" i="4"/>
  <c r="AG16" i="21"/>
  <c r="AG16" i="7"/>
  <c r="AG16" i="36"/>
  <c r="AG16" i="30"/>
  <c r="AG16" i="20"/>
  <c r="AF16" i="24"/>
  <c r="AG16" i="33"/>
  <c r="AG16" i="25"/>
  <c r="AG16" i="23"/>
  <c r="AG16" i="15"/>
  <c r="AG16" i="32"/>
  <c r="AG16" i="34"/>
  <c r="AG16" i="28"/>
  <c r="AG16" i="11"/>
  <c r="AG16" i="27"/>
  <c r="AG16" i="19"/>
  <c r="AG16" i="22"/>
  <c r="AG16" i="16"/>
  <c r="AG16" i="31"/>
  <c r="AG16" i="35"/>
  <c r="AG16" i="69"/>
  <c r="AG16" i="67"/>
  <c r="AG16" i="65"/>
  <c r="AG16" i="26"/>
  <c r="AD16" i="54"/>
  <c r="AD16" i="63"/>
  <c r="AD16" i="61"/>
  <c r="AD16" i="53"/>
  <c r="AD16" i="52"/>
  <c r="AD16" i="51"/>
  <c r="AD16" i="9"/>
  <c r="AD16" i="18"/>
  <c r="AD16" i="29"/>
  <c r="AD16" i="4"/>
  <c r="AD16" i="21"/>
  <c r="AD16" i="7"/>
  <c r="AD16" i="36"/>
  <c r="AD16" i="30"/>
  <c r="AD16" i="20"/>
  <c r="AC16" i="24"/>
  <c r="AD16" i="33"/>
  <c r="AD16" i="25"/>
  <c r="AD16" i="23"/>
  <c r="AD16" i="15"/>
  <c r="AD16" i="32"/>
  <c r="AD16" i="34"/>
  <c r="AD16" i="28"/>
  <c r="AD16" i="11"/>
  <c r="AD16" i="27"/>
  <c r="AD16" i="19"/>
  <c r="AD16" i="22"/>
  <c r="AD16" i="16"/>
  <c r="AD16" i="31"/>
  <c r="AD16" i="35"/>
  <c r="AD16" i="69"/>
  <c r="AD16" i="67"/>
  <c r="AD16" i="65"/>
  <c r="AD16" i="26"/>
  <c r="Z175" i="17"/>
  <c r="Y175" i="17"/>
  <c r="X175" i="17"/>
  <c r="W175" i="17"/>
  <c r="V175" i="17"/>
  <c r="U175" i="17"/>
  <c r="T175" i="17"/>
  <c r="S175" i="17"/>
  <c r="R175" i="17"/>
  <c r="Q175" i="17"/>
  <c r="P175" i="17"/>
  <c r="Z174" i="17"/>
  <c r="Y174" i="17"/>
  <c r="X174" i="17"/>
  <c r="W174" i="17"/>
  <c r="V174" i="17"/>
  <c r="U174" i="17"/>
  <c r="T174" i="17"/>
  <c r="S174" i="17"/>
  <c r="R174" i="17"/>
  <c r="Q174" i="17"/>
  <c r="P174" i="17"/>
  <c r="Z173" i="17"/>
  <c r="Y173" i="17"/>
  <c r="X173" i="17"/>
  <c r="W173" i="17"/>
  <c r="V173" i="17"/>
  <c r="U173" i="17"/>
  <c r="T173" i="17"/>
  <c r="S173" i="17"/>
  <c r="R173" i="17"/>
  <c r="Q173" i="17"/>
  <c r="P173" i="17"/>
  <c r="O174" i="17"/>
  <c r="O173" i="17"/>
  <c r="M146" i="17" l="1"/>
  <c r="M137" i="17"/>
  <c r="AH128" i="17"/>
  <c r="M128" i="17"/>
  <c r="AH119" i="17"/>
  <c r="M119" i="17"/>
  <c r="L128" i="17"/>
  <c r="N119" i="17"/>
  <c r="L146" i="17"/>
  <c r="L119" i="17"/>
  <c r="N137" i="17"/>
  <c r="N128" i="17"/>
  <c r="L137" i="17"/>
  <c r="N146" i="17"/>
  <c r="AA175" i="17" l="1"/>
  <c r="AA174" i="17"/>
  <c r="AA173" i="17"/>
  <c r="AI137" i="17"/>
  <c r="AI128" i="17"/>
  <c r="AI119" i="17"/>
  <c r="AI146" i="17" l="1"/>
  <c r="AH79" i="17" l="1"/>
  <c r="AH88" i="17"/>
  <c r="AH91" i="17"/>
  <c r="AH85" i="17"/>
  <c r="L92" i="17"/>
  <c r="N84" i="17"/>
  <c r="J80" i="17"/>
  <c r="I90" i="17"/>
  <c r="J92" i="17"/>
  <c r="J82" i="17"/>
  <c r="J85" i="17"/>
  <c r="I92" i="17"/>
  <c r="L83" i="17"/>
  <c r="L86" i="17"/>
  <c r="L85" i="17"/>
  <c r="I86" i="17"/>
  <c r="N82" i="17"/>
  <c r="I80" i="17"/>
  <c r="J89" i="17"/>
  <c r="J83" i="17"/>
  <c r="N89" i="17"/>
  <c r="I89" i="17"/>
  <c r="N85" i="17"/>
  <c r="N83" i="17"/>
  <c r="J84" i="17"/>
  <c r="L90" i="17"/>
  <c r="L91" i="17"/>
  <c r="J90" i="17"/>
  <c r="I85" i="17"/>
  <c r="L80" i="17"/>
  <c r="I91" i="17"/>
  <c r="L84" i="17"/>
  <c r="I84" i="17"/>
  <c r="I82" i="17"/>
  <c r="N80" i="17"/>
  <c r="N86" i="17"/>
  <c r="N91" i="17"/>
  <c r="L89" i="17"/>
  <c r="L82" i="17"/>
  <c r="N90" i="17"/>
  <c r="J81" i="17"/>
  <c r="J91" i="17"/>
  <c r="L81" i="17"/>
  <c r="I83" i="17"/>
  <c r="N92" i="17"/>
  <c r="N81" i="17"/>
  <c r="J86" i="17"/>
  <c r="I81" i="17"/>
  <c r="AI84" i="17" l="1"/>
  <c r="AI85" i="17"/>
  <c r="AI91" i="17"/>
  <c r="AI82" i="17"/>
  <c r="AI80" i="17"/>
  <c r="AI90" i="17"/>
  <c r="AI89" i="17"/>
  <c r="AI81" i="17"/>
  <c r="AI83" i="17"/>
  <c r="M84" i="17"/>
  <c r="M90" i="17"/>
  <c r="M92" i="17"/>
  <c r="M86" i="17"/>
  <c r="M80" i="17"/>
  <c r="M82" i="17"/>
  <c r="M89" i="17"/>
  <c r="M91" i="17"/>
  <c r="M83" i="17"/>
  <c r="M85" i="17"/>
  <c r="M81" i="17"/>
  <c r="AI86" i="17" l="1"/>
  <c r="AI92" i="17"/>
  <c r="G87" i="17" l="1"/>
  <c r="G78" i="17"/>
  <c r="Q6" i="5"/>
  <c r="AG118" i="70" l="1"/>
  <c r="AD118" i="70"/>
  <c r="Z118" i="70"/>
  <c r="Y118" i="70"/>
  <c r="X118" i="70"/>
  <c r="W118" i="70"/>
  <c r="V118" i="70"/>
  <c r="U118" i="70"/>
  <c r="T118" i="70"/>
  <c r="S118" i="70"/>
  <c r="R118" i="70"/>
  <c r="Q118" i="70"/>
  <c r="P118" i="70"/>
  <c r="O118" i="70"/>
  <c r="AG117" i="70"/>
  <c r="AD117" i="70"/>
  <c r="Z117" i="70"/>
  <c r="Y117" i="70"/>
  <c r="X117" i="70"/>
  <c r="W117" i="70"/>
  <c r="V117" i="70"/>
  <c r="U117" i="70"/>
  <c r="T117" i="70"/>
  <c r="S117" i="70"/>
  <c r="R117" i="70"/>
  <c r="Q117" i="70"/>
  <c r="P117" i="70"/>
  <c r="O117" i="70"/>
  <c r="AG116" i="70"/>
  <c r="AD116" i="70"/>
  <c r="Z116" i="70"/>
  <c r="Y116" i="70"/>
  <c r="X116" i="70"/>
  <c r="W116" i="70"/>
  <c r="V116" i="70"/>
  <c r="U116" i="70"/>
  <c r="T116" i="70"/>
  <c r="S116" i="70"/>
  <c r="R116" i="70"/>
  <c r="Q116" i="70"/>
  <c r="P116" i="70"/>
  <c r="O116" i="70"/>
  <c r="M112" i="70"/>
  <c r="AG111" i="70"/>
  <c r="AD111" i="70"/>
  <c r="Z111" i="70"/>
  <c r="Y111" i="70"/>
  <c r="X111" i="70"/>
  <c r="W111" i="70"/>
  <c r="V111" i="70"/>
  <c r="U111" i="70"/>
  <c r="T111" i="70"/>
  <c r="S111" i="70"/>
  <c r="R111" i="70"/>
  <c r="Q111" i="70"/>
  <c r="P111" i="70"/>
  <c r="O111" i="70"/>
  <c r="M111" i="70"/>
  <c r="AG110" i="70"/>
  <c r="AD110" i="70"/>
  <c r="Z110" i="70"/>
  <c r="Y110" i="70"/>
  <c r="X110" i="70"/>
  <c r="W110" i="70"/>
  <c r="V110" i="70"/>
  <c r="U110" i="70"/>
  <c r="T110" i="70"/>
  <c r="S110" i="70"/>
  <c r="R110" i="70"/>
  <c r="Q110" i="70"/>
  <c r="P110" i="70"/>
  <c r="O110" i="70"/>
  <c r="M110" i="70"/>
  <c r="AG109" i="70"/>
  <c r="AD109" i="70"/>
  <c r="AE109" i="70" s="1"/>
  <c r="Z109" i="70"/>
  <c r="Y109" i="70"/>
  <c r="X109" i="70"/>
  <c r="W109" i="70"/>
  <c r="V109" i="70"/>
  <c r="U109" i="70"/>
  <c r="T109" i="70"/>
  <c r="S109" i="70"/>
  <c r="R109" i="70"/>
  <c r="Q109" i="70"/>
  <c r="P109" i="70"/>
  <c r="O109" i="70"/>
  <c r="M109" i="70"/>
  <c r="AG108" i="70"/>
  <c r="AH108" i="70" s="1"/>
  <c r="AD108" i="70"/>
  <c r="AE108" i="70" s="1"/>
  <c r="Z108" i="70"/>
  <c r="Y108" i="70"/>
  <c r="X108" i="70"/>
  <c r="W108" i="70"/>
  <c r="V108" i="70"/>
  <c r="U108" i="70"/>
  <c r="T108" i="70"/>
  <c r="S108" i="70"/>
  <c r="R108" i="70"/>
  <c r="Q108" i="70"/>
  <c r="P108" i="70"/>
  <c r="O108" i="70"/>
  <c r="M108" i="70"/>
  <c r="AI106" i="70"/>
  <c r="M106" i="70"/>
  <c r="AI105" i="70"/>
  <c r="M105" i="70"/>
  <c r="AI104" i="70"/>
  <c r="M104" i="70"/>
  <c r="AI103" i="70"/>
  <c r="M103" i="70"/>
  <c r="AH102" i="70"/>
  <c r="M102" i="70"/>
  <c r="AI99" i="70"/>
  <c r="M99" i="70"/>
  <c r="AI98" i="70"/>
  <c r="M98" i="70"/>
  <c r="M97" i="70"/>
  <c r="AI96" i="70"/>
  <c r="M96" i="70"/>
  <c r="AH95" i="70"/>
  <c r="AI95" i="70"/>
  <c r="M95" i="70"/>
  <c r="AI92" i="70"/>
  <c r="M92" i="70"/>
  <c r="AI91" i="70"/>
  <c r="M91" i="70"/>
  <c r="AI90" i="70"/>
  <c r="M90" i="70"/>
  <c r="AH89" i="70"/>
  <c r="M89" i="70"/>
  <c r="AH88" i="70"/>
  <c r="M88" i="70"/>
  <c r="AI80" i="70"/>
  <c r="AH80" i="70"/>
  <c r="AH79" i="70"/>
  <c r="AI76" i="70"/>
  <c r="AH76" i="70"/>
  <c r="AI74" i="70"/>
  <c r="AH73" i="70"/>
  <c r="AH70" i="70"/>
  <c r="AI68" i="70"/>
  <c r="AI66" i="70"/>
  <c r="AI65" i="70"/>
  <c r="AH64" i="70"/>
  <c r="AH61" i="70"/>
  <c r="AI60" i="70"/>
  <c r="AI56" i="70"/>
  <c r="AH54" i="70"/>
  <c r="AH51" i="70"/>
  <c r="AI49" i="70"/>
  <c r="AH46" i="70"/>
  <c r="AI46" i="70"/>
  <c r="AH44" i="70"/>
  <c r="AH41" i="70"/>
  <c r="AI38" i="70"/>
  <c r="AH38" i="70"/>
  <c r="AH37" i="70"/>
  <c r="AI36" i="70"/>
  <c r="AH36" i="70"/>
  <c r="AA31" i="70"/>
  <c r="G20" i="70"/>
  <c r="G19" i="70"/>
  <c r="AA31" i="69"/>
  <c r="G20" i="69"/>
  <c r="G19" i="69"/>
  <c r="AG120" i="68"/>
  <c r="AD120" i="68"/>
  <c r="Z120" i="68"/>
  <c r="Y120" i="68"/>
  <c r="X120" i="68"/>
  <c r="W120" i="68"/>
  <c r="V120" i="68"/>
  <c r="U120" i="68"/>
  <c r="T120" i="68"/>
  <c r="S120" i="68"/>
  <c r="R120" i="68"/>
  <c r="Q120" i="68"/>
  <c r="P120" i="68"/>
  <c r="O120" i="68"/>
  <c r="AG119" i="68"/>
  <c r="AD119" i="68"/>
  <c r="Z119" i="68"/>
  <c r="Y119" i="68"/>
  <c r="X119" i="68"/>
  <c r="W119" i="68"/>
  <c r="V119" i="68"/>
  <c r="U119" i="68"/>
  <c r="T119" i="68"/>
  <c r="S119" i="68"/>
  <c r="R119" i="68"/>
  <c r="Q119" i="68"/>
  <c r="P119" i="68"/>
  <c r="O119" i="68"/>
  <c r="AG118" i="68"/>
  <c r="AD118" i="68"/>
  <c r="Z118" i="68"/>
  <c r="Y118" i="68"/>
  <c r="X118" i="68"/>
  <c r="W118" i="68"/>
  <c r="V118" i="68"/>
  <c r="U118" i="68"/>
  <c r="T118" i="68"/>
  <c r="S118" i="68"/>
  <c r="R118" i="68"/>
  <c r="Q118" i="68"/>
  <c r="P118" i="68"/>
  <c r="O118" i="68"/>
  <c r="AI115" i="68"/>
  <c r="AF115" i="68"/>
  <c r="M115" i="68"/>
  <c r="M112" i="68"/>
  <c r="AG111" i="68"/>
  <c r="AD111" i="68"/>
  <c r="Z111" i="68"/>
  <c r="Y111" i="68"/>
  <c r="X111" i="68"/>
  <c r="W111" i="68"/>
  <c r="V111" i="68"/>
  <c r="U111" i="68"/>
  <c r="T111" i="68"/>
  <c r="S111" i="68"/>
  <c r="R111" i="68"/>
  <c r="Q111" i="68"/>
  <c r="P111" i="68"/>
  <c r="O111" i="68"/>
  <c r="M111" i="68"/>
  <c r="AG110" i="68"/>
  <c r="AD110" i="68"/>
  <c r="Z110" i="68"/>
  <c r="Y110" i="68"/>
  <c r="X110" i="68"/>
  <c r="W110" i="68"/>
  <c r="V110" i="68"/>
  <c r="U110" i="68"/>
  <c r="T110" i="68"/>
  <c r="S110" i="68"/>
  <c r="R110" i="68"/>
  <c r="Q110" i="68"/>
  <c r="P110" i="68"/>
  <c r="O110" i="68"/>
  <c r="M110" i="68"/>
  <c r="AG109" i="68"/>
  <c r="AD109" i="68"/>
  <c r="Z109" i="68"/>
  <c r="Y109" i="68"/>
  <c r="X109" i="68"/>
  <c r="W109" i="68"/>
  <c r="V109" i="68"/>
  <c r="U109" i="68"/>
  <c r="T109" i="68"/>
  <c r="S109" i="68"/>
  <c r="R109" i="68"/>
  <c r="Q109" i="68"/>
  <c r="P109" i="68"/>
  <c r="O109" i="68"/>
  <c r="M109" i="68"/>
  <c r="AG108" i="68"/>
  <c r="AH108" i="68" s="1"/>
  <c r="AD108" i="68"/>
  <c r="AE108" i="68" s="1"/>
  <c r="Z108" i="68"/>
  <c r="Y108" i="68"/>
  <c r="X108" i="68"/>
  <c r="W108" i="68"/>
  <c r="V108" i="68"/>
  <c r="U108" i="68"/>
  <c r="T108" i="68"/>
  <c r="S108" i="68"/>
  <c r="R108" i="68"/>
  <c r="Q108" i="68"/>
  <c r="P108" i="68"/>
  <c r="O108" i="68"/>
  <c r="M108" i="68"/>
  <c r="AI106" i="68"/>
  <c r="M106" i="68"/>
  <c r="M105" i="68"/>
  <c r="AI104" i="68"/>
  <c r="M104" i="68"/>
  <c r="M103" i="68"/>
  <c r="AH102" i="68"/>
  <c r="AI102" i="68"/>
  <c r="M102" i="68"/>
  <c r="M99" i="68"/>
  <c r="AI98" i="68"/>
  <c r="M98" i="68"/>
  <c r="AI97" i="68"/>
  <c r="M97" i="68"/>
  <c r="AI96" i="68"/>
  <c r="M96" i="68"/>
  <c r="AH95" i="68"/>
  <c r="M95" i="68"/>
  <c r="AI92" i="68"/>
  <c r="M92" i="68"/>
  <c r="M91" i="68"/>
  <c r="AI90" i="68"/>
  <c r="M90" i="68"/>
  <c r="M89" i="68"/>
  <c r="AH88" i="68"/>
  <c r="M88" i="68"/>
  <c r="AI80" i="68"/>
  <c r="AH80" i="68"/>
  <c r="AH79" i="68"/>
  <c r="AH76" i="68"/>
  <c r="AH73" i="68"/>
  <c r="AH70" i="68"/>
  <c r="AI68" i="68"/>
  <c r="AI65" i="68"/>
  <c r="AH64" i="68"/>
  <c r="AH61" i="68"/>
  <c r="AI61" i="68"/>
  <c r="AI60" i="68"/>
  <c r="AI58" i="68"/>
  <c r="AI57" i="68"/>
  <c r="AH54" i="68"/>
  <c r="AH51" i="68"/>
  <c r="AI51" i="68"/>
  <c r="AI50" i="68"/>
  <c r="AI46" i="68"/>
  <c r="AH44" i="68"/>
  <c r="AH41" i="68"/>
  <c r="AI40" i="68"/>
  <c r="AA118" i="68"/>
  <c r="AH38" i="68"/>
  <c r="AH37" i="68"/>
  <c r="AH36" i="68"/>
  <c r="AI35" i="68"/>
  <c r="AA31" i="68"/>
  <c r="G20" i="68"/>
  <c r="G19" i="68"/>
  <c r="AA31" i="67"/>
  <c r="G20" i="67"/>
  <c r="G19" i="67"/>
  <c r="AG142" i="66"/>
  <c r="AD142" i="66"/>
  <c r="Z142" i="66"/>
  <c r="Y142" i="66"/>
  <c r="X142" i="66"/>
  <c r="W142" i="66"/>
  <c r="V142" i="66"/>
  <c r="U142" i="66"/>
  <c r="T142" i="66"/>
  <c r="S142" i="66"/>
  <c r="R142" i="66"/>
  <c r="Q142" i="66"/>
  <c r="P142" i="66"/>
  <c r="O142" i="66"/>
  <c r="AG141" i="66"/>
  <c r="AD141" i="66"/>
  <c r="Z141" i="66"/>
  <c r="Y141" i="66"/>
  <c r="X141" i="66"/>
  <c r="W141" i="66"/>
  <c r="V141" i="66"/>
  <c r="U141" i="66"/>
  <c r="T141" i="66"/>
  <c r="S141" i="66"/>
  <c r="R141" i="66"/>
  <c r="Q141" i="66"/>
  <c r="P141" i="66"/>
  <c r="O141" i="66"/>
  <c r="AG140" i="66"/>
  <c r="AD140" i="66"/>
  <c r="Z140" i="66"/>
  <c r="Y140" i="66"/>
  <c r="X140" i="66"/>
  <c r="W140" i="66"/>
  <c r="V140" i="66"/>
  <c r="U140" i="66"/>
  <c r="T140" i="66"/>
  <c r="S140" i="66"/>
  <c r="R140" i="66"/>
  <c r="Q140" i="66"/>
  <c r="P140" i="66"/>
  <c r="O140" i="66"/>
  <c r="AG139" i="66"/>
  <c r="AD139" i="66"/>
  <c r="Z139" i="66"/>
  <c r="Y139" i="66"/>
  <c r="X139" i="66"/>
  <c r="W139" i="66"/>
  <c r="V139" i="66"/>
  <c r="U139" i="66"/>
  <c r="T139" i="66"/>
  <c r="S139" i="66"/>
  <c r="R139" i="66"/>
  <c r="Q139" i="66"/>
  <c r="P139" i="66"/>
  <c r="O139" i="66"/>
  <c r="AG137" i="66"/>
  <c r="AD137" i="66"/>
  <c r="Z137" i="66"/>
  <c r="Y137" i="66"/>
  <c r="X137" i="66"/>
  <c r="W137" i="66"/>
  <c r="V137" i="66"/>
  <c r="U137" i="66"/>
  <c r="T137" i="66"/>
  <c r="S137" i="66"/>
  <c r="R137" i="66"/>
  <c r="Q137" i="66"/>
  <c r="P137" i="66"/>
  <c r="O137" i="66"/>
  <c r="M136" i="66"/>
  <c r="AI135" i="66"/>
  <c r="M135" i="66"/>
  <c r="AI134" i="66"/>
  <c r="M134" i="66"/>
  <c r="AI133" i="66"/>
  <c r="M133" i="66"/>
  <c r="M132" i="66"/>
  <c r="AI131" i="66"/>
  <c r="M131" i="66"/>
  <c r="M130" i="66"/>
  <c r="AI129" i="66"/>
  <c r="M129" i="66"/>
  <c r="M128" i="66"/>
  <c r="AI127" i="66"/>
  <c r="M127" i="66"/>
  <c r="M126" i="66"/>
  <c r="M122" i="66"/>
  <c r="M121" i="66"/>
  <c r="AI120" i="66"/>
  <c r="M120" i="66"/>
  <c r="M119" i="66"/>
  <c r="M118" i="66"/>
  <c r="M116" i="66"/>
  <c r="AI115" i="66"/>
  <c r="M115" i="66"/>
  <c r="M114" i="66"/>
  <c r="AI113" i="66"/>
  <c r="M113" i="66"/>
  <c r="M112" i="66"/>
  <c r="M109" i="66"/>
  <c r="AI108" i="66"/>
  <c r="M108" i="66"/>
  <c r="M107" i="66"/>
  <c r="AI106" i="66"/>
  <c r="M106" i="66"/>
  <c r="M105" i="66"/>
  <c r="AI102" i="66"/>
  <c r="M102" i="66"/>
  <c r="M101" i="66"/>
  <c r="AI100" i="66"/>
  <c r="M100" i="66"/>
  <c r="M99" i="66"/>
  <c r="AI98" i="66"/>
  <c r="M98" i="66"/>
  <c r="AI90" i="66"/>
  <c r="AI89" i="66"/>
  <c r="AI83" i="66"/>
  <c r="AI82" i="66"/>
  <c r="AI80" i="66"/>
  <c r="AH79" i="66"/>
  <c r="AH76" i="66"/>
  <c r="AI76" i="66"/>
  <c r="AI74" i="66"/>
  <c r="AH73" i="66"/>
  <c r="AH70" i="66"/>
  <c r="AI70" i="66"/>
  <c r="AI68" i="66"/>
  <c r="AI67" i="66"/>
  <c r="AI66" i="66"/>
  <c r="AH64" i="66"/>
  <c r="G64" i="66" s="1"/>
  <c r="AI62" i="66"/>
  <c r="AI61" i="66"/>
  <c r="AH61" i="66"/>
  <c r="AI60" i="66"/>
  <c r="AI59" i="66"/>
  <c r="AI57" i="66"/>
  <c r="AI55" i="66"/>
  <c r="AH54" i="66"/>
  <c r="AI51" i="66"/>
  <c r="AH51" i="66"/>
  <c r="AI50" i="66"/>
  <c r="AI49" i="66"/>
  <c r="AI48" i="66"/>
  <c r="AI47" i="66"/>
  <c r="AI46" i="66"/>
  <c r="AH44" i="66"/>
  <c r="AH41" i="66"/>
  <c r="AI35" i="66"/>
  <c r="AA31" i="66"/>
  <c r="G20" i="66"/>
  <c r="G19" i="66"/>
  <c r="I35" i="69"/>
  <c r="N35" i="69"/>
  <c r="B120" i="69"/>
  <c r="C7" i="69"/>
  <c r="B89" i="69"/>
  <c r="I34" i="69"/>
  <c r="B3" i="69"/>
  <c r="C3" i="69" s="1"/>
  <c r="N33" i="69"/>
  <c r="J33" i="69"/>
  <c r="J34" i="69"/>
  <c r="B55" i="69"/>
  <c r="N34" i="69"/>
  <c r="C5" i="69"/>
  <c r="I33" i="69"/>
  <c r="C6" i="69"/>
  <c r="B116" i="69"/>
  <c r="C8" i="69"/>
  <c r="B52" i="69"/>
  <c r="B23" i="69"/>
  <c r="N20" i="69"/>
  <c r="L35" i="69"/>
  <c r="N19" i="69"/>
  <c r="J35" i="69"/>
  <c r="B88" i="69"/>
  <c r="B19" i="69"/>
  <c r="C2" i="69"/>
  <c r="B85" i="69"/>
  <c r="B56" i="69"/>
  <c r="B22" i="69"/>
  <c r="C1" i="69"/>
  <c r="N27" i="69"/>
  <c r="E6" i="69"/>
  <c r="J75" i="70"/>
  <c r="B23" i="70"/>
  <c r="I50" i="70"/>
  <c r="N111" i="70"/>
  <c r="L40" i="70"/>
  <c r="I68" i="70"/>
  <c r="N112" i="70"/>
  <c r="N77" i="70"/>
  <c r="N61" i="70"/>
  <c r="N49" i="70"/>
  <c r="J69" i="70"/>
  <c r="N104" i="70"/>
  <c r="J65" i="70"/>
  <c r="I77" i="70"/>
  <c r="J68" i="70"/>
  <c r="I65" i="70"/>
  <c r="N74" i="70"/>
  <c r="N88" i="70"/>
  <c r="L112" i="70"/>
  <c r="L67" i="70"/>
  <c r="N95" i="70"/>
  <c r="C8" i="70"/>
  <c r="N27" i="70"/>
  <c r="N103" i="70"/>
  <c r="L37" i="70"/>
  <c r="I48" i="70"/>
  <c r="N110" i="70"/>
  <c r="I59" i="70"/>
  <c r="J74" i="70"/>
  <c r="J82" i="70"/>
  <c r="N68" i="70"/>
  <c r="J52" i="70"/>
  <c r="I84" i="70"/>
  <c r="L105" i="70"/>
  <c r="I55" i="70"/>
  <c r="C7" i="70"/>
  <c r="N46" i="70"/>
  <c r="N76" i="70"/>
  <c r="I69" i="70"/>
  <c r="J55" i="70"/>
  <c r="L75" i="70"/>
  <c r="L109" i="70"/>
  <c r="N84" i="70"/>
  <c r="I56" i="70"/>
  <c r="J50" i="70"/>
  <c r="L38" i="70"/>
  <c r="I36" i="70"/>
  <c r="L98" i="70"/>
  <c r="I61" i="70"/>
  <c r="N80" i="70"/>
  <c r="L65" i="70"/>
  <c r="N35" i="70"/>
  <c r="L62" i="70"/>
  <c r="L48" i="70"/>
  <c r="L42" i="70"/>
  <c r="I52" i="70"/>
  <c r="J51" i="70"/>
  <c r="J66" i="70"/>
  <c r="N56" i="70"/>
  <c r="L68" i="70"/>
  <c r="L69" i="70"/>
  <c r="J49" i="70"/>
  <c r="I39" i="70"/>
  <c r="I70" i="70"/>
  <c r="L35" i="70"/>
  <c r="J47" i="70"/>
  <c r="L103" i="70"/>
  <c r="L91" i="70"/>
  <c r="B19" i="70"/>
  <c r="N19" i="70"/>
  <c r="N92" i="70"/>
  <c r="I49" i="70"/>
  <c r="N40" i="70"/>
  <c r="L61" i="70"/>
  <c r="N75" i="70"/>
  <c r="N106" i="70"/>
  <c r="N57" i="70"/>
  <c r="L66" i="70"/>
  <c r="N52" i="70"/>
  <c r="L108" i="70"/>
  <c r="N109" i="70"/>
  <c r="I80" i="70"/>
  <c r="N99" i="70"/>
  <c r="L111" i="70"/>
  <c r="N47" i="70"/>
  <c r="L70" i="70"/>
  <c r="N37" i="70"/>
  <c r="I76" i="70"/>
  <c r="E6" i="70"/>
  <c r="N20" i="70"/>
  <c r="N67" i="70"/>
  <c r="J56" i="70"/>
  <c r="I38" i="70"/>
  <c r="J71" i="70"/>
  <c r="N82" i="70"/>
  <c r="L52" i="70"/>
  <c r="I62" i="70"/>
  <c r="L82" i="70"/>
  <c r="L95" i="70"/>
  <c r="J41" i="70"/>
  <c r="C1" i="70"/>
  <c r="J36" i="70"/>
  <c r="N62" i="70"/>
  <c r="N38" i="70"/>
  <c r="L57" i="70"/>
  <c r="I35" i="70"/>
  <c r="J76" i="70"/>
  <c r="I51" i="70"/>
  <c r="N108" i="70"/>
  <c r="N45" i="70"/>
  <c r="N102" i="70"/>
  <c r="J61" i="70"/>
  <c r="I37" i="70"/>
  <c r="J80" i="70"/>
  <c r="L46" i="70"/>
  <c r="L96" i="70"/>
  <c r="L106" i="70"/>
  <c r="L89" i="70"/>
  <c r="L76" i="70"/>
  <c r="N41" i="70"/>
  <c r="N59" i="70"/>
  <c r="J60" i="70"/>
  <c r="N39" i="70"/>
  <c r="L59" i="70"/>
  <c r="N42" i="70"/>
  <c r="I47" i="70"/>
  <c r="I60" i="70"/>
  <c r="I46" i="70"/>
  <c r="L80" i="70"/>
  <c r="L99" i="70"/>
  <c r="L60" i="70"/>
  <c r="N70" i="70"/>
  <c r="L41" i="70"/>
  <c r="L47" i="70"/>
  <c r="N96" i="70"/>
  <c r="C5" i="70"/>
  <c r="L55" i="70"/>
  <c r="L92" i="70"/>
  <c r="J48" i="70"/>
  <c r="J42" i="70"/>
  <c r="N98" i="70"/>
  <c r="N69" i="70"/>
  <c r="J40" i="70"/>
  <c r="L50" i="70"/>
  <c r="N51" i="70"/>
  <c r="I45" i="70"/>
  <c r="L49" i="70"/>
  <c r="J45" i="70"/>
  <c r="J37" i="70"/>
  <c r="L88" i="70"/>
  <c r="I42" i="70"/>
  <c r="J57" i="70"/>
  <c r="L56" i="70"/>
  <c r="N97" i="70"/>
  <c r="J59" i="70"/>
  <c r="I40" i="70"/>
  <c r="J67" i="70"/>
  <c r="J38" i="70"/>
  <c r="J77" i="70"/>
  <c r="I83" i="70"/>
  <c r="I82" i="70"/>
  <c r="J35" i="70"/>
  <c r="J70" i="70"/>
  <c r="N91" i="70"/>
  <c r="B3" i="70"/>
  <c r="L74" i="70"/>
  <c r="N66" i="70"/>
  <c r="L51" i="70"/>
  <c r="N36" i="70"/>
  <c r="C2" i="70"/>
  <c r="N89" i="70"/>
  <c r="I66" i="70"/>
  <c r="L97" i="70"/>
  <c r="N105" i="70"/>
  <c r="J84" i="70"/>
  <c r="L104" i="70"/>
  <c r="J46" i="70"/>
  <c r="L58" i="70"/>
  <c r="N65" i="70"/>
  <c r="I75" i="70"/>
  <c r="I67" i="70"/>
  <c r="J58" i="70"/>
  <c r="L90" i="70"/>
  <c r="I74" i="70"/>
  <c r="C6" i="70"/>
  <c r="L83" i="70"/>
  <c r="L110" i="70"/>
  <c r="L77" i="70"/>
  <c r="I41" i="70"/>
  <c r="L45" i="70"/>
  <c r="I57" i="70"/>
  <c r="N48" i="70"/>
  <c r="L102" i="70"/>
  <c r="J39" i="70"/>
  <c r="N83" i="70"/>
  <c r="N55" i="70"/>
  <c r="N58" i="70"/>
  <c r="L71" i="70"/>
  <c r="N90" i="70"/>
  <c r="I71" i="70"/>
  <c r="J83" i="70"/>
  <c r="N60" i="70"/>
  <c r="N50" i="70"/>
  <c r="I58" i="70"/>
  <c r="L36" i="70"/>
  <c r="J62" i="70"/>
  <c r="N71" i="70"/>
  <c r="L39" i="70"/>
  <c r="N57" i="68"/>
  <c r="J75" i="68"/>
  <c r="J38" i="68"/>
  <c r="I83" i="68"/>
  <c r="L77" i="68"/>
  <c r="J65" i="68"/>
  <c r="I74" i="68"/>
  <c r="C1" i="68"/>
  <c r="L60" i="68"/>
  <c r="L68" i="68"/>
  <c r="L95" i="68"/>
  <c r="N36" i="68"/>
  <c r="I80" i="68"/>
  <c r="J70" i="68"/>
  <c r="L65" i="68"/>
  <c r="L98" i="68"/>
  <c r="N59" i="68"/>
  <c r="L48" i="68"/>
  <c r="N61" i="68"/>
  <c r="L47" i="68"/>
  <c r="N112" i="68"/>
  <c r="N106" i="68"/>
  <c r="N42" i="68"/>
  <c r="L50" i="68"/>
  <c r="N110" i="68"/>
  <c r="N37" i="68"/>
  <c r="L49" i="68"/>
  <c r="N98" i="68"/>
  <c r="N69" i="68"/>
  <c r="L102" i="68"/>
  <c r="B19" i="68"/>
  <c r="L57" i="68"/>
  <c r="I45" i="68"/>
  <c r="N88" i="68"/>
  <c r="I35" i="68"/>
  <c r="L76" i="68"/>
  <c r="N50" i="68"/>
  <c r="I67" i="68"/>
  <c r="I61" i="68"/>
  <c r="L45" i="68"/>
  <c r="I70" i="68"/>
  <c r="J60" i="68"/>
  <c r="N45" i="68"/>
  <c r="L55" i="68"/>
  <c r="I47" i="68"/>
  <c r="N46" i="68"/>
  <c r="L103" i="68"/>
  <c r="L35" i="68"/>
  <c r="L46" i="68"/>
  <c r="L56" i="68"/>
  <c r="L75" i="68"/>
  <c r="N77" i="68"/>
  <c r="I49" i="68"/>
  <c r="L99" i="68"/>
  <c r="J41" i="68"/>
  <c r="N48" i="68"/>
  <c r="N84" i="68"/>
  <c r="N76" i="68"/>
  <c r="I42" i="68"/>
  <c r="N75" i="68"/>
  <c r="L41" i="68"/>
  <c r="N55" i="68"/>
  <c r="E6" i="68"/>
  <c r="N52" i="68"/>
  <c r="J55" i="68"/>
  <c r="L70" i="68"/>
  <c r="J50" i="68"/>
  <c r="N20" i="68"/>
  <c r="I60" i="68"/>
  <c r="L40" i="68"/>
  <c r="L38" i="68"/>
  <c r="J71" i="68"/>
  <c r="C6" i="68"/>
  <c r="N49" i="68"/>
  <c r="B23" i="68"/>
  <c r="J76" i="68"/>
  <c r="N102" i="68"/>
  <c r="L37" i="68"/>
  <c r="J82" i="68"/>
  <c r="L62" i="68"/>
  <c r="I41" i="68"/>
  <c r="N74" i="68"/>
  <c r="N38" i="68"/>
  <c r="I40" i="68"/>
  <c r="N105" i="68"/>
  <c r="N80" i="68"/>
  <c r="I75" i="68"/>
  <c r="N47" i="68"/>
  <c r="I65" i="68"/>
  <c r="N103" i="68"/>
  <c r="L58" i="68"/>
  <c r="I77" i="68"/>
  <c r="J40" i="68"/>
  <c r="C5" i="68"/>
  <c r="N109" i="68"/>
  <c r="L96" i="68"/>
  <c r="L111" i="68"/>
  <c r="N95" i="68"/>
  <c r="I76" i="68"/>
  <c r="N70" i="68"/>
  <c r="L52" i="68"/>
  <c r="L108" i="68"/>
  <c r="I62" i="68"/>
  <c r="L36" i="68"/>
  <c r="L69" i="68"/>
  <c r="L97" i="68"/>
  <c r="N35" i="68"/>
  <c r="L80" i="68"/>
  <c r="J47" i="68"/>
  <c r="N56" i="68"/>
  <c r="N21" i="68"/>
  <c r="N51" i="68"/>
  <c r="N40" i="68"/>
  <c r="L39" i="68"/>
  <c r="I51" i="68"/>
  <c r="L61" i="68"/>
  <c r="J51" i="68"/>
  <c r="N65" i="68"/>
  <c r="I37" i="68"/>
  <c r="J77" i="68"/>
  <c r="N58" i="68"/>
  <c r="I57" i="68"/>
  <c r="N39" i="68"/>
  <c r="L115" i="68"/>
  <c r="L89" i="68"/>
  <c r="L105" i="68"/>
  <c r="L67" i="68"/>
  <c r="I68" i="68"/>
  <c r="J83" i="68"/>
  <c r="N68" i="68"/>
  <c r="N97" i="68"/>
  <c r="I71" i="68"/>
  <c r="B3" i="68"/>
  <c r="I38" i="68"/>
  <c r="I84" i="68"/>
  <c r="C7" i="68"/>
  <c r="L59" i="68"/>
  <c r="L109" i="68"/>
  <c r="I56" i="68"/>
  <c r="L110" i="68"/>
  <c r="N92" i="68"/>
  <c r="N82" i="68"/>
  <c r="J39" i="68"/>
  <c r="I52" i="68"/>
  <c r="J74" i="68"/>
  <c r="L71" i="68"/>
  <c r="J69" i="68"/>
  <c r="J66" i="68"/>
  <c r="N41" i="68"/>
  <c r="L74" i="68"/>
  <c r="N104" i="68"/>
  <c r="J57" i="68"/>
  <c r="L106" i="68"/>
  <c r="I48" i="68"/>
  <c r="I59" i="68"/>
  <c r="L51" i="68"/>
  <c r="L91" i="68"/>
  <c r="J67" i="68"/>
  <c r="L90" i="68"/>
  <c r="N111" i="68"/>
  <c r="J46" i="68"/>
  <c r="L82" i="68"/>
  <c r="J45" i="68"/>
  <c r="J36" i="68"/>
  <c r="C8" i="68"/>
  <c r="I69" i="68"/>
  <c r="N89" i="68"/>
  <c r="L92" i="68"/>
  <c r="N71" i="68"/>
  <c r="I39" i="68"/>
  <c r="J59" i="68"/>
  <c r="J35" i="68"/>
  <c r="N19" i="68"/>
  <c r="I50" i="68"/>
  <c r="N27" i="68"/>
  <c r="L66" i="68"/>
  <c r="I46" i="68"/>
  <c r="L83" i="68"/>
  <c r="I36" i="68"/>
  <c r="N62" i="68"/>
  <c r="L88" i="68"/>
  <c r="J48" i="68"/>
  <c r="J42" i="68"/>
  <c r="I55" i="68"/>
  <c r="I82" i="68"/>
  <c r="J37" i="68"/>
  <c r="L112" i="68"/>
  <c r="J84" i="68"/>
  <c r="N96" i="68"/>
  <c r="J49" i="68"/>
  <c r="J68" i="68"/>
  <c r="N67" i="68"/>
  <c r="N83" i="68"/>
  <c r="J80" i="68"/>
  <c r="J62" i="68"/>
  <c r="C2" i="68"/>
  <c r="N91" i="68"/>
  <c r="N90" i="68"/>
  <c r="N99" i="68"/>
  <c r="I66" i="68"/>
  <c r="J56" i="68"/>
  <c r="J61" i="68"/>
  <c r="N60" i="68"/>
  <c r="L104" i="68"/>
  <c r="J52" i="68"/>
  <c r="I58" i="68"/>
  <c r="L42" i="68"/>
  <c r="N108" i="68"/>
  <c r="J58" i="68"/>
  <c r="N66" i="68"/>
  <c r="J35" i="67"/>
  <c r="C8" i="67"/>
  <c r="B56" i="67"/>
  <c r="I35" i="67"/>
  <c r="B52" i="67"/>
  <c r="N20" i="67"/>
  <c r="B116" i="67"/>
  <c r="N19" i="67"/>
  <c r="B3" i="67"/>
  <c r="B22" i="67"/>
  <c r="B88" i="67"/>
  <c r="B23" i="67"/>
  <c r="I34" i="67"/>
  <c r="C5" i="67"/>
  <c r="I33" i="67"/>
  <c r="L35" i="67"/>
  <c r="E6" i="67"/>
  <c r="C7" i="67"/>
  <c r="B89" i="67"/>
  <c r="B55" i="67"/>
  <c r="C2" i="67"/>
  <c r="C6" i="67"/>
  <c r="B120" i="67"/>
  <c r="J34" i="67"/>
  <c r="B19" i="67"/>
  <c r="N27" i="67"/>
  <c r="N33" i="67"/>
  <c r="N35" i="67"/>
  <c r="J33" i="67"/>
  <c r="C1" i="67"/>
  <c r="N34" i="67"/>
  <c r="B85" i="67"/>
  <c r="N115" i="66"/>
  <c r="I38" i="66"/>
  <c r="J36" i="66"/>
  <c r="N131" i="66"/>
  <c r="J66" i="66"/>
  <c r="N135" i="66"/>
  <c r="J55" i="66"/>
  <c r="N98" i="66"/>
  <c r="L61" i="66"/>
  <c r="L112" i="66"/>
  <c r="N47" i="66"/>
  <c r="N80" i="66"/>
  <c r="L114" i="66"/>
  <c r="N89" i="66"/>
  <c r="N127" i="66"/>
  <c r="L102" i="66"/>
  <c r="L67" i="66"/>
  <c r="I48" i="66"/>
  <c r="I47" i="66"/>
  <c r="N45" i="66"/>
  <c r="J82" i="66"/>
  <c r="N40" i="66"/>
  <c r="J62" i="66"/>
  <c r="J68" i="66"/>
  <c r="L128" i="66"/>
  <c r="C6" i="66"/>
  <c r="J49" i="66"/>
  <c r="J75" i="66"/>
  <c r="N128" i="66"/>
  <c r="N102" i="66"/>
  <c r="I36" i="66"/>
  <c r="L80" i="66"/>
  <c r="I82" i="66"/>
  <c r="L116" i="66"/>
  <c r="L98" i="66"/>
  <c r="L42" i="66"/>
  <c r="J90" i="66"/>
  <c r="N71" i="66"/>
  <c r="J57" i="66"/>
  <c r="I66" i="66"/>
  <c r="N65" i="66"/>
  <c r="N70" i="66"/>
  <c r="L129" i="66"/>
  <c r="L126" i="66"/>
  <c r="I37" i="66"/>
  <c r="N86" i="66"/>
  <c r="J80" i="66"/>
  <c r="N82" i="66"/>
  <c r="N84" i="66"/>
  <c r="I91" i="66"/>
  <c r="L70" i="66"/>
  <c r="I41" i="66"/>
  <c r="L99" i="66"/>
  <c r="B19" i="66"/>
  <c r="N134" i="66"/>
  <c r="L83" i="66"/>
  <c r="L76" i="66"/>
  <c r="N42" i="66"/>
  <c r="N108" i="66"/>
  <c r="I40" i="66"/>
  <c r="I61" i="66"/>
  <c r="J39" i="66"/>
  <c r="N112" i="66"/>
  <c r="N130" i="66"/>
  <c r="L115" i="66"/>
  <c r="N20" i="66"/>
  <c r="J84" i="66"/>
  <c r="N99" i="66"/>
  <c r="J65" i="66"/>
  <c r="L127" i="66"/>
  <c r="N52" i="66"/>
  <c r="N38" i="66"/>
  <c r="N51" i="66"/>
  <c r="L35" i="66"/>
  <c r="I39" i="66"/>
  <c r="I69" i="66"/>
  <c r="J41" i="66"/>
  <c r="I67" i="66"/>
  <c r="J83" i="66"/>
  <c r="N56" i="66"/>
  <c r="I90" i="66"/>
  <c r="L68" i="66"/>
  <c r="I75" i="66"/>
  <c r="C7" i="66"/>
  <c r="I68" i="66"/>
  <c r="N106" i="66"/>
  <c r="I70" i="66"/>
  <c r="L50" i="66"/>
  <c r="N132" i="66"/>
  <c r="N69" i="66"/>
  <c r="L39" i="66"/>
  <c r="N90" i="66"/>
  <c r="J50" i="66"/>
  <c r="I76" i="66"/>
  <c r="J58" i="66"/>
  <c r="I86" i="66"/>
  <c r="J40" i="66"/>
  <c r="N61" i="66"/>
  <c r="I85" i="66"/>
  <c r="L48" i="66"/>
  <c r="L71" i="66"/>
  <c r="I89" i="66"/>
  <c r="C1" i="66"/>
  <c r="N100" i="66"/>
  <c r="J86" i="66"/>
  <c r="L136" i="66"/>
  <c r="J51" i="66"/>
  <c r="L51" i="66"/>
  <c r="J74" i="66"/>
  <c r="I58" i="66"/>
  <c r="I59" i="66"/>
  <c r="J60" i="66"/>
  <c r="L57" i="66"/>
  <c r="N66" i="66"/>
  <c r="L109" i="66"/>
  <c r="B3" i="66"/>
  <c r="J59" i="66"/>
  <c r="L49" i="66"/>
  <c r="L75" i="66"/>
  <c r="N57" i="66"/>
  <c r="C5" i="66"/>
  <c r="L55" i="66"/>
  <c r="N19" i="66"/>
  <c r="J77" i="66"/>
  <c r="L56" i="66"/>
  <c r="N41" i="66"/>
  <c r="N129" i="66"/>
  <c r="L107" i="66"/>
  <c r="I62" i="66"/>
  <c r="I42" i="66"/>
  <c r="I77" i="66"/>
  <c r="J56" i="66"/>
  <c r="N67" i="66"/>
  <c r="N58" i="66"/>
  <c r="L74" i="66"/>
  <c r="J67" i="66"/>
  <c r="J37" i="66"/>
  <c r="L121" i="66"/>
  <c r="I52" i="66"/>
  <c r="J91" i="66"/>
  <c r="L105" i="66"/>
  <c r="L65" i="66"/>
  <c r="L38" i="66"/>
  <c r="N114" i="66"/>
  <c r="L131" i="66"/>
  <c r="L101" i="66"/>
  <c r="N35" i="66"/>
  <c r="N120" i="66"/>
  <c r="J47" i="66"/>
  <c r="L37" i="66"/>
  <c r="L62" i="66"/>
  <c r="N116" i="66"/>
  <c r="N46" i="66"/>
  <c r="I56" i="66"/>
  <c r="L58" i="66"/>
  <c r="J46" i="66"/>
  <c r="J45" i="66"/>
  <c r="J70" i="66"/>
  <c r="L130" i="66"/>
  <c r="I51" i="66"/>
  <c r="N77" i="66"/>
  <c r="I50" i="66"/>
  <c r="I84" i="66"/>
  <c r="N118" i="66"/>
  <c r="L133" i="66"/>
  <c r="L52" i="66"/>
  <c r="N125" i="66"/>
  <c r="N107" i="66"/>
  <c r="L132" i="66"/>
  <c r="N60" i="66"/>
  <c r="N50" i="66"/>
  <c r="L41" i="66"/>
  <c r="N113" i="66"/>
  <c r="N49" i="66"/>
  <c r="N91" i="66"/>
  <c r="L40" i="66"/>
  <c r="J89" i="66"/>
  <c r="L118" i="66"/>
  <c r="J85" i="66"/>
  <c r="I45" i="66"/>
  <c r="N109" i="66"/>
  <c r="N27" i="66"/>
  <c r="I60" i="66"/>
  <c r="N126" i="66"/>
  <c r="J61" i="66"/>
  <c r="L106" i="66"/>
  <c r="L66" i="66"/>
  <c r="L100" i="66"/>
  <c r="L60" i="66"/>
  <c r="N85" i="66"/>
  <c r="N37" i="66"/>
  <c r="I35" i="66"/>
  <c r="N121" i="66"/>
  <c r="J42" i="66"/>
  <c r="L46" i="66"/>
  <c r="N39" i="66"/>
  <c r="L113" i="66"/>
  <c r="N119" i="66"/>
  <c r="N75" i="66"/>
  <c r="N55" i="66"/>
  <c r="J76" i="66"/>
  <c r="L36" i="66"/>
  <c r="J52" i="66"/>
  <c r="L84" i="66"/>
  <c r="L119" i="66"/>
  <c r="L47" i="66"/>
  <c r="N76" i="66"/>
  <c r="I65" i="66"/>
  <c r="L69" i="66"/>
  <c r="L59" i="66"/>
  <c r="I80" i="66"/>
  <c r="I57" i="66"/>
  <c r="I71" i="66"/>
  <c r="J48" i="66"/>
  <c r="I83" i="66"/>
  <c r="N133" i="66"/>
  <c r="L77" i="66"/>
  <c r="J71" i="66"/>
  <c r="I46" i="66"/>
  <c r="L108" i="66"/>
  <c r="L82" i="66"/>
  <c r="J69" i="66"/>
  <c r="E6" i="66"/>
  <c r="C2" i="66"/>
  <c r="N136" i="66"/>
  <c r="I49" i="66"/>
  <c r="B23" i="66"/>
  <c r="L135" i="66"/>
  <c r="N59" i="66"/>
  <c r="I55" i="66"/>
  <c r="I74" i="66"/>
  <c r="N62" i="66"/>
  <c r="N83" i="66"/>
  <c r="L134" i="66"/>
  <c r="L45" i="66"/>
  <c r="N101" i="66"/>
  <c r="N36" i="66"/>
  <c r="N105" i="66"/>
  <c r="N68" i="66"/>
  <c r="L120" i="66"/>
  <c r="N48" i="66"/>
  <c r="J35" i="66"/>
  <c r="C8" i="66"/>
  <c r="N74" i="66"/>
  <c r="N122" i="66"/>
  <c r="J38" i="66"/>
  <c r="L122" i="66"/>
  <c r="B84" i="67"/>
  <c r="B83" i="69"/>
  <c r="B115" i="67"/>
  <c r="F4" i="68"/>
  <c r="B18" i="68"/>
  <c r="B51" i="67"/>
  <c r="B18" i="66"/>
  <c r="B115" i="69"/>
  <c r="B51" i="69"/>
  <c r="B17" i="68"/>
  <c r="B18" i="67"/>
  <c r="F4" i="66"/>
  <c r="B83" i="67"/>
  <c r="B50" i="67"/>
  <c r="F4" i="70"/>
  <c r="B50" i="69"/>
  <c r="F4" i="67"/>
  <c r="B17" i="66"/>
  <c r="F4" i="69"/>
  <c r="B18" i="70"/>
  <c r="B114" i="67"/>
  <c r="B84" i="69"/>
  <c r="B17" i="69"/>
  <c r="B17" i="67"/>
  <c r="B114" i="69"/>
  <c r="B18" i="69"/>
  <c r="B17" i="70"/>
  <c r="C3" i="70"/>
  <c r="N26" i="70"/>
  <c r="C3" i="66"/>
  <c r="AA35" i="67" l="1"/>
  <c r="AA35" i="69"/>
  <c r="U112" i="70"/>
  <c r="U113" i="70" s="1"/>
  <c r="AA110" i="70"/>
  <c r="AF110" i="70" s="1"/>
  <c r="S112" i="70"/>
  <c r="S113" i="70" s="1"/>
  <c r="P112" i="68"/>
  <c r="P113" i="68" s="1"/>
  <c r="T112" i="68"/>
  <c r="T113" i="68" s="1"/>
  <c r="AA111" i="68"/>
  <c r="AF111" i="68" s="1"/>
  <c r="U112" i="68"/>
  <c r="U113" i="68" s="1"/>
  <c r="Q112" i="70"/>
  <c r="Q113" i="70" s="1"/>
  <c r="Y112" i="70"/>
  <c r="Y113" i="70" s="1"/>
  <c r="AA109" i="70"/>
  <c r="AI109" i="70" s="1"/>
  <c r="AD112" i="70"/>
  <c r="AD113" i="70" s="1"/>
  <c r="AI58" i="70"/>
  <c r="AI67" i="70"/>
  <c r="AA116" i="70"/>
  <c r="AI45" i="70"/>
  <c r="AI102" i="70"/>
  <c r="AI61" i="70"/>
  <c r="V112" i="70"/>
  <c r="V113" i="70" s="1"/>
  <c r="AI88" i="70"/>
  <c r="R112" i="68"/>
  <c r="R113" i="68" s="1"/>
  <c r="Z112" i="68"/>
  <c r="Z113" i="68" s="1"/>
  <c r="AD112" i="68"/>
  <c r="AG112" i="68"/>
  <c r="AI37" i="68"/>
  <c r="AI41" i="68"/>
  <c r="AI67" i="68"/>
  <c r="AI75" i="68"/>
  <c r="AA110" i="68"/>
  <c r="AI110" i="68" s="1"/>
  <c r="AI39" i="68"/>
  <c r="AI69" i="68"/>
  <c r="AI82" i="68"/>
  <c r="AI47" i="68"/>
  <c r="AI88" i="68"/>
  <c r="V112" i="68"/>
  <c r="V113" i="68" s="1"/>
  <c r="AI91" i="68"/>
  <c r="Y112" i="68"/>
  <c r="Y113" i="68" s="1"/>
  <c r="X112" i="68"/>
  <c r="X113" i="68" s="1"/>
  <c r="AI38" i="66"/>
  <c r="AI45" i="66"/>
  <c r="AI37" i="66"/>
  <c r="AI41" i="66"/>
  <c r="AI93" i="66"/>
  <c r="AI75" i="66"/>
  <c r="AI118" i="66"/>
  <c r="AI40" i="66"/>
  <c r="AI56" i="66"/>
  <c r="AI105" i="66"/>
  <c r="AI112" i="66"/>
  <c r="AI126" i="66"/>
  <c r="AI99" i="66"/>
  <c r="AI130" i="66"/>
  <c r="AI69" i="66"/>
  <c r="AI101" i="66"/>
  <c r="AI109" i="66"/>
  <c r="M57" i="66"/>
  <c r="M35" i="66"/>
  <c r="M38" i="66"/>
  <c r="M42" i="66"/>
  <c r="M48" i="66"/>
  <c r="M55" i="66"/>
  <c r="M84" i="66"/>
  <c r="M36" i="68"/>
  <c r="M52" i="66"/>
  <c r="B62" i="67"/>
  <c r="B29" i="67"/>
  <c r="M39" i="66"/>
  <c r="M46" i="66"/>
  <c r="M62" i="66"/>
  <c r="M80" i="66"/>
  <c r="M45" i="66"/>
  <c r="M36" i="66"/>
  <c r="M58" i="66"/>
  <c r="N139" i="66"/>
  <c r="M52" i="68"/>
  <c r="M49" i="66"/>
  <c r="M56" i="66"/>
  <c r="M71" i="66"/>
  <c r="M77" i="66"/>
  <c r="N141" i="66"/>
  <c r="M37" i="66"/>
  <c r="M59" i="66"/>
  <c r="N140" i="66"/>
  <c r="M47" i="66"/>
  <c r="M69" i="66"/>
  <c r="M75" i="66"/>
  <c r="M82" i="66"/>
  <c r="M42" i="68"/>
  <c r="M47" i="68"/>
  <c r="M48" i="68"/>
  <c r="K35" i="67"/>
  <c r="M35" i="67"/>
  <c r="M75" i="70"/>
  <c r="M35" i="68"/>
  <c r="M37" i="68"/>
  <c r="M38" i="68"/>
  <c r="M45" i="68"/>
  <c r="M69" i="68"/>
  <c r="M82" i="68"/>
  <c r="M39" i="68"/>
  <c r="M46" i="68"/>
  <c r="M83" i="68"/>
  <c r="N120" i="68"/>
  <c r="M49" i="68"/>
  <c r="M55" i="68"/>
  <c r="M58" i="68"/>
  <c r="M59" i="68"/>
  <c r="M75" i="68"/>
  <c r="N118" i="68"/>
  <c r="N119" i="68"/>
  <c r="M57" i="68"/>
  <c r="M71" i="70"/>
  <c r="M62" i="68"/>
  <c r="M80" i="68"/>
  <c r="K35" i="69"/>
  <c r="M35" i="69"/>
  <c r="M56" i="68"/>
  <c r="M71" i="68"/>
  <c r="M77" i="68"/>
  <c r="M80" i="70"/>
  <c r="M36" i="70"/>
  <c r="M39" i="70"/>
  <c r="N118" i="70"/>
  <c r="M49" i="70"/>
  <c r="M58" i="70"/>
  <c r="M69" i="70"/>
  <c r="M77" i="70"/>
  <c r="M82" i="70"/>
  <c r="B29" i="69"/>
  <c r="B62" i="69"/>
  <c r="M52" i="70"/>
  <c r="M46" i="70"/>
  <c r="M47" i="70"/>
  <c r="M56" i="70"/>
  <c r="M62" i="70"/>
  <c r="M37" i="70"/>
  <c r="M59" i="70"/>
  <c r="N117" i="70"/>
  <c r="M35" i="70"/>
  <c r="M57" i="70"/>
  <c r="M38" i="70"/>
  <c r="M45" i="70"/>
  <c r="M42" i="70"/>
  <c r="M48" i="70"/>
  <c r="M55" i="70"/>
  <c r="M83" i="70"/>
  <c r="N116" i="70"/>
  <c r="AI107" i="66"/>
  <c r="AI92" i="66"/>
  <c r="AI85" i="66"/>
  <c r="AI91" i="66"/>
  <c r="AI42" i="66"/>
  <c r="AI65" i="66"/>
  <c r="AI58" i="66"/>
  <c r="AI36" i="66"/>
  <c r="AI121" i="66"/>
  <c r="G54" i="66"/>
  <c r="AI52" i="66"/>
  <c r="AA137" i="66"/>
  <c r="AI136" i="66"/>
  <c r="AA142" i="66"/>
  <c r="AA139" i="66"/>
  <c r="AA140" i="66"/>
  <c r="AI36" i="68"/>
  <c r="AI48" i="68"/>
  <c r="AI132" i="66"/>
  <c r="AI84" i="66"/>
  <c r="AI114" i="66"/>
  <c r="AI128" i="66"/>
  <c r="AI48" i="70"/>
  <c r="AI59" i="68"/>
  <c r="AI116" i="66"/>
  <c r="AI39" i="66"/>
  <c r="G44" i="66"/>
  <c r="AA141" i="66"/>
  <c r="AI51" i="70"/>
  <c r="AI38" i="68"/>
  <c r="AI49" i="68"/>
  <c r="AI99" i="68"/>
  <c r="AI56" i="68"/>
  <c r="AI83" i="68"/>
  <c r="AA108" i="68"/>
  <c r="Q112" i="68"/>
  <c r="Q113" i="68" s="1"/>
  <c r="AI45" i="68"/>
  <c r="AI71" i="68"/>
  <c r="AI76" i="68"/>
  <c r="AI55" i="68"/>
  <c r="AI89" i="68"/>
  <c r="AI40" i="70"/>
  <c r="AA119" i="68"/>
  <c r="AI105" i="68"/>
  <c r="S112" i="68"/>
  <c r="S113" i="68" s="1"/>
  <c r="AA109" i="68"/>
  <c r="AI66" i="68"/>
  <c r="AI70" i="68"/>
  <c r="AI74" i="68"/>
  <c r="AI95" i="68"/>
  <c r="O112" i="68"/>
  <c r="W112" i="68"/>
  <c r="W113" i="68" s="1"/>
  <c r="AI47" i="70"/>
  <c r="AI97" i="70"/>
  <c r="G73" i="68"/>
  <c r="AI103" i="68"/>
  <c r="Z112" i="70"/>
  <c r="Z113" i="70" s="1"/>
  <c r="AI89" i="70"/>
  <c r="R112" i="70"/>
  <c r="R113" i="70" s="1"/>
  <c r="T112" i="70"/>
  <c r="T113" i="70" s="1"/>
  <c r="AI55" i="70"/>
  <c r="AI57" i="70"/>
  <c r="AI75" i="70"/>
  <c r="AI37" i="70"/>
  <c r="AI69" i="70"/>
  <c r="AI82" i="70"/>
  <c r="AA118" i="70"/>
  <c r="AG112" i="70"/>
  <c r="AI35" i="70"/>
  <c r="AI59" i="70"/>
  <c r="O112" i="70"/>
  <c r="AA108" i="70"/>
  <c r="W112" i="70"/>
  <c r="W113" i="70" s="1"/>
  <c r="AA111" i="70"/>
  <c r="AA117" i="70"/>
  <c r="AI41" i="70"/>
  <c r="AI50" i="70"/>
  <c r="AI70" i="70"/>
  <c r="AI83" i="70"/>
  <c r="P112" i="70"/>
  <c r="P113" i="70" s="1"/>
  <c r="X112" i="70"/>
  <c r="X113" i="70" s="1"/>
  <c r="AI39" i="70"/>
  <c r="AG102" i="65"/>
  <c r="AD102" i="65"/>
  <c r="Z102" i="65"/>
  <c r="Y102" i="65"/>
  <c r="X102" i="65"/>
  <c r="W102" i="65"/>
  <c r="V102" i="65"/>
  <c r="U102" i="65"/>
  <c r="T102" i="65"/>
  <c r="S102" i="65"/>
  <c r="R102" i="65"/>
  <c r="Q102" i="65"/>
  <c r="P102" i="65"/>
  <c r="O102" i="65"/>
  <c r="AH76" i="65"/>
  <c r="AE76" i="65"/>
  <c r="AG70" i="65"/>
  <c r="AG103" i="65" s="1"/>
  <c r="AD70" i="65"/>
  <c r="AD103" i="65" s="1"/>
  <c r="Z70" i="65"/>
  <c r="Z103" i="65" s="1"/>
  <c r="Y70" i="65"/>
  <c r="Y103" i="65" s="1"/>
  <c r="X70" i="65"/>
  <c r="X103" i="65" s="1"/>
  <c r="W70" i="65"/>
  <c r="W103" i="65" s="1"/>
  <c r="V70" i="65"/>
  <c r="V103" i="65" s="1"/>
  <c r="U70" i="65"/>
  <c r="U103" i="65" s="1"/>
  <c r="T70" i="65"/>
  <c r="T103" i="65" s="1"/>
  <c r="S70" i="65"/>
  <c r="S103" i="65" s="1"/>
  <c r="R70" i="65"/>
  <c r="R103" i="65" s="1"/>
  <c r="Q70" i="65"/>
  <c r="Q103" i="65" s="1"/>
  <c r="P70" i="65"/>
  <c r="P103" i="65" s="1"/>
  <c r="O70" i="65"/>
  <c r="AI69" i="65"/>
  <c r="AH69" i="65"/>
  <c r="AF69" i="65"/>
  <c r="AE69" i="65"/>
  <c r="AB69" i="65"/>
  <c r="AA31" i="65"/>
  <c r="G20" i="65"/>
  <c r="G19" i="65"/>
  <c r="N26" i="69"/>
  <c r="M51" i="70"/>
  <c r="M68" i="70"/>
  <c r="M41" i="70"/>
  <c r="M40" i="70"/>
  <c r="M60" i="70"/>
  <c r="M61" i="70"/>
  <c r="M76" i="70"/>
  <c r="M67" i="70"/>
  <c r="M65" i="70"/>
  <c r="M50" i="70"/>
  <c r="M66" i="70"/>
  <c r="M70" i="70"/>
  <c r="M74" i="70"/>
  <c r="M66" i="68"/>
  <c r="M61" i="68"/>
  <c r="M65" i="68"/>
  <c r="M76" i="68"/>
  <c r="C3" i="68"/>
  <c r="M68" i="68"/>
  <c r="M70" i="68"/>
  <c r="M60" i="68"/>
  <c r="M41" i="68"/>
  <c r="M51" i="68"/>
  <c r="M50" i="68"/>
  <c r="M67" i="68"/>
  <c r="M40" i="68"/>
  <c r="M74" i="68"/>
  <c r="N26" i="68"/>
  <c r="N26" i="67"/>
  <c r="C3" i="67"/>
  <c r="M51" i="66"/>
  <c r="M50" i="66"/>
  <c r="N26" i="66"/>
  <c r="M70" i="66"/>
  <c r="M60" i="66"/>
  <c r="M65" i="66"/>
  <c r="M76" i="66"/>
  <c r="M67" i="66"/>
  <c r="M68" i="66"/>
  <c r="M83" i="66"/>
  <c r="M74" i="66"/>
  <c r="M41" i="66"/>
  <c r="M66" i="66"/>
  <c r="M61" i="66"/>
  <c r="M40" i="66"/>
  <c r="B22" i="65"/>
  <c r="N35" i="65"/>
  <c r="L60" i="65"/>
  <c r="B56" i="65"/>
  <c r="J111" i="65"/>
  <c r="I60" i="65"/>
  <c r="J109" i="65"/>
  <c r="I59" i="65"/>
  <c r="B116" i="65"/>
  <c r="I114" i="65"/>
  <c r="N77" i="65"/>
  <c r="N100" i="65"/>
  <c r="E6" i="65"/>
  <c r="J113" i="65"/>
  <c r="N107" i="65"/>
  <c r="I108" i="65"/>
  <c r="J34" i="65"/>
  <c r="N72" i="65"/>
  <c r="L77" i="65"/>
  <c r="I112" i="65"/>
  <c r="N99" i="65"/>
  <c r="J35" i="65"/>
  <c r="C7" i="65"/>
  <c r="I72" i="65"/>
  <c r="N59" i="65"/>
  <c r="J59" i="65"/>
  <c r="I111" i="65"/>
  <c r="I88" i="65"/>
  <c r="J89" i="65"/>
  <c r="N74" i="65"/>
  <c r="I73" i="65"/>
  <c r="C6" i="65"/>
  <c r="L35" i="65"/>
  <c r="J70" i="65"/>
  <c r="I115" i="65"/>
  <c r="I110" i="65"/>
  <c r="J60" i="65"/>
  <c r="I33" i="65"/>
  <c r="B55" i="65"/>
  <c r="J73" i="65"/>
  <c r="N69" i="65"/>
  <c r="N20" i="65"/>
  <c r="C2" i="65"/>
  <c r="I58" i="65"/>
  <c r="J100" i="65"/>
  <c r="I97" i="65"/>
  <c r="N89" i="65"/>
  <c r="B3" i="65"/>
  <c r="N60" i="65"/>
  <c r="I74" i="65"/>
  <c r="I35" i="65"/>
  <c r="N76" i="65"/>
  <c r="C8" i="65"/>
  <c r="I76" i="65"/>
  <c r="N34" i="65"/>
  <c r="J107" i="65"/>
  <c r="B23" i="65"/>
  <c r="L89" i="65"/>
  <c r="N113" i="65"/>
  <c r="L74" i="65"/>
  <c r="I107" i="65"/>
  <c r="J72" i="65"/>
  <c r="B19" i="65"/>
  <c r="J69" i="65"/>
  <c r="N26" i="65"/>
  <c r="J115" i="65"/>
  <c r="B89" i="65"/>
  <c r="J114" i="65"/>
  <c r="L76" i="65"/>
  <c r="N70" i="65"/>
  <c r="B85" i="65"/>
  <c r="N110" i="65"/>
  <c r="I69" i="65"/>
  <c r="I99" i="65"/>
  <c r="I77" i="65"/>
  <c r="J76" i="65"/>
  <c r="B52" i="65"/>
  <c r="J58" i="65"/>
  <c r="I100" i="65"/>
  <c r="J108" i="65"/>
  <c r="J97" i="65"/>
  <c r="J88" i="65"/>
  <c r="C1" i="65"/>
  <c r="B88" i="65"/>
  <c r="N88" i="65"/>
  <c r="J112" i="65"/>
  <c r="C5" i="65"/>
  <c r="N97" i="65"/>
  <c r="N27" i="65"/>
  <c r="N73" i="65"/>
  <c r="I113" i="65"/>
  <c r="J99" i="65"/>
  <c r="I109" i="65"/>
  <c r="I89" i="65"/>
  <c r="B120" i="65"/>
  <c r="J33" i="65"/>
  <c r="N19" i="65"/>
  <c r="C3" i="65"/>
  <c r="N33" i="65"/>
  <c r="J74" i="65"/>
  <c r="I70" i="65"/>
  <c r="N58" i="65"/>
  <c r="J110" i="65"/>
  <c r="I34" i="65"/>
  <c r="J77" i="65"/>
  <c r="B50" i="65"/>
  <c r="B18" i="65"/>
  <c r="B84" i="65"/>
  <c r="B83" i="65"/>
  <c r="F4" i="65"/>
  <c r="B17" i="65"/>
  <c r="B115" i="65"/>
  <c r="B114" i="65"/>
  <c r="B51" i="65"/>
  <c r="AA89" i="65" l="1"/>
  <c r="AA100" i="65"/>
  <c r="AA77" i="65"/>
  <c r="AA99" i="65"/>
  <c r="AA35" i="65"/>
  <c r="AA97" i="65"/>
  <c r="AA60" i="65"/>
  <c r="AF35" i="67"/>
  <c r="AF35" i="69"/>
  <c r="AI110" i="70"/>
  <c r="AF110" i="68"/>
  <c r="AA74" i="65"/>
  <c r="AD113" i="68"/>
  <c r="AF109" i="70"/>
  <c r="AG113" i="68"/>
  <c r="AI111" i="68"/>
  <c r="AB109" i="70"/>
  <c r="AI42" i="68"/>
  <c r="G44" i="68"/>
  <c r="AN69" i="65"/>
  <c r="AG113" i="70"/>
  <c r="AF109" i="68"/>
  <c r="AI109" i="68"/>
  <c r="AI42" i="70"/>
  <c r="G44" i="70"/>
  <c r="AI84" i="68"/>
  <c r="AA120" i="68"/>
  <c r="G79" i="66"/>
  <c r="AI77" i="66"/>
  <c r="AI35" i="69"/>
  <c r="G64" i="70"/>
  <c r="AI62" i="70"/>
  <c r="G79" i="70"/>
  <c r="AI77" i="70"/>
  <c r="G54" i="68"/>
  <c r="AI52" i="68"/>
  <c r="AF111" i="70"/>
  <c r="AI111" i="70"/>
  <c r="O113" i="68"/>
  <c r="AA112" i="68"/>
  <c r="AI71" i="66"/>
  <c r="G73" i="66"/>
  <c r="AI94" i="66"/>
  <c r="AI77" i="68"/>
  <c r="G79" i="68"/>
  <c r="AI119" i="66"/>
  <c r="AI52" i="70"/>
  <c r="G54" i="70"/>
  <c r="AI86" i="66"/>
  <c r="G64" i="68"/>
  <c r="AI62" i="68"/>
  <c r="AI108" i="70"/>
  <c r="AF108" i="70"/>
  <c r="AF108" i="68"/>
  <c r="AI108" i="68"/>
  <c r="AI84" i="70"/>
  <c r="O113" i="70"/>
  <c r="AA112" i="70"/>
  <c r="G73" i="70"/>
  <c r="AI71" i="70"/>
  <c r="AI137" i="66"/>
  <c r="AF137" i="66"/>
  <c r="AI35" i="67"/>
  <c r="K69" i="65"/>
  <c r="M77" i="65"/>
  <c r="K77" i="65"/>
  <c r="M60" i="65"/>
  <c r="K60" i="65"/>
  <c r="B62" i="65"/>
  <c r="B29" i="65"/>
  <c r="M35" i="65"/>
  <c r="K35" i="65"/>
  <c r="K89" i="65"/>
  <c r="N103" i="65"/>
  <c r="AA70" i="65"/>
  <c r="K70" i="65"/>
  <c r="N102" i="65"/>
  <c r="K74" i="65"/>
  <c r="M74" i="65"/>
  <c r="AA76" i="65"/>
  <c r="M76" i="65"/>
  <c r="K76" i="65"/>
  <c r="O103" i="65"/>
  <c r="AM69" i="65"/>
  <c r="M89" i="65"/>
  <c r="AF60" i="65" l="1"/>
  <c r="AF97" i="65"/>
  <c r="AF35" i="65"/>
  <c r="AF99" i="65"/>
  <c r="AF77" i="65"/>
  <c r="AB77" i="65"/>
  <c r="AF100" i="65"/>
  <c r="AF89" i="65"/>
  <c r="AF74" i="65"/>
  <c r="AI122" i="66"/>
  <c r="AI112" i="68"/>
  <c r="AF112" i="68"/>
  <c r="AA113" i="68"/>
  <c r="AF112" i="70"/>
  <c r="AI112" i="70"/>
  <c r="AA113" i="70"/>
  <c r="AI74" i="65"/>
  <c r="AI89" i="65"/>
  <c r="AI35" i="65"/>
  <c r="AI60" i="65"/>
  <c r="AI76" i="65"/>
  <c r="AF76" i="65"/>
  <c r="AA103" i="65"/>
  <c r="AI70" i="65"/>
  <c r="AF70" i="65"/>
  <c r="AI100" i="65"/>
  <c r="AI99" i="65"/>
  <c r="AA102" i="65"/>
  <c r="AI97" i="65"/>
  <c r="AI77" i="65"/>
  <c r="AE40" i="35" l="1"/>
  <c r="F4" i="61"/>
  <c r="F4" i="64"/>
  <c r="F4" i="20"/>
  <c r="F4" i="55"/>
  <c r="F4" i="32"/>
  <c r="F4" i="24"/>
  <c r="F4" i="30"/>
  <c r="F4" i="27"/>
  <c r="F4" i="56"/>
  <c r="F4" i="23"/>
  <c r="F4" i="21"/>
  <c r="F4" i="58"/>
  <c r="F4" i="52"/>
  <c r="F4" i="39"/>
  <c r="F4" i="36"/>
  <c r="F4" i="63"/>
  <c r="F4" i="7"/>
  <c r="F4" i="26"/>
  <c r="F4" i="37"/>
  <c r="F4" i="31"/>
  <c r="F4" i="25"/>
  <c r="F4" i="57"/>
  <c r="F4" i="53"/>
  <c r="F4" i="34"/>
  <c r="F4" i="18"/>
  <c r="F4" i="62"/>
  <c r="F4" i="9"/>
  <c r="F4" i="15"/>
  <c r="F4" i="11"/>
  <c r="F4" i="35"/>
  <c r="F4" i="17"/>
  <c r="F4" i="19"/>
  <c r="F4" i="22"/>
  <c r="F4" i="16"/>
  <c r="F4" i="54"/>
  <c r="F4" i="51"/>
  <c r="F4" i="33"/>
  <c r="F4" i="28"/>
  <c r="F4" i="4"/>
  <c r="F4" i="29"/>
  <c r="F4" i="59"/>
  <c r="F4" i="6"/>
  <c r="M11" i="68" l="1"/>
  <c r="M11" i="69"/>
  <c r="M11" i="70"/>
  <c r="M11" i="66"/>
  <c r="B4" i="69"/>
  <c r="B4" i="67"/>
  <c r="B4" i="70"/>
  <c r="B4" i="68"/>
  <c r="B4" i="66"/>
  <c r="M11" i="67"/>
  <c r="M11" i="65"/>
  <c r="B4" i="65"/>
  <c r="M11" i="29"/>
  <c r="M11" i="25"/>
  <c r="M11" i="15"/>
  <c r="M11" i="52"/>
  <c r="M11" i="32"/>
  <c r="M11" i="23"/>
  <c r="M11" i="62"/>
  <c r="L11" i="37"/>
  <c r="M11" i="35"/>
  <c r="M11" i="22"/>
  <c r="M11" i="53"/>
  <c r="M11" i="17"/>
  <c r="M11" i="56"/>
  <c r="M11" i="16"/>
  <c r="M11" i="27"/>
  <c r="M11" i="54"/>
  <c r="M11" i="9"/>
  <c r="M11" i="26"/>
  <c r="M11" i="4"/>
  <c r="M11" i="30"/>
  <c r="M11" i="21"/>
  <c r="M11" i="59"/>
  <c r="M11" i="55"/>
  <c r="M11" i="64"/>
  <c r="M11" i="33"/>
  <c r="M11" i="20"/>
  <c r="M11" i="11"/>
  <c r="M11" i="61"/>
  <c r="M11" i="51"/>
  <c r="M11" i="58"/>
  <c r="M11" i="39"/>
  <c r="M11" i="31"/>
  <c r="M11" i="18"/>
  <c r="M11" i="63"/>
  <c r="M11" i="34"/>
  <c r="M11" i="57"/>
  <c r="M11" i="36"/>
  <c r="M11" i="28"/>
  <c r="M11" i="19"/>
  <c r="M11" i="7"/>
  <c r="L11" i="24"/>
  <c r="M11" i="6"/>
  <c r="AG146" i="64"/>
  <c r="AD146" i="64"/>
  <c r="Z146" i="64"/>
  <c r="Y146" i="64"/>
  <c r="X146" i="64"/>
  <c r="W146" i="64"/>
  <c r="V146" i="64"/>
  <c r="U146" i="64"/>
  <c r="T146" i="64"/>
  <c r="S146" i="64"/>
  <c r="R146" i="64"/>
  <c r="Q146" i="64"/>
  <c r="P146" i="64"/>
  <c r="O146" i="64"/>
  <c r="AG145" i="64"/>
  <c r="AD145" i="64"/>
  <c r="Z145" i="64"/>
  <c r="Y145" i="64"/>
  <c r="X145" i="64"/>
  <c r="W145" i="64"/>
  <c r="V145" i="64"/>
  <c r="U145" i="64"/>
  <c r="T145" i="64"/>
  <c r="S145" i="64"/>
  <c r="R145" i="64"/>
  <c r="Q145" i="64"/>
  <c r="P145" i="64"/>
  <c r="O145" i="64"/>
  <c r="AG144" i="64"/>
  <c r="AD144" i="64"/>
  <c r="Z144" i="64"/>
  <c r="Y144" i="64"/>
  <c r="X144" i="64"/>
  <c r="W144" i="64"/>
  <c r="V144" i="64"/>
  <c r="U144" i="64"/>
  <c r="T144" i="64"/>
  <c r="S144" i="64"/>
  <c r="R144" i="64"/>
  <c r="Q144" i="64"/>
  <c r="P144" i="64"/>
  <c r="O144" i="64"/>
  <c r="AG143" i="64"/>
  <c r="AD143" i="64"/>
  <c r="Z143" i="64"/>
  <c r="Y143" i="64"/>
  <c r="X143" i="64"/>
  <c r="W143" i="64"/>
  <c r="V143" i="64"/>
  <c r="U143" i="64"/>
  <c r="T143" i="64"/>
  <c r="S143" i="64"/>
  <c r="R143" i="64"/>
  <c r="Q143" i="64"/>
  <c r="P143" i="64"/>
  <c r="O143" i="64"/>
  <c r="AG141" i="64"/>
  <c r="AD141" i="64"/>
  <c r="Z141" i="64"/>
  <c r="Y141" i="64"/>
  <c r="X141" i="64"/>
  <c r="W141" i="64"/>
  <c r="V141" i="64"/>
  <c r="U141" i="64"/>
  <c r="T141" i="64"/>
  <c r="S141" i="64"/>
  <c r="R141" i="64"/>
  <c r="Q141" i="64"/>
  <c r="P141" i="64"/>
  <c r="O141" i="64"/>
  <c r="AH140" i="64"/>
  <c r="M140" i="64"/>
  <c r="AI139" i="64"/>
  <c r="M139" i="64"/>
  <c r="AH138" i="64"/>
  <c r="M138" i="64"/>
  <c r="AI137" i="64"/>
  <c r="M137" i="64"/>
  <c r="AH136" i="64"/>
  <c r="AI136" i="64"/>
  <c r="M136" i="64"/>
  <c r="AI135" i="64"/>
  <c r="M135" i="64"/>
  <c r="AH134" i="64"/>
  <c r="M134" i="64"/>
  <c r="AI133" i="64"/>
  <c r="M133" i="64"/>
  <c r="AH132" i="64"/>
  <c r="M132" i="64"/>
  <c r="AI131" i="64"/>
  <c r="M131" i="64"/>
  <c r="AH130" i="64"/>
  <c r="M130" i="64"/>
  <c r="M126" i="64"/>
  <c r="AH125" i="64"/>
  <c r="M125" i="64"/>
  <c r="AH124" i="64"/>
  <c r="M124" i="64"/>
  <c r="AH123" i="64"/>
  <c r="M123" i="64"/>
  <c r="AH122" i="64"/>
  <c r="M122" i="64"/>
  <c r="AH121" i="64"/>
  <c r="M121" i="64"/>
  <c r="AI119" i="64"/>
  <c r="AH119" i="64"/>
  <c r="M119" i="64"/>
  <c r="AH118" i="64"/>
  <c r="M118" i="64"/>
  <c r="AH117" i="64"/>
  <c r="AI117" i="64"/>
  <c r="M117" i="64"/>
  <c r="AH116" i="64"/>
  <c r="M116" i="64"/>
  <c r="AI115" i="64"/>
  <c r="AH115" i="64"/>
  <c r="M115" i="64"/>
  <c r="AH114" i="64"/>
  <c r="M114" i="64"/>
  <c r="AI111" i="64"/>
  <c r="AH111" i="64"/>
  <c r="M111" i="64"/>
  <c r="AH110" i="64"/>
  <c r="M110" i="64"/>
  <c r="AH109" i="64"/>
  <c r="AI109" i="64"/>
  <c r="M109" i="64"/>
  <c r="AH108" i="64"/>
  <c r="M108" i="64"/>
  <c r="AI107" i="64"/>
  <c r="AH107" i="64"/>
  <c r="M107" i="64"/>
  <c r="AH106" i="64"/>
  <c r="M106" i="64"/>
  <c r="AH103" i="64"/>
  <c r="AI103" i="64"/>
  <c r="M103" i="64"/>
  <c r="AH102" i="64"/>
  <c r="M102" i="64"/>
  <c r="AI101" i="64"/>
  <c r="AH101" i="64"/>
  <c r="M101" i="64"/>
  <c r="AH100" i="64"/>
  <c r="M100" i="64"/>
  <c r="AI99" i="64"/>
  <c r="AH99" i="64"/>
  <c r="M99" i="64"/>
  <c r="AH98" i="64"/>
  <c r="M98" i="64"/>
  <c r="AH87" i="64"/>
  <c r="AI86" i="64"/>
  <c r="AH85" i="64"/>
  <c r="AH83" i="64"/>
  <c r="AH84" i="64"/>
  <c r="AH80" i="64"/>
  <c r="AI80" i="64"/>
  <c r="AH79" i="64"/>
  <c r="AI78" i="64"/>
  <c r="AH78" i="64"/>
  <c r="AH77" i="64"/>
  <c r="AI76" i="64"/>
  <c r="AH76" i="64"/>
  <c r="AH75" i="64"/>
  <c r="AH74" i="64"/>
  <c r="AH71" i="64"/>
  <c r="AI69" i="64"/>
  <c r="AH69" i="64"/>
  <c r="AH68" i="64"/>
  <c r="AI67" i="64"/>
  <c r="AH67" i="64"/>
  <c r="AH66" i="64"/>
  <c r="AH65" i="64"/>
  <c r="AI65" i="64"/>
  <c r="AH64" i="64"/>
  <c r="AI61" i="64"/>
  <c r="AH61" i="64"/>
  <c r="AI60" i="64"/>
  <c r="AH59" i="64"/>
  <c r="AH58" i="64"/>
  <c r="AI58" i="64"/>
  <c r="AH57" i="64"/>
  <c r="AH56" i="64"/>
  <c r="AI56" i="64"/>
  <c r="AH55" i="64"/>
  <c r="AH54" i="64"/>
  <c r="AH51" i="64"/>
  <c r="AI49" i="64"/>
  <c r="AH49" i="64"/>
  <c r="AH48" i="64"/>
  <c r="AI47" i="64"/>
  <c r="AH47" i="64"/>
  <c r="AH46" i="64"/>
  <c r="AI45" i="64"/>
  <c r="AH45" i="64"/>
  <c r="AH44" i="64"/>
  <c r="AH41" i="64"/>
  <c r="AI41" i="64"/>
  <c r="AI40" i="64"/>
  <c r="AH39" i="64"/>
  <c r="AI38" i="64"/>
  <c r="AH38" i="64"/>
  <c r="AH37" i="64"/>
  <c r="AI36" i="64"/>
  <c r="AH36" i="64"/>
  <c r="AH35" i="64"/>
  <c r="AA31" i="64"/>
  <c r="G20" i="64"/>
  <c r="G19" i="64"/>
  <c r="AG90" i="63"/>
  <c r="AD90" i="63"/>
  <c r="Z90" i="63"/>
  <c r="Y90" i="63"/>
  <c r="X90" i="63"/>
  <c r="W90" i="63"/>
  <c r="V90" i="63"/>
  <c r="U90" i="63"/>
  <c r="T90" i="63"/>
  <c r="S90" i="63"/>
  <c r="R90" i="63"/>
  <c r="Q90" i="63"/>
  <c r="P90" i="63"/>
  <c r="O90" i="63"/>
  <c r="AH88" i="63"/>
  <c r="AH87" i="63"/>
  <c r="AH85" i="63"/>
  <c r="AH83" i="63"/>
  <c r="AE83" i="63"/>
  <c r="AH79" i="63"/>
  <c r="AE79" i="63"/>
  <c r="AH78" i="63"/>
  <c r="AE78" i="63"/>
  <c r="AH76" i="63"/>
  <c r="AE76" i="63"/>
  <c r="AG72" i="63"/>
  <c r="AD72" i="63"/>
  <c r="AD91" i="63" s="1"/>
  <c r="Z72" i="63"/>
  <c r="Z91" i="63" s="1"/>
  <c r="Y72" i="63"/>
  <c r="Y91" i="63" s="1"/>
  <c r="X72" i="63"/>
  <c r="X91" i="63" s="1"/>
  <c r="W72" i="63"/>
  <c r="W91" i="63" s="1"/>
  <c r="V72" i="63"/>
  <c r="V91" i="63" s="1"/>
  <c r="U72" i="63"/>
  <c r="U91" i="63" s="1"/>
  <c r="T72" i="63"/>
  <c r="T91" i="63" s="1"/>
  <c r="S72" i="63"/>
  <c r="S91" i="63" s="1"/>
  <c r="R72" i="63"/>
  <c r="R91" i="63" s="1"/>
  <c r="Q72" i="63"/>
  <c r="Q91" i="63" s="1"/>
  <c r="P72" i="63"/>
  <c r="P91" i="63" s="1"/>
  <c r="O72" i="63"/>
  <c r="O91" i="63" s="1"/>
  <c r="AI71" i="63"/>
  <c r="AH71" i="63"/>
  <c r="AF71" i="63"/>
  <c r="AE71" i="63"/>
  <c r="AB71" i="63"/>
  <c r="AH62" i="63"/>
  <c r="AH35" i="63"/>
  <c r="AA31" i="63"/>
  <c r="G20" i="63"/>
  <c r="G19" i="63"/>
  <c r="AG146" i="62"/>
  <c r="AD146" i="62"/>
  <c r="Z146" i="62"/>
  <c r="Y146" i="62"/>
  <c r="X146" i="62"/>
  <c r="W146" i="62"/>
  <c r="V146" i="62"/>
  <c r="U146" i="62"/>
  <c r="T146" i="62"/>
  <c r="S146" i="62"/>
  <c r="R146" i="62"/>
  <c r="Q146" i="62"/>
  <c r="P146" i="62"/>
  <c r="O146" i="62"/>
  <c r="AG145" i="62"/>
  <c r="AD145" i="62"/>
  <c r="Z145" i="62"/>
  <c r="Y145" i="62"/>
  <c r="X145" i="62"/>
  <c r="W145" i="62"/>
  <c r="V145" i="62"/>
  <c r="U145" i="62"/>
  <c r="T145" i="62"/>
  <c r="S145" i="62"/>
  <c r="R145" i="62"/>
  <c r="Q145" i="62"/>
  <c r="P145" i="62"/>
  <c r="O145" i="62"/>
  <c r="AG144" i="62"/>
  <c r="AD144" i="62"/>
  <c r="Z144" i="62"/>
  <c r="Y144" i="62"/>
  <c r="X144" i="62"/>
  <c r="W144" i="62"/>
  <c r="V144" i="62"/>
  <c r="U144" i="62"/>
  <c r="T144" i="62"/>
  <c r="S144" i="62"/>
  <c r="R144" i="62"/>
  <c r="Q144" i="62"/>
  <c r="P144" i="62"/>
  <c r="O144" i="62"/>
  <c r="AG143" i="62"/>
  <c r="AD143" i="62"/>
  <c r="Z143" i="62"/>
  <c r="Y143" i="62"/>
  <c r="X143" i="62"/>
  <c r="W143" i="62"/>
  <c r="V143" i="62"/>
  <c r="U143" i="62"/>
  <c r="T143" i="62"/>
  <c r="S143" i="62"/>
  <c r="R143" i="62"/>
  <c r="Q143" i="62"/>
  <c r="P143" i="62"/>
  <c r="O143" i="62"/>
  <c r="AG141" i="62"/>
  <c r="AD141" i="62"/>
  <c r="Z141" i="62"/>
  <c r="Y141" i="62"/>
  <c r="X141" i="62"/>
  <c r="W141" i="62"/>
  <c r="V141" i="62"/>
  <c r="U141" i="62"/>
  <c r="T141" i="62"/>
  <c r="S141" i="62"/>
  <c r="R141" i="62"/>
  <c r="Q141" i="62"/>
  <c r="P141" i="62"/>
  <c r="O141" i="62"/>
  <c r="AH140" i="62"/>
  <c r="M140" i="62"/>
  <c r="AI139" i="62"/>
  <c r="M139" i="62"/>
  <c r="AH138" i="62"/>
  <c r="M138" i="62"/>
  <c r="AI137" i="62"/>
  <c r="M137" i="62"/>
  <c r="AH136" i="62"/>
  <c r="AI136" i="62"/>
  <c r="M136" i="62"/>
  <c r="AI135" i="62"/>
  <c r="M135" i="62"/>
  <c r="AH134" i="62"/>
  <c r="M134" i="62"/>
  <c r="AI133" i="62"/>
  <c r="M133" i="62"/>
  <c r="AH132" i="62"/>
  <c r="M132" i="62"/>
  <c r="AI131" i="62"/>
  <c r="M131" i="62"/>
  <c r="AH130" i="62"/>
  <c r="M130" i="62"/>
  <c r="M126" i="62"/>
  <c r="AH125" i="62"/>
  <c r="M125" i="62"/>
  <c r="AH124" i="62"/>
  <c r="M124" i="62"/>
  <c r="AH123" i="62"/>
  <c r="M123" i="62"/>
  <c r="AH122" i="62"/>
  <c r="M122" i="62"/>
  <c r="M121" i="62"/>
  <c r="AH119" i="62"/>
  <c r="AI119" i="62"/>
  <c r="M119" i="62"/>
  <c r="AH118" i="62"/>
  <c r="M118" i="62"/>
  <c r="AH117" i="62"/>
  <c r="AI117" i="62"/>
  <c r="M117" i="62"/>
  <c r="AI116" i="62"/>
  <c r="AH116" i="62"/>
  <c r="M116" i="62"/>
  <c r="AI115" i="62"/>
  <c r="AH115" i="62"/>
  <c r="M115" i="62"/>
  <c r="AH114" i="62"/>
  <c r="AI114" i="62"/>
  <c r="M114" i="62"/>
  <c r="AH111" i="62"/>
  <c r="M111" i="62"/>
  <c r="AH110" i="62"/>
  <c r="M110" i="62"/>
  <c r="AH109" i="62"/>
  <c r="AI109" i="62"/>
  <c r="M109" i="62"/>
  <c r="AH108" i="62"/>
  <c r="M108" i="62"/>
  <c r="AH107" i="62"/>
  <c r="AI107" i="62"/>
  <c r="M107" i="62"/>
  <c r="AH106" i="62"/>
  <c r="M106" i="62"/>
  <c r="AI103" i="62"/>
  <c r="AH103" i="62"/>
  <c r="M103" i="62"/>
  <c r="AH102" i="62"/>
  <c r="AI102" i="62"/>
  <c r="M102" i="62"/>
  <c r="AH101" i="62"/>
  <c r="M101" i="62"/>
  <c r="AH100" i="62"/>
  <c r="M100" i="62"/>
  <c r="AH99" i="62"/>
  <c r="AI99" i="62"/>
  <c r="M99" i="62"/>
  <c r="AH98" i="62"/>
  <c r="M98" i="62"/>
  <c r="AI92" i="62"/>
  <c r="AH87" i="62"/>
  <c r="AI87" i="62"/>
  <c r="AH85" i="62"/>
  <c r="AH83" i="62"/>
  <c r="AH84" i="62"/>
  <c r="AH80" i="62"/>
  <c r="AH79" i="62"/>
  <c r="AH78" i="62"/>
  <c r="AH77" i="62"/>
  <c r="AH76" i="62"/>
  <c r="AI76" i="62"/>
  <c r="AH75" i="62"/>
  <c r="AI75" i="62"/>
  <c r="AH74" i="62"/>
  <c r="AH71" i="62"/>
  <c r="AH69" i="62"/>
  <c r="AI69" i="62"/>
  <c r="AI68" i="62"/>
  <c r="AH68" i="62"/>
  <c r="AH67" i="62"/>
  <c r="AI67" i="62"/>
  <c r="AI66" i="62"/>
  <c r="AH66" i="62"/>
  <c r="AI65" i="62"/>
  <c r="AH65" i="62"/>
  <c r="AH64" i="62"/>
  <c r="AH61" i="62"/>
  <c r="AI61" i="62"/>
  <c r="AI60" i="62"/>
  <c r="AI59" i="62"/>
  <c r="AH59" i="62"/>
  <c r="AH58" i="62"/>
  <c r="AH57" i="62"/>
  <c r="AH56" i="62"/>
  <c r="AH55" i="62"/>
  <c r="AH54" i="62"/>
  <c r="AH51" i="62"/>
  <c r="AH49" i="62"/>
  <c r="AH48" i="62"/>
  <c r="AH47" i="62"/>
  <c r="AI47" i="62"/>
  <c r="AH46" i="62"/>
  <c r="AI46" i="62"/>
  <c r="AI45" i="62"/>
  <c r="AH45" i="62"/>
  <c r="AH44" i="62"/>
  <c r="AH41" i="62"/>
  <c r="AI40" i="62"/>
  <c r="AH39" i="62"/>
  <c r="AH38" i="62"/>
  <c r="AI37" i="62"/>
  <c r="AH37" i="62"/>
  <c r="AH36" i="62"/>
  <c r="AI35" i="62"/>
  <c r="AH35" i="62"/>
  <c r="AA31" i="62"/>
  <c r="G20" i="62"/>
  <c r="G19" i="62"/>
  <c r="AG90" i="61"/>
  <c r="AD90" i="61"/>
  <c r="Z90" i="61"/>
  <c r="Y90" i="61"/>
  <c r="X90" i="61"/>
  <c r="W90" i="61"/>
  <c r="V90" i="61"/>
  <c r="U90" i="61"/>
  <c r="T90" i="61"/>
  <c r="S90" i="61"/>
  <c r="R90" i="61"/>
  <c r="Q90" i="61"/>
  <c r="P90" i="61"/>
  <c r="O90" i="61"/>
  <c r="AH88" i="61"/>
  <c r="AH87" i="61"/>
  <c r="AH85" i="61"/>
  <c r="AH83" i="61"/>
  <c r="AE83" i="61"/>
  <c r="AH79" i="61"/>
  <c r="AE79" i="61"/>
  <c r="AH78" i="61"/>
  <c r="AE78" i="61"/>
  <c r="AH76" i="61"/>
  <c r="AE76" i="61"/>
  <c r="AG72" i="61"/>
  <c r="AG91" i="61" s="1"/>
  <c r="AD72" i="61"/>
  <c r="AD91" i="61" s="1"/>
  <c r="Z72" i="61"/>
  <c r="Z91" i="61" s="1"/>
  <c r="Y72" i="61"/>
  <c r="Y91" i="61" s="1"/>
  <c r="X72" i="61"/>
  <c r="X91" i="61" s="1"/>
  <c r="W72" i="61"/>
  <c r="W91" i="61" s="1"/>
  <c r="V72" i="61"/>
  <c r="V91" i="61" s="1"/>
  <c r="U72" i="61"/>
  <c r="U91" i="61" s="1"/>
  <c r="T72" i="61"/>
  <c r="T91" i="61" s="1"/>
  <c r="S72" i="61"/>
  <c r="S91" i="61" s="1"/>
  <c r="R72" i="61"/>
  <c r="R91" i="61" s="1"/>
  <c r="Q72" i="61"/>
  <c r="Q91" i="61" s="1"/>
  <c r="P72" i="61"/>
  <c r="P91" i="61" s="1"/>
  <c r="O72" i="61"/>
  <c r="O91" i="61" s="1"/>
  <c r="AI71" i="61"/>
  <c r="AH71" i="61"/>
  <c r="AF71" i="61"/>
  <c r="AE71" i="61"/>
  <c r="AB71" i="61"/>
  <c r="AH62" i="61"/>
  <c r="AH35" i="61"/>
  <c r="AA31" i="61"/>
  <c r="G20" i="61"/>
  <c r="G19" i="61"/>
  <c r="T40" i="5"/>
  <c r="T50" i="5"/>
  <c r="T41" i="5"/>
  <c r="T47" i="5"/>
  <c r="T46" i="5"/>
  <c r="T44" i="5"/>
  <c r="T48" i="5"/>
  <c r="T38" i="5"/>
  <c r="T36" i="5"/>
  <c r="T34" i="5"/>
  <c r="T39" i="5"/>
  <c r="T43" i="5"/>
  <c r="T42" i="5"/>
  <c r="T49" i="5"/>
  <c r="T45" i="5"/>
  <c r="T35" i="5"/>
  <c r="T37" i="5"/>
  <c r="N124" i="64"/>
  <c r="L49" i="64"/>
  <c r="J57" i="64"/>
  <c r="I79" i="64"/>
  <c r="J62" i="64"/>
  <c r="I50" i="64"/>
  <c r="N62" i="64"/>
  <c r="J67" i="64"/>
  <c r="N131" i="64"/>
  <c r="L62" i="64"/>
  <c r="N58" i="64"/>
  <c r="N86" i="64"/>
  <c r="L111" i="64"/>
  <c r="N116" i="64"/>
  <c r="J80" i="64"/>
  <c r="I47" i="64"/>
  <c r="N38" i="64"/>
  <c r="L134" i="64"/>
  <c r="L124" i="64"/>
  <c r="N129" i="64"/>
  <c r="N47" i="64"/>
  <c r="L122" i="64"/>
  <c r="J68" i="64"/>
  <c r="C5" i="64"/>
  <c r="N48" i="64"/>
  <c r="J46" i="64"/>
  <c r="N119" i="64"/>
  <c r="J52" i="64"/>
  <c r="I87" i="64"/>
  <c r="N81" i="64"/>
  <c r="L99" i="64"/>
  <c r="J81" i="64"/>
  <c r="I77" i="64"/>
  <c r="N118" i="64"/>
  <c r="N132" i="64"/>
  <c r="L81" i="64"/>
  <c r="J75" i="64"/>
  <c r="J58" i="64"/>
  <c r="L137" i="64"/>
  <c r="N117" i="64"/>
  <c r="L108" i="64"/>
  <c r="N39" i="64"/>
  <c r="N109" i="64"/>
  <c r="I46" i="64"/>
  <c r="L115" i="64"/>
  <c r="L101" i="64"/>
  <c r="L83" i="64"/>
  <c r="I59" i="64"/>
  <c r="L41" i="64"/>
  <c r="I45" i="64"/>
  <c r="I85" i="64"/>
  <c r="J71" i="64"/>
  <c r="E6" i="64"/>
  <c r="N138" i="64"/>
  <c r="N140" i="64"/>
  <c r="J78" i="64"/>
  <c r="I37" i="64"/>
  <c r="J47" i="64"/>
  <c r="I69" i="64"/>
  <c r="N35" i="64"/>
  <c r="J41" i="64"/>
  <c r="J66" i="64"/>
  <c r="N51" i="64"/>
  <c r="N50" i="64"/>
  <c r="N136" i="64"/>
  <c r="N80" i="64"/>
  <c r="L76" i="64"/>
  <c r="J61" i="64"/>
  <c r="L117" i="64"/>
  <c r="I67" i="64"/>
  <c r="J35" i="64"/>
  <c r="I83" i="64"/>
  <c r="N134" i="64"/>
  <c r="I41" i="64"/>
  <c r="N36" i="64"/>
  <c r="L66" i="64"/>
  <c r="N110" i="64"/>
  <c r="N68" i="64"/>
  <c r="L126" i="64"/>
  <c r="J40" i="64"/>
  <c r="N87" i="64"/>
  <c r="N85" i="64"/>
  <c r="L85" i="64"/>
  <c r="L70" i="64"/>
  <c r="I36" i="64"/>
  <c r="L69" i="64"/>
  <c r="L35" i="64"/>
  <c r="L131" i="64"/>
  <c r="L80" i="64"/>
  <c r="I42" i="64"/>
  <c r="I65" i="64"/>
  <c r="N88" i="64"/>
  <c r="N75" i="64"/>
  <c r="C7" i="64"/>
  <c r="L78" i="64"/>
  <c r="I39" i="64"/>
  <c r="I75" i="64"/>
  <c r="I88" i="64"/>
  <c r="L40" i="64"/>
  <c r="L68" i="64"/>
  <c r="J45" i="64"/>
  <c r="N42" i="64"/>
  <c r="L136" i="64"/>
  <c r="N106" i="64"/>
  <c r="L38" i="64"/>
  <c r="N49" i="64"/>
  <c r="L135" i="64"/>
  <c r="L52" i="64"/>
  <c r="L36" i="64"/>
  <c r="L110" i="64"/>
  <c r="L118" i="64"/>
  <c r="L107" i="64"/>
  <c r="L125" i="64"/>
  <c r="J39" i="64"/>
  <c r="N102" i="64"/>
  <c r="C2" i="64"/>
  <c r="N60" i="64"/>
  <c r="L86" i="64"/>
  <c r="N65" i="64"/>
  <c r="L98" i="64"/>
  <c r="I58" i="64"/>
  <c r="N55" i="64"/>
  <c r="J48" i="64"/>
  <c r="J70" i="64"/>
  <c r="L71" i="64"/>
  <c r="N37" i="64"/>
  <c r="I40" i="64"/>
  <c r="J72" i="64"/>
  <c r="N59" i="64"/>
  <c r="N52" i="64"/>
  <c r="L50" i="64"/>
  <c r="N98" i="64"/>
  <c r="N70" i="64"/>
  <c r="J88" i="64"/>
  <c r="I38" i="64"/>
  <c r="J92" i="64"/>
  <c r="N91" i="64"/>
  <c r="L67" i="64"/>
  <c r="N115" i="64"/>
  <c r="N125" i="64"/>
  <c r="L47" i="64"/>
  <c r="N57" i="64"/>
  <c r="N130" i="64"/>
  <c r="L51" i="64"/>
  <c r="N19" i="64"/>
  <c r="I49" i="64"/>
  <c r="I52" i="64"/>
  <c r="N107" i="64"/>
  <c r="I56" i="64"/>
  <c r="L60" i="64"/>
  <c r="N76" i="64"/>
  <c r="N66" i="64"/>
  <c r="N111" i="64"/>
  <c r="N123" i="64"/>
  <c r="L140" i="64"/>
  <c r="N139" i="64"/>
  <c r="L48" i="64"/>
  <c r="J65" i="64"/>
  <c r="L132" i="64"/>
  <c r="I61" i="64"/>
  <c r="I57" i="64"/>
  <c r="L123" i="64"/>
  <c r="L116" i="64"/>
  <c r="L119" i="64"/>
  <c r="I66" i="64"/>
  <c r="I86" i="64"/>
  <c r="N122" i="64"/>
  <c r="N133" i="64"/>
  <c r="L79" i="64"/>
  <c r="J59" i="64"/>
  <c r="L57" i="64"/>
  <c r="N126" i="64"/>
  <c r="B3" i="64"/>
  <c r="J55" i="64"/>
  <c r="N45" i="64"/>
  <c r="J76" i="64"/>
  <c r="J91" i="64"/>
  <c r="J79" i="64"/>
  <c r="I68" i="64"/>
  <c r="L61" i="64"/>
  <c r="J49" i="64"/>
  <c r="I76" i="64"/>
  <c r="J87" i="64"/>
  <c r="I81" i="64"/>
  <c r="J60" i="64"/>
  <c r="N92" i="64"/>
  <c r="I92" i="64"/>
  <c r="L42" i="64"/>
  <c r="N99" i="64"/>
  <c r="J38" i="64"/>
  <c r="N100" i="64"/>
  <c r="N114" i="64"/>
  <c r="B19" i="64"/>
  <c r="L77" i="64"/>
  <c r="L37" i="64"/>
  <c r="I70" i="64"/>
  <c r="N72" i="64"/>
  <c r="I60" i="64"/>
  <c r="J69" i="64"/>
  <c r="N71" i="64"/>
  <c r="J86" i="64"/>
  <c r="C1" i="64"/>
  <c r="N69" i="64"/>
  <c r="L75" i="64"/>
  <c r="L65" i="64"/>
  <c r="L138" i="64"/>
  <c r="I80" i="64"/>
  <c r="L46" i="64"/>
  <c r="I72" i="64"/>
  <c r="N108" i="64"/>
  <c r="B23" i="64"/>
  <c r="C8" i="64"/>
  <c r="N135" i="64"/>
  <c r="J56" i="64"/>
  <c r="L55" i="64"/>
  <c r="L103" i="64"/>
  <c r="L39" i="64"/>
  <c r="N83" i="64"/>
  <c r="N101" i="64"/>
  <c r="L121" i="64"/>
  <c r="N78" i="64"/>
  <c r="J37" i="64"/>
  <c r="N79" i="64"/>
  <c r="L130" i="64"/>
  <c r="L133" i="64"/>
  <c r="N103" i="64"/>
  <c r="L106" i="64"/>
  <c r="L100" i="64"/>
  <c r="L56" i="64"/>
  <c r="N56" i="64"/>
  <c r="L45" i="64"/>
  <c r="N41" i="64"/>
  <c r="N67" i="64"/>
  <c r="L72" i="64"/>
  <c r="L139" i="64"/>
  <c r="J51" i="64"/>
  <c r="J83" i="64"/>
  <c r="L59" i="64"/>
  <c r="I55" i="64"/>
  <c r="I62" i="64"/>
  <c r="J42" i="64"/>
  <c r="N137" i="64"/>
  <c r="I35" i="64"/>
  <c r="I48" i="64"/>
  <c r="L87" i="64"/>
  <c r="N20" i="64"/>
  <c r="L114" i="64"/>
  <c r="N77" i="64"/>
  <c r="N61" i="64"/>
  <c r="L109" i="64"/>
  <c r="L102" i="64"/>
  <c r="J85" i="64"/>
  <c r="J50" i="64"/>
  <c r="N46" i="64"/>
  <c r="N121" i="64"/>
  <c r="I71" i="64"/>
  <c r="C6" i="64"/>
  <c r="L58" i="64"/>
  <c r="J77" i="64"/>
  <c r="J36" i="64"/>
  <c r="I78" i="64"/>
  <c r="I91" i="64"/>
  <c r="I51" i="64"/>
  <c r="N40" i="64"/>
  <c r="I71" i="63"/>
  <c r="N33" i="63"/>
  <c r="B116" i="63"/>
  <c r="C1" i="63"/>
  <c r="I72" i="63"/>
  <c r="J74" i="63"/>
  <c r="B23" i="63"/>
  <c r="I75" i="63"/>
  <c r="J88" i="63"/>
  <c r="N76" i="63"/>
  <c r="J85" i="63"/>
  <c r="J82" i="63"/>
  <c r="I78" i="63"/>
  <c r="N19" i="63"/>
  <c r="B3" i="63"/>
  <c r="I83" i="63"/>
  <c r="N74" i="63"/>
  <c r="N71" i="63"/>
  <c r="J71" i="63"/>
  <c r="N78" i="63"/>
  <c r="B55" i="63"/>
  <c r="B88" i="63"/>
  <c r="L35" i="63"/>
  <c r="I35" i="63"/>
  <c r="N82" i="63"/>
  <c r="J87" i="63"/>
  <c r="B19" i="63"/>
  <c r="J60" i="63"/>
  <c r="J83" i="63"/>
  <c r="N75" i="63"/>
  <c r="J35" i="63"/>
  <c r="I76" i="63"/>
  <c r="B52" i="63"/>
  <c r="I85" i="63"/>
  <c r="L83" i="63"/>
  <c r="N34" i="63"/>
  <c r="I34" i="63"/>
  <c r="I60" i="63"/>
  <c r="N88" i="63"/>
  <c r="C7" i="63"/>
  <c r="L78" i="63"/>
  <c r="N26" i="63"/>
  <c r="N20" i="63"/>
  <c r="L76" i="63"/>
  <c r="N60" i="63"/>
  <c r="B85" i="63"/>
  <c r="J72" i="63"/>
  <c r="I88" i="63"/>
  <c r="I82" i="63"/>
  <c r="B56" i="63"/>
  <c r="B22" i="63"/>
  <c r="E6" i="63"/>
  <c r="C5" i="63"/>
  <c r="L79" i="63"/>
  <c r="J75" i="63"/>
  <c r="N35" i="63"/>
  <c r="C8" i="63"/>
  <c r="N61" i="63"/>
  <c r="L62" i="63"/>
  <c r="N87" i="63"/>
  <c r="J61" i="63"/>
  <c r="J78" i="63"/>
  <c r="N79" i="63"/>
  <c r="N85" i="63"/>
  <c r="J34" i="63"/>
  <c r="C6" i="63"/>
  <c r="J33" i="63"/>
  <c r="I87" i="63"/>
  <c r="N62" i="63"/>
  <c r="I62" i="63"/>
  <c r="I61" i="63"/>
  <c r="I33" i="63"/>
  <c r="J76" i="63"/>
  <c r="J79" i="63"/>
  <c r="N72" i="63"/>
  <c r="B120" i="63"/>
  <c r="N83" i="63"/>
  <c r="B89" i="63"/>
  <c r="C2" i="63"/>
  <c r="I79" i="63"/>
  <c r="J62" i="63"/>
  <c r="I74" i="63"/>
  <c r="C3" i="63"/>
  <c r="I69" i="62"/>
  <c r="L139" i="62"/>
  <c r="N98" i="62"/>
  <c r="L57" i="62"/>
  <c r="I78" i="62"/>
  <c r="L126" i="62"/>
  <c r="L46" i="62"/>
  <c r="J37" i="62"/>
  <c r="J87" i="62"/>
  <c r="J79" i="62"/>
  <c r="J51" i="62"/>
  <c r="L109" i="62"/>
  <c r="N56" i="62"/>
  <c r="I37" i="62"/>
  <c r="N116" i="62"/>
  <c r="N100" i="62"/>
  <c r="L138" i="62"/>
  <c r="N124" i="62"/>
  <c r="L87" i="62"/>
  <c r="J88" i="62"/>
  <c r="J48" i="62"/>
  <c r="L122" i="62"/>
  <c r="L35" i="62"/>
  <c r="B19" i="62"/>
  <c r="I91" i="62"/>
  <c r="L55" i="62"/>
  <c r="I38" i="62"/>
  <c r="I62" i="62"/>
  <c r="N46" i="62"/>
  <c r="L99" i="62"/>
  <c r="B23" i="62"/>
  <c r="I88" i="62"/>
  <c r="N42" i="62"/>
  <c r="L133" i="62"/>
  <c r="L36" i="62"/>
  <c r="N122" i="62"/>
  <c r="N57" i="62"/>
  <c r="L85" i="62"/>
  <c r="L110" i="62"/>
  <c r="N108" i="62"/>
  <c r="L79" i="62"/>
  <c r="I35" i="62"/>
  <c r="I52" i="62"/>
  <c r="N41" i="62"/>
  <c r="N117" i="62"/>
  <c r="I49" i="62"/>
  <c r="I71" i="62"/>
  <c r="B3" i="62"/>
  <c r="L136" i="62"/>
  <c r="L125" i="62"/>
  <c r="L75" i="62"/>
  <c r="I55" i="62"/>
  <c r="I59" i="62"/>
  <c r="L107" i="62"/>
  <c r="N75" i="62"/>
  <c r="N60" i="62"/>
  <c r="N65" i="62"/>
  <c r="L67" i="62"/>
  <c r="J72" i="62"/>
  <c r="L65" i="62"/>
  <c r="C1" i="62"/>
  <c r="I80" i="62"/>
  <c r="N47" i="62"/>
  <c r="L70" i="62"/>
  <c r="L86" i="62"/>
  <c r="I77" i="62"/>
  <c r="L83" i="62"/>
  <c r="N129" i="62"/>
  <c r="J45" i="62"/>
  <c r="N58" i="62"/>
  <c r="J52" i="62"/>
  <c r="J85" i="62"/>
  <c r="N71" i="62"/>
  <c r="C6" i="62"/>
  <c r="L131" i="62"/>
  <c r="I39" i="62"/>
  <c r="I70" i="62"/>
  <c r="C7" i="62"/>
  <c r="N121" i="62"/>
  <c r="N135" i="62"/>
  <c r="L102" i="62"/>
  <c r="N140" i="62"/>
  <c r="L76" i="62"/>
  <c r="N123" i="62"/>
  <c r="N114" i="62"/>
  <c r="L51" i="62"/>
  <c r="N51" i="62"/>
  <c r="N136" i="62"/>
  <c r="J83" i="62"/>
  <c r="N132" i="62"/>
  <c r="I65" i="62"/>
  <c r="I51" i="62"/>
  <c r="N67" i="62"/>
  <c r="I47" i="62"/>
  <c r="I36" i="62"/>
  <c r="N81" i="62"/>
  <c r="L132" i="62"/>
  <c r="I79" i="62"/>
  <c r="N79" i="62"/>
  <c r="N83" i="62"/>
  <c r="N101" i="62"/>
  <c r="N80" i="62"/>
  <c r="L121" i="62"/>
  <c r="I46" i="62"/>
  <c r="J62" i="62"/>
  <c r="J65" i="62"/>
  <c r="J49" i="62"/>
  <c r="N111" i="62"/>
  <c r="L123" i="62"/>
  <c r="N125" i="62"/>
  <c r="L101" i="62"/>
  <c r="L117" i="62"/>
  <c r="L45" i="62"/>
  <c r="J80" i="62"/>
  <c r="J61" i="62"/>
  <c r="L81" i="62"/>
  <c r="N138" i="62"/>
  <c r="J68" i="62"/>
  <c r="N118" i="62"/>
  <c r="J67" i="62"/>
  <c r="L80" i="62"/>
  <c r="I92" i="62"/>
  <c r="L71" i="62"/>
  <c r="J78" i="62"/>
  <c r="N69" i="62"/>
  <c r="J81" i="62"/>
  <c r="N119" i="62"/>
  <c r="L69" i="62"/>
  <c r="L140" i="62"/>
  <c r="I57" i="62"/>
  <c r="I67" i="62"/>
  <c r="I86" i="62"/>
  <c r="L115" i="62"/>
  <c r="N72" i="62"/>
  <c r="C8" i="62"/>
  <c r="J75" i="62"/>
  <c r="N19" i="62"/>
  <c r="N87" i="62"/>
  <c r="N45" i="62"/>
  <c r="J39" i="62"/>
  <c r="L114" i="62"/>
  <c r="I48" i="62"/>
  <c r="J56" i="62"/>
  <c r="I81" i="62"/>
  <c r="L116" i="62"/>
  <c r="I87" i="62"/>
  <c r="J71" i="62"/>
  <c r="J38" i="62"/>
  <c r="J55" i="62"/>
  <c r="I83" i="62"/>
  <c r="L40" i="62"/>
  <c r="L50" i="62"/>
  <c r="L38" i="62"/>
  <c r="L130" i="62"/>
  <c r="I41" i="62"/>
  <c r="J46" i="62"/>
  <c r="N103" i="62"/>
  <c r="N78" i="62"/>
  <c r="L61" i="62"/>
  <c r="L100" i="62"/>
  <c r="N20" i="62"/>
  <c r="N50" i="62"/>
  <c r="L124" i="62"/>
  <c r="J77" i="62"/>
  <c r="I66" i="62"/>
  <c r="N59" i="62"/>
  <c r="L137" i="62"/>
  <c r="I45" i="62"/>
  <c r="N38" i="62"/>
  <c r="L59" i="62"/>
  <c r="I58" i="62"/>
  <c r="J58" i="62"/>
  <c r="J70" i="62"/>
  <c r="N107" i="62"/>
  <c r="L72" i="62"/>
  <c r="J40" i="62"/>
  <c r="C2" i="62"/>
  <c r="I61" i="62"/>
  <c r="I60" i="62"/>
  <c r="L78" i="62"/>
  <c r="L118" i="62"/>
  <c r="N39" i="62"/>
  <c r="I85" i="62"/>
  <c r="L134" i="62"/>
  <c r="N91" i="62"/>
  <c r="N115" i="62"/>
  <c r="L47" i="62"/>
  <c r="L42" i="62"/>
  <c r="L62" i="62"/>
  <c r="L108" i="62"/>
  <c r="N77" i="62"/>
  <c r="J42" i="62"/>
  <c r="L56" i="62"/>
  <c r="L60" i="62"/>
  <c r="J91" i="62"/>
  <c r="N126" i="62"/>
  <c r="L52" i="62"/>
  <c r="N134" i="62"/>
  <c r="N52" i="62"/>
  <c r="C5" i="62"/>
  <c r="N133" i="62"/>
  <c r="N99" i="62"/>
  <c r="N88" i="62"/>
  <c r="I75" i="62"/>
  <c r="I42" i="62"/>
  <c r="L68" i="62"/>
  <c r="N35" i="62"/>
  <c r="L49" i="62"/>
  <c r="N139" i="62"/>
  <c r="L135" i="62"/>
  <c r="J36" i="62"/>
  <c r="L111" i="62"/>
  <c r="N102" i="62"/>
  <c r="N92" i="62"/>
  <c r="I40" i="62"/>
  <c r="N40" i="62"/>
  <c r="N62" i="62"/>
  <c r="L39" i="62"/>
  <c r="J76" i="62"/>
  <c r="J50" i="62"/>
  <c r="L106" i="62"/>
  <c r="L77" i="62"/>
  <c r="L48" i="62"/>
  <c r="N55" i="62"/>
  <c r="J35" i="62"/>
  <c r="N130" i="62"/>
  <c r="J92" i="62"/>
  <c r="N70" i="62"/>
  <c r="J59" i="62"/>
  <c r="L66" i="62"/>
  <c r="N110" i="62"/>
  <c r="J66" i="62"/>
  <c r="N36" i="62"/>
  <c r="N68" i="62"/>
  <c r="L37" i="62"/>
  <c r="J41" i="62"/>
  <c r="N85" i="62"/>
  <c r="N131" i="62"/>
  <c r="I50" i="62"/>
  <c r="I76" i="62"/>
  <c r="J69" i="62"/>
  <c r="J86" i="62"/>
  <c r="N48" i="62"/>
  <c r="L103" i="62"/>
  <c r="N109" i="62"/>
  <c r="I68" i="62"/>
  <c r="N49" i="62"/>
  <c r="L58" i="62"/>
  <c r="I56" i="62"/>
  <c r="L119" i="62"/>
  <c r="N37" i="62"/>
  <c r="N137" i="62"/>
  <c r="J47" i="62"/>
  <c r="N66" i="62"/>
  <c r="L98" i="62"/>
  <c r="I72" i="62"/>
  <c r="L41" i="62"/>
  <c r="J60" i="62"/>
  <c r="N86" i="62"/>
  <c r="N76" i="62"/>
  <c r="E6" i="62"/>
  <c r="N106" i="62"/>
  <c r="J57" i="62"/>
  <c r="N61" i="62"/>
  <c r="J75" i="61"/>
  <c r="N78" i="61"/>
  <c r="N71" i="61"/>
  <c r="L83" i="61"/>
  <c r="I33" i="61"/>
  <c r="I88" i="61"/>
  <c r="B55" i="61"/>
  <c r="B85" i="61"/>
  <c r="I71" i="61"/>
  <c r="B120" i="61"/>
  <c r="L78" i="61"/>
  <c r="C2" i="61"/>
  <c r="B88" i="61"/>
  <c r="N76" i="61"/>
  <c r="L79" i="61"/>
  <c r="B56" i="61"/>
  <c r="J88" i="61"/>
  <c r="I72" i="61"/>
  <c r="N87" i="61"/>
  <c r="N83" i="61"/>
  <c r="B116" i="61"/>
  <c r="N75" i="61"/>
  <c r="I61" i="61"/>
  <c r="J82" i="61"/>
  <c r="B3" i="61"/>
  <c r="J34" i="61"/>
  <c r="I83" i="61"/>
  <c r="C3" i="61"/>
  <c r="I79" i="61"/>
  <c r="C8" i="61"/>
  <c r="J83" i="61"/>
  <c r="J62" i="61"/>
  <c r="I85" i="61"/>
  <c r="L76" i="61"/>
  <c r="I60" i="61"/>
  <c r="N26" i="61"/>
  <c r="C7" i="61"/>
  <c r="I87" i="61"/>
  <c r="N88" i="61"/>
  <c r="I34" i="61"/>
  <c r="N19" i="61"/>
  <c r="J60" i="61"/>
  <c r="N33" i="61"/>
  <c r="N60" i="61"/>
  <c r="C5" i="61"/>
  <c r="N20" i="61"/>
  <c r="L62" i="61"/>
  <c r="N62" i="61"/>
  <c r="I82" i="61"/>
  <c r="B52" i="61"/>
  <c r="J85" i="61"/>
  <c r="N85" i="61"/>
  <c r="J76" i="61"/>
  <c r="I62" i="61"/>
  <c r="J35" i="61"/>
  <c r="N35" i="61"/>
  <c r="J33" i="61"/>
  <c r="I75" i="61"/>
  <c r="C1" i="61"/>
  <c r="I78" i="61"/>
  <c r="E6" i="61"/>
  <c r="N82" i="61"/>
  <c r="N34" i="61"/>
  <c r="J87" i="61"/>
  <c r="I74" i="61"/>
  <c r="J71" i="61"/>
  <c r="J74" i="61"/>
  <c r="I35" i="61"/>
  <c r="N79" i="61"/>
  <c r="C6" i="61"/>
  <c r="J61" i="61"/>
  <c r="J78" i="61"/>
  <c r="J72" i="61"/>
  <c r="N61" i="61"/>
  <c r="N72" i="61"/>
  <c r="B89" i="61"/>
  <c r="I76" i="61"/>
  <c r="B19" i="61"/>
  <c r="B22" i="61"/>
  <c r="J79" i="61"/>
  <c r="N74" i="61"/>
  <c r="B23" i="61"/>
  <c r="L35" i="61"/>
  <c r="E4" i="68"/>
  <c r="E4" i="70"/>
  <c r="C4" i="66"/>
  <c r="B114" i="63"/>
  <c r="B51" i="61"/>
  <c r="E4" i="69"/>
  <c r="B17" i="61"/>
  <c r="B18" i="63"/>
  <c r="B84" i="63"/>
  <c r="B83" i="61"/>
  <c r="C4" i="68"/>
  <c r="B17" i="62"/>
  <c r="C4" i="67"/>
  <c r="B50" i="61"/>
  <c r="B115" i="63"/>
  <c r="B115" i="61"/>
  <c r="E4" i="67"/>
  <c r="C4" i="70"/>
  <c r="B83" i="63"/>
  <c r="B84" i="61"/>
  <c r="B18" i="61"/>
  <c r="C4" i="69"/>
  <c r="E4" i="65"/>
  <c r="E4" i="66"/>
  <c r="B18" i="64"/>
  <c r="B50" i="63"/>
  <c r="B17" i="63"/>
  <c r="B114" i="61"/>
  <c r="B51" i="63"/>
  <c r="B17" i="64"/>
  <c r="B18" i="62"/>
  <c r="C4" i="65"/>
  <c r="C3" i="64"/>
  <c r="N26" i="64"/>
  <c r="AA35" i="61" l="1"/>
  <c r="AA62" i="61"/>
  <c r="AA87" i="61"/>
  <c r="AA85" i="61"/>
  <c r="AA88" i="61"/>
  <c r="AA62" i="63"/>
  <c r="AA87" i="63"/>
  <c r="AA88" i="63"/>
  <c r="AA85" i="63"/>
  <c r="AA35" i="63"/>
  <c r="I48" i="5"/>
  <c r="I43" i="5"/>
  <c r="I40" i="5"/>
  <c r="I35" i="5"/>
  <c r="I49" i="5"/>
  <c r="I39" i="5"/>
  <c r="I45" i="5"/>
  <c r="I47" i="5"/>
  <c r="I36" i="5"/>
  <c r="I44" i="5"/>
  <c r="I37" i="5"/>
  <c r="I41" i="5"/>
  <c r="I34" i="5"/>
  <c r="I38" i="5"/>
  <c r="I42" i="5"/>
  <c r="I46" i="5"/>
  <c r="I50" i="5"/>
  <c r="G43" i="62"/>
  <c r="AI87" i="64"/>
  <c r="AI80" i="62"/>
  <c r="AI49" i="62"/>
  <c r="AI58" i="62"/>
  <c r="AI78" i="62"/>
  <c r="AI101" i="62"/>
  <c r="AI36" i="62"/>
  <c r="AI56" i="62"/>
  <c r="AI38" i="62"/>
  <c r="AI50" i="62"/>
  <c r="AI83" i="62"/>
  <c r="AI106" i="62"/>
  <c r="AI111" i="62"/>
  <c r="AA143" i="62"/>
  <c r="AI86" i="62"/>
  <c r="AI138" i="62"/>
  <c r="AE72" i="63"/>
  <c r="M47" i="64"/>
  <c r="B29" i="63"/>
  <c r="B62" i="63"/>
  <c r="H2" i="63"/>
  <c r="K62" i="63"/>
  <c r="M62" i="63"/>
  <c r="AA76" i="63"/>
  <c r="M76" i="63"/>
  <c r="K76" i="63"/>
  <c r="M67" i="64"/>
  <c r="M76" i="64"/>
  <c r="M78" i="63"/>
  <c r="K78" i="63"/>
  <c r="AA78" i="63"/>
  <c r="M83" i="63"/>
  <c r="AA83" i="63"/>
  <c r="K83" i="63"/>
  <c r="M35" i="63"/>
  <c r="K35" i="63"/>
  <c r="K71" i="63"/>
  <c r="M79" i="63"/>
  <c r="K79" i="63"/>
  <c r="AA79" i="63"/>
  <c r="N144" i="64"/>
  <c r="K72" i="63"/>
  <c r="AA72" i="63"/>
  <c r="N91" i="63"/>
  <c r="M38" i="64"/>
  <c r="M56" i="64"/>
  <c r="M72" i="64"/>
  <c r="N90" i="63"/>
  <c r="M69" i="64"/>
  <c r="M45" i="64"/>
  <c r="M49" i="64"/>
  <c r="M78" i="64"/>
  <c r="M37" i="64"/>
  <c r="M59" i="64"/>
  <c r="M66" i="64"/>
  <c r="M81" i="64"/>
  <c r="M83" i="64"/>
  <c r="M35" i="64"/>
  <c r="M57" i="64"/>
  <c r="M79" i="64"/>
  <c r="M85" i="64"/>
  <c r="N145" i="64"/>
  <c r="M42" i="64"/>
  <c r="M48" i="64"/>
  <c r="M55" i="64"/>
  <c r="M77" i="64"/>
  <c r="M36" i="64"/>
  <c r="M52" i="64"/>
  <c r="M58" i="64"/>
  <c r="M65" i="64"/>
  <c r="M87" i="64"/>
  <c r="M39" i="64"/>
  <c r="M46" i="64"/>
  <c r="M62" i="64"/>
  <c r="M68" i="64"/>
  <c r="M75" i="64"/>
  <c r="N143" i="64"/>
  <c r="AI134" i="64"/>
  <c r="AI79" i="64"/>
  <c r="AI125" i="64"/>
  <c r="AI55" i="64"/>
  <c r="AI123" i="64"/>
  <c r="AI71" i="64"/>
  <c r="AI75" i="64"/>
  <c r="AA146" i="64"/>
  <c r="AI130" i="64"/>
  <c r="AH72" i="63"/>
  <c r="AI50" i="64"/>
  <c r="AG91" i="63"/>
  <c r="AI46" i="64"/>
  <c r="AI114" i="64"/>
  <c r="AI93" i="64"/>
  <c r="AI102" i="64"/>
  <c r="AI85" i="64"/>
  <c r="AA141" i="64"/>
  <c r="AI98" i="64"/>
  <c r="AI68" i="64"/>
  <c r="AI108" i="64"/>
  <c r="AI132" i="64"/>
  <c r="AI35" i="64"/>
  <c r="AI48" i="64"/>
  <c r="AI51" i="64"/>
  <c r="AI77" i="64"/>
  <c r="AI100" i="64"/>
  <c r="AI118" i="64"/>
  <c r="AI138" i="64"/>
  <c r="AI91" i="64"/>
  <c r="AI140" i="64"/>
  <c r="AA143" i="64"/>
  <c r="AI39" i="64"/>
  <c r="AI57" i="64"/>
  <c r="AI110" i="64"/>
  <c r="AA144" i="64"/>
  <c r="AI70" i="64"/>
  <c r="AI92" i="64"/>
  <c r="AI37" i="64"/>
  <c r="AI59" i="64"/>
  <c r="AI66" i="64"/>
  <c r="AI83" i="64"/>
  <c r="AI106" i="64"/>
  <c r="AI116" i="64"/>
  <c r="AE72" i="61"/>
  <c r="AH72" i="61"/>
  <c r="M62" i="61"/>
  <c r="K62" i="61"/>
  <c r="B62" i="61"/>
  <c r="B29" i="61"/>
  <c r="H2" i="61"/>
  <c r="K72" i="61"/>
  <c r="AA72" i="61"/>
  <c r="K35" i="61"/>
  <c r="M35" i="61"/>
  <c r="M76" i="61"/>
  <c r="K76" i="61"/>
  <c r="AA76" i="61"/>
  <c r="M49" i="62"/>
  <c r="N90" i="61"/>
  <c r="N91" i="61"/>
  <c r="M69" i="62"/>
  <c r="N144" i="62"/>
  <c r="M35" i="62"/>
  <c r="M36" i="62"/>
  <c r="M47" i="62"/>
  <c r="M72" i="62"/>
  <c r="K78" i="61"/>
  <c r="AA78" i="61"/>
  <c r="M78" i="61"/>
  <c r="K83" i="61"/>
  <c r="AA83" i="61"/>
  <c r="M83" i="61"/>
  <c r="M76" i="62"/>
  <c r="M79" i="61"/>
  <c r="AA79" i="61"/>
  <c r="K79" i="61"/>
  <c r="K71" i="61"/>
  <c r="M42" i="62"/>
  <c r="M56" i="62"/>
  <c r="M78" i="62"/>
  <c r="M37" i="62"/>
  <c r="M59" i="62"/>
  <c r="M66" i="62"/>
  <c r="M81" i="62"/>
  <c r="M83" i="62"/>
  <c r="M57" i="62"/>
  <c r="M79" i="62"/>
  <c r="M85" i="62"/>
  <c r="N145" i="62"/>
  <c r="M38" i="62"/>
  <c r="M45" i="62"/>
  <c r="M67" i="62"/>
  <c r="M48" i="62"/>
  <c r="M55" i="62"/>
  <c r="M77" i="62"/>
  <c r="M52" i="62"/>
  <c r="M58" i="62"/>
  <c r="M65" i="62"/>
  <c r="M87" i="62"/>
  <c r="M39" i="62"/>
  <c r="M46" i="62"/>
  <c r="M62" i="62"/>
  <c r="M68" i="62"/>
  <c r="M75" i="62"/>
  <c r="N143" i="62"/>
  <c r="AI91" i="62"/>
  <c r="AI125" i="62"/>
  <c r="AI108" i="62"/>
  <c r="AI51" i="62"/>
  <c r="AI132" i="62"/>
  <c r="AI124" i="62"/>
  <c r="AI71" i="62"/>
  <c r="AA144" i="62"/>
  <c r="AI42" i="62"/>
  <c r="AI85" i="62"/>
  <c r="AA145" i="62"/>
  <c r="AI134" i="62"/>
  <c r="AI98" i="62"/>
  <c r="AI110" i="62"/>
  <c r="AI55" i="62"/>
  <c r="AI77" i="62"/>
  <c r="AI48" i="62"/>
  <c r="AI100" i="62"/>
  <c r="AI57" i="62"/>
  <c r="AI79" i="62"/>
  <c r="AI140" i="62"/>
  <c r="AA141" i="62"/>
  <c r="AI70" i="62"/>
  <c r="AI118" i="62"/>
  <c r="AI39" i="62"/>
  <c r="AI130" i="62"/>
  <c r="AI41" i="62"/>
  <c r="AH121" i="62"/>
  <c r="AA146" i="62"/>
  <c r="J6" i="5"/>
  <c r="M50" i="64"/>
  <c r="M61" i="64"/>
  <c r="M86" i="64"/>
  <c r="M80" i="64"/>
  <c r="M70" i="64"/>
  <c r="M71" i="64"/>
  <c r="M41" i="64"/>
  <c r="M40" i="64"/>
  <c r="M60" i="64"/>
  <c r="M51" i="64"/>
  <c r="N1" i="63"/>
  <c r="M86" i="62"/>
  <c r="M60" i="62"/>
  <c r="M71" i="62"/>
  <c r="C3" i="62"/>
  <c r="M41" i="62"/>
  <c r="M70" i="62"/>
  <c r="M80" i="62"/>
  <c r="M61" i="62"/>
  <c r="M40" i="62"/>
  <c r="N26" i="62"/>
  <c r="M50" i="62"/>
  <c r="M51" i="62"/>
  <c r="N1" i="61"/>
  <c r="AG17" i="54" l="1"/>
  <c r="AG18" i="54" s="1"/>
  <c r="AG17" i="63"/>
  <c r="AG18" i="63" s="1"/>
  <c r="AG17" i="61"/>
  <c r="AG18" i="61" s="1"/>
  <c r="AG17" i="53"/>
  <c r="AG18" i="53" s="1"/>
  <c r="AG17" i="52"/>
  <c r="AG18" i="52" s="1"/>
  <c r="AG17" i="51"/>
  <c r="AG18" i="51" s="1"/>
  <c r="AG17" i="9"/>
  <c r="AG18" i="9" s="1"/>
  <c r="AG17" i="18"/>
  <c r="AG18" i="18" s="1"/>
  <c r="AG17" i="29"/>
  <c r="AG18" i="29" s="1"/>
  <c r="AG17" i="4"/>
  <c r="AG18" i="4" s="1"/>
  <c r="AG17" i="21"/>
  <c r="AG18" i="21" s="1"/>
  <c r="AG17" i="7"/>
  <c r="AG18" i="7" s="1"/>
  <c r="AG17" i="36"/>
  <c r="AG18" i="36" s="1"/>
  <c r="AG17" i="30"/>
  <c r="AG18" i="30" s="1"/>
  <c r="AG17" i="20"/>
  <c r="AG18" i="20" s="1"/>
  <c r="AF17" i="24"/>
  <c r="AF18" i="24" s="1"/>
  <c r="AG17" i="33"/>
  <c r="AG18" i="33" s="1"/>
  <c r="AG17" i="25"/>
  <c r="AG18" i="25" s="1"/>
  <c r="AG17" i="23"/>
  <c r="AG18" i="23" s="1"/>
  <c r="AG17" i="15"/>
  <c r="AG18" i="15" s="1"/>
  <c r="AG17" i="32"/>
  <c r="AG18" i="32" s="1"/>
  <c r="AG17" i="34"/>
  <c r="AG18" i="34" s="1"/>
  <c r="AG17" i="28"/>
  <c r="AG18" i="28" s="1"/>
  <c r="AG17" i="11"/>
  <c r="AG18" i="11" s="1"/>
  <c r="AG17" i="27"/>
  <c r="AG18" i="27" s="1"/>
  <c r="AG17" i="19"/>
  <c r="AG18" i="19" s="1"/>
  <c r="AG17" i="22"/>
  <c r="AG18" i="22" s="1"/>
  <c r="AG17" i="16"/>
  <c r="AG18" i="16" s="1"/>
  <c r="AG17" i="31"/>
  <c r="AG18" i="31" s="1"/>
  <c r="AG17" i="35"/>
  <c r="AG18" i="35" s="1"/>
  <c r="AG17" i="69"/>
  <c r="AG18" i="69" s="1"/>
  <c r="AG17" i="67"/>
  <c r="AG18" i="67" s="1"/>
  <c r="AG17" i="65"/>
  <c r="AG18" i="65" s="1"/>
  <c r="AG17" i="26"/>
  <c r="AG18" i="26" s="1"/>
  <c r="AB88" i="63"/>
  <c r="AF88" i="63"/>
  <c r="AB87" i="63"/>
  <c r="AF87" i="63"/>
  <c r="AB62" i="63"/>
  <c r="AF62" i="63"/>
  <c r="AB88" i="61"/>
  <c r="AF88" i="61"/>
  <c r="AB85" i="61"/>
  <c r="AF85" i="61"/>
  <c r="AB87" i="61"/>
  <c r="AF87" i="61"/>
  <c r="AB35" i="63"/>
  <c r="AF35" i="63"/>
  <c r="AB62" i="61"/>
  <c r="AF62" i="61"/>
  <c r="AB85" i="63"/>
  <c r="AF85" i="63"/>
  <c r="AB35" i="61"/>
  <c r="AF35" i="61"/>
  <c r="B10" i="69"/>
  <c r="B10" i="67"/>
  <c r="B10" i="70"/>
  <c r="B10" i="68"/>
  <c r="B10" i="66"/>
  <c r="B10" i="65"/>
  <c r="AG17" i="66"/>
  <c r="AG17" i="70"/>
  <c r="AG17" i="68"/>
  <c r="AD16" i="70"/>
  <c r="AD16" i="68"/>
  <c r="AD16" i="66"/>
  <c r="AG16" i="66"/>
  <c r="AG16" i="70"/>
  <c r="AG16" i="68"/>
  <c r="AI62" i="64"/>
  <c r="AD16" i="64"/>
  <c r="AD16" i="62"/>
  <c r="AG16" i="64"/>
  <c r="AG16" i="62"/>
  <c r="B10" i="62"/>
  <c r="B10" i="61"/>
  <c r="B10" i="63"/>
  <c r="B10" i="64"/>
  <c r="AG17" i="64"/>
  <c r="AG17" i="62"/>
  <c r="G63" i="64"/>
  <c r="AI94" i="64"/>
  <c r="N1" i="64"/>
  <c r="N27" i="64" s="1"/>
  <c r="AI52" i="64"/>
  <c r="G53" i="64"/>
  <c r="AI88" i="64"/>
  <c r="AI35" i="63"/>
  <c r="AI62" i="63"/>
  <c r="AF141" i="64"/>
  <c r="AI141" i="64"/>
  <c r="AI87" i="63"/>
  <c r="G82" i="64"/>
  <c r="AI81" i="64"/>
  <c r="AI72" i="64"/>
  <c r="G73" i="64"/>
  <c r="AI121" i="64"/>
  <c r="AA90" i="63"/>
  <c r="AI85" i="63"/>
  <c r="AB76" i="63"/>
  <c r="AI76" i="63"/>
  <c r="AF76" i="63"/>
  <c r="AI83" i="63"/>
  <c r="AF83" i="63"/>
  <c r="AB83" i="63"/>
  <c r="AI124" i="64"/>
  <c r="G43" i="64"/>
  <c r="AI42" i="64"/>
  <c r="AA145" i="64"/>
  <c r="AI88" i="63"/>
  <c r="AH126" i="64"/>
  <c r="AI122" i="64"/>
  <c r="AA91" i="63"/>
  <c r="AB72" i="63"/>
  <c r="AI72" i="63"/>
  <c r="AF72" i="63"/>
  <c r="AI79" i="63"/>
  <c r="AF79" i="63"/>
  <c r="AB79" i="63"/>
  <c r="AI78" i="63"/>
  <c r="AF78" i="63"/>
  <c r="N1" i="62"/>
  <c r="N27" i="62" s="1"/>
  <c r="AF83" i="61"/>
  <c r="AI83" i="61"/>
  <c r="AB83" i="61"/>
  <c r="AI72" i="61"/>
  <c r="AA91" i="61"/>
  <c r="AF72" i="61"/>
  <c r="AB72" i="61"/>
  <c r="AI123" i="62"/>
  <c r="AF79" i="61"/>
  <c r="AB79" i="61"/>
  <c r="AI79" i="61"/>
  <c r="AI62" i="61"/>
  <c r="AI94" i="62"/>
  <c r="AI52" i="62"/>
  <c r="G53" i="62"/>
  <c r="AF78" i="61"/>
  <c r="AI78" i="61"/>
  <c r="AI76" i="61"/>
  <c r="AB76" i="61"/>
  <c r="AF76" i="61"/>
  <c r="AI122" i="62"/>
  <c r="AI87" i="61"/>
  <c r="AI35" i="61"/>
  <c r="AI93" i="62"/>
  <c r="AI62" i="62"/>
  <c r="G63" i="62"/>
  <c r="AH126" i="62"/>
  <c r="AI81" i="62"/>
  <c r="G82" i="62"/>
  <c r="AI88" i="62"/>
  <c r="AI121" i="62"/>
  <c r="AF141" i="62"/>
  <c r="AI141" i="62"/>
  <c r="AI72" i="62"/>
  <c r="G73" i="62"/>
  <c r="AI88" i="61"/>
  <c r="AA90" i="61"/>
  <c r="AI85" i="61"/>
  <c r="N27" i="63"/>
  <c r="N27" i="61"/>
  <c r="AG31" i="69"/>
  <c r="AG12" i="62"/>
  <c r="AG12" i="70"/>
  <c r="AG32" i="63"/>
  <c r="C10" i="67"/>
  <c r="B12" i="70"/>
  <c r="AD12" i="68"/>
  <c r="B12" i="69"/>
  <c r="B12" i="66"/>
  <c r="AG12" i="69"/>
  <c r="AG31" i="68"/>
  <c r="AD12" i="70"/>
  <c r="AG32" i="65"/>
  <c r="AG31" i="62"/>
  <c r="AG13" i="63"/>
  <c r="AG31" i="67"/>
  <c r="AG12" i="65"/>
  <c r="D10" i="62"/>
  <c r="AG32" i="68"/>
  <c r="AD12" i="64"/>
  <c r="AL31" i="65"/>
  <c r="AD12" i="65"/>
  <c r="D10" i="69"/>
  <c r="AG32" i="62"/>
  <c r="AD13" i="63"/>
  <c r="AD31" i="68"/>
  <c r="AD13" i="65"/>
  <c r="D10" i="63"/>
  <c r="AD13" i="67"/>
  <c r="AD12" i="67"/>
  <c r="AD31" i="64"/>
  <c r="AD13" i="61"/>
  <c r="AG32" i="66"/>
  <c r="AK31" i="69"/>
  <c r="AK31" i="61"/>
  <c r="AG13" i="66"/>
  <c r="AG32" i="64"/>
  <c r="D10" i="61"/>
  <c r="B12" i="65"/>
  <c r="AD31" i="65"/>
  <c r="C10" i="69"/>
  <c r="N28" i="66"/>
  <c r="C10" i="64"/>
  <c r="AD31" i="70"/>
  <c r="AG32" i="70"/>
  <c r="N28" i="63"/>
  <c r="AD31" i="63"/>
  <c r="AG31" i="61"/>
  <c r="AL31" i="63"/>
  <c r="N28" i="67"/>
  <c r="AD13" i="70"/>
  <c r="AK31" i="67"/>
  <c r="D10" i="68"/>
  <c r="AG13" i="68"/>
  <c r="AG13" i="67"/>
  <c r="AD31" i="61"/>
  <c r="AD12" i="69"/>
  <c r="AG13" i="69"/>
  <c r="AL31" i="61"/>
  <c r="AG13" i="64"/>
  <c r="AG13" i="70"/>
  <c r="AG31" i="65"/>
  <c r="C10" i="70"/>
  <c r="N28" i="70"/>
  <c r="AD31" i="62"/>
  <c r="AD13" i="66"/>
  <c r="B12" i="63"/>
  <c r="AD12" i="63"/>
  <c r="B12" i="62"/>
  <c r="AK31" i="63"/>
  <c r="C10" i="61"/>
  <c r="AD31" i="69"/>
  <c r="N28" i="61"/>
  <c r="AL31" i="67"/>
  <c r="AD12" i="66"/>
  <c r="D10" i="70"/>
  <c r="AD12" i="62"/>
  <c r="B12" i="61"/>
  <c r="AG32" i="69"/>
  <c r="AG13" i="62"/>
  <c r="D10" i="65"/>
  <c r="AG31" i="66"/>
  <c r="C10" i="62"/>
  <c r="AD31" i="67"/>
  <c r="AD13" i="64"/>
  <c r="AD12" i="61"/>
  <c r="AL31" i="69"/>
  <c r="AG12" i="67"/>
  <c r="AG12" i="61"/>
  <c r="C10" i="63"/>
  <c r="AG13" i="65"/>
  <c r="AD13" i="68"/>
  <c r="AG31" i="64"/>
  <c r="AD13" i="62"/>
  <c r="AG13" i="61"/>
  <c r="AD13" i="69"/>
  <c r="AG12" i="68"/>
  <c r="B12" i="67"/>
  <c r="AG32" i="61"/>
  <c r="N28" i="64"/>
  <c r="D10" i="66"/>
  <c r="AG31" i="70"/>
  <c r="B12" i="68"/>
  <c r="B12" i="64"/>
  <c r="N28" i="69"/>
  <c r="C10" i="66"/>
  <c r="AD31" i="66"/>
  <c r="N28" i="62"/>
  <c r="C10" i="65"/>
  <c r="N28" i="65"/>
  <c r="AG31" i="63"/>
  <c r="AG32" i="67"/>
  <c r="AG12" i="66"/>
  <c r="N28" i="68"/>
  <c r="D10" i="67"/>
  <c r="AG12" i="64"/>
  <c r="AK31" i="65"/>
  <c r="C10" i="68"/>
  <c r="AG12" i="63"/>
  <c r="D10" i="64"/>
  <c r="P16" i="63" l="1"/>
  <c r="X16" i="63"/>
  <c r="Q16" i="63"/>
  <c r="Y16" i="63"/>
  <c r="R16" i="63"/>
  <c r="S16" i="63"/>
  <c r="AA16" i="63"/>
  <c r="Z16" i="63"/>
  <c r="T16" i="63"/>
  <c r="U16" i="63"/>
  <c r="V16" i="63"/>
  <c r="O16" i="63"/>
  <c r="W16" i="63"/>
  <c r="P16" i="61"/>
  <c r="X16" i="61"/>
  <c r="Y16" i="61"/>
  <c r="R16" i="61"/>
  <c r="Z16" i="61"/>
  <c r="AA16" i="61"/>
  <c r="O16" i="61"/>
  <c r="Q16" i="61"/>
  <c r="V16" i="61"/>
  <c r="S16" i="61"/>
  <c r="T16" i="61"/>
  <c r="U16" i="61"/>
  <c r="W16" i="61"/>
  <c r="R16" i="69"/>
  <c r="Z16" i="69"/>
  <c r="AA16" i="69"/>
  <c r="O16" i="69"/>
  <c r="S16" i="69"/>
  <c r="P16" i="69"/>
  <c r="T16" i="69"/>
  <c r="Q16" i="69"/>
  <c r="U16" i="69"/>
  <c r="V16" i="69"/>
  <c r="X16" i="69"/>
  <c r="Y16" i="69"/>
  <c r="W16" i="69"/>
  <c r="U16" i="67"/>
  <c r="W16" i="67"/>
  <c r="Y16" i="67"/>
  <c r="V16" i="67"/>
  <c r="O16" i="67"/>
  <c r="X16" i="67"/>
  <c r="R16" i="67"/>
  <c r="AA16" i="67"/>
  <c r="P16" i="67"/>
  <c r="S16" i="67"/>
  <c r="Q16" i="67"/>
  <c r="Z16" i="67"/>
  <c r="T16" i="67"/>
  <c r="Q16" i="65"/>
  <c r="Y16" i="65"/>
  <c r="Z16" i="65"/>
  <c r="T16" i="65"/>
  <c r="R16" i="65"/>
  <c r="S16" i="65"/>
  <c r="AA16" i="65"/>
  <c r="V16" i="65"/>
  <c r="O16" i="65"/>
  <c r="U16" i="65"/>
  <c r="W16" i="65"/>
  <c r="P16" i="65"/>
  <c r="X16" i="65"/>
  <c r="AL32" i="67"/>
  <c r="AM31" i="65"/>
  <c r="AL32" i="69"/>
  <c r="AM31" i="67"/>
  <c r="AN31" i="65"/>
  <c r="AM31" i="69"/>
  <c r="S16" i="66"/>
  <c r="O16" i="66"/>
  <c r="X16" i="66"/>
  <c r="Z16" i="66"/>
  <c r="AA16" i="66"/>
  <c r="V16" i="66"/>
  <c r="R16" i="66"/>
  <c r="Y16" i="66"/>
  <c r="U16" i="66"/>
  <c r="Q16" i="66"/>
  <c r="P16" i="66"/>
  <c r="T16" i="66"/>
  <c r="W16" i="66"/>
  <c r="AN31" i="67"/>
  <c r="Z16" i="68"/>
  <c r="V16" i="68"/>
  <c r="W16" i="68"/>
  <c r="R16" i="68"/>
  <c r="U16" i="68"/>
  <c r="Q16" i="68"/>
  <c r="Y16" i="68"/>
  <c r="T16" i="68"/>
  <c r="AA16" i="68"/>
  <c r="X16" i="68"/>
  <c r="P16" i="68"/>
  <c r="S16" i="68"/>
  <c r="O16" i="68"/>
  <c r="AN31" i="69"/>
  <c r="X16" i="70"/>
  <c r="U16" i="70"/>
  <c r="P16" i="70"/>
  <c r="S16" i="70"/>
  <c r="T16" i="70"/>
  <c r="W16" i="70"/>
  <c r="O16" i="70"/>
  <c r="Z16" i="70"/>
  <c r="V16" i="70"/>
  <c r="Y16" i="70"/>
  <c r="AA16" i="70"/>
  <c r="R16" i="70"/>
  <c r="Q16" i="70"/>
  <c r="AL32" i="65"/>
  <c r="AG18" i="68"/>
  <c r="AG18" i="70"/>
  <c r="AG18" i="66"/>
  <c r="Z16" i="64"/>
  <c r="R16" i="64"/>
  <c r="Y16" i="64"/>
  <c r="Q16" i="64"/>
  <c r="X16" i="64"/>
  <c r="P16" i="64"/>
  <c r="W16" i="64"/>
  <c r="O16" i="64"/>
  <c r="U16" i="64"/>
  <c r="T16" i="64"/>
  <c r="S16" i="64"/>
  <c r="V16" i="64"/>
  <c r="Z16" i="62"/>
  <c r="R16" i="62"/>
  <c r="Y16" i="62"/>
  <c r="Q16" i="62"/>
  <c r="X16" i="62"/>
  <c r="P16" i="62"/>
  <c r="W16" i="62"/>
  <c r="O16" i="62"/>
  <c r="V16" i="62"/>
  <c r="U16" i="62"/>
  <c r="T16" i="62"/>
  <c r="S16" i="62"/>
  <c r="AL32" i="63"/>
  <c r="AN31" i="61"/>
  <c r="AL32" i="61"/>
  <c r="AN31" i="63"/>
  <c r="AA16" i="64"/>
  <c r="AM31" i="61"/>
  <c r="AA16" i="62"/>
  <c r="AM31" i="63"/>
  <c r="AG18" i="62"/>
  <c r="AG18" i="64"/>
  <c r="AI126" i="64"/>
  <c r="AM62" i="63"/>
  <c r="AN62" i="63"/>
  <c r="AN79" i="63"/>
  <c r="AM79" i="63"/>
  <c r="AM87" i="63"/>
  <c r="AN87" i="63"/>
  <c r="AN83" i="63"/>
  <c r="AM83" i="63"/>
  <c r="AN35" i="63"/>
  <c r="AM35" i="63"/>
  <c r="AM76" i="63"/>
  <c r="AN76" i="63"/>
  <c r="AM88" i="63"/>
  <c r="AN88" i="63"/>
  <c r="AM72" i="63"/>
  <c r="AN72" i="63"/>
  <c r="AN85" i="63"/>
  <c r="AM85" i="63"/>
  <c r="AM62" i="61"/>
  <c r="AN62" i="61"/>
  <c r="AM35" i="61"/>
  <c r="AN35" i="61"/>
  <c r="AN83" i="61"/>
  <c r="AM83" i="61"/>
  <c r="AM88" i="61"/>
  <c r="AN88" i="61"/>
  <c r="AI126" i="62"/>
  <c r="AN72" i="61"/>
  <c r="AM72" i="61"/>
  <c r="AN85" i="61"/>
  <c r="AM85" i="61"/>
  <c r="AN79" i="61"/>
  <c r="AM79" i="61"/>
  <c r="AM76" i="61"/>
  <c r="AN76" i="61"/>
  <c r="AN87" i="61"/>
  <c r="AM87" i="61"/>
  <c r="Z12" i="69"/>
  <c r="U31" i="66"/>
  <c r="Z12" i="64"/>
  <c r="V12" i="67"/>
  <c r="S31" i="64"/>
  <c r="Q31" i="63"/>
  <c r="U31" i="62"/>
  <c r="U13" i="66"/>
  <c r="S12" i="64"/>
  <c r="S12" i="61"/>
  <c r="T13" i="65"/>
  <c r="T17" i="65" s="1"/>
  <c r="P13" i="63"/>
  <c r="R12" i="67"/>
  <c r="AA12" i="66"/>
  <c r="Q13" i="63"/>
  <c r="T13" i="70"/>
  <c r="X31" i="63"/>
  <c r="T13" i="69"/>
  <c r="T17" i="69" s="1"/>
  <c r="AA13" i="67"/>
  <c r="B13" i="68"/>
  <c r="V13" i="63"/>
  <c r="Y31" i="64"/>
  <c r="Y13" i="67"/>
  <c r="Y17" i="67" s="1"/>
  <c r="O12" i="62"/>
  <c r="Y12" i="69"/>
  <c r="Q12" i="62"/>
  <c r="Q13" i="70"/>
  <c r="W13" i="67"/>
  <c r="W17" i="67" s="1"/>
  <c r="R31" i="69"/>
  <c r="S31" i="66"/>
  <c r="S13" i="61"/>
  <c r="W31" i="61"/>
  <c r="Q12" i="67"/>
  <c r="S31" i="62"/>
  <c r="O13" i="68"/>
  <c r="R12" i="65"/>
  <c r="O13" i="70"/>
  <c r="O31" i="68"/>
  <c r="T13" i="64"/>
  <c r="V13" i="62"/>
  <c r="W31" i="65"/>
  <c r="V12" i="64"/>
  <c r="U12" i="69"/>
  <c r="S31" i="65"/>
  <c r="V12" i="62"/>
  <c r="U13" i="65"/>
  <c r="U17" i="65" s="1"/>
  <c r="Y31" i="65"/>
  <c r="Z13" i="70"/>
  <c r="S13" i="62"/>
  <c r="T12" i="70"/>
  <c r="T13" i="63"/>
  <c r="X31" i="70"/>
  <c r="Y13" i="62"/>
  <c r="R12" i="69"/>
  <c r="R13" i="66"/>
  <c r="U12" i="63"/>
  <c r="P12" i="63"/>
  <c r="X12" i="68"/>
  <c r="T31" i="70"/>
  <c r="T12" i="69"/>
  <c r="Z13" i="65"/>
  <c r="Z17" i="65" s="1"/>
  <c r="Y12" i="65"/>
  <c r="X13" i="64"/>
  <c r="W12" i="62"/>
  <c r="Y12" i="68"/>
  <c r="S13" i="70"/>
  <c r="O12" i="64"/>
  <c r="R13" i="63"/>
  <c r="X13" i="63"/>
  <c r="Y31" i="68"/>
  <c r="W13" i="68"/>
  <c r="P12" i="61"/>
  <c r="Q12" i="70"/>
  <c r="T12" i="68"/>
  <c r="Q31" i="66"/>
  <c r="O13" i="62"/>
  <c r="V12" i="69"/>
  <c r="AA13" i="70"/>
  <c r="B13" i="64"/>
  <c r="AA13" i="65"/>
  <c r="T12" i="64"/>
  <c r="Z13" i="67"/>
  <c r="Z17" i="67" s="1"/>
  <c r="O13" i="64"/>
  <c r="V13" i="66"/>
  <c r="Z12" i="67"/>
  <c r="Z31" i="70"/>
  <c r="R31" i="62"/>
  <c r="S12" i="68"/>
  <c r="V31" i="69"/>
  <c r="O13" i="66"/>
  <c r="Q12" i="66"/>
  <c r="Y13" i="69"/>
  <c r="Y17" i="69" s="1"/>
  <c r="Q13" i="65"/>
  <c r="Q17" i="65" s="1"/>
  <c r="R13" i="62"/>
  <c r="S12" i="66"/>
  <c r="V12" i="61"/>
  <c r="U31" i="65"/>
  <c r="V31" i="70"/>
  <c r="Z12" i="66"/>
  <c r="P31" i="69"/>
  <c r="Y12" i="63"/>
  <c r="Q13" i="62"/>
  <c r="O12" i="65"/>
  <c r="W31" i="68"/>
  <c r="Y12" i="67"/>
  <c r="B13" i="63"/>
  <c r="Y12" i="64"/>
  <c r="U12" i="65"/>
  <c r="P31" i="67"/>
  <c r="Y13" i="64"/>
  <c r="R12" i="64"/>
  <c r="AJ31" i="67"/>
  <c r="X31" i="66"/>
  <c r="Q12" i="69"/>
  <c r="R12" i="63"/>
  <c r="S31" i="69"/>
  <c r="AJ31" i="65"/>
  <c r="Z31" i="61"/>
  <c r="U31" i="69"/>
  <c r="W31" i="67"/>
  <c r="V13" i="64"/>
  <c r="W13" i="63"/>
  <c r="V31" i="65"/>
  <c r="V12" i="68"/>
  <c r="AA12" i="61"/>
  <c r="V13" i="68"/>
  <c r="O13" i="61"/>
  <c r="Y13" i="70"/>
  <c r="O13" i="69"/>
  <c r="O17" i="69" s="1"/>
  <c r="U13" i="62"/>
  <c r="Z31" i="64"/>
  <c r="U13" i="63"/>
  <c r="T12" i="67"/>
  <c r="V13" i="69"/>
  <c r="V17" i="69" s="1"/>
  <c r="X31" i="68"/>
  <c r="Z13" i="61"/>
  <c r="U31" i="61"/>
  <c r="S31" i="68"/>
  <c r="P12" i="64"/>
  <c r="O31" i="61"/>
  <c r="U12" i="66"/>
  <c r="Q31" i="65"/>
  <c r="R12" i="62"/>
  <c r="Z31" i="67"/>
  <c r="P12" i="65"/>
  <c r="W13" i="65"/>
  <c r="W17" i="65" s="1"/>
  <c r="P31" i="66"/>
  <c r="W13" i="61"/>
  <c r="P12" i="66"/>
  <c r="W13" i="66"/>
  <c r="V13" i="65"/>
  <c r="V17" i="65" s="1"/>
  <c r="U12" i="62"/>
  <c r="X13" i="67"/>
  <c r="X17" i="67" s="1"/>
  <c r="Y12" i="70"/>
  <c r="R12" i="66"/>
  <c r="O12" i="67"/>
  <c r="V31" i="66"/>
  <c r="R13" i="67"/>
  <c r="R17" i="67" s="1"/>
  <c r="P31" i="65"/>
  <c r="W13" i="62"/>
  <c r="W31" i="64"/>
  <c r="Z12" i="61"/>
  <c r="T13" i="61"/>
  <c r="T13" i="68"/>
  <c r="V31" i="64"/>
  <c r="P12" i="69"/>
  <c r="X12" i="64"/>
  <c r="AA13" i="64"/>
  <c r="T31" i="67"/>
  <c r="Q31" i="68"/>
  <c r="AA12" i="63"/>
  <c r="V31" i="63"/>
  <c r="S12" i="63"/>
  <c r="S31" i="63"/>
  <c r="P12" i="62"/>
  <c r="B13" i="70"/>
  <c r="Q13" i="61"/>
  <c r="R13" i="68"/>
  <c r="U31" i="64"/>
  <c r="V12" i="66"/>
  <c r="U13" i="67"/>
  <c r="U17" i="67" s="1"/>
  <c r="T12" i="65"/>
  <c r="V31" i="68"/>
  <c r="W31" i="63"/>
  <c r="B13" i="61"/>
  <c r="Q31" i="69"/>
  <c r="Y31" i="61"/>
  <c r="T12" i="63"/>
  <c r="O31" i="70"/>
  <c r="P13" i="68"/>
  <c r="AJ31" i="61"/>
  <c r="T12" i="66"/>
  <c r="AA13" i="68"/>
  <c r="W12" i="65"/>
  <c r="O12" i="63"/>
  <c r="Q13" i="67"/>
  <c r="Q17" i="67" s="1"/>
  <c r="X31" i="64"/>
  <c r="X31" i="67"/>
  <c r="U31" i="68"/>
  <c r="Z13" i="64"/>
  <c r="R12" i="61"/>
  <c r="X12" i="61"/>
  <c r="X12" i="69"/>
  <c r="U12" i="61"/>
  <c r="W13" i="64"/>
  <c r="T31" i="65"/>
  <c r="T31" i="61"/>
  <c r="X13" i="70"/>
  <c r="U12" i="64"/>
  <c r="X12" i="66"/>
  <c r="Z12" i="68"/>
  <c r="R31" i="64"/>
  <c r="T31" i="64"/>
  <c r="W12" i="66"/>
  <c r="X31" i="61"/>
  <c r="Z12" i="62"/>
  <c r="V12" i="70"/>
  <c r="R31" i="67"/>
  <c r="Q13" i="68"/>
  <c r="Z13" i="68"/>
  <c r="R13" i="64"/>
  <c r="P31" i="70"/>
  <c r="T12" i="61"/>
  <c r="U31" i="63"/>
  <c r="B13" i="66"/>
  <c r="X12" i="70"/>
  <c r="R31" i="63"/>
  <c r="Q31" i="70"/>
  <c r="Q31" i="61"/>
  <c r="AA13" i="63"/>
  <c r="Z13" i="69"/>
  <c r="Z17" i="69" s="1"/>
  <c r="S13" i="64"/>
  <c r="R31" i="68"/>
  <c r="S12" i="67"/>
  <c r="Z13" i="63"/>
  <c r="U12" i="70"/>
  <c r="P12" i="68"/>
  <c r="Y13" i="68"/>
  <c r="V13" i="61"/>
  <c r="T31" i="68"/>
  <c r="Q12" i="65"/>
  <c r="P13" i="62"/>
  <c r="P31" i="62"/>
  <c r="Q12" i="68"/>
  <c r="P12" i="70"/>
  <c r="Y13" i="66"/>
  <c r="S12" i="62"/>
  <c r="Q12" i="61"/>
  <c r="O31" i="66"/>
  <c r="X12" i="63"/>
  <c r="AA13" i="61"/>
  <c r="O13" i="63"/>
  <c r="Y13" i="61"/>
  <c r="T31" i="69"/>
  <c r="S13" i="69"/>
  <c r="S17" i="69" s="1"/>
  <c r="V31" i="61"/>
  <c r="S13" i="65"/>
  <c r="S17" i="65" s="1"/>
  <c r="X13" i="61"/>
  <c r="Z12" i="65"/>
  <c r="X13" i="65"/>
  <c r="X17" i="65" s="1"/>
  <c r="X31" i="65"/>
  <c r="T13" i="66"/>
  <c r="Z13" i="66"/>
  <c r="Y12" i="62"/>
  <c r="P13" i="69"/>
  <c r="P17" i="69" s="1"/>
  <c r="Z31" i="63"/>
  <c r="Z13" i="62"/>
  <c r="AA12" i="62"/>
  <c r="AA12" i="70"/>
  <c r="U12" i="68"/>
  <c r="V13" i="67"/>
  <c r="V17" i="67" s="1"/>
  <c r="AA12" i="67"/>
  <c r="W12" i="63"/>
  <c r="Y31" i="66"/>
  <c r="W12" i="64"/>
  <c r="Q31" i="67"/>
  <c r="W31" i="69"/>
  <c r="W12" i="61"/>
  <c r="Z31" i="65"/>
  <c r="U13" i="68"/>
  <c r="P13" i="70"/>
  <c r="R31" i="65"/>
  <c r="P12" i="67"/>
  <c r="X13" i="69"/>
  <c r="X17" i="69" s="1"/>
  <c r="U13" i="70"/>
  <c r="T31" i="62"/>
  <c r="S12" i="70"/>
  <c r="X12" i="65"/>
  <c r="O31" i="64"/>
  <c r="W31" i="62"/>
  <c r="Q13" i="64"/>
  <c r="U13" i="64"/>
  <c r="P13" i="65"/>
  <c r="P17" i="65" s="1"/>
  <c r="R31" i="70"/>
  <c r="O12" i="70"/>
  <c r="Q12" i="64"/>
  <c r="S31" i="67"/>
  <c r="X12" i="62"/>
  <c r="T31" i="63"/>
  <c r="Q31" i="62"/>
  <c r="U12" i="67"/>
  <c r="S31" i="70"/>
  <c r="B13" i="62"/>
  <c r="Y31" i="70"/>
  <c r="Q12" i="63"/>
  <c r="AJ31" i="63"/>
  <c r="X13" i="68"/>
  <c r="W12" i="69"/>
  <c r="O13" i="65"/>
  <c r="O17" i="65" s="1"/>
  <c r="W12" i="67"/>
  <c r="Z31" i="68"/>
  <c r="Z12" i="63"/>
  <c r="U13" i="69"/>
  <c r="U17" i="69" s="1"/>
  <c r="V31" i="67"/>
  <c r="Y13" i="63"/>
  <c r="AA13" i="62"/>
  <c r="AA12" i="65"/>
  <c r="O31" i="63"/>
  <c r="B13" i="67"/>
  <c r="Z31" i="66"/>
  <c r="O13" i="67"/>
  <c r="O17" i="67" s="1"/>
  <c r="O31" i="65"/>
  <c r="P13" i="66"/>
  <c r="U31" i="70"/>
  <c r="R12" i="70"/>
  <c r="AA13" i="69"/>
  <c r="W12" i="70"/>
  <c r="W13" i="69"/>
  <c r="W17" i="69" s="1"/>
  <c r="R13" i="69"/>
  <c r="R17" i="69" s="1"/>
  <c r="V12" i="63"/>
  <c r="X13" i="66"/>
  <c r="U31" i="67"/>
  <c r="O31" i="69"/>
  <c r="Q31" i="64"/>
  <c r="Z31" i="69"/>
  <c r="R13" i="61"/>
  <c r="X13" i="62"/>
  <c r="V31" i="62"/>
  <c r="P13" i="64"/>
  <c r="R31" i="66"/>
  <c r="U13" i="61"/>
  <c r="W31" i="70"/>
  <c r="B13" i="65"/>
  <c r="O12" i="69"/>
  <c r="X31" i="69"/>
  <c r="S12" i="69"/>
  <c r="S13" i="67"/>
  <c r="S17" i="67" s="1"/>
  <c r="Z12" i="70"/>
  <c r="AJ31" i="69"/>
  <c r="Y31" i="63"/>
  <c r="P13" i="67"/>
  <c r="P17" i="67" s="1"/>
  <c r="AA12" i="69"/>
  <c r="R13" i="70"/>
  <c r="Y31" i="62"/>
  <c r="Y31" i="67"/>
  <c r="T31" i="66"/>
  <c r="AA12" i="64"/>
  <c r="T12" i="62"/>
  <c r="X31" i="62"/>
  <c r="T13" i="67"/>
  <c r="T17" i="67" s="1"/>
  <c r="X12" i="67"/>
  <c r="W13" i="70"/>
  <c r="P31" i="64"/>
  <c r="S31" i="61"/>
  <c r="AA12" i="68"/>
  <c r="S12" i="65"/>
  <c r="O31" i="67"/>
  <c r="S13" i="66"/>
  <c r="S13" i="63"/>
  <c r="B13" i="69"/>
  <c r="O12" i="68"/>
  <c r="W12" i="68"/>
  <c r="P31" i="61"/>
  <c r="Y31" i="69"/>
  <c r="R31" i="61"/>
  <c r="T13" i="62"/>
  <c r="R13" i="65"/>
  <c r="R17" i="65" s="1"/>
  <c r="Q13" i="66"/>
  <c r="AA13" i="66"/>
  <c r="O12" i="66"/>
  <c r="Y12" i="61"/>
  <c r="R12" i="68"/>
  <c r="O12" i="61"/>
  <c r="W31" i="66"/>
  <c r="O31" i="62"/>
  <c r="V12" i="65"/>
  <c r="Z31" i="62"/>
  <c r="P31" i="63"/>
  <c r="V13" i="70"/>
  <c r="Y13" i="65"/>
  <c r="Y17" i="65" s="1"/>
  <c r="Y12" i="66"/>
  <c r="P31" i="68"/>
  <c r="S13" i="68"/>
  <c r="Q13" i="69"/>
  <c r="Q17" i="69" s="1"/>
  <c r="P13" i="61"/>
  <c r="AA17" i="69" l="1"/>
  <c r="AA17" i="67"/>
  <c r="AA17" i="65"/>
  <c r="AH54" i="58"/>
  <c r="G53" i="58" s="1"/>
  <c r="AH74" i="58"/>
  <c r="AG44" i="37"/>
  <c r="AG60" i="37"/>
  <c r="AH64" i="59"/>
  <c r="AH84" i="59"/>
  <c r="B10" i="36"/>
  <c r="B10" i="35"/>
  <c r="B10" i="34"/>
  <c r="B10" i="33"/>
  <c r="B10" i="32"/>
  <c r="B10" i="31"/>
  <c r="B10" i="30"/>
  <c r="B10" i="29"/>
  <c r="B10" i="28"/>
  <c r="B10" i="27"/>
  <c r="B10" i="26"/>
  <c r="B10" i="25"/>
  <c r="B10" i="23"/>
  <c r="B10" i="22"/>
  <c r="B10" i="21"/>
  <c r="B10" i="20"/>
  <c r="B10" i="19"/>
  <c r="B10" i="18"/>
  <c r="B10" i="24"/>
  <c r="B10" i="15"/>
  <c r="AG17" i="59"/>
  <c r="AG18" i="59" s="1"/>
  <c r="AG16" i="59"/>
  <c r="AD16" i="59"/>
  <c r="B10" i="59"/>
  <c r="B10" i="11"/>
  <c r="AG17" i="58"/>
  <c r="AG18" i="58" s="1"/>
  <c r="AG16" i="58"/>
  <c r="AD16" i="58"/>
  <c r="B10" i="58"/>
  <c r="B10" i="54"/>
  <c r="AG17" i="57"/>
  <c r="AG18" i="57" s="1"/>
  <c r="AG16" i="57"/>
  <c r="AD16" i="57"/>
  <c r="B10" i="57"/>
  <c r="B10" i="53"/>
  <c r="AG17" i="56"/>
  <c r="AG18" i="56" s="1"/>
  <c r="AG16" i="56"/>
  <c r="AD16" i="56"/>
  <c r="B10" i="56"/>
  <c r="B10" i="52"/>
  <c r="AG17" i="55"/>
  <c r="AG18" i="55" s="1"/>
  <c r="AG16" i="55"/>
  <c r="AD16" i="55"/>
  <c r="B10" i="55"/>
  <c r="B10" i="51"/>
  <c r="AG17" i="39"/>
  <c r="AG18" i="39" s="1"/>
  <c r="AG16" i="39"/>
  <c r="AD16" i="39"/>
  <c r="B10" i="39"/>
  <c r="B10" i="9"/>
  <c r="AG17" i="17"/>
  <c r="AG18" i="17" s="1"/>
  <c r="AG16" i="17"/>
  <c r="AD16" i="17"/>
  <c r="B10" i="17"/>
  <c r="B10" i="16"/>
  <c r="B10" i="7"/>
  <c r="AG17" i="6"/>
  <c r="AG18" i="6" s="1"/>
  <c r="AG16" i="6"/>
  <c r="AD16" i="6"/>
  <c r="B10" i="6"/>
  <c r="B10" i="4"/>
  <c r="AF17" i="37"/>
  <c r="AF18" i="37" s="1"/>
  <c r="AF16" i="37"/>
  <c r="AC16" i="37"/>
  <c r="B10" i="37"/>
  <c r="M140" i="59"/>
  <c r="M139" i="59"/>
  <c r="M138" i="59"/>
  <c r="M137" i="59"/>
  <c r="M136" i="59"/>
  <c r="M135" i="59"/>
  <c r="M134" i="59"/>
  <c r="M133" i="59"/>
  <c r="M132" i="59"/>
  <c r="M131" i="59"/>
  <c r="M130" i="59"/>
  <c r="M126" i="59"/>
  <c r="M125" i="59"/>
  <c r="M124" i="59"/>
  <c r="M123" i="59"/>
  <c r="M122" i="59"/>
  <c r="M121" i="59"/>
  <c r="M119" i="59"/>
  <c r="M118" i="59"/>
  <c r="M117" i="59"/>
  <c r="M116" i="59"/>
  <c r="M115" i="59"/>
  <c r="M114" i="59"/>
  <c r="M111" i="59"/>
  <c r="M110" i="59"/>
  <c r="M109" i="59"/>
  <c r="M108" i="59"/>
  <c r="M107" i="59"/>
  <c r="M106" i="59"/>
  <c r="M103" i="59"/>
  <c r="M102" i="59"/>
  <c r="M101" i="59"/>
  <c r="M100" i="59"/>
  <c r="M99" i="59"/>
  <c r="M98" i="59"/>
  <c r="M140" i="58"/>
  <c r="M139" i="58"/>
  <c r="M138" i="58"/>
  <c r="M137" i="58"/>
  <c r="M136" i="58"/>
  <c r="M135" i="58"/>
  <c r="M134" i="58"/>
  <c r="M133" i="58"/>
  <c r="M132" i="58"/>
  <c r="M131" i="58"/>
  <c r="M130" i="58"/>
  <c r="M126" i="58"/>
  <c r="M125" i="58"/>
  <c r="M124" i="58"/>
  <c r="M123" i="58"/>
  <c r="M122" i="58"/>
  <c r="M121" i="58"/>
  <c r="M119" i="58"/>
  <c r="M118" i="58"/>
  <c r="M117" i="58"/>
  <c r="M116" i="58"/>
  <c r="M115" i="58"/>
  <c r="M114" i="58"/>
  <c r="M111" i="58"/>
  <c r="M110" i="58"/>
  <c r="M109" i="58"/>
  <c r="M108" i="58"/>
  <c r="M107" i="58"/>
  <c r="M106" i="58"/>
  <c r="M103" i="58"/>
  <c r="M102" i="58"/>
  <c r="M101" i="58"/>
  <c r="M100" i="58"/>
  <c r="M99" i="58"/>
  <c r="M98" i="58"/>
  <c r="M140" i="57"/>
  <c r="M139" i="57"/>
  <c r="M138" i="57"/>
  <c r="M137" i="57"/>
  <c r="M136" i="57"/>
  <c r="M135" i="57"/>
  <c r="M134" i="57"/>
  <c r="M133" i="57"/>
  <c r="M132" i="57"/>
  <c r="M131" i="57"/>
  <c r="M130" i="57"/>
  <c r="M126" i="57"/>
  <c r="M125" i="57"/>
  <c r="M124" i="57"/>
  <c r="M123" i="57"/>
  <c r="M122" i="57"/>
  <c r="M121" i="57"/>
  <c r="M119" i="57"/>
  <c r="M118" i="57"/>
  <c r="M117" i="57"/>
  <c r="M116" i="57"/>
  <c r="M115" i="57"/>
  <c r="M114" i="57"/>
  <c r="M111" i="57"/>
  <c r="M110" i="57"/>
  <c r="M109" i="57"/>
  <c r="M108" i="57"/>
  <c r="M107" i="57"/>
  <c r="M106" i="57"/>
  <c r="M103" i="57"/>
  <c r="M102" i="57"/>
  <c r="M101" i="57"/>
  <c r="M100" i="57"/>
  <c r="M99" i="57"/>
  <c r="M98" i="57"/>
  <c r="M140" i="56"/>
  <c r="M139" i="56"/>
  <c r="M138" i="56"/>
  <c r="M137" i="56"/>
  <c r="M136" i="56"/>
  <c r="M135" i="56"/>
  <c r="M134" i="56"/>
  <c r="M133" i="56"/>
  <c r="M132" i="56"/>
  <c r="M131" i="56"/>
  <c r="M130" i="56"/>
  <c r="M126" i="56"/>
  <c r="M125" i="56"/>
  <c r="M124" i="56"/>
  <c r="M123" i="56"/>
  <c r="M122" i="56"/>
  <c r="M121" i="56"/>
  <c r="M119" i="56"/>
  <c r="M118" i="56"/>
  <c r="M117" i="56"/>
  <c r="M116" i="56"/>
  <c r="M115" i="56"/>
  <c r="M114" i="56"/>
  <c r="M111" i="56"/>
  <c r="M110" i="56"/>
  <c r="M109" i="56"/>
  <c r="M108" i="56"/>
  <c r="M107" i="56"/>
  <c r="M106" i="56"/>
  <c r="M103" i="56"/>
  <c r="M102" i="56"/>
  <c r="M101" i="56"/>
  <c r="M100" i="56"/>
  <c r="M99" i="56"/>
  <c r="M98" i="56"/>
  <c r="M140" i="55"/>
  <c r="M139" i="55"/>
  <c r="M138" i="55"/>
  <c r="M137" i="55"/>
  <c r="M136" i="55"/>
  <c r="M135" i="55"/>
  <c r="M134" i="55"/>
  <c r="M133" i="55"/>
  <c r="M132" i="55"/>
  <c r="M131" i="55"/>
  <c r="M130" i="55"/>
  <c r="M126" i="55"/>
  <c r="M125" i="55"/>
  <c r="M124" i="55"/>
  <c r="M123" i="55"/>
  <c r="M122" i="55"/>
  <c r="M121" i="55"/>
  <c r="M119" i="55"/>
  <c r="M118" i="55"/>
  <c r="M117" i="55"/>
  <c r="M116" i="55"/>
  <c r="M115" i="55"/>
  <c r="M114" i="55"/>
  <c r="M111" i="55"/>
  <c r="M110" i="55"/>
  <c r="M109" i="55"/>
  <c r="M108" i="55"/>
  <c r="M107" i="55"/>
  <c r="M106" i="55"/>
  <c r="M103" i="55"/>
  <c r="M102" i="55"/>
  <c r="M101" i="55"/>
  <c r="M100" i="55"/>
  <c r="M99" i="55"/>
  <c r="M98" i="55"/>
  <c r="M140" i="39"/>
  <c r="M139" i="39"/>
  <c r="M138" i="39"/>
  <c r="M137" i="39"/>
  <c r="M136" i="39"/>
  <c r="M135" i="39"/>
  <c r="M134" i="39"/>
  <c r="M133" i="39"/>
  <c r="M132" i="39"/>
  <c r="M131" i="39"/>
  <c r="M130" i="39"/>
  <c r="M126" i="39"/>
  <c r="M125" i="39"/>
  <c r="M124" i="39"/>
  <c r="M123" i="39"/>
  <c r="M122" i="39"/>
  <c r="M121" i="39"/>
  <c r="M119" i="39"/>
  <c r="M118" i="39"/>
  <c r="M117" i="39"/>
  <c r="M116" i="39"/>
  <c r="M115" i="39"/>
  <c r="M114" i="39"/>
  <c r="M111" i="39"/>
  <c r="M110" i="39"/>
  <c r="M109" i="39"/>
  <c r="M108" i="39"/>
  <c r="M107" i="39"/>
  <c r="M106" i="39"/>
  <c r="M103" i="39"/>
  <c r="M102" i="39"/>
  <c r="M101" i="39"/>
  <c r="M100" i="39"/>
  <c r="M99" i="39"/>
  <c r="M98" i="39"/>
  <c r="M170" i="17"/>
  <c r="M167" i="17"/>
  <c r="M166" i="17"/>
  <c r="M165" i="17"/>
  <c r="M164" i="17"/>
  <c r="M163" i="17"/>
  <c r="M162" i="17"/>
  <c r="M161" i="17"/>
  <c r="M160" i="17"/>
  <c r="M159" i="17"/>
  <c r="M157" i="17"/>
  <c r="M156" i="17"/>
  <c r="M155" i="17"/>
  <c r="M154" i="17"/>
  <c r="M153" i="17"/>
  <c r="M152" i="17"/>
  <c r="M148" i="17"/>
  <c r="M147" i="17"/>
  <c r="M145" i="17"/>
  <c r="M144" i="17"/>
  <c r="M143" i="17"/>
  <c r="M142" i="17"/>
  <c r="M141" i="17"/>
  <c r="M139" i="17"/>
  <c r="M138" i="17"/>
  <c r="M136" i="17"/>
  <c r="M135" i="17"/>
  <c r="M134" i="17"/>
  <c r="M133" i="17"/>
  <c r="M130" i="17"/>
  <c r="M129" i="17"/>
  <c r="M127" i="17"/>
  <c r="M126" i="17"/>
  <c r="M125" i="17"/>
  <c r="M124" i="17"/>
  <c r="M121" i="17"/>
  <c r="M120" i="17"/>
  <c r="M118" i="17"/>
  <c r="M117" i="17"/>
  <c r="M116" i="17"/>
  <c r="M115" i="17"/>
  <c r="AI157" i="17"/>
  <c r="AI155" i="17"/>
  <c r="AI154" i="17"/>
  <c r="AG146" i="59"/>
  <c r="AD146" i="59"/>
  <c r="Z146" i="59"/>
  <c r="Y146" i="59"/>
  <c r="X146" i="59"/>
  <c r="W146" i="59"/>
  <c r="V146" i="59"/>
  <c r="U146" i="59"/>
  <c r="T146" i="59"/>
  <c r="S146" i="59"/>
  <c r="R146" i="59"/>
  <c r="Q146" i="59"/>
  <c r="P146" i="59"/>
  <c r="O146" i="59"/>
  <c r="AG145" i="59"/>
  <c r="AD145" i="59"/>
  <c r="Z145" i="59"/>
  <c r="Y145" i="59"/>
  <c r="X145" i="59"/>
  <c r="W145" i="59"/>
  <c r="V145" i="59"/>
  <c r="U145" i="59"/>
  <c r="T145" i="59"/>
  <c r="S145" i="59"/>
  <c r="R145" i="59"/>
  <c r="Q145" i="59"/>
  <c r="P145" i="59"/>
  <c r="O145" i="59"/>
  <c r="AG144" i="59"/>
  <c r="AD144" i="59"/>
  <c r="Z144" i="59"/>
  <c r="Y144" i="59"/>
  <c r="X144" i="59"/>
  <c r="W144" i="59"/>
  <c r="V144" i="59"/>
  <c r="U144" i="59"/>
  <c r="T144" i="59"/>
  <c r="S144" i="59"/>
  <c r="R144" i="59"/>
  <c r="Q144" i="59"/>
  <c r="P144" i="59"/>
  <c r="O144" i="59"/>
  <c r="AG143" i="59"/>
  <c r="AD143" i="59"/>
  <c r="Z143" i="59"/>
  <c r="Y143" i="59"/>
  <c r="X143" i="59"/>
  <c r="W143" i="59"/>
  <c r="V143" i="59"/>
  <c r="U143" i="59"/>
  <c r="T143" i="59"/>
  <c r="S143" i="59"/>
  <c r="R143" i="59"/>
  <c r="Q143" i="59"/>
  <c r="P143" i="59"/>
  <c r="O143" i="59"/>
  <c r="AG141" i="59"/>
  <c r="AD141" i="59"/>
  <c r="Z141" i="59"/>
  <c r="Y141" i="59"/>
  <c r="X141" i="59"/>
  <c r="W141" i="59"/>
  <c r="V141" i="59"/>
  <c r="U141" i="59"/>
  <c r="T141" i="59"/>
  <c r="S141" i="59"/>
  <c r="R141" i="59"/>
  <c r="Q141" i="59"/>
  <c r="P141" i="59"/>
  <c r="O141" i="59"/>
  <c r="AI140" i="59"/>
  <c r="AI139" i="59"/>
  <c r="AI138" i="59"/>
  <c r="AI137" i="59"/>
  <c r="AI136" i="59"/>
  <c r="AI135" i="59"/>
  <c r="AI134" i="59"/>
  <c r="AI133" i="59"/>
  <c r="AI132" i="59"/>
  <c r="AI131" i="59"/>
  <c r="AA146" i="59"/>
  <c r="AI119" i="59"/>
  <c r="AI118" i="59"/>
  <c r="AI117" i="59"/>
  <c r="AI116" i="59"/>
  <c r="AI115" i="59"/>
  <c r="AI114" i="59"/>
  <c r="AI111" i="59"/>
  <c r="AI110" i="59"/>
  <c r="AI109" i="59"/>
  <c r="AI108" i="59"/>
  <c r="AI107" i="59"/>
  <c r="AI106" i="59"/>
  <c r="AI103" i="59"/>
  <c r="AI102" i="59"/>
  <c r="AI101" i="59"/>
  <c r="AI100" i="59"/>
  <c r="AI99" i="59"/>
  <c r="AI98" i="59"/>
  <c r="AI92" i="59"/>
  <c r="AI91" i="59"/>
  <c r="AI87" i="59"/>
  <c r="AI86" i="59"/>
  <c r="AA141" i="59"/>
  <c r="AI85" i="59"/>
  <c r="AI83" i="59"/>
  <c r="AI88" i="59"/>
  <c r="AA145" i="59"/>
  <c r="AH80" i="59"/>
  <c r="AI79" i="59"/>
  <c r="AI76" i="59"/>
  <c r="AH74" i="59"/>
  <c r="AH71" i="59"/>
  <c r="AI71" i="59"/>
  <c r="AI70" i="59"/>
  <c r="AI69" i="59"/>
  <c r="AI68" i="59"/>
  <c r="AI72" i="59"/>
  <c r="AI67" i="59"/>
  <c r="AI66" i="59"/>
  <c r="AI65" i="59"/>
  <c r="AH61" i="59"/>
  <c r="AI60" i="59"/>
  <c r="AI58" i="59"/>
  <c r="AI57" i="59"/>
  <c r="AI55" i="59"/>
  <c r="AH54" i="59"/>
  <c r="AH51" i="59"/>
  <c r="AI51" i="59"/>
  <c r="AI50" i="59"/>
  <c r="AI49" i="59"/>
  <c r="AI48" i="59"/>
  <c r="AI47" i="59"/>
  <c r="AI46" i="59"/>
  <c r="AI45" i="59"/>
  <c r="AH44" i="59"/>
  <c r="AH41" i="59"/>
  <c r="AA144" i="59"/>
  <c r="AI40" i="59"/>
  <c r="AI39" i="59"/>
  <c r="AI36" i="59"/>
  <c r="AA31" i="59"/>
  <c r="G20" i="59"/>
  <c r="G19" i="59"/>
  <c r="AG146" i="58"/>
  <c r="AD146" i="58"/>
  <c r="Z146" i="58"/>
  <c r="Y146" i="58"/>
  <c r="X146" i="58"/>
  <c r="W146" i="58"/>
  <c r="V146" i="58"/>
  <c r="U146" i="58"/>
  <c r="T146" i="58"/>
  <c r="S146" i="58"/>
  <c r="R146" i="58"/>
  <c r="Q146" i="58"/>
  <c r="P146" i="58"/>
  <c r="O146" i="58"/>
  <c r="AG145" i="58"/>
  <c r="AD145" i="58"/>
  <c r="Z145" i="58"/>
  <c r="Y145" i="58"/>
  <c r="X145" i="58"/>
  <c r="W145" i="58"/>
  <c r="V145" i="58"/>
  <c r="U145" i="58"/>
  <c r="T145" i="58"/>
  <c r="S145" i="58"/>
  <c r="R145" i="58"/>
  <c r="Q145" i="58"/>
  <c r="P145" i="58"/>
  <c r="O145" i="58"/>
  <c r="AG144" i="58"/>
  <c r="AD144" i="58"/>
  <c r="Z144" i="58"/>
  <c r="Y144" i="58"/>
  <c r="X144" i="58"/>
  <c r="W144" i="58"/>
  <c r="V144" i="58"/>
  <c r="U144" i="58"/>
  <c r="T144" i="58"/>
  <c r="S144" i="58"/>
  <c r="R144" i="58"/>
  <c r="Q144" i="58"/>
  <c r="P144" i="58"/>
  <c r="O144" i="58"/>
  <c r="AG143" i="58"/>
  <c r="AD143" i="58"/>
  <c r="Z143" i="58"/>
  <c r="Y143" i="58"/>
  <c r="X143" i="58"/>
  <c r="W143" i="58"/>
  <c r="V143" i="58"/>
  <c r="U143" i="58"/>
  <c r="T143" i="58"/>
  <c r="S143" i="58"/>
  <c r="R143" i="58"/>
  <c r="Q143" i="58"/>
  <c r="P143" i="58"/>
  <c r="O143" i="58"/>
  <c r="AG141" i="58"/>
  <c r="AD141" i="58"/>
  <c r="AA141" i="58"/>
  <c r="Z141" i="58"/>
  <c r="Y141" i="58"/>
  <c r="X141" i="58"/>
  <c r="W141" i="58"/>
  <c r="V141" i="58"/>
  <c r="U141" i="58"/>
  <c r="T141" i="58"/>
  <c r="S141" i="58"/>
  <c r="R141" i="58"/>
  <c r="Q141" i="58"/>
  <c r="P141" i="58"/>
  <c r="O141" i="58"/>
  <c r="AI140" i="58"/>
  <c r="AI139" i="58"/>
  <c r="AI138" i="58"/>
  <c r="AI137" i="58"/>
  <c r="AI136" i="58"/>
  <c r="AI135" i="58"/>
  <c r="AI134" i="58"/>
  <c r="AI133" i="58"/>
  <c r="AI132" i="58"/>
  <c r="AI131" i="58"/>
  <c r="AA146" i="58"/>
  <c r="AI130" i="58"/>
  <c r="AI119" i="58"/>
  <c r="AI118" i="58"/>
  <c r="AI117" i="58"/>
  <c r="AI116" i="58"/>
  <c r="AI115" i="58"/>
  <c r="AI114" i="58"/>
  <c r="AI111" i="58"/>
  <c r="AI110" i="58"/>
  <c r="AI109" i="58"/>
  <c r="AI108" i="58"/>
  <c r="AI107" i="58"/>
  <c r="AI106" i="58"/>
  <c r="AI103" i="58"/>
  <c r="AI102" i="58"/>
  <c r="AI101" i="58"/>
  <c r="AI100" i="58"/>
  <c r="AI99" i="58"/>
  <c r="AI98" i="58"/>
  <c r="AI92" i="58"/>
  <c r="AI91" i="58"/>
  <c r="AI87" i="58"/>
  <c r="AI86" i="58"/>
  <c r="AI85" i="58"/>
  <c r="AI83" i="58"/>
  <c r="AH84" i="58"/>
  <c r="AH80" i="58"/>
  <c r="AI80" i="58"/>
  <c r="AI79" i="58"/>
  <c r="AI78" i="58"/>
  <c r="AI81" i="58"/>
  <c r="AI77" i="58"/>
  <c r="AI76" i="58"/>
  <c r="AI75" i="58"/>
  <c r="AH71" i="58"/>
  <c r="AI71" i="58"/>
  <c r="AI70" i="58"/>
  <c r="AI69" i="58"/>
  <c r="AI68" i="58"/>
  <c r="AI67" i="58"/>
  <c r="AI66" i="58"/>
  <c r="AI65" i="58"/>
  <c r="AH64" i="58"/>
  <c r="AH61" i="58"/>
  <c r="AI61" i="58"/>
  <c r="AI60" i="58"/>
  <c r="AI59" i="58"/>
  <c r="AI58" i="58"/>
  <c r="AI57" i="58"/>
  <c r="AI56" i="58"/>
  <c r="AI55" i="58"/>
  <c r="AH51" i="58"/>
  <c r="AI51" i="58"/>
  <c r="AI50" i="58"/>
  <c r="AI49" i="58"/>
  <c r="AI48" i="58"/>
  <c r="AI52" i="58"/>
  <c r="AI47" i="58"/>
  <c r="AI46" i="58"/>
  <c r="AI45" i="58"/>
  <c r="AH44" i="58"/>
  <c r="AH41" i="58"/>
  <c r="AA144" i="58"/>
  <c r="AI41" i="58"/>
  <c r="AI40" i="58"/>
  <c r="AA143" i="58"/>
  <c r="AI39" i="58"/>
  <c r="AI38" i="58"/>
  <c r="AI42" i="58"/>
  <c r="AI37" i="58"/>
  <c r="AI36" i="58"/>
  <c r="AI35" i="58"/>
  <c r="AA31" i="58"/>
  <c r="G20" i="58"/>
  <c r="G19" i="58"/>
  <c r="AG146" i="57"/>
  <c r="AD146" i="57"/>
  <c r="Z146" i="57"/>
  <c r="Y146" i="57"/>
  <c r="X146" i="57"/>
  <c r="W146" i="57"/>
  <c r="V146" i="57"/>
  <c r="U146" i="57"/>
  <c r="T146" i="57"/>
  <c r="S146" i="57"/>
  <c r="R146" i="57"/>
  <c r="Q146" i="57"/>
  <c r="P146" i="57"/>
  <c r="O146" i="57"/>
  <c r="AG145" i="57"/>
  <c r="AD145" i="57"/>
  <c r="Z145" i="57"/>
  <c r="Y145" i="57"/>
  <c r="X145" i="57"/>
  <c r="W145" i="57"/>
  <c r="V145" i="57"/>
  <c r="U145" i="57"/>
  <c r="T145" i="57"/>
  <c r="S145" i="57"/>
  <c r="R145" i="57"/>
  <c r="Q145" i="57"/>
  <c r="P145" i="57"/>
  <c r="O145" i="57"/>
  <c r="AG144" i="57"/>
  <c r="AD144" i="57"/>
  <c r="Z144" i="57"/>
  <c r="Y144" i="57"/>
  <c r="X144" i="57"/>
  <c r="W144" i="57"/>
  <c r="V144" i="57"/>
  <c r="U144" i="57"/>
  <c r="T144" i="57"/>
  <c r="S144" i="57"/>
  <c r="R144" i="57"/>
  <c r="Q144" i="57"/>
  <c r="P144" i="57"/>
  <c r="O144" i="57"/>
  <c r="AG143" i="57"/>
  <c r="AD143" i="57"/>
  <c r="Z143" i="57"/>
  <c r="Y143" i="57"/>
  <c r="X143" i="57"/>
  <c r="W143" i="57"/>
  <c r="V143" i="57"/>
  <c r="U143" i="57"/>
  <c r="T143" i="57"/>
  <c r="S143" i="57"/>
  <c r="R143" i="57"/>
  <c r="Q143" i="57"/>
  <c r="P143" i="57"/>
  <c r="O143" i="57"/>
  <c r="AG141" i="57"/>
  <c r="AD141" i="57"/>
  <c r="Z141" i="57"/>
  <c r="Y141" i="57"/>
  <c r="X141" i="57"/>
  <c r="W141" i="57"/>
  <c r="V141" i="57"/>
  <c r="U141" i="57"/>
  <c r="T141" i="57"/>
  <c r="S141" i="57"/>
  <c r="R141" i="57"/>
  <c r="Q141" i="57"/>
  <c r="P141" i="57"/>
  <c r="O141" i="57"/>
  <c r="AI140" i="57"/>
  <c r="AI139" i="57"/>
  <c r="AI137" i="57"/>
  <c r="AI136" i="57"/>
  <c r="AI135" i="57"/>
  <c r="AI133" i="57"/>
  <c r="AI132" i="57"/>
  <c r="AI131" i="57"/>
  <c r="AI130" i="57"/>
  <c r="AI119" i="57"/>
  <c r="AI118" i="57"/>
  <c r="AI117" i="57"/>
  <c r="AI116" i="57"/>
  <c r="AI115" i="57"/>
  <c r="AI114" i="57"/>
  <c r="AI111" i="57"/>
  <c r="AI110" i="57"/>
  <c r="AI109" i="57"/>
  <c r="AI108" i="57"/>
  <c r="AI107" i="57"/>
  <c r="AI106" i="57"/>
  <c r="AI103" i="57"/>
  <c r="AI102" i="57"/>
  <c r="AI101" i="57"/>
  <c r="AI100" i="57"/>
  <c r="AI99" i="57"/>
  <c r="AI98" i="57"/>
  <c r="AI92" i="57"/>
  <c r="AI91" i="57"/>
  <c r="AI87" i="57"/>
  <c r="AI86" i="57"/>
  <c r="AI93" i="57"/>
  <c r="AI94" i="57"/>
  <c r="AA141" i="57"/>
  <c r="AI85" i="57"/>
  <c r="AI83" i="57"/>
  <c r="AI88" i="57"/>
  <c r="AA145" i="57"/>
  <c r="AH84" i="57"/>
  <c r="AH80" i="57"/>
  <c r="AI80" i="57"/>
  <c r="AI79" i="57"/>
  <c r="AI78" i="57"/>
  <c r="AI77" i="57"/>
  <c r="AI76" i="57"/>
  <c r="AI75" i="57"/>
  <c r="AH74" i="57"/>
  <c r="AH71" i="57"/>
  <c r="AI71" i="57"/>
  <c r="AI70" i="57"/>
  <c r="AI69" i="57"/>
  <c r="AI68" i="57"/>
  <c r="AI72" i="57"/>
  <c r="AI67" i="57"/>
  <c r="AI66" i="57"/>
  <c r="AI65" i="57"/>
  <c r="AH64" i="57"/>
  <c r="AH61" i="57"/>
  <c r="AI61" i="57"/>
  <c r="AI60" i="57"/>
  <c r="AI59" i="57"/>
  <c r="AI58" i="57"/>
  <c r="AI62" i="57"/>
  <c r="AI57" i="57"/>
  <c r="AI56" i="57"/>
  <c r="AI55" i="57"/>
  <c r="AH54" i="57"/>
  <c r="G53" i="57" s="1"/>
  <c r="AH51" i="57"/>
  <c r="AI51" i="57"/>
  <c r="AI50" i="57"/>
  <c r="AI48" i="57"/>
  <c r="AI46" i="57"/>
  <c r="AH44" i="57"/>
  <c r="AH41" i="57"/>
  <c r="AA144" i="57"/>
  <c r="AI41" i="57"/>
  <c r="AI40" i="57"/>
  <c r="AI39" i="57"/>
  <c r="AI38" i="57"/>
  <c r="AI42" i="57"/>
  <c r="AI37" i="57"/>
  <c r="AI36" i="57"/>
  <c r="AI35" i="57"/>
  <c r="AA31" i="57"/>
  <c r="G20" i="57"/>
  <c r="G19" i="57"/>
  <c r="AG146" i="56"/>
  <c r="AD146" i="56"/>
  <c r="Z146" i="56"/>
  <c r="Y146" i="56"/>
  <c r="X146" i="56"/>
  <c r="W146" i="56"/>
  <c r="V146" i="56"/>
  <c r="U146" i="56"/>
  <c r="T146" i="56"/>
  <c r="S146" i="56"/>
  <c r="R146" i="56"/>
  <c r="Q146" i="56"/>
  <c r="P146" i="56"/>
  <c r="O146" i="56"/>
  <c r="AG145" i="56"/>
  <c r="AD145" i="56"/>
  <c r="Z145" i="56"/>
  <c r="Y145" i="56"/>
  <c r="X145" i="56"/>
  <c r="W145" i="56"/>
  <c r="V145" i="56"/>
  <c r="U145" i="56"/>
  <c r="T145" i="56"/>
  <c r="S145" i="56"/>
  <c r="R145" i="56"/>
  <c r="Q145" i="56"/>
  <c r="P145" i="56"/>
  <c r="O145" i="56"/>
  <c r="AG144" i="56"/>
  <c r="AD144" i="56"/>
  <c r="Z144" i="56"/>
  <c r="Y144" i="56"/>
  <c r="X144" i="56"/>
  <c r="W144" i="56"/>
  <c r="V144" i="56"/>
  <c r="U144" i="56"/>
  <c r="T144" i="56"/>
  <c r="S144" i="56"/>
  <c r="R144" i="56"/>
  <c r="Q144" i="56"/>
  <c r="P144" i="56"/>
  <c r="O144" i="56"/>
  <c r="AG143" i="56"/>
  <c r="AD143" i="56"/>
  <c r="Z143" i="56"/>
  <c r="Y143" i="56"/>
  <c r="X143" i="56"/>
  <c r="W143" i="56"/>
  <c r="V143" i="56"/>
  <c r="U143" i="56"/>
  <c r="T143" i="56"/>
  <c r="S143" i="56"/>
  <c r="R143" i="56"/>
  <c r="Q143" i="56"/>
  <c r="P143" i="56"/>
  <c r="O143" i="56"/>
  <c r="AG141" i="56"/>
  <c r="AD141" i="56"/>
  <c r="AA141" i="56"/>
  <c r="Z141" i="56"/>
  <c r="Y141" i="56"/>
  <c r="X141" i="56"/>
  <c r="W141" i="56"/>
  <c r="V141" i="56"/>
  <c r="U141" i="56"/>
  <c r="T141" i="56"/>
  <c r="S141" i="56"/>
  <c r="R141" i="56"/>
  <c r="Q141" i="56"/>
  <c r="P141" i="56"/>
  <c r="O141" i="56"/>
  <c r="AI140" i="56"/>
  <c r="AI139" i="56"/>
  <c r="AI138" i="56"/>
  <c r="AI137" i="56"/>
  <c r="AI136" i="56"/>
  <c r="AI135" i="56"/>
  <c r="AI134" i="56"/>
  <c r="AI133" i="56"/>
  <c r="AI132" i="56"/>
  <c r="AI131" i="56"/>
  <c r="AA146" i="56"/>
  <c r="AI130" i="56"/>
  <c r="AH124" i="56"/>
  <c r="AI119" i="56"/>
  <c r="AI118" i="56"/>
  <c r="AH117" i="56"/>
  <c r="AI117" i="56"/>
  <c r="AI116" i="56"/>
  <c r="AI115" i="56"/>
  <c r="AI114" i="56"/>
  <c r="AI111" i="56"/>
  <c r="AI110" i="56"/>
  <c r="AH109" i="56"/>
  <c r="AI109" i="56"/>
  <c r="AI108" i="56"/>
  <c r="AI107" i="56"/>
  <c r="AI106" i="56"/>
  <c r="AI103" i="56"/>
  <c r="AI102" i="56"/>
  <c r="AH101" i="56"/>
  <c r="AI101" i="56"/>
  <c r="AI100" i="56"/>
  <c r="AI99" i="56"/>
  <c r="AI98" i="56"/>
  <c r="AI92" i="56"/>
  <c r="AI91" i="56"/>
  <c r="AI87" i="56"/>
  <c r="AI86" i="56"/>
  <c r="AI94" i="56"/>
  <c r="AI93" i="56"/>
  <c r="AI85" i="56"/>
  <c r="AI83" i="56"/>
  <c r="AH84" i="56"/>
  <c r="AH80" i="56"/>
  <c r="AI80" i="56"/>
  <c r="AI79" i="56"/>
  <c r="AI78" i="56"/>
  <c r="AI77" i="56"/>
  <c r="AI76" i="56"/>
  <c r="AI75" i="56"/>
  <c r="AH74" i="56"/>
  <c r="AH71" i="56"/>
  <c r="AI71" i="56"/>
  <c r="AI70" i="56"/>
  <c r="AI69" i="56"/>
  <c r="AH68" i="56"/>
  <c r="AI68" i="56"/>
  <c r="AI72" i="56"/>
  <c r="AH67" i="56"/>
  <c r="AI67" i="56"/>
  <c r="AH66" i="56"/>
  <c r="AI66" i="56"/>
  <c r="AI65" i="56"/>
  <c r="AH64" i="56"/>
  <c r="AH61" i="56"/>
  <c r="AI61" i="56"/>
  <c r="AI60" i="56"/>
  <c r="AI59" i="56"/>
  <c r="AI58" i="56"/>
  <c r="AI62" i="56"/>
  <c r="AI57" i="56"/>
  <c r="AI56" i="56"/>
  <c r="AI55" i="56"/>
  <c r="AH54" i="56"/>
  <c r="AH51" i="56"/>
  <c r="AI50" i="56"/>
  <c r="AI49" i="56"/>
  <c r="AI48" i="56"/>
  <c r="AI47" i="56"/>
  <c r="AI46" i="56"/>
  <c r="AI45" i="56"/>
  <c r="AH44" i="56"/>
  <c r="AH41" i="56"/>
  <c r="AA144" i="56"/>
  <c r="AI41" i="56"/>
  <c r="AI40" i="56"/>
  <c r="AI39" i="56"/>
  <c r="AA143" i="56"/>
  <c r="AI38" i="56"/>
  <c r="AI42" i="56"/>
  <c r="AI37" i="56"/>
  <c r="AI36" i="56"/>
  <c r="AI35" i="56"/>
  <c r="AA31" i="56"/>
  <c r="G20" i="56"/>
  <c r="G19" i="56"/>
  <c r="AG146" i="55"/>
  <c r="AD146" i="55"/>
  <c r="Z146" i="55"/>
  <c r="Y146" i="55"/>
  <c r="X146" i="55"/>
  <c r="W146" i="55"/>
  <c r="V146" i="55"/>
  <c r="U146" i="55"/>
  <c r="T146" i="55"/>
  <c r="S146" i="55"/>
  <c r="R146" i="55"/>
  <c r="Q146" i="55"/>
  <c r="P146" i="55"/>
  <c r="O146" i="55"/>
  <c r="AG145" i="55"/>
  <c r="AD145" i="55"/>
  <c r="Z145" i="55"/>
  <c r="Y145" i="55"/>
  <c r="X145" i="55"/>
  <c r="W145" i="55"/>
  <c r="V145" i="55"/>
  <c r="U145" i="55"/>
  <c r="T145" i="55"/>
  <c r="S145" i="55"/>
  <c r="R145" i="55"/>
  <c r="Q145" i="55"/>
  <c r="P145" i="55"/>
  <c r="O145" i="55"/>
  <c r="AG144" i="55"/>
  <c r="AD144" i="55"/>
  <c r="Z144" i="55"/>
  <c r="Y144" i="55"/>
  <c r="X144" i="55"/>
  <c r="W144" i="55"/>
  <c r="V144" i="55"/>
  <c r="U144" i="55"/>
  <c r="T144" i="55"/>
  <c r="S144" i="55"/>
  <c r="R144" i="55"/>
  <c r="Q144" i="55"/>
  <c r="P144" i="55"/>
  <c r="O144" i="55"/>
  <c r="AG143" i="55"/>
  <c r="AD143" i="55"/>
  <c r="Z143" i="55"/>
  <c r="Y143" i="55"/>
  <c r="X143" i="55"/>
  <c r="W143" i="55"/>
  <c r="V143" i="55"/>
  <c r="U143" i="55"/>
  <c r="T143" i="55"/>
  <c r="S143" i="55"/>
  <c r="R143" i="55"/>
  <c r="Q143" i="55"/>
  <c r="P143" i="55"/>
  <c r="O143" i="55"/>
  <c r="AG141" i="55"/>
  <c r="AD141" i="55"/>
  <c r="AA141" i="55"/>
  <c r="Z141" i="55"/>
  <c r="Y141" i="55"/>
  <c r="X141" i="55"/>
  <c r="W141" i="55"/>
  <c r="V141" i="55"/>
  <c r="U141" i="55"/>
  <c r="T141" i="55"/>
  <c r="S141" i="55"/>
  <c r="R141" i="55"/>
  <c r="Q141" i="55"/>
  <c r="P141" i="55"/>
  <c r="O141" i="55"/>
  <c r="AI140" i="55"/>
  <c r="AI139" i="55"/>
  <c r="AI138" i="55"/>
  <c r="AI137" i="55"/>
  <c r="AI136" i="55"/>
  <c r="AI135" i="55"/>
  <c r="AI134" i="55"/>
  <c r="AI133" i="55"/>
  <c r="AI132" i="55"/>
  <c r="AI131" i="55"/>
  <c r="AA146" i="55"/>
  <c r="AI130" i="55"/>
  <c r="AI119" i="55"/>
  <c r="AI118" i="55"/>
  <c r="AI117" i="55"/>
  <c r="AI116" i="55"/>
  <c r="AI115" i="55"/>
  <c r="AI114" i="55"/>
  <c r="AI111" i="55"/>
  <c r="AI110" i="55"/>
  <c r="AI109" i="55"/>
  <c r="AI108" i="55"/>
  <c r="AI107" i="55"/>
  <c r="AI106" i="55"/>
  <c r="AI103" i="55"/>
  <c r="AI102" i="55"/>
  <c r="AI101" i="55"/>
  <c r="AI100" i="55"/>
  <c r="AI99" i="55"/>
  <c r="AI98" i="55"/>
  <c r="AI92" i="55"/>
  <c r="AI91" i="55"/>
  <c r="AI87" i="55"/>
  <c r="AI86" i="55"/>
  <c r="AI85" i="55"/>
  <c r="AI83" i="55"/>
  <c r="AH84" i="55"/>
  <c r="AH80" i="55"/>
  <c r="AI80" i="55"/>
  <c r="AI79" i="55"/>
  <c r="AI78" i="55"/>
  <c r="AI77" i="55"/>
  <c r="AI76" i="55"/>
  <c r="AI75" i="55"/>
  <c r="AH74" i="55"/>
  <c r="AH71" i="55"/>
  <c r="AI71" i="55"/>
  <c r="AI70" i="55"/>
  <c r="AI69" i="55"/>
  <c r="AI68" i="55"/>
  <c r="AI72" i="55"/>
  <c r="AI67" i="55"/>
  <c r="AI66" i="55"/>
  <c r="AI65" i="55"/>
  <c r="AH64" i="55"/>
  <c r="AH61" i="55"/>
  <c r="AI61" i="55"/>
  <c r="AI60" i="55"/>
  <c r="AI59" i="55"/>
  <c r="AI58" i="55"/>
  <c r="AI57" i="55"/>
  <c r="AI56" i="55"/>
  <c r="AI55" i="55"/>
  <c r="AH54" i="55"/>
  <c r="AH51" i="55"/>
  <c r="AI51" i="55"/>
  <c r="AI50" i="55"/>
  <c r="AI49" i="55"/>
  <c r="AI48" i="55"/>
  <c r="AI47" i="55"/>
  <c r="AI46" i="55"/>
  <c r="AI45" i="55"/>
  <c r="AH44" i="55"/>
  <c r="AH41" i="55"/>
  <c r="AI41" i="55"/>
  <c r="AI40" i="55"/>
  <c r="AA143" i="55"/>
  <c r="AI39" i="55"/>
  <c r="AI38" i="55"/>
  <c r="AI42" i="55"/>
  <c r="AI37" i="55"/>
  <c r="AI36" i="55"/>
  <c r="AI35" i="55"/>
  <c r="AA31" i="55"/>
  <c r="G20" i="55"/>
  <c r="G19" i="55"/>
  <c r="R144" i="39"/>
  <c r="AG146" i="39"/>
  <c r="AD146" i="39"/>
  <c r="Z146" i="39"/>
  <c r="Y146" i="39"/>
  <c r="X146" i="39"/>
  <c r="W146" i="39"/>
  <c r="V146" i="39"/>
  <c r="U146" i="39"/>
  <c r="T146" i="39"/>
  <c r="S146" i="39"/>
  <c r="R146" i="39"/>
  <c r="Q146" i="39"/>
  <c r="P146" i="39"/>
  <c r="O146" i="39"/>
  <c r="AI86" i="39"/>
  <c r="AI70" i="39"/>
  <c r="AI60" i="39"/>
  <c r="AI50" i="39"/>
  <c r="AI40" i="39"/>
  <c r="AG141" i="39"/>
  <c r="AD141" i="39"/>
  <c r="Z141" i="39"/>
  <c r="Y141" i="39"/>
  <c r="X141" i="39"/>
  <c r="W141" i="39"/>
  <c r="V141" i="39"/>
  <c r="U141" i="39"/>
  <c r="T141" i="39"/>
  <c r="S141" i="39"/>
  <c r="R141" i="39"/>
  <c r="Q141" i="39"/>
  <c r="P141" i="39"/>
  <c r="O141" i="39"/>
  <c r="AI140" i="39"/>
  <c r="AI139" i="39"/>
  <c r="AI138" i="39"/>
  <c r="AI137" i="39"/>
  <c r="AI136" i="39"/>
  <c r="AI135" i="39"/>
  <c r="AI134" i="39"/>
  <c r="AI133" i="39"/>
  <c r="AI132" i="39"/>
  <c r="AI131" i="39"/>
  <c r="AA146" i="39"/>
  <c r="AI130" i="39"/>
  <c r="AG175" i="17"/>
  <c r="AD175" i="17"/>
  <c r="O175" i="17"/>
  <c r="AI103" i="17"/>
  <c r="AG171" i="17"/>
  <c r="AD171" i="17"/>
  <c r="Z171" i="17"/>
  <c r="Y171" i="17"/>
  <c r="X171" i="17"/>
  <c r="W171" i="17"/>
  <c r="V171" i="17"/>
  <c r="U171" i="17"/>
  <c r="T171" i="17"/>
  <c r="S171" i="17"/>
  <c r="R171" i="17"/>
  <c r="Q171" i="17"/>
  <c r="P171" i="17"/>
  <c r="O171" i="17"/>
  <c r="AI170" i="17"/>
  <c r="AI166" i="17"/>
  <c r="AI164" i="17"/>
  <c r="AI162" i="17"/>
  <c r="AI160" i="17"/>
  <c r="AI153" i="17"/>
  <c r="AI167" i="17"/>
  <c r="AI165" i="17"/>
  <c r="AI163" i="17"/>
  <c r="AI161" i="17"/>
  <c r="AI159" i="17"/>
  <c r="AN37" i="26"/>
  <c r="AM37" i="26"/>
  <c r="AN95" i="23"/>
  <c r="AM95" i="23"/>
  <c r="G20" i="11"/>
  <c r="G20" i="54"/>
  <c r="G20" i="53"/>
  <c r="G20" i="52"/>
  <c r="G20" i="51"/>
  <c r="G20" i="9"/>
  <c r="AN48" i="16"/>
  <c r="AM48" i="16"/>
  <c r="AN40" i="16"/>
  <c r="AM40" i="16"/>
  <c r="G20" i="16"/>
  <c r="AG143" i="39"/>
  <c r="AD143" i="39"/>
  <c r="Z143" i="39"/>
  <c r="Y143" i="39"/>
  <c r="X143" i="39"/>
  <c r="W143" i="39"/>
  <c r="V143" i="39"/>
  <c r="U143" i="39"/>
  <c r="T143" i="39"/>
  <c r="S143" i="39"/>
  <c r="R143" i="39"/>
  <c r="Q143" i="39"/>
  <c r="P143" i="39"/>
  <c r="O143" i="39"/>
  <c r="AI83" i="39"/>
  <c r="AG173" i="17"/>
  <c r="AD173" i="17"/>
  <c r="AI99" i="17"/>
  <c r="R99" i="4"/>
  <c r="AG107" i="54"/>
  <c r="AD107" i="54"/>
  <c r="Z107" i="54"/>
  <c r="Y107" i="54"/>
  <c r="X107" i="54"/>
  <c r="W107" i="54"/>
  <c r="V107" i="54"/>
  <c r="U107" i="54"/>
  <c r="T107" i="54"/>
  <c r="S107" i="54"/>
  <c r="R107" i="54"/>
  <c r="Q107" i="54"/>
  <c r="P107" i="54"/>
  <c r="O107" i="54"/>
  <c r="AH78" i="54"/>
  <c r="AE78" i="54"/>
  <c r="AG72" i="54"/>
  <c r="AD72" i="54"/>
  <c r="AD108" i="54" s="1"/>
  <c r="Z72" i="54"/>
  <c r="Z108" i="54" s="1"/>
  <c r="Y72" i="54"/>
  <c r="Y108" i="54" s="1"/>
  <c r="X72" i="54"/>
  <c r="X108" i="54" s="1"/>
  <c r="W72" i="54"/>
  <c r="W108" i="54" s="1"/>
  <c r="V72" i="54"/>
  <c r="V108" i="54" s="1"/>
  <c r="U72" i="54"/>
  <c r="U108" i="54" s="1"/>
  <c r="T72" i="54"/>
  <c r="T108" i="54" s="1"/>
  <c r="S72" i="54"/>
  <c r="S108" i="54" s="1"/>
  <c r="R72" i="54"/>
  <c r="R108" i="54" s="1"/>
  <c r="Q72" i="54"/>
  <c r="Q108" i="54" s="1"/>
  <c r="P72" i="54"/>
  <c r="P108" i="54" s="1"/>
  <c r="O72" i="54"/>
  <c r="O108" i="54" s="1"/>
  <c r="AI71" i="54"/>
  <c r="AH71" i="54"/>
  <c r="AF71" i="54"/>
  <c r="AE71" i="54"/>
  <c r="AB71" i="54"/>
  <c r="AA31" i="54"/>
  <c r="G19" i="54"/>
  <c r="AG90" i="53"/>
  <c r="AD90" i="53"/>
  <c r="Z90" i="53"/>
  <c r="Y90" i="53"/>
  <c r="X90" i="53"/>
  <c r="W90" i="53"/>
  <c r="V90" i="53"/>
  <c r="U90" i="53"/>
  <c r="T90" i="53"/>
  <c r="S90" i="53"/>
  <c r="R90" i="53"/>
  <c r="Q90" i="53"/>
  <c r="P90" i="53"/>
  <c r="O90" i="53"/>
  <c r="AH78" i="53"/>
  <c r="AE78" i="53"/>
  <c r="AG72" i="53"/>
  <c r="AG91" i="53" s="1"/>
  <c r="AD72" i="53"/>
  <c r="AD91" i="53" s="1"/>
  <c r="Z72" i="53"/>
  <c r="Z91" i="53" s="1"/>
  <c r="Y72" i="53"/>
  <c r="Y91" i="53" s="1"/>
  <c r="X72" i="53"/>
  <c r="X91" i="53" s="1"/>
  <c r="W72" i="53"/>
  <c r="W91" i="53" s="1"/>
  <c r="V72" i="53"/>
  <c r="V91" i="53" s="1"/>
  <c r="U72" i="53"/>
  <c r="U91" i="53" s="1"/>
  <c r="T72" i="53"/>
  <c r="T91" i="53" s="1"/>
  <c r="S72" i="53"/>
  <c r="S91" i="53" s="1"/>
  <c r="R72" i="53"/>
  <c r="R91" i="53" s="1"/>
  <c r="Q72" i="53"/>
  <c r="Q91" i="53" s="1"/>
  <c r="P72" i="53"/>
  <c r="P91" i="53" s="1"/>
  <c r="O72" i="53"/>
  <c r="O91" i="53" s="1"/>
  <c r="AI71" i="53"/>
  <c r="AH71" i="53"/>
  <c r="AF71" i="53"/>
  <c r="AE71" i="53"/>
  <c r="AB71" i="53"/>
  <c r="AA31" i="53"/>
  <c r="G19" i="53"/>
  <c r="AG90" i="52"/>
  <c r="AD90" i="52"/>
  <c r="Z90" i="52"/>
  <c r="Y90" i="52"/>
  <c r="X90" i="52"/>
  <c r="W90" i="52"/>
  <c r="V90" i="52"/>
  <c r="U90" i="52"/>
  <c r="T90" i="52"/>
  <c r="S90" i="52"/>
  <c r="R90" i="52"/>
  <c r="Q90" i="52"/>
  <c r="P90" i="52"/>
  <c r="O90" i="52"/>
  <c r="AH78" i="52"/>
  <c r="AE78" i="52"/>
  <c r="AG72" i="52"/>
  <c r="AD72" i="52"/>
  <c r="Z72" i="52"/>
  <c r="Z91" i="52" s="1"/>
  <c r="Y72" i="52"/>
  <c r="Y91" i="52" s="1"/>
  <c r="X72" i="52"/>
  <c r="X91" i="52" s="1"/>
  <c r="W72" i="52"/>
  <c r="W91" i="52" s="1"/>
  <c r="V72" i="52"/>
  <c r="V91" i="52" s="1"/>
  <c r="U72" i="52"/>
  <c r="U91" i="52" s="1"/>
  <c r="T72" i="52"/>
  <c r="T91" i="52" s="1"/>
  <c r="S72" i="52"/>
  <c r="S91" i="52" s="1"/>
  <c r="R72" i="52"/>
  <c r="R91" i="52" s="1"/>
  <c r="Q72" i="52"/>
  <c r="Q91" i="52" s="1"/>
  <c r="P72" i="52"/>
  <c r="P91" i="52" s="1"/>
  <c r="O72" i="52"/>
  <c r="O91" i="52" s="1"/>
  <c r="AI71" i="52"/>
  <c r="AH71" i="52"/>
  <c r="AF71" i="52"/>
  <c r="AE71" i="52"/>
  <c r="AB71" i="52"/>
  <c r="AA31" i="52"/>
  <c r="G19" i="52"/>
  <c r="AG101" i="51"/>
  <c r="AD101" i="51"/>
  <c r="Z101" i="51"/>
  <c r="Y101" i="51"/>
  <c r="X101" i="51"/>
  <c r="W101" i="51"/>
  <c r="V101" i="51"/>
  <c r="U101" i="51"/>
  <c r="T101" i="51"/>
  <c r="S101" i="51"/>
  <c r="R101" i="51"/>
  <c r="Q101" i="51"/>
  <c r="P101" i="51"/>
  <c r="O101" i="51"/>
  <c r="AH78" i="51"/>
  <c r="AE78" i="51"/>
  <c r="AG72" i="51"/>
  <c r="AG102" i="51" s="1"/>
  <c r="AD72" i="51"/>
  <c r="Z72" i="51"/>
  <c r="Z102" i="51" s="1"/>
  <c r="Y72" i="51"/>
  <c r="Y102" i="51" s="1"/>
  <c r="X72" i="51"/>
  <c r="X102" i="51" s="1"/>
  <c r="W72" i="51"/>
  <c r="W102" i="51" s="1"/>
  <c r="V72" i="51"/>
  <c r="V102" i="51" s="1"/>
  <c r="U72" i="51"/>
  <c r="U102" i="51" s="1"/>
  <c r="T72" i="51"/>
  <c r="T102" i="51" s="1"/>
  <c r="S72" i="51"/>
  <c r="S102" i="51" s="1"/>
  <c r="R72" i="51"/>
  <c r="R102" i="51" s="1"/>
  <c r="Q72" i="51"/>
  <c r="Q102" i="51" s="1"/>
  <c r="P72" i="51"/>
  <c r="P102" i="51" s="1"/>
  <c r="O72" i="51"/>
  <c r="O102" i="51" s="1"/>
  <c r="AI71" i="51"/>
  <c r="AH71" i="51"/>
  <c r="AF71" i="51"/>
  <c r="AE71" i="51"/>
  <c r="AB71" i="51"/>
  <c r="AA31" i="51"/>
  <c r="G19" i="51"/>
  <c r="AG145" i="39"/>
  <c r="AD145" i="39"/>
  <c r="Z145" i="39"/>
  <c r="Y145" i="39"/>
  <c r="X145" i="39"/>
  <c r="W145" i="39"/>
  <c r="V145" i="39"/>
  <c r="U145" i="39"/>
  <c r="T145" i="39"/>
  <c r="S145" i="39"/>
  <c r="R145" i="39"/>
  <c r="Q145" i="39"/>
  <c r="P145" i="39"/>
  <c r="O145" i="39"/>
  <c r="AG144" i="39"/>
  <c r="AD144" i="39"/>
  <c r="Z144" i="39"/>
  <c r="Y144" i="39"/>
  <c r="X144" i="39"/>
  <c r="W144" i="39"/>
  <c r="V144" i="39"/>
  <c r="U144" i="39"/>
  <c r="T144" i="39"/>
  <c r="S144" i="39"/>
  <c r="Q144" i="39"/>
  <c r="P144" i="39"/>
  <c r="O144" i="39"/>
  <c r="AI119" i="39"/>
  <c r="AI118" i="39"/>
  <c r="AI117" i="39"/>
  <c r="AI116" i="39"/>
  <c r="AI115" i="39"/>
  <c r="AI114" i="39"/>
  <c r="AI111" i="39"/>
  <c r="AI110" i="39"/>
  <c r="AI109" i="39"/>
  <c r="AI108" i="39"/>
  <c r="AI107" i="39"/>
  <c r="AI106" i="39"/>
  <c r="AI103" i="39"/>
  <c r="AI102" i="39"/>
  <c r="AI101" i="39"/>
  <c r="AI100" i="39"/>
  <c r="AI99" i="39"/>
  <c r="AI98" i="39"/>
  <c r="AI92" i="39"/>
  <c r="AI91" i="39"/>
  <c r="AI87" i="39"/>
  <c r="AI85" i="39"/>
  <c r="AA141" i="39"/>
  <c r="AI93" i="39"/>
  <c r="AA145" i="39"/>
  <c r="AI94" i="39"/>
  <c r="AH84" i="39"/>
  <c r="AI88" i="39"/>
  <c r="AH80" i="39"/>
  <c r="AI80" i="39"/>
  <c r="AI79" i="39"/>
  <c r="AI78" i="39"/>
  <c r="AI77" i="39"/>
  <c r="AI76" i="39"/>
  <c r="AI75" i="39"/>
  <c r="AH74" i="39"/>
  <c r="AH71" i="39"/>
  <c r="AI71" i="39"/>
  <c r="AI69" i="39"/>
  <c r="AI68" i="39"/>
  <c r="AI72" i="39"/>
  <c r="AI67" i="39"/>
  <c r="AI66" i="39"/>
  <c r="AI65" i="39"/>
  <c r="AH64" i="39"/>
  <c r="AH61" i="39"/>
  <c r="AI61" i="39"/>
  <c r="AI59" i="39"/>
  <c r="AI58" i="39"/>
  <c r="AI57" i="39"/>
  <c r="AI56" i="39"/>
  <c r="AI55" i="39"/>
  <c r="AH54" i="39"/>
  <c r="AH51" i="39"/>
  <c r="AI51" i="39"/>
  <c r="AI49" i="39"/>
  <c r="AI48" i="39"/>
  <c r="AI52" i="39"/>
  <c r="AI47" i="39"/>
  <c r="AI46" i="39"/>
  <c r="AI45" i="39"/>
  <c r="AH44" i="39"/>
  <c r="AH41" i="39"/>
  <c r="AA144" i="39"/>
  <c r="AI41" i="39"/>
  <c r="AI39" i="39"/>
  <c r="AA143" i="39"/>
  <c r="AI38" i="39"/>
  <c r="AI42" i="39"/>
  <c r="AI37" i="39"/>
  <c r="AI36" i="39"/>
  <c r="AI35" i="39"/>
  <c r="AA31" i="39"/>
  <c r="G20" i="39"/>
  <c r="G19" i="39"/>
  <c r="AG124" i="9"/>
  <c r="AD124" i="9"/>
  <c r="Z124" i="9"/>
  <c r="Y124" i="9"/>
  <c r="X124" i="9"/>
  <c r="W124" i="9"/>
  <c r="V124" i="9"/>
  <c r="U124" i="9"/>
  <c r="T124" i="9"/>
  <c r="S124" i="9"/>
  <c r="R124" i="9"/>
  <c r="Q124" i="9"/>
  <c r="P124" i="9"/>
  <c r="O124" i="9"/>
  <c r="AH78" i="9"/>
  <c r="AE78" i="9"/>
  <c r="AG72" i="9"/>
  <c r="AG125" i="9" s="1"/>
  <c r="AD72" i="9"/>
  <c r="AD125" i="9" s="1"/>
  <c r="Z72" i="9"/>
  <c r="Z125" i="9" s="1"/>
  <c r="Y72" i="9"/>
  <c r="Y125" i="9" s="1"/>
  <c r="X72" i="9"/>
  <c r="X125" i="9" s="1"/>
  <c r="W72" i="9"/>
  <c r="W125" i="9" s="1"/>
  <c r="V72" i="9"/>
  <c r="V125" i="9" s="1"/>
  <c r="U72" i="9"/>
  <c r="U125" i="9" s="1"/>
  <c r="T72" i="9"/>
  <c r="T125" i="9" s="1"/>
  <c r="S72" i="9"/>
  <c r="S125" i="9" s="1"/>
  <c r="R72" i="9"/>
  <c r="R125" i="9" s="1"/>
  <c r="Q72" i="9"/>
  <c r="Q125" i="9" s="1"/>
  <c r="P72" i="9"/>
  <c r="P125" i="9" s="1"/>
  <c r="O72" i="9"/>
  <c r="O125" i="9" s="1"/>
  <c r="AI71" i="9"/>
  <c r="AH71" i="9"/>
  <c r="AF71" i="9"/>
  <c r="AE71" i="9"/>
  <c r="AB71" i="9"/>
  <c r="AA31" i="9"/>
  <c r="G19" i="9"/>
  <c r="AG66" i="18"/>
  <c r="AD66" i="18"/>
  <c r="Z66" i="18"/>
  <c r="Y66" i="18"/>
  <c r="X66" i="18"/>
  <c r="W66" i="18"/>
  <c r="V66" i="18"/>
  <c r="U66" i="18"/>
  <c r="T66" i="18"/>
  <c r="S66" i="18"/>
  <c r="R66" i="18"/>
  <c r="Q66" i="18"/>
  <c r="P66" i="18"/>
  <c r="O66" i="18"/>
  <c r="AB55" i="18"/>
  <c r="AH54" i="18"/>
  <c r="AE54" i="18"/>
  <c r="AB54" i="18"/>
  <c r="AH52" i="18"/>
  <c r="AE52" i="18"/>
  <c r="AB52" i="18"/>
  <c r="AG48" i="18"/>
  <c r="AG67" i="18" s="1"/>
  <c r="AD48" i="18"/>
  <c r="AD67" i="18" s="1"/>
  <c r="Z48" i="18"/>
  <c r="Z67" i="18" s="1"/>
  <c r="Y48" i="18"/>
  <c r="Y67" i="18" s="1"/>
  <c r="X48" i="18"/>
  <c r="X67" i="18" s="1"/>
  <c r="W48" i="18"/>
  <c r="W67" i="18" s="1"/>
  <c r="V48" i="18"/>
  <c r="V67" i="18" s="1"/>
  <c r="U48" i="18"/>
  <c r="U67" i="18" s="1"/>
  <c r="T48" i="18"/>
  <c r="T67" i="18" s="1"/>
  <c r="S48" i="18"/>
  <c r="S67" i="18" s="1"/>
  <c r="R48" i="18"/>
  <c r="R67" i="18" s="1"/>
  <c r="Q48" i="18"/>
  <c r="Q67" i="18" s="1"/>
  <c r="P48" i="18"/>
  <c r="P67" i="18" s="1"/>
  <c r="O48" i="18"/>
  <c r="O67" i="18" s="1"/>
  <c r="AI47" i="18"/>
  <c r="AH47" i="18"/>
  <c r="AF47" i="18"/>
  <c r="AE47" i="18"/>
  <c r="AB47" i="18"/>
  <c r="AA31" i="18"/>
  <c r="G19" i="18"/>
  <c r="AH105" i="37"/>
  <c r="AH104" i="37"/>
  <c r="AH103" i="37"/>
  <c r="AH102" i="37"/>
  <c r="AH101" i="37"/>
  <c r="AH100" i="37"/>
  <c r="AH99" i="37"/>
  <c r="AH98" i="37"/>
  <c r="AH97" i="37"/>
  <c r="AH93" i="37"/>
  <c r="AH87" i="37"/>
  <c r="AG83" i="37"/>
  <c r="AK83" i="37" s="1"/>
  <c r="AH83" i="37"/>
  <c r="AG79" i="37"/>
  <c r="AK79" i="37" s="1"/>
  <c r="AH79" i="37"/>
  <c r="AI83" i="37"/>
  <c r="AH78" i="37"/>
  <c r="AI79" i="37"/>
  <c r="AH77" i="37"/>
  <c r="AH70" i="37"/>
  <c r="AH69" i="37"/>
  <c r="AH68" i="37"/>
  <c r="AH67" i="37"/>
  <c r="AH63" i="37"/>
  <c r="AH58" i="37"/>
  <c r="AH57" i="37"/>
  <c r="AH56" i="37"/>
  <c r="AH55" i="37"/>
  <c r="AH54" i="37"/>
  <c r="AG50" i="37"/>
  <c r="AG48" i="37"/>
  <c r="AK48" i="37" s="1"/>
  <c r="AH48" i="37"/>
  <c r="AG47" i="37"/>
  <c r="AH47" i="37"/>
  <c r="AG46" i="37"/>
  <c r="AK46" i="37" s="1"/>
  <c r="AH46" i="37"/>
  <c r="AG67" i="37"/>
  <c r="AK67" i="37" s="1"/>
  <c r="AH42" i="37"/>
  <c r="AI42" i="37"/>
  <c r="AK42" i="37"/>
  <c r="AG87" i="37"/>
  <c r="AG78" i="37"/>
  <c r="AK78" i="37" s="1"/>
  <c r="AG80" i="37"/>
  <c r="AK80" i="37" s="1"/>
  <c r="AG77" i="37"/>
  <c r="AK77" i="37" s="1"/>
  <c r="AG105" i="37"/>
  <c r="AG104" i="37"/>
  <c r="AG103" i="37"/>
  <c r="AG102" i="37"/>
  <c r="AG101" i="37"/>
  <c r="AG100" i="37"/>
  <c r="AG99" i="37"/>
  <c r="AG98" i="37"/>
  <c r="AG97" i="37"/>
  <c r="AG70" i="37"/>
  <c r="AK70" i="37" s="1"/>
  <c r="AG69" i="37"/>
  <c r="AK69" i="37" s="1"/>
  <c r="AG68" i="37"/>
  <c r="AK68" i="37" s="1"/>
  <c r="AG63" i="37"/>
  <c r="AG58" i="37"/>
  <c r="AK58" i="37" s="1"/>
  <c r="AG59" i="37"/>
  <c r="AG57" i="37"/>
  <c r="AK57" i="37" s="1"/>
  <c r="AG56" i="37"/>
  <c r="AK56" i="37" s="1"/>
  <c r="AG55" i="37"/>
  <c r="AK55" i="37" s="1"/>
  <c r="AG54" i="37"/>
  <c r="AK54" i="37" s="1"/>
  <c r="AG49" i="37"/>
  <c r="AK41" i="37"/>
  <c r="AI41" i="37"/>
  <c r="AH41" i="37"/>
  <c r="AI40" i="37"/>
  <c r="AK40" i="37"/>
  <c r="AI77" i="37"/>
  <c r="AI78" i="37"/>
  <c r="AH40" i="37"/>
  <c r="AK39" i="37"/>
  <c r="AI39" i="37"/>
  <c r="AH39" i="37"/>
  <c r="AK34" i="37"/>
  <c r="AI34" i="37"/>
  <c r="AH34" i="37"/>
  <c r="AH33" i="37"/>
  <c r="Z31" i="37"/>
  <c r="AK35" i="37"/>
  <c r="AI35" i="37"/>
  <c r="AH35" i="37"/>
  <c r="AG79" i="29"/>
  <c r="AD79" i="29"/>
  <c r="Z79" i="29"/>
  <c r="Y79" i="29"/>
  <c r="X79" i="29"/>
  <c r="W79" i="29"/>
  <c r="V79" i="29"/>
  <c r="U79" i="29"/>
  <c r="T79" i="29"/>
  <c r="S79" i="29"/>
  <c r="R79" i="29"/>
  <c r="Q79" i="29"/>
  <c r="P79" i="29"/>
  <c r="O79" i="29"/>
  <c r="AG78" i="29"/>
  <c r="AD78" i="29"/>
  <c r="Z78" i="29"/>
  <c r="Y78" i="29"/>
  <c r="X78" i="29"/>
  <c r="W78" i="29"/>
  <c r="V78" i="29"/>
  <c r="U78" i="29"/>
  <c r="T78" i="29"/>
  <c r="S78" i="29"/>
  <c r="R78" i="29"/>
  <c r="Q78" i="29"/>
  <c r="P78" i="29"/>
  <c r="O78" i="29"/>
  <c r="AH37" i="29"/>
  <c r="AE37" i="29"/>
  <c r="AA31" i="29"/>
  <c r="K24" i="5"/>
  <c r="I24" i="5"/>
  <c r="E24" i="5"/>
  <c r="AG100" i="4"/>
  <c r="AD100" i="4"/>
  <c r="Z100" i="4"/>
  <c r="Y100" i="4"/>
  <c r="X100" i="4"/>
  <c r="W100" i="4"/>
  <c r="V100" i="4"/>
  <c r="U100" i="4"/>
  <c r="T100" i="4"/>
  <c r="S100" i="4"/>
  <c r="R100" i="4"/>
  <c r="Q100" i="4"/>
  <c r="P100" i="4"/>
  <c r="O100" i="4"/>
  <c r="AG99" i="4"/>
  <c r="AD99" i="4"/>
  <c r="Z99" i="4"/>
  <c r="Y99" i="4"/>
  <c r="X99" i="4"/>
  <c r="W99" i="4"/>
  <c r="V99" i="4"/>
  <c r="U99" i="4"/>
  <c r="T99" i="4"/>
  <c r="S99" i="4"/>
  <c r="Q99" i="4"/>
  <c r="P99" i="4"/>
  <c r="O99" i="4"/>
  <c r="AE76" i="53"/>
  <c r="AE59" i="18"/>
  <c r="AE55" i="18"/>
  <c r="AH42" i="18"/>
  <c r="AH124" i="59"/>
  <c r="AH117" i="59"/>
  <c r="AH110" i="59"/>
  <c r="AH101" i="59"/>
  <c r="AH78" i="59"/>
  <c r="AH76" i="59"/>
  <c r="AH69" i="59"/>
  <c r="AH67" i="59"/>
  <c r="AH65" i="59"/>
  <c r="AH125" i="59"/>
  <c r="AH118" i="59"/>
  <c r="AH109" i="59"/>
  <c r="AH102" i="59"/>
  <c r="AH79" i="59"/>
  <c r="AH77" i="59"/>
  <c r="AH75" i="59"/>
  <c r="AH68" i="59"/>
  <c r="AH66" i="59"/>
  <c r="AH122" i="57"/>
  <c r="AH116" i="57"/>
  <c r="AH114" i="57"/>
  <c r="AH108" i="57"/>
  <c r="AH106" i="57"/>
  <c r="AH100" i="57"/>
  <c r="AH98" i="57"/>
  <c r="AH58" i="57"/>
  <c r="AH56" i="57"/>
  <c r="AH47" i="57"/>
  <c r="AH38" i="57"/>
  <c r="AH36" i="57"/>
  <c r="AH123" i="57"/>
  <c r="AH121" i="57"/>
  <c r="AH115" i="57"/>
  <c r="AH107" i="57"/>
  <c r="AH99" i="57"/>
  <c r="AH59" i="57"/>
  <c r="AH57" i="57"/>
  <c r="AH55" i="57"/>
  <c r="AH48" i="57"/>
  <c r="AH46" i="57"/>
  <c r="AH37" i="57"/>
  <c r="AH76" i="53"/>
  <c r="AH63" i="18"/>
  <c r="AH61" i="18"/>
  <c r="AH59" i="18"/>
  <c r="AH55" i="18"/>
  <c r="AH64" i="18"/>
  <c r="AH34" i="18"/>
  <c r="AA31" i="4"/>
  <c r="G19" i="4"/>
  <c r="AG76" i="21"/>
  <c r="AD76" i="21"/>
  <c r="Z76" i="21"/>
  <c r="Y76" i="21"/>
  <c r="X76" i="21"/>
  <c r="W76" i="21"/>
  <c r="V76" i="21"/>
  <c r="U76" i="21"/>
  <c r="T76" i="21"/>
  <c r="S76" i="21"/>
  <c r="R76" i="21"/>
  <c r="Q76" i="21"/>
  <c r="P76" i="21"/>
  <c r="O76" i="21"/>
  <c r="AH64" i="21"/>
  <c r="AE64" i="21"/>
  <c r="AG58" i="21"/>
  <c r="AD58" i="21"/>
  <c r="Z58" i="21"/>
  <c r="Z77" i="21" s="1"/>
  <c r="Y58" i="21"/>
  <c r="Y77" i="21" s="1"/>
  <c r="X58" i="21"/>
  <c r="X77" i="21" s="1"/>
  <c r="W58" i="21"/>
  <c r="W77" i="21" s="1"/>
  <c r="V58" i="21"/>
  <c r="V77" i="21" s="1"/>
  <c r="U58" i="21"/>
  <c r="U77" i="21" s="1"/>
  <c r="T58" i="21"/>
  <c r="T77" i="21" s="1"/>
  <c r="S58" i="21"/>
  <c r="S77" i="21" s="1"/>
  <c r="R58" i="21"/>
  <c r="R77" i="21" s="1"/>
  <c r="Q58" i="21"/>
  <c r="Q77" i="21" s="1"/>
  <c r="P58" i="21"/>
  <c r="P77" i="21" s="1"/>
  <c r="O58" i="21"/>
  <c r="O77" i="21" s="1"/>
  <c r="AI57" i="21"/>
  <c r="AH57" i="21"/>
  <c r="AF57" i="21"/>
  <c r="AE57" i="21"/>
  <c r="AB57" i="21"/>
  <c r="AA31" i="21"/>
  <c r="G19" i="21"/>
  <c r="AH47" i="21"/>
  <c r="AG76" i="7"/>
  <c r="AD76" i="7"/>
  <c r="Z76" i="7"/>
  <c r="Y76" i="7"/>
  <c r="X76" i="7"/>
  <c r="W76" i="7"/>
  <c r="V76" i="7"/>
  <c r="U76" i="7"/>
  <c r="T76" i="7"/>
  <c r="S76" i="7"/>
  <c r="R76" i="7"/>
  <c r="Q76" i="7"/>
  <c r="P76" i="7"/>
  <c r="O76" i="7"/>
  <c r="AG74" i="7"/>
  <c r="AD74" i="7"/>
  <c r="Z74" i="7"/>
  <c r="Y74" i="7"/>
  <c r="X74" i="7"/>
  <c r="W74" i="7"/>
  <c r="V74" i="7"/>
  <c r="U74" i="7"/>
  <c r="T74" i="7"/>
  <c r="S74" i="7"/>
  <c r="R74" i="7"/>
  <c r="Q74" i="7"/>
  <c r="P74" i="7"/>
  <c r="O74" i="7"/>
  <c r="AG73" i="7"/>
  <c r="AD73" i="7"/>
  <c r="Z73" i="7"/>
  <c r="Y73" i="7"/>
  <c r="X73" i="7"/>
  <c r="W73" i="7"/>
  <c r="V73" i="7"/>
  <c r="U73" i="7"/>
  <c r="T73" i="7"/>
  <c r="S73" i="7"/>
  <c r="R73" i="7"/>
  <c r="Q73" i="7"/>
  <c r="P73" i="7"/>
  <c r="O73" i="7"/>
  <c r="AG72" i="7"/>
  <c r="AD72" i="7"/>
  <c r="Z72" i="7"/>
  <c r="Y72" i="7"/>
  <c r="X72" i="7"/>
  <c r="W72" i="7"/>
  <c r="V72" i="7"/>
  <c r="U72" i="7"/>
  <c r="T72" i="7"/>
  <c r="S72" i="7"/>
  <c r="R72" i="7"/>
  <c r="Q72" i="7"/>
  <c r="P72" i="7"/>
  <c r="O72" i="7"/>
  <c r="AI71" i="7"/>
  <c r="AF71" i="7"/>
  <c r="AG70" i="7"/>
  <c r="AD70" i="7"/>
  <c r="Z70" i="7"/>
  <c r="Y70" i="7"/>
  <c r="X70" i="7"/>
  <c r="W70" i="7"/>
  <c r="V70" i="7"/>
  <c r="U70" i="7"/>
  <c r="T70" i="7"/>
  <c r="S70" i="7"/>
  <c r="R70" i="7"/>
  <c r="Q70" i="7"/>
  <c r="P70" i="7"/>
  <c r="O70" i="7"/>
  <c r="AG69" i="7"/>
  <c r="AD69" i="7"/>
  <c r="Z69" i="7"/>
  <c r="Y69" i="7"/>
  <c r="X69" i="7"/>
  <c r="W69" i="7"/>
  <c r="V69" i="7"/>
  <c r="U69" i="7"/>
  <c r="T69" i="7"/>
  <c r="S69" i="7"/>
  <c r="R69" i="7"/>
  <c r="Q69" i="7"/>
  <c r="P69" i="7"/>
  <c r="O69" i="7"/>
  <c r="AG68" i="7"/>
  <c r="AD68" i="7"/>
  <c r="Z68" i="7"/>
  <c r="Y68" i="7"/>
  <c r="X68" i="7"/>
  <c r="W68" i="7"/>
  <c r="V68" i="7"/>
  <c r="U68" i="7"/>
  <c r="T68" i="7"/>
  <c r="S68" i="7"/>
  <c r="R68" i="7"/>
  <c r="Q68" i="7"/>
  <c r="P68" i="7"/>
  <c r="O68" i="7"/>
  <c r="AG66" i="7"/>
  <c r="AD66" i="7"/>
  <c r="Z66" i="7"/>
  <c r="Y66" i="7"/>
  <c r="X66" i="7"/>
  <c r="W66" i="7"/>
  <c r="V66" i="7"/>
  <c r="U66" i="7"/>
  <c r="T66" i="7"/>
  <c r="S66" i="7"/>
  <c r="R66" i="7"/>
  <c r="Q66" i="7"/>
  <c r="P66" i="7"/>
  <c r="O66" i="7"/>
  <c r="AG65" i="7"/>
  <c r="AD65" i="7"/>
  <c r="Z65" i="7"/>
  <c r="Y65" i="7"/>
  <c r="X65" i="7"/>
  <c r="W65" i="7"/>
  <c r="V65" i="7"/>
  <c r="U65" i="7"/>
  <c r="T65" i="7"/>
  <c r="S65" i="7"/>
  <c r="R65" i="7"/>
  <c r="Q65" i="7"/>
  <c r="P65" i="7"/>
  <c r="O65" i="7"/>
  <c r="AG47" i="7"/>
  <c r="AD47" i="7"/>
  <c r="Z47" i="7"/>
  <c r="Y47" i="7"/>
  <c r="X47" i="7"/>
  <c r="W47" i="7"/>
  <c r="V47" i="7"/>
  <c r="U47" i="7"/>
  <c r="T47" i="7"/>
  <c r="S47" i="7"/>
  <c r="R47" i="7"/>
  <c r="Q47" i="7"/>
  <c r="P47" i="7"/>
  <c r="O47" i="7"/>
  <c r="AA31" i="7"/>
  <c r="G20" i="7"/>
  <c r="G19" i="7"/>
  <c r="AG66" i="36"/>
  <c r="AD66" i="36"/>
  <c r="Z66" i="36"/>
  <c r="Y66" i="36"/>
  <c r="X66" i="36"/>
  <c r="W66" i="36"/>
  <c r="V66" i="36"/>
  <c r="U66" i="36"/>
  <c r="T66" i="36"/>
  <c r="S66" i="36"/>
  <c r="R66" i="36"/>
  <c r="Q66" i="36"/>
  <c r="P66" i="36"/>
  <c r="O66" i="36"/>
  <c r="AA31" i="36"/>
  <c r="AG78" i="30"/>
  <c r="AD78" i="30"/>
  <c r="Z78" i="30"/>
  <c r="Y78" i="30"/>
  <c r="X78" i="30"/>
  <c r="W78" i="30"/>
  <c r="V78" i="30"/>
  <c r="U78" i="30"/>
  <c r="T78" i="30"/>
  <c r="S78" i="30"/>
  <c r="R78" i="30"/>
  <c r="Q78" i="30"/>
  <c r="P78" i="30"/>
  <c r="O78" i="30"/>
  <c r="AG77" i="30"/>
  <c r="AD77" i="30"/>
  <c r="Z77" i="30"/>
  <c r="Y77" i="30"/>
  <c r="X77" i="30"/>
  <c r="W77" i="30"/>
  <c r="V77" i="30"/>
  <c r="U77" i="30"/>
  <c r="T77" i="30"/>
  <c r="S77" i="30"/>
  <c r="R77" i="30"/>
  <c r="Q77" i="30"/>
  <c r="P77" i="30"/>
  <c r="O77" i="30"/>
  <c r="AH37" i="30"/>
  <c r="AE37" i="30"/>
  <c r="AA31" i="30"/>
  <c r="AG62" i="20"/>
  <c r="AD62" i="20"/>
  <c r="Z62" i="20"/>
  <c r="Y62" i="20"/>
  <c r="X62" i="20"/>
  <c r="W62" i="20"/>
  <c r="V62" i="20"/>
  <c r="U62" i="20"/>
  <c r="T62" i="20"/>
  <c r="S62" i="20"/>
  <c r="R62" i="20"/>
  <c r="Q62" i="20"/>
  <c r="P62" i="20"/>
  <c r="O62" i="20"/>
  <c r="AH50" i="20"/>
  <c r="AE50" i="20"/>
  <c r="AG44" i="20"/>
  <c r="AD44" i="20"/>
  <c r="AD63" i="20" s="1"/>
  <c r="Z44" i="20"/>
  <c r="Z63" i="20" s="1"/>
  <c r="Y44" i="20"/>
  <c r="Y63" i="20" s="1"/>
  <c r="X44" i="20"/>
  <c r="X63" i="20" s="1"/>
  <c r="W44" i="20"/>
  <c r="W63" i="20" s="1"/>
  <c r="V44" i="20"/>
  <c r="V63" i="20" s="1"/>
  <c r="U44" i="20"/>
  <c r="U63" i="20" s="1"/>
  <c r="T44" i="20"/>
  <c r="T63" i="20" s="1"/>
  <c r="S44" i="20"/>
  <c r="S63" i="20" s="1"/>
  <c r="R44" i="20"/>
  <c r="R63" i="20" s="1"/>
  <c r="Q44" i="20"/>
  <c r="Q63" i="20" s="1"/>
  <c r="P44" i="20"/>
  <c r="P63" i="20" s="1"/>
  <c r="O44" i="20"/>
  <c r="O63" i="20" s="1"/>
  <c r="AI43" i="20"/>
  <c r="AH43" i="20"/>
  <c r="AN43" i="20" s="1"/>
  <c r="AF43" i="20"/>
  <c r="AE43" i="20"/>
  <c r="AM43" i="20" s="1"/>
  <c r="AA31" i="20"/>
  <c r="G19" i="20"/>
  <c r="AF52" i="24"/>
  <c r="AF58" i="24" s="1"/>
  <c r="AC52" i="24"/>
  <c r="AC58" i="24" s="1"/>
  <c r="Y52" i="24"/>
  <c r="Y58" i="24" s="1"/>
  <c r="X52" i="24"/>
  <c r="X58" i="24" s="1"/>
  <c r="W52" i="24"/>
  <c r="W58" i="24" s="1"/>
  <c r="V52" i="24"/>
  <c r="V58" i="24" s="1"/>
  <c r="U52" i="24"/>
  <c r="U58" i="24" s="1"/>
  <c r="T52" i="24"/>
  <c r="T58" i="24" s="1"/>
  <c r="S52" i="24"/>
  <c r="S58" i="24" s="1"/>
  <c r="R52" i="24"/>
  <c r="R58" i="24" s="1"/>
  <c r="Q52" i="24"/>
  <c r="Q58" i="24" s="1"/>
  <c r="P52" i="24"/>
  <c r="P58" i="24" s="1"/>
  <c r="O52" i="24"/>
  <c r="O58" i="24" s="1"/>
  <c r="N52" i="24"/>
  <c r="N58" i="24" s="1"/>
  <c r="AF49" i="24"/>
  <c r="AC49" i="24"/>
  <c r="Y49" i="24"/>
  <c r="X49" i="24"/>
  <c r="W49" i="24"/>
  <c r="V49" i="24"/>
  <c r="U49" i="24"/>
  <c r="T49" i="24"/>
  <c r="S49" i="24"/>
  <c r="R49" i="24"/>
  <c r="Q49" i="24"/>
  <c r="P49" i="24"/>
  <c r="O49" i="24"/>
  <c r="N49" i="24"/>
  <c r="AG43" i="24"/>
  <c r="AF40" i="24"/>
  <c r="AC40" i="24"/>
  <c r="Y40" i="24"/>
  <c r="X40" i="24"/>
  <c r="W40" i="24"/>
  <c r="V40" i="24"/>
  <c r="U40" i="24"/>
  <c r="T40" i="24"/>
  <c r="S40" i="24"/>
  <c r="R40" i="24"/>
  <c r="Q40" i="24"/>
  <c r="P40" i="24"/>
  <c r="O40" i="24"/>
  <c r="N40" i="24"/>
  <c r="Z31" i="24"/>
  <c r="G19" i="24"/>
  <c r="AG34" i="24"/>
  <c r="AA31" i="33"/>
  <c r="AH154" i="6"/>
  <c r="AG154" i="6"/>
  <c r="AE154" i="6"/>
  <c r="AD154" i="6"/>
  <c r="Z154" i="6"/>
  <c r="Y154" i="6"/>
  <c r="X154" i="6"/>
  <c r="W154" i="6"/>
  <c r="V154" i="6"/>
  <c r="U154" i="6"/>
  <c r="T154" i="6"/>
  <c r="S154" i="6"/>
  <c r="R154" i="6"/>
  <c r="Q154" i="6"/>
  <c r="P154" i="6"/>
  <c r="O154" i="6"/>
  <c r="N154" i="6"/>
  <c r="AI151" i="6"/>
  <c r="G151" i="6"/>
  <c r="G150" i="6"/>
  <c r="G149" i="6"/>
  <c r="G148" i="6"/>
  <c r="G147" i="6"/>
  <c r="G146" i="6"/>
  <c r="G145" i="6"/>
  <c r="G144" i="6"/>
  <c r="G143" i="6"/>
  <c r="G142" i="6"/>
  <c r="G141" i="6"/>
  <c r="G140" i="6"/>
  <c r="G139" i="6"/>
  <c r="G138" i="6"/>
  <c r="G137" i="6"/>
  <c r="G136" i="6"/>
  <c r="G135" i="6"/>
  <c r="G134" i="6"/>
  <c r="G133" i="6"/>
  <c r="G132" i="6"/>
  <c r="G131" i="6"/>
  <c r="G130" i="6"/>
  <c r="G129" i="6"/>
  <c r="G128" i="6"/>
  <c r="G127" i="6"/>
  <c r="G126" i="6"/>
  <c r="G125" i="6"/>
  <c r="G124" i="6"/>
  <c r="G123" i="6"/>
  <c r="G122" i="6"/>
  <c r="G121" i="6"/>
  <c r="G120" i="6"/>
  <c r="G119" i="6"/>
  <c r="AI116" i="6"/>
  <c r="AI115" i="6"/>
  <c r="AI114" i="6"/>
  <c r="AI113" i="6"/>
  <c r="AH112" i="6"/>
  <c r="AI112" i="6"/>
  <c r="AI111" i="6"/>
  <c r="AH110" i="6"/>
  <c r="AI110" i="6"/>
  <c r="AI109" i="6"/>
  <c r="AH108" i="6"/>
  <c r="AI108" i="6"/>
  <c r="AI107" i="6"/>
  <c r="AI106" i="6"/>
  <c r="AB154" i="6"/>
  <c r="AI105" i="6"/>
  <c r="AI104" i="6"/>
  <c r="AI103" i="6"/>
  <c r="AI102" i="6"/>
  <c r="AI101" i="6"/>
  <c r="AI100" i="6"/>
  <c r="AI99" i="6"/>
  <c r="AI98" i="6"/>
  <c r="AI97" i="6"/>
  <c r="AI96" i="6"/>
  <c r="AI95" i="6"/>
  <c r="AI94" i="6"/>
  <c r="AI93" i="6"/>
  <c r="AI92" i="6"/>
  <c r="AH91" i="6"/>
  <c r="AI138" i="6"/>
  <c r="AI91" i="6"/>
  <c r="AI90" i="6"/>
  <c r="AI89" i="6"/>
  <c r="AI88" i="6"/>
  <c r="AI87" i="6"/>
  <c r="AI86" i="6"/>
  <c r="AI85" i="6"/>
  <c r="AI84" i="6"/>
  <c r="AI83" i="6"/>
  <c r="AI82" i="6"/>
  <c r="AI81" i="6"/>
  <c r="AI80" i="6"/>
  <c r="AI79" i="6"/>
  <c r="AI78" i="6"/>
  <c r="AI77" i="6"/>
  <c r="AI76" i="6"/>
  <c r="AI75" i="6"/>
  <c r="AI74" i="6"/>
  <c r="AI73" i="6"/>
  <c r="AI72" i="6"/>
  <c r="AA154" i="6"/>
  <c r="AI69" i="6"/>
  <c r="AI68" i="6"/>
  <c r="AI67" i="6"/>
  <c r="AI66" i="6"/>
  <c r="AI65" i="6"/>
  <c r="AI64" i="6"/>
  <c r="AI63" i="6"/>
  <c r="AI62" i="6"/>
  <c r="AI61" i="6"/>
  <c r="AI60" i="6"/>
  <c r="AI59" i="6"/>
  <c r="AI58" i="6"/>
  <c r="AI57" i="6"/>
  <c r="AI56" i="6"/>
  <c r="AI55" i="6"/>
  <c r="AI54" i="6"/>
  <c r="AI53" i="6"/>
  <c r="AH53" i="6"/>
  <c r="AI137" i="6"/>
  <c r="AI52" i="6"/>
  <c r="AI51" i="6"/>
  <c r="AI50" i="6"/>
  <c r="AI49" i="6"/>
  <c r="AI133" i="6"/>
  <c r="AI48" i="6"/>
  <c r="AI47" i="6"/>
  <c r="AI46" i="6"/>
  <c r="AI45" i="6"/>
  <c r="AI129" i="6"/>
  <c r="AI44" i="6"/>
  <c r="AI43" i="6"/>
  <c r="AI42" i="6"/>
  <c r="AI41" i="6"/>
  <c r="AI40" i="6"/>
  <c r="AI125" i="6"/>
  <c r="AI39" i="6"/>
  <c r="AI38" i="6"/>
  <c r="AI123" i="6"/>
  <c r="AI37" i="6"/>
  <c r="AI121" i="6"/>
  <c r="AI36" i="6"/>
  <c r="AI35" i="6"/>
  <c r="AI119" i="6"/>
  <c r="AI34" i="6"/>
  <c r="AA31" i="6"/>
  <c r="G20" i="6"/>
  <c r="G19" i="6"/>
  <c r="AH81" i="6"/>
  <c r="AH43" i="6"/>
  <c r="AA31" i="25"/>
  <c r="G19" i="25"/>
  <c r="AG77" i="23"/>
  <c r="AG96" i="23" s="1"/>
  <c r="AD77" i="23"/>
  <c r="AD96" i="23" s="1"/>
  <c r="Z77" i="23"/>
  <c r="Z96" i="23" s="1"/>
  <c r="Y77" i="23"/>
  <c r="Y96" i="23" s="1"/>
  <c r="X77" i="23"/>
  <c r="X96" i="23" s="1"/>
  <c r="W77" i="23"/>
  <c r="W96" i="23" s="1"/>
  <c r="V77" i="23"/>
  <c r="V96" i="23" s="1"/>
  <c r="U77" i="23"/>
  <c r="U96" i="23" s="1"/>
  <c r="T77" i="23"/>
  <c r="T96" i="23" s="1"/>
  <c r="S77" i="23"/>
  <c r="S96" i="23" s="1"/>
  <c r="R77" i="23"/>
  <c r="R96" i="23" s="1"/>
  <c r="Q77" i="23"/>
  <c r="Q96" i="23" s="1"/>
  <c r="P77" i="23"/>
  <c r="P96" i="23" s="1"/>
  <c r="O77" i="23"/>
  <c r="O96" i="23" s="1"/>
  <c r="N77" i="23"/>
  <c r="AA31" i="23"/>
  <c r="G19" i="23"/>
  <c r="AG36" i="32"/>
  <c r="AD36" i="32"/>
  <c r="Z36" i="32"/>
  <c r="Y36" i="32"/>
  <c r="X36" i="32"/>
  <c r="W36" i="32"/>
  <c r="V36" i="32"/>
  <c r="U36" i="32"/>
  <c r="T36" i="32"/>
  <c r="S36" i="32"/>
  <c r="R36" i="32"/>
  <c r="Q36" i="32"/>
  <c r="P36" i="32"/>
  <c r="O36" i="32"/>
  <c r="AA31" i="32"/>
  <c r="AG58" i="34"/>
  <c r="AD58" i="34"/>
  <c r="Z58" i="34"/>
  <c r="Y58" i="34"/>
  <c r="X58" i="34"/>
  <c r="W58" i="34"/>
  <c r="V58" i="34"/>
  <c r="U58" i="34"/>
  <c r="T58" i="34"/>
  <c r="S58" i="34"/>
  <c r="R58" i="34"/>
  <c r="Q58" i="34"/>
  <c r="P58" i="34"/>
  <c r="O58" i="34"/>
  <c r="AG51" i="34"/>
  <c r="AD51" i="34"/>
  <c r="AE51" i="34" s="1"/>
  <c r="Z51" i="34"/>
  <c r="Y51" i="34"/>
  <c r="X51" i="34"/>
  <c r="W51" i="34"/>
  <c r="V51" i="34"/>
  <c r="U51" i="34"/>
  <c r="T51" i="34"/>
  <c r="S51" i="34"/>
  <c r="R51" i="34"/>
  <c r="Q51" i="34"/>
  <c r="P51" i="34"/>
  <c r="O51" i="34"/>
  <c r="AH50" i="34"/>
  <c r="AG44" i="34"/>
  <c r="AG46" i="34" s="1"/>
  <c r="AD44" i="34"/>
  <c r="AD46" i="34" s="1"/>
  <c r="Z44" i="34"/>
  <c r="Z46" i="34" s="1"/>
  <c r="Y44" i="34"/>
  <c r="Y46" i="34" s="1"/>
  <c r="X44" i="34"/>
  <c r="X46" i="34" s="1"/>
  <c r="W44" i="34"/>
  <c r="W46" i="34" s="1"/>
  <c r="V44" i="34"/>
  <c r="V46" i="34" s="1"/>
  <c r="U44" i="34"/>
  <c r="U46" i="34" s="1"/>
  <c r="T44" i="34"/>
  <c r="T46" i="34" s="1"/>
  <c r="S44" i="34"/>
  <c r="S46" i="34" s="1"/>
  <c r="R44" i="34"/>
  <c r="R46" i="34" s="1"/>
  <c r="Q44" i="34"/>
  <c r="Q46" i="34" s="1"/>
  <c r="P44" i="34"/>
  <c r="P46" i="34" s="1"/>
  <c r="O44" i="34"/>
  <c r="O46" i="34" s="1"/>
  <c r="AH37" i="34"/>
  <c r="AE37" i="34"/>
  <c r="AA31" i="34"/>
  <c r="AH56" i="34"/>
  <c r="AG65" i="28"/>
  <c r="AD65" i="28"/>
  <c r="Z65" i="28"/>
  <c r="Y65" i="28"/>
  <c r="X65" i="28"/>
  <c r="W65" i="28"/>
  <c r="V65" i="28"/>
  <c r="U65" i="28"/>
  <c r="T65" i="28"/>
  <c r="S65" i="28"/>
  <c r="R65" i="28"/>
  <c r="Q65" i="28"/>
  <c r="P65" i="28"/>
  <c r="O65" i="28"/>
  <c r="AG59" i="28"/>
  <c r="AD59" i="28"/>
  <c r="Z59" i="28"/>
  <c r="Y59" i="28"/>
  <c r="X59" i="28"/>
  <c r="W59" i="28"/>
  <c r="V59" i="28"/>
  <c r="U59" i="28"/>
  <c r="T59" i="28"/>
  <c r="S59" i="28"/>
  <c r="R59" i="28"/>
  <c r="Q59" i="28"/>
  <c r="P59" i="28"/>
  <c r="O59" i="28"/>
  <c r="AG53" i="28"/>
  <c r="AD53" i="28"/>
  <c r="Z53" i="28"/>
  <c r="Y53" i="28"/>
  <c r="X53" i="28"/>
  <c r="W53" i="28"/>
  <c r="V53" i="28"/>
  <c r="U53" i="28"/>
  <c r="T53" i="28"/>
  <c r="S53" i="28"/>
  <c r="R53" i="28"/>
  <c r="Q53" i="28"/>
  <c r="P53" i="28"/>
  <c r="O53" i="28"/>
  <c r="AG44" i="28"/>
  <c r="AD44" i="28"/>
  <c r="Z44" i="28"/>
  <c r="Y44" i="28"/>
  <c r="X44" i="28"/>
  <c r="W44" i="28"/>
  <c r="V44" i="28"/>
  <c r="U44" i="28"/>
  <c r="T44" i="28"/>
  <c r="S44" i="28"/>
  <c r="R44" i="28"/>
  <c r="Q44" i="28"/>
  <c r="P44" i="28"/>
  <c r="O44" i="28"/>
  <c r="AA31" i="28"/>
  <c r="AG81" i="11"/>
  <c r="AD81" i="11"/>
  <c r="Z81" i="11"/>
  <c r="Y81" i="11"/>
  <c r="X81" i="11"/>
  <c r="W81" i="11"/>
  <c r="V81" i="11"/>
  <c r="U81" i="11"/>
  <c r="T81" i="11"/>
  <c r="S81" i="11"/>
  <c r="R81" i="11"/>
  <c r="Q81" i="11"/>
  <c r="P81" i="11"/>
  <c r="O81" i="11"/>
  <c r="AH69" i="11"/>
  <c r="AE69" i="11"/>
  <c r="AG63" i="11"/>
  <c r="AG82" i="11" s="1"/>
  <c r="AD63" i="11"/>
  <c r="AD82" i="11" s="1"/>
  <c r="Z63" i="11"/>
  <c r="Z82" i="11" s="1"/>
  <c r="Y63" i="11"/>
  <c r="Y82" i="11" s="1"/>
  <c r="X63" i="11"/>
  <c r="X82" i="11" s="1"/>
  <c r="W63" i="11"/>
  <c r="W82" i="11" s="1"/>
  <c r="V63" i="11"/>
  <c r="V82" i="11" s="1"/>
  <c r="U63" i="11"/>
  <c r="U82" i="11" s="1"/>
  <c r="T63" i="11"/>
  <c r="T82" i="11" s="1"/>
  <c r="S63" i="11"/>
  <c r="S82" i="11" s="1"/>
  <c r="R63" i="11"/>
  <c r="R82" i="11" s="1"/>
  <c r="Q63" i="11"/>
  <c r="Q82" i="11" s="1"/>
  <c r="P63" i="11"/>
  <c r="P82" i="11" s="1"/>
  <c r="O63" i="11"/>
  <c r="O82" i="11" s="1"/>
  <c r="AI62" i="11"/>
  <c r="AH62" i="11"/>
  <c r="AF62" i="11"/>
  <c r="AE62" i="11"/>
  <c r="AB62" i="11"/>
  <c r="AA31" i="11"/>
  <c r="G19" i="11"/>
  <c r="AG44" i="27"/>
  <c r="AG46" i="27" s="1"/>
  <c r="AD44" i="27"/>
  <c r="AD46" i="27" s="1"/>
  <c r="Z44" i="27"/>
  <c r="Z46" i="27" s="1"/>
  <c r="Y44" i="27"/>
  <c r="Y46" i="27" s="1"/>
  <c r="X44" i="27"/>
  <c r="X46" i="27" s="1"/>
  <c r="W44" i="27"/>
  <c r="W46" i="27" s="1"/>
  <c r="V44" i="27"/>
  <c r="V46" i="27" s="1"/>
  <c r="U44" i="27"/>
  <c r="U46" i="27" s="1"/>
  <c r="T44" i="27"/>
  <c r="T46" i="27" s="1"/>
  <c r="S44" i="27"/>
  <c r="S46" i="27" s="1"/>
  <c r="R44" i="27"/>
  <c r="R46" i="27" s="1"/>
  <c r="Q44" i="27"/>
  <c r="Q46" i="27" s="1"/>
  <c r="P44" i="27"/>
  <c r="P46" i="27" s="1"/>
  <c r="O44" i="27"/>
  <c r="O46" i="27" s="1"/>
  <c r="AA31" i="27"/>
  <c r="AG69" i="15"/>
  <c r="AD69" i="15"/>
  <c r="Z69" i="15"/>
  <c r="Y69" i="15"/>
  <c r="X69" i="15"/>
  <c r="W69" i="15"/>
  <c r="V69" i="15"/>
  <c r="U69" i="15"/>
  <c r="T69" i="15"/>
  <c r="S69" i="15"/>
  <c r="R69" i="15"/>
  <c r="Q69" i="15"/>
  <c r="P69" i="15"/>
  <c r="O69" i="15"/>
  <c r="AH57" i="15"/>
  <c r="AE57" i="15"/>
  <c r="AH55" i="15"/>
  <c r="AE55" i="15"/>
  <c r="AG51" i="15"/>
  <c r="AG70" i="15" s="1"/>
  <c r="AD51" i="15"/>
  <c r="AD70" i="15" s="1"/>
  <c r="Z51" i="15"/>
  <c r="Z70" i="15" s="1"/>
  <c r="Y51" i="15"/>
  <c r="Y70" i="15" s="1"/>
  <c r="X51" i="15"/>
  <c r="X70" i="15" s="1"/>
  <c r="W51" i="15"/>
  <c r="W70" i="15" s="1"/>
  <c r="V51" i="15"/>
  <c r="V70" i="15" s="1"/>
  <c r="U51" i="15"/>
  <c r="U70" i="15" s="1"/>
  <c r="T51" i="15"/>
  <c r="T70" i="15" s="1"/>
  <c r="S51" i="15"/>
  <c r="S70" i="15" s="1"/>
  <c r="R51" i="15"/>
  <c r="R70" i="15" s="1"/>
  <c r="Q51" i="15"/>
  <c r="Q70" i="15" s="1"/>
  <c r="P51" i="15"/>
  <c r="P70" i="15" s="1"/>
  <c r="O51" i="15"/>
  <c r="O70" i="15" s="1"/>
  <c r="AI50" i="15"/>
  <c r="AH50" i="15"/>
  <c r="AF50" i="15"/>
  <c r="AE50" i="15"/>
  <c r="AB50" i="15"/>
  <c r="AA31" i="15"/>
  <c r="G19" i="15"/>
  <c r="AG69" i="19"/>
  <c r="AD69" i="19"/>
  <c r="Z69" i="19"/>
  <c r="Y69" i="19"/>
  <c r="X69" i="19"/>
  <c r="W69" i="19"/>
  <c r="V69" i="19"/>
  <c r="U69" i="19"/>
  <c r="T69" i="19"/>
  <c r="S69" i="19"/>
  <c r="R69" i="19"/>
  <c r="Q69" i="19"/>
  <c r="P69" i="19"/>
  <c r="O69" i="19"/>
  <c r="AH57" i="19"/>
  <c r="AE57" i="19"/>
  <c r="AG51" i="19"/>
  <c r="AG70" i="19" s="1"/>
  <c r="AD51" i="19"/>
  <c r="AD70" i="19" s="1"/>
  <c r="Z51" i="19"/>
  <c r="Z70" i="19" s="1"/>
  <c r="Y51" i="19"/>
  <c r="Y70" i="19" s="1"/>
  <c r="X51" i="19"/>
  <c r="X70" i="19" s="1"/>
  <c r="W51" i="19"/>
  <c r="W70" i="19" s="1"/>
  <c r="V51" i="19"/>
  <c r="V70" i="19" s="1"/>
  <c r="U51" i="19"/>
  <c r="U70" i="19" s="1"/>
  <c r="T51" i="19"/>
  <c r="T70" i="19" s="1"/>
  <c r="S51" i="19"/>
  <c r="S70" i="19" s="1"/>
  <c r="R51" i="19"/>
  <c r="R70" i="19" s="1"/>
  <c r="Q51" i="19"/>
  <c r="Q70" i="19" s="1"/>
  <c r="P51" i="19"/>
  <c r="P70" i="19" s="1"/>
  <c r="O51" i="19"/>
  <c r="O70" i="19" s="1"/>
  <c r="AH50" i="19"/>
  <c r="AE50" i="19"/>
  <c r="AB50" i="19"/>
  <c r="AA31" i="19"/>
  <c r="G19" i="19"/>
  <c r="AH58" i="19"/>
  <c r="AG74" i="22"/>
  <c r="AD74" i="22"/>
  <c r="Z74" i="22"/>
  <c r="Y74" i="22"/>
  <c r="X74" i="22"/>
  <c r="W74" i="22"/>
  <c r="V74" i="22"/>
  <c r="U74" i="22"/>
  <c r="T74" i="22"/>
  <c r="S74" i="22"/>
  <c r="R74" i="22"/>
  <c r="Q74" i="22"/>
  <c r="P74" i="22"/>
  <c r="O74" i="22"/>
  <c r="AH67" i="22"/>
  <c r="AH62" i="22"/>
  <c r="AE62" i="22"/>
  <c r="AG56" i="22"/>
  <c r="AG75" i="22" s="1"/>
  <c r="AD56" i="22"/>
  <c r="AD75" i="22" s="1"/>
  <c r="Z56" i="22"/>
  <c r="Z75" i="22" s="1"/>
  <c r="Y56" i="22"/>
  <c r="Y75" i="22" s="1"/>
  <c r="X56" i="22"/>
  <c r="X75" i="22" s="1"/>
  <c r="W56" i="22"/>
  <c r="W75" i="22" s="1"/>
  <c r="V56" i="22"/>
  <c r="V75" i="22" s="1"/>
  <c r="U56" i="22"/>
  <c r="U75" i="22" s="1"/>
  <c r="T56" i="22"/>
  <c r="T75" i="22" s="1"/>
  <c r="S56" i="22"/>
  <c r="S75" i="22" s="1"/>
  <c r="R56" i="22"/>
  <c r="R75" i="22" s="1"/>
  <c r="Q56" i="22"/>
  <c r="Q75" i="22" s="1"/>
  <c r="P56" i="22"/>
  <c r="P75" i="22" s="1"/>
  <c r="O56" i="22"/>
  <c r="O75" i="22" s="1"/>
  <c r="AI55" i="22"/>
  <c r="AH55" i="22"/>
  <c r="AF55" i="22"/>
  <c r="AE55" i="22"/>
  <c r="AB55" i="22"/>
  <c r="AH34" i="22"/>
  <c r="AA31" i="22"/>
  <c r="G19" i="22"/>
  <c r="AH46" i="22"/>
  <c r="AE67" i="22"/>
  <c r="AE63" i="22"/>
  <c r="AE60" i="22"/>
  <c r="AH72" i="22"/>
  <c r="AH71" i="22"/>
  <c r="AH69" i="22"/>
  <c r="AH63" i="22"/>
  <c r="AH60" i="22"/>
  <c r="AG174" i="17"/>
  <c r="AD174" i="17"/>
  <c r="AI144" i="17"/>
  <c r="AI139" i="17"/>
  <c r="AI138" i="17"/>
  <c r="AI136" i="17"/>
  <c r="AI135" i="17"/>
  <c r="AI134" i="17"/>
  <c r="AI133" i="17"/>
  <c r="AI130" i="17"/>
  <c r="AI129" i="17"/>
  <c r="AI127" i="17"/>
  <c r="AI126" i="17"/>
  <c r="AI125" i="17"/>
  <c r="AI124" i="17"/>
  <c r="AI121" i="17"/>
  <c r="AI120" i="17"/>
  <c r="AI118" i="17"/>
  <c r="AI117" i="17"/>
  <c r="AI116" i="17"/>
  <c r="AI115" i="17"/>
  <c r="AI109" i="17"/>
  <c r="AI108" i="17"/>
  <c r="AI104" i="17"/>
  <c r="AI102" i="17"/>
  <c r="AA171" i="17"/>
  <c r="AI110" i="17"/>
  <c r="AI97" i="17"/>
  <c r="AI96" i="17"/>
  <c r="AI95" i="17"/>
  <c r="AH94" i="17"/>
  <c r="G93" i="17" s="1"/>
  <c r="AH76" i="17"/>
  <c r="AI76" i="17"/>
  <c r="AI75" i="17"/>
  <c r="AI74" i="17"/>
  <c r="AI77" i="17"/>
  <c r="AI73" i="17"/>
  <c r="AI72" i="17"/>
  <c r="AI71" i="17"/>
  <c r="AH70" i="17"/>
  <c r="G69" i="17" s="1"/>
  <c r="AH67" i="17"/>
  <c r="AI67" i="17"/>
  <c r="AI66" i="17"/>
  <c r="AI65" i="17"/>
  <c r="AI64" i="17"/>
  <c r="AI63" i="17"/>
  <c r="AI62" i="17"/>
  <c r="AH61" i="17"/>
  <c r="AH58" i="17"/>
  <c r="AI58" i="17"/>
  <c r="AI57" i="17"/>
  <c r="AI56" i="17"/>
  <c r="AI59" i="17"/>
  <c r="AI55" i="17"/>
  <c r="AI54" i="17"/>
  <c r="AI53" i="17"/>
  <c r="AH52" i="17"/>
  <c r="AH49" i="17"/>
  <c r="AI49" i="17"/>
  <c r="AI48" i="17"/>
  <c r="AI47" i="17"/>
  <c r="AI46" i="17"/>
  <c r="AI45" i="17"/>
  <c r="AI44" i="17"/>
  <c r="AH43" i="17"/>
  <c r="AH40" i="17"/>
  <c r="AI40" i="17"/>
  <c r="AI39" i="17"/>
  <c r="AI38" i="17"/>
  <c r="AI41" i="17"/>
  <c r="AI37" i="17"/>
  <c r="AI36" i="17"/>
  <c r="AI35" i="17"/>
  <c r="AA31" i="17"/>
  <c r="G20" i="17"/>
  <c r="G19" i="17"/>
  <c r="AG124" i="16"/>
  <c r="AD124" i="16"/>
  <c r="Z124" i="16"/>
  <c r="Y124" i="16"/>
  <c r="X124" i="16"/>
  <c r="W124" i="16"/>
  <c r="V124" i="16"/>
  <c r="U124" i="16"/>
  <c r="T124" i="16"/>
  <c r="S124" i="16"/>
  <c r="R124" i="16"/>
  <c r="Q124" i="16"/>
  <c r="P124" i="16"/>
  <c r="O124" i="16"/>
  <c r="AH76" i="16"/>
  <c r="AE76" i="16"/>
  <c r="AG70" i="16"/>
  <c r="AG125" i="16" s="1"/>
  <c r="AD70" i="16"/>
  <c r="AD125" i="16" s="1"/>
  <c r="Z70" i="16"/>
  <c r="Z125" i="16" s="1"/>
  <c r="Y70" i="16"/>
  <c r="Y125" i="16" s="1"/>
  <c r="X70" i="16"/>
  <c r="X125" i="16" s="1"/>
  <c r="W70" i="16"/>
  <c r="W125" i="16" s="1"/>
  <c r="V70" i="16"/>
  <c r="V125" i="16" s="1"/>
  <c r="U70" i="16"/>
  <c r="U125" i="16" s="1"/>
  <c r="T70" i="16"/>
  <c r="T125" i="16" s="1"/>
  <c r="S70" i="16"/>
  <c r="S125" i="16" s="1"/>
  <c r="R70" i="16"/>
  <c r="R125" i="16" s="1"/>
  <c r="Q70" i="16"/>
  <c r="Q125" i="16" s="1"/>
  <c r="P70" i="16"/>
  <c r="P125" i="16" s="1"/>
  <c r="O70" i="16"/>
  <c r="O125" i="16" s="1"/>
  <c r="AI69" i="16"/>
  <c r="AH69" i="16"/>
  <c r="AF69" i="16"/>
  <c r="AE69" i="16"/>
  <c r="AB69" i="16"/>
  <c r="AI55" i="16"/>
  <c r="AI46" i="16"/>
  <c r="AA31" i="16"/>
  <c r="G19" i="16"/>
  <c r="AH55" i="16"/>
  <c r="AG37" i="31"/>
  <c r="AD37" i="31"/>
  <c r="Z37" i="31"/>
  <c r="Y37" i="31"/>
  <c r="X37" i="31"/>
  <c r="W37" i="31"/>
  <c r="V37" i="31"/>
  <c r="U37" i="31"/>
  <c r="T37" i="31"/>
  <c r="S37" i="31"/>
  <c r="R37" i="31"/>
  <c r="Q37" i="31"/>
  <c r="P37" i="31"/>
  <c r="O37" i="31"/>
  <c r="AA31" i="31"/>
  <c r="AG57" i="35"/>
  <c r="AD57" i="35"/>
  <c r="Z57" i="35"/>
  <c r="Y57" i="35"/>
  <c r="X57" i="35"/>
  <c r="W57" i="35"/>
  <c r="V57" i="35"/>
  <c r="U57" i="35"/>
  <c r="T57" i="35"/>
  <c r="S57" i="35"/>
  <c r="R57" i="35"/>
  <c r="Q57" i="35"/>
  <c r="P57" i="35"/>
  <c r="O57" i="35"/>
  <c r="AG46" i="35"/>
  <c r="AG48" i="35" s="1"/>
  <c r="AD46" i="35"/>
  <c r="Z46" i="35"/>
  <c r="Z48" i="35" s="1"/>
  <c r="Y46" i="35"/>
  <c r="Y48" i="35" s="1"/>
  <c r="X46" i="35"/>
  <c r="X48" i="35" s="1"/>
  <c r="W46" i="35"/>
  <c r="W48" i="35" s="1"/>
  <c r="V46" i="35"/>
  <c r="V48" i="35" s="1"/>
  <c r="U46" i="35"/>
  <c r="U48" i="35" s="1"/>
  <c r="T46" i="35"/>
  <c r="T48" i="35" s="1"/>
  <c r="S46" i="35"/>
  <c r="S48" i="35" s="1"/>
  <c r="R46" i="35"/>
  <c r="R48" i="35" s="1"/>
  <c r="Q46" i="35"/>
  <c r="Q48" i="35" s="1"/>
  <c r="P46" i="35"/>
  <c r="P48" i="35" s="1"/>
  <c r="O46" i="35"/>
  <c r="O48" i="35" s="1"/>
  <c r="AH38" i="35"/>
  <c r="AE38" i="35"/>
  <c r="AA31" i="35"/>
  <c r="AG74" i="26"/>
  <c r="AD74" i="26"/>
  <c r="Z74" i="26"/>
  <c r="Y74" i="26"/>
  <c r="X74" i="26"/>
  <c r="W74" i="26"/>
  <c r="V74" i="26"/>
  <c r="U74" i="26"/>
  <c r="T74" i="26"/>
  <c r="S74" i="26"/>
  <c r="R74" i="26"/>
  <c r="Q74" i="26"/>
  <c r="P74" i="26"/>
  <c r="O74" i="26"/>
  <c r="AG73" i="26"/>
  <c r="AD73" i="26"/>
  <c r="Z73" i="26"/>
  <c r="Y73" i="26"/>
  <c r="X73" i="26"/>
  <c r="W73" i="26"/>
  <c r="V73" i="26"/>
  <c r="U73" i="26"/>
  <c r="T73" i="26"/>
  <c r="S73" i="26"/>
  <c r="R73" i="26"/>
  <c r="Q73" i="26"/>
  <c r="P73" i="26"/>
  <c r="O73" i="26"/>
  <c r="AA31" i="26"/>
  <c r="AI156" i="17"/>
  <c r="AI152" i="17"/>
  <c r="AI61" i="59"/>
  <c r="AI41" i="59"/>
  <c r="AI130" i="59"/>
  <c r="AI80" i="59"/>
  <c r="AI78" i="59"/>
  <c r="AI77" i="59"/>
  <c r="AI75" i="59"/>
  <c r="AI59" i="59"/>
  <c r="AI56" i="59"/>
  <c r="AA143" i="59"/>
  <c r="AI38" i="59"/>
  <c r="AI37" i="59"/>
  <c r="AI35" i="59"/>
  <c r="AA144" i="55"/>
  <c r="AI51" i="56"/>
  <c r="AA143" i="57"/>
  <c r="AI45" i="57"/>
  <c r="AI47" i="57"/>
  <c r="AI49" i="57"/>
  <c r="AA146" i="57"/>
  <c r="AI134" i="57"/>
  <c r="AI138" i="57"/>
  <c r="AI123" i="39"/>
  <c r="AI121" i="39"/>
  <c r="AI125" i="56"/>
  <c r="AI124" i="58"/>
  <c r="AK37" i="37"/>
  <c r="AI37" i="37"/>
  <c r="AH37" i="37"/>
  <c r="AI123" i="56"/>
  <c r="AI94" i="55"/>
  <c r="AI125" i="39"/>
  <c r="AI43" i="37"/>
  <c r="AK43" i="37"/>
  <c r="AH43" i="37"/>
  <c r="AH89" i="37" s="1"/>
  <c r="AI46" i="37"/>
  <c r="AI47" i="37"/>
  <c r="AK47" i="37"/>
  <c r="AI48" i="37"/>
  <c r="AK63" i="37"/>
  <c r="AI63" i="37"/>
  <c r="AI52" i="57"/>
  <c r="AI121" i="57"/>
  <c r="AI123" i="57"/>
  <c r="AI122" i="56"/>
  <c r="AI148" i="6"/>
  <c r="AI140" i="6"/>
  <c r="AI142" i="6"/>
  <c r="AI144" i="6"/>
  <c r="AI121" i="59"/>
  <c r="AI123" i="59"/>
  <c r="AI125" i="59"/>
  <c r="AI105" i="17"/>
  <c r="AI168" i="17"/>
  <c r="AI121" i="58"/>
  <c r="AI123" i="58"/>
  <c r="AI125" i="58"/>
  <c r="AI124" i="57"/>
  <c r="AI121" i="56"/>
  <c r="AI93" i="55"/>
  <c r="AI122" i="39"/>
  <c r="AI124" i="39"/>
  <c r="AI54" i="37"/>
  <c r="AI55" i="37"/>
  <c r="AI56" i="37"/>
  <c r="AI57" i="37"/>
  <c r="AI58" i="37"/>
  <c r="AH80" i="37"/>
  <c r="AI125" i="57"/>
  <c r="AI124" i="56"/>
  <c r="AI67" i="37"/>
  <c r="AI68" i="37"/>
  <c r="AI69" i="37"/>
  <c r="AI70" i="37"/>
  <c r="AI149" i="6"/>
  <c r="AI141" i="6"/>
  <c r="AI143" i="6"/>
  <c r="AI145" i="6"/>
  <c r="AI122" i="59"/>
  <c r="AI124" i="59"/>
  <c r="AI80" i="37"/>
  <c r="AE89" i="37"/>
  <c r="T28" i="5"/>
  <c r="G6" i="5"/>
  <c r="T29" i="5"/>
  <c r="T33" i="5"/>
  <c r="T31" i="5"/>
  <c r="T32" i="5"/>
  <c r="T30" i="5"/>
  <c r="C1" i="5"/>
  <c r="N110" i="58"/>
  <c r="I70" i="58"/>
  <c r="N87" i="58"/>
  <c r="J59" i="58"/>
  <c r="L48" i="58"/>
  <c r="J35" i="58"/>
  <c r="N106" i="58"/>
  <c r="L47" i="58"/>
  <c r="C1" i="58"/>
  <c r="J81" i="58"/>
  <c r="I77" i="58"/>
  <c r="J61" i="58"/>
  <c r="N139" i="58"/>
  <c r="L77" i="58"/>
  <c r="J41" i="58"/>
  <c r="L136" i="58"/>
  <c r="N107" i="58"/>
  <c r="J47" i="58"/>
  <c r="B23" i="58"/>
  <c r="L83" i="58"/>
  <c r="L45" i="58"/>
  <c r="N98" i="58"/>
  <c r="L62" i="58"/>
  <c r="I50" i="58"/>
  <c r="J92" i="58"/>
  <c r="L86" i="58"/>
  <c r="J83" i="58"/>
  <c r="N68" i="58"/>
  <c r="J58" i="58"/>
  <c r="I37" i="58"/>
  <c r="N124" i="58"/>
  <c r="N121" i="58"/>
  <c r="N40" i="58"/>
  <c r="I35" i="58"/>
  <c r="L42" i="58"/>
  <c r="N20" i="58"/>
  <c r="L126" i="58"/>
  <c r="N137" i="58"/>
  <c r="J72" i="58"/>
  <c r="J71" i="58"/>
  <c r="L130" i="58"/>
  <c r="L140" i="58"/>
  <c r="C8" i="58"/>
  <c r="J48" i="58"/>
  <c r="B3" i="58"/>
  <c r="N140" i="58"/>
  <c r="L46" i="58"/>
  <c r="N60" i="58"/>
  <c r="J38" i="58"/>
  <c r="I42" i="58"/>
  <c r="N75" i="58"/>
  <c r="L51" i="58"/>
  <c r="J49" i="58"/>
  <c r="L70" i="58"/>
  <c r="I76" i="58"/>
  <c r="L119" i="58"/>
  <c r="N57" i="58"/>
  <c r="J86" i="58"/>
  <c r="N51" i="58"/>
  <c r="J46" i="58"/>
  <c r="L111" i="58"/>
  <c r="L72" i="58"/>
  <c r="N41" i="58"/>
  <c r="L81" i="58"/>
  <c r="N119" i="58"/>
  <c r="I40" i="58"/>
  <c r="L41" i="58"/>
  <c r="L59" i="58"/>
  <c r="I55" i="58"/>
  <c r="L137" i="58"/>
  <c r="J87" i="58"/>
  <c r="N77" i="58"/>
  <c r="J79" i="58"/>
  <c r="L139" i="58"/>
  <c r="N65" i="58"/>
  <c r="L79" i="58"/>
  <c r="L39" i="58"/>
  <c r="I49" i="58"/>
  <c r="L37" i="58"/>
  <c r="I67" i="58"/>
  <c r="L56" i="58"/>
  <c r="L65" i="58"/>
  <c r="J40" i="58"/>
  <c r="J36" i="58"/>
  <c r="N108" i="58"/>
  <c r="J77" i="58"/>
  <c r="N52" i="58"/>
  <c r="I78" i="58"/>
  <c r="J78" i="58"/>
  <c r="I83" i="58"/>
  <c r="N45" i="58"/>
  <c r="B19" i="58"/>
  <c r="N138" i="58"/>
  <c r="N69" i="58"/>
  <c r="J88" i="58"/>
  <c r="L50" i="58"/>
  <c r="I71" i="58"/>
  <c r="N37" i="58"/>
  <c r="L80" i="58"/>
  <c r="I52" i="58"/>
  <c r="C7" i="58"/>
  <c r="J39" i="58"/>
  <c r="L121" i="58"/>
  <c r="N39" i="58"/>
  <c r="I38" i="58"/>
  <c r="I80" i="58"/>
  <c r="J67" i="58"/>
  <c r="L69" i="58"/>
  <c r="L36" i="58"/>
  <c r="N131" i="58"/>
  <c r="I85" i="58"/>
  <c r="I60" i="58"/>
  <c r="J68" i="58"/>
  <c r="N135" i="58"/>
  <c r="C5" i="58"/>
  <c r="J65" i="58"/>
  <c r="I61" i="58"/>
  <c r="I59" i="58"/>
  <c r="L35" i="58"/>
  <c r="L131" i="58"/>
  <c r="L100" i="58"/>
  <c r="N111" i="58"/>
  <c r="N35" i="58"/>
  <c r="L110" i="58"/>
  <c r="I66" i="58"/>
  <c r="N55" i="58"/>
  <c r="J57" i="58"/>
  <c r="J69" i="58"/>
  <c r="L135" i="58"/>
  <c r="L123" i="58"/>
  <c r="L61" i="58"/>
  <c r="N123" i="58"/>
  <c r="L71" i="58"/>
  <c r="J76" i="58"/>
  <c r="N78" i="58"/>
  <c r="L114" i="58"/>
  <c r="N136" i="58"/>
  <c r="L106" i="58"/>
  <c r="L132" i="58"/>
  <c r="I58" i="58"/>
  <c r="J56" i="58"/>
  <c r="L87" i="58"/>
  <c r="L40" i="58"/>
  <c r="N56" i="58"/>
  <c r="I48" i="58"/>
  <c r="L67" i="58"/>
  <c r="N133" i="58"/>
  <c r="N102" i="58"/>
  <c r="E6" i="58"/>
  <c r="N126" i="58"/>
  <c r="J91" i="58"/>
  <c r="N92" i="58"/>
  <c r="L98" i="58"/>
  <c r="J80" i="58"/>
  <c r="I39" i="58"/>
  <c r="N99" i="58"/>
  <c r="N100" i="58"/>
  <c r="J50" i="58"/>
  <c r="L115" i="58"/>
  <c r="L108" i="58"/>
  <c r="L58" i="58"/>
  <c r="N67" i="58"/>
  <c r="I91" i="58"/>
  <c r="N114" i="58"/>
  <c r="I68" i="58"/>
  <c r="J42" i="58"/>
  <c r="N50" i="58"/>
  <c r="L118" i="58"/>
  <c r="L124" i="58"/>
  <c r="N85" i="58"/>
  <c r="N80" i="58"/>
  <c r="N49" i="58"/>
  <c r="I65" i="58"/>
  <c r="I51" i="58"/>
  <c r="L52" i="58"/>
  <c r="N58" i="58"/>
  <c r="L134" i="58"/>
  <c r="L109" i="58"/>
  <c r="N86" i="58"/>
  <c r="J75" i="58"/>
  <c r="I56" i="58"/>
  <c r="N134" i="58"/>
  <c r="I88" i="58"/>
  <c r="L60" i="58"/>
  <c r="N47" i="58"/>
  <c r="N109" i="58"/>
  <c r="L122" i="58"/>
  <c r="I79" i="58"/>
  <c r="I81" i="58"/>
  <c r="N19" i="58"/>
  <c r="N129" i="58"/>
  <c r="I92" i="58"/>
  <c r="I46" i="58"/>
  <c r="L55" i="58"/>
  <c r="I62" i="58"/>
  <c r="L66" i="58"/>
  <c r="I57" i="58"/>
  <c r="I45" i="58"/>
  <c r="N122" i="58"/>
  <c r="C2" i="58"/>
  <c r="N48" i="58"/>
  <c r="N83" i="58"/>
  <c r="I69" i="58"/>
  <c r="I86" i="58"/>
  <c r="I36" i="58"/>
  <c r="N115" i="58"/>
  <c r="L138" i="58"/>
  <c r="J37" i="58"/>
  <c r="I47" i="58"/>
  <c r="N130" i="58"/>
  <c r="N88" i="58"/>
  <c r="L133" i="58"/>
  <c r="L57" i="58"/>
  <c r="L99" i="58"/>
  <c r="L78" i="58"/>
  <c r="N125" i="58"/>
  <c r="N72" i="58"/>
  <c r="L117" i="58"/>
  <c r="I72" i="58"/>
  <c r="N91" i="58"/>
  <c r="L116" i="58"/>
  <c r="N81" i="58"/>
  <c r="N101" i="58"/>
  <c r="N42" i="58"/>
  <c r="I75" i="58"/>
  <c r="J52" i="58"/>
  <c r="N38" i="58"/>
  <c r="N132" i="58"/>
  <c r="L76" i="58"/>
  <c r="L85" i="58"/>
  <c r="N70" i="58"/>
  <c r="J85" i="58"/>
  <c r="N61" i="58"/>
  <c r="N36" i="58"/>
  <c r="J51" i="58"/>
  <c r="J66" i="58"/>
  <c r="L107" i="58"/>
  <c r="L38" i="58"/>
  <c r="N103" i="58"/>
  <c r="L49" i="58"/>
  <c r="N79" i="58"/>
  <c r="J70" i="58"/>
  <c r="L68" i="58"/>
  <c r="N59" i="58"/>
  <c r="L103" i="58"/>
  <c r="N66" i="58"/>
  <c r="L125" i="58"/>
  <c r="N71" i="58"/>
  <c r="I41" i="58"/>
  <c r="N118" i="58"/>
  <c r="N117" i="58"/>
  <c r="J60" i="58"/>
  <c r="L75" i="58"/>
  <c r="N116" i="58"/>
  <c r="N46" i="58"/>
  <c r="J55" i="58"/>
  <c r="L102" i="58"/>
  <c r="N62" i="58"/>
  <c r="C6" i="58"/>
  <c r="I87" i="58"/>
  <c r="L101" i="58"/>
  <c r="J62" i="58"/>
  <c r="J45" i="58"/>
  <c r="N76" i="58"/>
  <c r="I79" i="54"/>
  <c r="E6" i="54"/>
  <c r="L78" i="54"/>
  <c r="I33" i="54"/>
  <c r="J102" i="54"/>
  <c r="N89" i="54"/>
  <c r="J76" i="54"/>
  <c r="N34" i="54"/>
  <c r="N102" i="54"/>
  <c r="J79" i="54"/>
  <c r="B89" i="54"/>
  <c r="J72" i="54"/>
  <c r="I74" i="54"/>
  <c r="N75" i="54"/>
  <c r="C2" i="54"/>
  <c r="L62" i="54"/>
  <c r="B3" i="54"/>
  <c r="I34" i="54"/>
  <c r="I75" i="54"/>
  <c r="N104" i="54"/>
  <c r="N105" i="54"/>
  <c r="I104" i="54"/>
  <c r="N19" i="54"/>
  <c r="B22" i="54"/>
  <c r="J105" i="54"/>
  <c r="L35" i="54"/>
  <c r="B55" i="54"/>
  <c r="J61" i="54"/>
  <c r="B56" i="54"/>
  <c r="I72" i="54"/>
  <c r="J71" i="54"/>
  <c r="I60" i="54"/>
  <c r="J35" i="54"/>
  <c r="N61" i="54"/>
  <c r="N72" i="54"/>
  <c r="B88" i="54"/>
  <c r="N35" i="54"/>
  <c r="B85" i="54"/>
  <c r="I89" i="54"/>
  <c r="B52" i="54"/>
  <c r="I62" i="54"/>
  <c r="C3" i="54"/>
  <c r="L79" i="54"/>
  <c r="I102" i="54"/>
  <c r="L76" i="54"/>
  <c r="C7" i="54"/>
  <c r="J34" i="54"/>
  <c r="N62" i="54"/>
  <c r="N79" i="54"/>
  <c r="J89" i="54"/>
  <c r="I76" i="54"/>
  <c r="I78" i="54"/>
  <c r="I90" i="54"/>
  <c r="J60" i="54"/>
  <c r="I105" i="54"/>
  <c r="N26" i="54"/>
  <c r="J78" i="54"/>
  <c r="L90" i="54"/>
  <c r="N71" i="54"/>
  <c r="I35" i="54"/>
  <c r="J90" i="54"/>
  <c r="B116" i="54"/>
  <c r="J74" i="54"/>
  <c r="C6" i="54"/>
  <c r="I71" i="54"/>
  <c r="C5" i="54"/>
  <c r="N33" i="54"/>
  <c r="C1" i="54"/>
  <c r="J75" i="54"/>
  <c r="C8" i="54"/>
  <c r="B19" i="54"/>
  <c r="N60" i="54"/>
  <c r="N78" i="54"/>
  <c r="N90" i="54"/>
  <c r="B120" i="54"/>
  <c r="I61" i="54"/>
  <c r="B23" i="54"/>
  <c r="J104" i="54"/>
  <c r="N74" i="54"/>
  <c r="N20" i="54"/>
  <c r="J62" i="54"/>
  <c r="J33" i="54"/>
  <c r="N76" i="54"/>
  <c r="I77" i="57"/>
  <c r="N137" i="57"/>
  <c r="I68" i="57"/>
  <c r="N138" i="57"/>
  <c r="L87" i="57"/>
  <c r="J36" i="57"/>
  <c r="I50" i="57"/>
  <c r="L77" i="57"/>
  <c r="I38" i="57"/>
  <c r="N139" i="57"/>
  <c r="L50" i="57"/>
  <c r="N40" i="57"/>
  <c r="I87" i="57"/>
  <c r="L45" i="57"/>
  <c r="L36" i="57"/>
  <c r="L98" i="57"/>
  <c r="N20" i="57"/>
  <c r="L58" i="57"/>
  <c r="L116" i="57"/>
  <c r="J72" i="57"/>
  <c r="L79" i="57"/>
  <c r="L107" i="57"/>
  <c r="N114" i="57"/>
  <c r="J68" i="57"/>
  <c r="J61" i="57"/>
  <c r="N42" i="57"/>
  <c r="L37" i="57"/>
  <c r="L56" i="57"/>
  <c r="C6" i="57"/>
  <c r="N126" i="57"/>
  <c r="L57" i="57"/>
  <c r="L69" i="57"/>
  <c r="N68" i="57"/>
  <c r="L78" i="57"/>
  <c r="N52" i="57"/>
  <c r="N19" i="57"/>
  <c r="N109" i="57"/>
  <c r="J41" i="57"/>
  <c r="I86" i="57"/>
  <c r="N36" i="57"/>
  <c r="N70" i="57"/>
  <c r="I59" i="57"/>
  <c r="J78" i="57"/>
  <c r="J49" i="57"/>
  <c r="L51" i="57"/>
  <c r="L109" i="57"/>
  <c r="I52" i="57"/>
  <c r="N116" i="57"/>
  <c r="N75" i="57"/>
  <c r="I35" i="57"/>
  <c r="L61" i="57"/>
  <c r="I47" i="57"/>
  <c r="I88" i="57"/>
  <c r="N88" i="57"/>
  <c r="I83" i="57"/>
  <c r="I67" i="57"/>
  <c r="L115" i="57"/>
  <c r="J81" i="57"/>
  <c r="L134" i="57"/>
  <c r="N91" i="57"/>
  <c r="N123" i="57"/>
  <c r="L72" i="57"/>
  <c r="I58" i="57"/>
  <c r="N47" i="57"/>
  <c r="J75" i="57"/>
  <c r="J51" i="57"/>
  <c r="J50" i="57"/>
  <c r="L55" i="57"/>
  <c r="J80" i="57"/>
  <c r="N101" i="57"/>
  <c r="J37" i="57"/>
  <c r="E6" i="57"/>
  <c r="I65" i="57"/>
  <c r="I55" i="57"/>
  <c r="J77" i="57"/>
  <c r="L139" i="57"/>
  <c r="I45" i="57"/>
  <c r="J67" i="57"/>
  <c r="N92" i="57"/>
  <c r="J47" i="57"/>
  <c r="N71" i="57"/>
  <c r="J56" i="57"/>
  <c r="N60" i="57"/>
  <c r="I85" i="57"/>
  <c r="L130" i="57"/>
  <c r="N111" i="57"/>
  <c r="I62" i="57"/>
  <c r="C1" i="57"/>
  <c r="N61" i="57"/>
  <c r="I40" i="57"/>
  <c r="L70" i="57"/>
  <c r="I56" i="57"/>
  <c r="N103" i="57"/>
  <c r="N100" i="57"/>
  <c r="L40" i="57"/>
  <c r="N76" i="57"/>
  <c r="C7" i="57"/>
  <c r="N51" i="57"/>
  <c r="L76" i="57"/>
  <c r="J48" i="57"/>
  <c r="I51" i="57"/>
  <c r="I70" i="57"/>
  <c r="L140" i="57"/>
  <c r="L102" i="57"/>
  <c r="L124" i="57"/>
  <c r="L62" i="57"/>
  <c r="L135" i="57"/>
  <c r="L132" i="57"/>
  <c r="J87" i="57"/>
  <c r="I92" i="57"/>
  <c r="J39" i="57"/>
  <c r="N69" i="57"/>
  <c r="N37" i="57"/>
  <c r="L126" i="57"/>
  <c r="N87" i="57"/>
  <c r="N81" i="57"/>
  <c r="N80" i="57"/>
  <c r="J38" i="57"/>
  <c r="I49" i="57"/>
  <c r="J85" i="57"/>
  <c r="B3" i="57"/>
  <c r="I76" i="57"/>
  <c r="N115" i="57"/>
  <c r="N125" i="57"/>
  <c r="L108" i="57"/>
  <c r="L83" i="57"/>
  <c r="N135" i="57"/>
  <c r="L100" i="57"/>
  <c r="L38" i="57"/>
  <c r="N121" i="57"/>
  <c r="N131" i="57"/>
  <c r="N50" i="57"/>
  <c r="J35" i="57"/>
  <c r="J55" i="57"/>
  <c r="N108" i="57"/>
  <c r="L66" i="57"/>
  <c r="J71" i="57"/>
  <c r="J60" i="57"/>
  <c r="J92" i="57"/>
  <c r="L122" i="57"/>
  <c r="N106" i="57"/>
  <c r="L75" i="57"/>
  <c r="N57" i="57"/>
  <c r="N119" i="57"/>
  <c r="L136" i="57"/>
  <c r="N58" i="57"/>
  <c r="J40" i="57"/>
  <c r="N133" i="57"/>
  <c r="I41" i="57"/>
  <c r="I42" i="57"/>
  <c r="L41" i="57"/>
  <c r="I79" i="57"/>
  <c r="N134" i="57"/>
  <c r="N72" i="57"/>
  <c r="I60" i="57"/>
  <c r="L47" i="57"/>
  <c r="J70" i="57"/>
  <c r="I39" i="57"/>
  <c r="L52" i="57"/>
  <c r="L35" i="57"/>
  <c r="I48" i="57"/>
  <c r="J45" i="57"/>
  <c r="L131" i="57"/>
  <c r="N55" i="57"/>
  <c r="L111" i="57"/>
  <c r="N77" i="57"/>
  <c r="N140" i="57"/>
  <c r="C5" i="57"/>
  <c r="L119" i="57"/>
  <c r="L68" i="57"/>
  <c r="J76" i="57"/>
  <c r="L138" i="57"/>
  <c r="J69" i="57"/>
  <c r="N35" i="57"/>
  <c r="N41" i="57"/>
  <c r="L65" i="57"/>
  <c r="N39" i="57"/>
  <c r="N38" i="57"/>
  <c r="N56" i="57"/>
  <c r="J79" i="57"/>
  <c r="J65" i="57"/>
  <c r="I72" i="57"/>
  <c r="L86" i="57"/>
  <c r="I66" i="57"/>
  <c r="J46" i="57"/>
  <c r="C8" i="57"/>
  <c r="N49" i="57"/>
  <c r="J57" i="57"/>
  <c r="N107" i="57"/>
  <c r="N78" i="57"/>
  <c r="I91" i="57"/>
  <c r="L110" i="57"/>
  <c r="C2" i="57"/>
  <c r="L49" i="57"/>
  <c r="J88" i="57"/>
  <c r="N65" i="57"/>
  <c r="I75" i="57"/>
  <c r="N130" i="57"/>
  <c r="L123" i="57"/>
  <c r="L101" i="57"/>
  <c r="N85" i="57"/>
  <c r="L85" i="57"/>
  <c r="I71" i="57"/>
  <c r="L60" i="57"/>
  <c r="L46" i="57"/>
  <c r="L137" i="57"/>
  <c r="B19" i="57"/>
  <c r="B23" i="57"/>
  <c r="I46" i="57"/>
  <c r="N66" i="57"/>
  <c r="N124" i="57"/>
  <c r="L133" i="57"/>
  <c r="L103" i="57"/>
  <c r="J86" i="57"/>
  <c r="I80" i="57"/>
  <c r="N136" i="57"/>
  <c r="N79" i="57"/>
  <c r="J66" i="57"/>
  <c r="L117" i="57"/>
  <c r="N98" i="57"/>
  <c r="L114" i="57"/>
  <c r="L39" i="57"/>
  <c r="L121" i="57"/>
  <c r="J83" i="57"/>
  <c r="J52" i="57"/>
  <c r="N48" i="57"/>
  <c r="N62" i="57"/>
  <c r="L67" i="57"/>
  <c r="L99" i="57"/>
  <c r="N45" i="57"/>
  <c r="N129" i="57"/>
  <c r="N99" i="57"/>
  <c r="L42" i="57"/>
  <c r="N132" i="57"/>
  <c r="J59" i="57"/>
  <c r="I37" i="57"/>
  <c r="L48" i="57"/>
  <c r="J58" i="57"/>
  <c r="N118" i="57"/>
  <c r="I57" i="57"/>
  <c r="N83" i="57"/>
  <c r="L125" i="57"/>
  <c r="I36" i="57"/>
  <c r="N117" i="57"/>
  <c r="N67" i="57"/>
  <c r="L59" i="57"/>
  <c r="N122" i="57"/>
  <c r="L106" i="57"/>
  <c r="N110" i="57"/>
  <c r="L80" i="57"/>
  <c r="I78" i="57"/>
  <c r="L118" i="57"/>
  <c r="I69" i="57"/>
  <c r="I61" i="57"/>
  <c r="L81" i="57"/>
  <c r="J62" i="57"/>
  <c r="J91" i="57"/>
  <c r="N59" i="57"/>
  <c r="I81" i="57"/>
  <c r="L71" i="57"/>
  <c r="N86" i="57"/>
  <c r="N102" i="57"/>
  <c r="N46" i="57"/>
  <c r="J42" i="57"/>
  <c r="N85" i="53"/>
  <c r="N35" i="53"/>
  <c r="B23" i="53"/>
  <c r="J33" i="53"/>
  <c r="J85" i="53"/>
  <c r="J76" i="53"/>
  <c r="N60" i="53"/>
  <c r="I85" i="53"/>
  <c r="B55" i="53"/>
  <c r="N74" i="53"/>
  <c r="N75" i="53"/>
  <c r="N61" i="53"/>
  <c r="I82" i="53"/>
  <c r="B22" i="53"/>
  <c r="J78" i="53"/>
  <c r="I83" i="53"/>
  <c r="N72" i="53"/>
  <c r="I74" i="53"/>
  <c r="J61" i="53"/>
  <c r="J83" i="53"/>
  <c r="N19" i="53"/>
  <c r="I75" i="53"/>
  <c r="I61" i="53"/>
  <c r="N88" i="53"/>
  <c r="I88" i="53"/>
  <c r="I76" i="53"/>
  <c r="J75" i="53"/>
  <c r="C7" i="53"/>
  <c r="L79" i="53"/>
  <c r="I60" i="53"/>
  <c r="N82" i="53"/>
  <c r="J87" i="53"/>
  <c r="I34" i="53"/>
  <c r="I33" i="53"/>
  <c r="N71" i="53"/>
  <c r="L35" i="53"/>
  <c r="N87" i="53"/>
  <c r="L62" i="53"/>
  <c r="N78" i="53"/>
  <c r="J34" i="53"/>
  <c r="N20" i="53"/>
  <c r="L76" i="53"/>
  <c r="N79" i="53"/>
  <c r="J71" i="53"/>
  <c r="C5" i="53"/>
  <c r="J72" i="53"/>
  <c r="I71" i="53"/>
  <c r="B85" i="53"/>
  <c r="C2" i="53"/>
  <c r="I78" i="53"/>
  <c r="C8" i="53"/>
  <c r="J88" i="53"/>
  <c r="E6" i="53"/>
  <c r="B56" i="53"/>
  <c r="J79" i="53"/>
  <c r="N62" i="53"/>
  <c r="B19" i="53"/>
  <c r="C6" i="53"/>
  <c r="N34" i="53"/>
  <c r="B3" i="53"/>
  <c r="I62" i="53"/>
  <c r="J74" i="53"/>
  <c r="C1" i="53"/>
  <c r="L83" i="53"/>
  <c r="B116" i="53"/>
  <c r="J82" i="53"/>
  <c r="J35" i="53"/>
  <c r="B120" i="53"/>
  <c r="J60" i="53"/>
  <c r="B89" i="53"/>
  <c r="N26" i="53"/>
  <c r="B52" i="53"/>
  <c r="I79" i="53"/>
  <c r="L78" i="53"/>
  <c r="I35" i="53"/>
  <c r="J62" i="53"/>
  <c r="N83" i="53"/>
  <c r="N33" i="53"/>
  <c r="N76" i="53"/>
  <c r="I87" i="53"/>
  <c r="B88" i="53"/>
  <c r="I72" i="53"/>
  <c r="N51" i="56"/>
  <c r="J39" i="56"/>
  <c r="J61" i="56"/>
  <c r="N121" i="56"/>
  <c r="J86" i="56"/>
  <c r="J41" i="56"/>
  <c r="J59" i="56"/>
  <c r="L106" i="56"/>
  <c r="J55" i="56"/>
  <c r="N19" i="56"/>
  <c r="L124" i="56"/>
  <c r="N122" i="56"/>
  <c r="N78" i="56"/>
  <c r="I38" i="56"/>
  <c r="N49" i="56"/>
  <c r="N129" i="56"/>
  <c r="L42" i="56"/>
  <c r="I80" i="56"/>
  <c r="I39" i="56"/>
  <c r="I58" i="56"/>
  <c r="L41" i="56"/>
  <c r="N108" i="56"/>
  <c r="J45" i="56"/>
  <c r="N69" i="56"/>
  <c r="I77" i="56"/>
  <c r="N65" i="56"/>
  <c r="N52" i="56"/>
  <c r="L36" i="56"/>
  <c r="C8" i="56"/>
  <c r="J58" i="56"/>
  <c r="J66" i="56"/>
  <c r="L68" i="56"/>
  <c r="N36" i="56"/>
  <c r="C7" i="56"/>
  <c r="L139" i="56"/>
  <c r="N134" i="56"/>
  <c r="C5" i="56"/>
  <c r="I83" i="56"/>
  <c r="J92" i="56"/>
  <c r="L78" i="56"/>
  <c r="L50" i="56"/>
  <c r="N45" i="56"/>
  <c r="L136" i="56"/>
  <c r="J78" i="56"/>
  <c r="I65" i="56"/>
  <c r="I86" i="56"/>
  <c r="L45" i="56"/>
  <c r="N91" i="56"/>
  <c r="N35" i="56"/>
  <c r="I42" i="56"/>
  <c r="L35" i="56"/>
  <c r="C2" i="56"/>
  <c r="N38" i="56"/>
  <c r="N102" i="56"/>
  <c r="L108" i="56"/>
  <c r="I76" i="56"/>
  <c r="J70" i="56"/>
  <c r="L115" i="56"/>
  <c r="L51" i="56"/>
  <c r="J67" i="56"/>
  <c r="N99" i="56"/>
  <c r="L114" i="56"/>
  <c r="N77" i="56"/>
  <c r="N114" i="56"/>
  <c r="N68" i="56"/>
  <c r="N66" i="56"/>
  <c r="N115" i="56"/>
  <c r="N107" i="56"/>
  <c r="L65" i="56"/>
  <c r="L49" i="56"/>
  <c r="I35" i="56"/>
  <c r="L86" i="56"/>
  <c r="N37" i="56"/>
  <c r="I78" i="56"/>
  <c r="J88" i="56"/>
  <c r="J75" i="56"/>
  <c r="N137" i="56"/>
  <c r="L76" i="56"/>
  <c r="J60" i="56"/>
  <c r="L62" i="56"/>
  <c r="B19" i="56"/>
  <c r="N60" i="56"/>
  <c r="J49" i="56"/>
  <c r="L119" i="56"/>
  <c r="L125" i="56"/>
  <c r="N57" i="56"/>
  <c r="L58" i="56"/>
  <c r="I55" i="56"/>
  <c r="L46" i="56"/>
  <c r="I45" i="56"/>
  <c r="N47" i="56"/>
  <c r="N55" i="56"/>
  <c r="N67" i="56"/>
  <c r="B23" i="56"/>
  <c r="L126" i="56"/>
  <c r="L57" i="56"/>
  <c r="N126" i="56"/>
  <c r="N133" i="56"/>
  <c r="L132" i="56"/>
  <c r="I72" i="56"/>
  <c r="L130" i="56"/>
  <c r="I61" i="56"/>
  <c r="I40" i="56"/>
  <c r="I67" i="56"/>
  <c r="I62" i="56"/>
  <c r="J91" i="56"/>
  <c r="N85" i="56"/>
  <c r="L75" i="56"/>
  <c r="L101" i="56"/>
  <c r="L61" i="56"/>
  <c r="E6" i="56"/>
  <c r="L116" i="56"/>
  <c r="J85" i="56"/>
  <c r="N39" i="56"/>
  <c r="I49" i="56"/>
  <c r="N100" i="56"/>
  <c r="L138" i="56"/>
  <c r="N42" i="56"/>
  <c r="N117" i="56"/>
  <c r="N101" i="56"/>
  <c r="L52" i="56"/>
  <c r="J81" i="56"/>
  <c r="J83" i="56"/>
  <c r="I57" i="56"/>
  <c r="J40" i="56"/>
  <c r="L100" i="56"/>
  <c r="L131" i="56"/>
  <c r="L37" i="56"/>
  <c r="L56" i="56"/>
  <c r="L111" i="56"/>
  <c r="J68" i="56"/>
  <c r="I79" i="56"/>
  <c r="N72" i="56"/>
  <c r="J46" i="56"/>
  <c r="N40" i="56"/>
  <c r="N125" i="56"/>
  <c r="J52" i="56"/>
  <c r="L135" i="56"/>
  <c r="J62" i="56"/>
  <c r="N71" i="56"/>
  <c r="N88" i="56"/>
  <c r="I68" i="56"/>
  <c r="I92" i="56"/>
  <c r="J71" i="56"/>
  <c r="I91" i="56"/>
  <c r="L118" i="56"/>
  <c r="L137" i="56"/>
  <c r="L140" i="56"/>
  <c r="N139" i="56"/>
  <c r="L60" i="56"/>
  <c r="N110" i="56"/>
  <c r="N79" i="56"/>
  <c r="I70" i="56"/>
  <c r="I47" i="56"/>
  <c r="L123" i="56"/>
  <c r="L39" i="56"/>
  <c r="N75" i="56"/>
  <c r="N135" i="56"/>
  <c r="L38" i="56"/>
  <c r="N41" i="56"/>
  <c r="N116" i="56"/>
  <c r="N123" i="56"/>
  <c r="N76" i="56"/>
  <c r="L99" i="56"/>
  <c r="N59" i="56"/>
  <c r="L70" i="56"/>
  <c r="L59" i="56"/>
  <c r="L109" i="56"/>
  <c r="L81" i="56"/>
  <c r="L48" i="56"/>
  <c r="I37" i="56"/>
  <c r="L98" i="56"/>
  <c r="L102" i="56"/>
  <c r="I75" i="56"/>
  <c r="I88" i="56"/>
  <c r="N111" i="56"/>
  <c r="N83" i="56"/>
  <c r="L40" i="56"/>
  <c r="N130" i="56"/>
  <c r="N48" i="56"/>
  <c r="N118" i="56"/>
  <c r="C1" i="56"/>
  <c r="I85" i="56"/>
  <c r="J77" i="56"/>
  <c r="J48" i="56"/>
  <c r="N140" i="56"/>
  <c r="L122" i="56"/>
  <c r="I87" i="56"/>
  <c r="N61" i="56"/>
  <c r="N103" i="56"/>
  <c r="L83" i="56"/>
  <c r="N119" i="56"/>
  <c r="N124" i="56"/>
  <c r="I60" i="56"/>
  <c r="J69" i="56"/>
  <c r="J87" i="56"/>
  <c r="J57" i="56"/>
  <c r="N56" i="56"/>
  <c r="N80" i="56"/>
  <c r="J35" i="56"/>
  <c r="N136" i="56"/>
  <c r="L72" i="56"/>
  <c r="L117" i="56"/>
  <c r="N92" i="56"/>
  <c r="I81" i="56"/>
  <c r="L121" i="56"/>
  <c r="L71" i="56"/>
  <c r="I51" i="56"/>
  <c r="N81" i="56"/>
  <c r="J79" i="56"/>
  <c r="J51" i="56"/>
  <c r="N86" i="56"/>
  <c r="L69" i="56"/>
  <c r="I59" i="56"/>
  <c r="J36" i="56"/>
  <c r="L134" i="56"/>
  <c r="I66" i="56"/>
  <c r="I56" i="56"/>
  <c r="B3" i="56"/>
  <c r="L67" i="56"/>
  <c r="I41" i="56"/>
  <c r="L66" i="56"/>
  <c r="L77" i="56"/>
  <c r="N62" i="56"/>
  <c r="L47" i="56"/>
  <c r="J72" i="56"/>
  <c r="C6" i="56"/>
  <c r="I71" i="56"/>
  <c r="I52" i="56"/>
  <c r="N87" i="56"/>
  <c r="L85" i="56"/>
  <c r="N132" i="56"/>
  <c r="I36" i="56"/>
  <c r="N98" i="56"/>
  <c r="L107" i="56"/>
  <c r="I48" i="56"/>
  <c r="I69" i="56"/>
  <c r="N70" i="56"/>
  <c r="N58" i="56"/>
  <c r="L103" i="56"/>
  <c r="N46" i="56"/>
  <c r="J50" i="56"/>
  <c r="N106" i="56"/>
  <c r="J76" i="56"/>
  <c r="N131" i="56"/>
  <c r="L80" i="56"/>
  <c r="J80" i="56"/>
  <c r="L110" i="56"/>
  <c r="N109" i="56"/>
  <c r="L87" i="56"/>
  <c r="I46" i="56"/>
  <c r="N50" i="56"/>
  <c r="J65" i="56"/>
  <c r="N20" i="56"/>
  <c r="J37" i="56"/>
  <c r="J56" i="56"/>
  <c r="L55" i="56"/>
  <c r="L79" i="56"/>
  <c r="I50" i="56"/>
  <c r="L133" i="56"/>
  <c r="J47" i="56"/>
  <c r="J38" i="56"/>
  <c r="J42" i="56"/>
  <c r="N138" i="56"/>
  <c r="I60" i="52"/>
  <c r="I75" i="52"/>
  <c r="C7" i="52"/>
  <c r="J60" i="52"/>
  <c r="N79" i="52"/>
  <c r="N60" i="52"/>
  <c r="J87" i="52"/>
  <c r="B120" i="52"/>
  <c r="C6" i="52"/>
  <c r="L76" i="52"/>
  <c r="J79" i="52"/>
  <c r="N71" i="52"/>
  <c r="I34" i="52"/>
  <c r="J71" i="52"/>
  <c r="N87" i="52"/>
  <c r="N78" i="52"/>
  <c r="I82" i="52"/>
  <c r="C5" i="52"/>
  <c r="I72" i="52"/>
  <c r="J74" i="52"/>
  <c r="B85" i="52"/>
  <c r="J72" i="52"/>
  <c r="N61" i="52"/>
  <c r="J78" i="52"/>
  <c r="J35" i="52"/>
  <c r="J62" i="52"/>
  <c r="J75" i="52"/>
  <c r="I33" i="52"/>
  <c r="N83" i="52"/>
  <c r="N62" i="52"/>
  <c r="I87" i="52"/>
  <c r="J61" i="52"/>
  <c r="J85" i="52"/>
  <c r="I71" i="52"/>
  <c r="N20" i="52"/>
  <c r="B56" i="52"/>
  <c r="N85" i="52"/>
  <c r="B55" i="52"/>
  <c r="N76" i="52"/>
  <c r="I78" i="52"/>
  <c r="B22" i="52"/>
  <c r="I62" i="52"/>
  <c r="B52" i="52"/>
  <c r="N35" i="52"/>
  <c r="J82" i="52"/>
  <c r="B116" i="52"/>
  <c r="I76" i="52"/>
  <c r="N19" i="52"/>
  <c r="L78" i="52"/>
  <c r="L83" i="52"/>
  <c r="B3" i="52"/>
  <c r="J76" i="52"/>
  <c r="N72" i="52"/>
  <c r="N88" i="52"/>
  <c r="L79" i="52"/>
  <c r="I79" i="52"/>
  <c r="J34" i="52"/>
  <c r="I61" i="52"/>
  <c r="N33" i="52"/>
  <c r="L35" i="52"/>
  <c r="B88" i="52"/>
  <c r="B19" i="52"/>
  <c r="I35" i="52"/>
  <c r="N75" i="52"/>
  <c r="I88" i="52"/>
  <c r="J88" i="52"/>
  <c r="B23" i="52"/>
  <c r="N26" i="52"/>
  <c r="E6" i="52"/>
  <c r="N74" i="52"/>
  <c r="L62" i="52"/>
  <c r="N82" i="52"/>
  <c r="C2" i="52"/>
  <c r="J33" i="52"/>
  <c r="I85" i="52"/>
  <c r="C1" i="52"/>
  <c r="N34" i="52"/>
  <c r="I83" i="52"/>
  <c r="J83" i="52"/>
  <c r="C8" i="52"/>
  <c r="B89" i="52"/>
  <c r="I74" i="52"/>
  <c r="N36" i="55"/>
  <c r="I70" i="55"/>
  <c r="L72" i="55"/>
  <c r="L61" i="55"/>
  <c r="J37" i="55"/>
  <c r="N92" i="55"/>
  <c r="J45" i="55"/>
  <c r="N116" i="55"/>
  <c r="L45" i="55"/>
  <c r="J46" i="55"/>
  <c r="J55" i="55"/>
  <c r="N135" i="55"/>
  <c r="N136" i="55"/>
  <c r="J62" i="55"/>
  <c r="L60" i="55"/>
  <c r="N49" i="55"/>
  <c r="J35" i="55"/>
  <c r="N124" i="55"/>
  <c r="N138" i="55"/>
  <c r="C7" i="55"/>
  <c r="I50" i="55"/>
  <c r="N119" i="55"/>
  <c r="N41" i="55"/>
  <c r="J52" i="55"/>
  <c r="L115" i="55"/>
  <c r="N125" i="55"/>
  <c r="C5" i="55"/>
  <c r="N71" i="55"/>
  <c r="N81" i="55"/>
  <c r="J71" i="55"/>
  <c r="N102" i="55"/>
  <c r="N50" i="55"/>
  <c r="N123" i="55"/>
  <c r="L42" i="55"/>
  <c r="L130" i="55"/>
  <c r="I38" i="55"/>
  <c r="J79" i="55"/>
  <c r="N77" i="55"/>
  <c r="L39" i="55"/>
  <c r="I67" i="55"/>
  <c r="N47" i="55"/>
  <c r="N101" i="55"/>
  <c r="J42" i="55"/>
  <c r="L38" i="55"/>
  <c r="N107" i="55"/>
  <c r="C6" i="55"/>
  <c r="I85" i="55"/>
  <c r="I47" i="55"/>
  <c r="L119" i="55"/>
  <c r="L114" i="55"/>
  <c r="N56" i="55"/>
  <c r="N59" i="55"/>
  <c r="I86" i="55"/>
  <c r="L36" i="55"/>
  <c r="I68" i="55"/>
  <c r="L135" i="55"/>
  <c r="I91" i="55"/>
  <c r="J36" i="55"/>
  <c r="N68" i="55"/>
  <c r="C1" i="55"/>
  <c r="L65" i="55"/>
  <c r="N40" i="55"/>
  <c r="J56" i="55"/>
  <c r="N134" i="55"/>
  <c r="I39" i="55"/>
  <c r="N45" i="55"/>
  <c r="L62" i="55"/>
  <c r="J75" i="55"/>
  <c r="L123" i="55"/>
  <c r="I83" i="55"/>
  <c r="J48" i="55"/>
  <c r="N35" i="55"/>
  <c r="N78" i="55"/>
  <c r="L68" i="55"/>
  <c r="L81" i="55"/>
  <c r="J77" i="55"/>
  <c r="I48" i="55"/>
  <c r="L49" i="55"/>
  <c r="B3" i="55"/>
  <c r="J47" i="55"/>
  <c r="L46" i="55"/>
  <c r="J39" i="55"/>
  <c r="N86" i="55"/>
  <c r="L56" i="55"/>
  <c r="I81" i="55"/>
  <c r="I87" i="55"/>
  <c r="I92" i="55"/>
  <c r="I55" i="55"/>
  <c r="I57" i="55"/>
  <c r="J38" i="55"/>
  <c r="C2" i="55"/>
  <c r="N55" i="55"/>
  <c r="L85" i="55"/>
  <c r="I62" i="55"/>
  <c r="N61" i="55"/>
  <c r="I45" i="55"/>
  <c r="L59" i="55"/>
  <c r="J91" i="55"/>
  <c r="J61" i="55"/>
  <c r="J49" i="55"/>
  <c r="L83" i="55"/>
  <c r="L103" i="55"/>
  <c r="N114" i="55"/>
  <c r="N83" i="55"/>
  <c r="L117" i="55"/>
  <c r="L122" i="55"/>
  <c r="N139" i="55"/>
  <c r="L136" i="55"/>
  <c r="L102" i="55"/>
  <c r="J92" i="55"/>
  <c r="N76" i="55"/>
  <c r="J57" i="55"/>
  <c r="J88" i="55"/>
  <c r="N37" i="55"/>
  <c r="L78" i="55"/>
  <c r="J76" i="55"/>
  <c r="N80" i="55"/>
  <c r="L48" i="55"/>
  <c r="N66" i="55"/>
  <c r="L47" i="55"/>
  <c r="I40" i="55"/>
  <c r="N106" i="55"/>
  <c r="N52" i="55"/>
  <c r="I60" i="55"/>
  <c r="N69" i="55"/>
  <c r="N88" i="55"/>
  <c r="L66" i="55"/>
  <c r="L116" i="55"/>
  <c r="J86" i="55"/>
  <c r="I77" i="55"/>
  <c r="L125" i="55"/>
  <c r="I75" i="55"/>
  <c r="L87" i="55"/>
  <c r="L110" i="55"/>
  <c r="L76" i="55"/>
  <c r="J72" i="55"/>
  <c r="I72" i="55"/>
  <c r="N20" i="55"/>
  <c r="N60" i="55"/>
  <c r="N57" i="55"/>
  <c r="I69" i="55"/>
  <c r="N100" i="55"/>
  <c r="J51" i="55"/>
  <c r="N67" i="55"/>
  <c r="L132" i="55"/>
  <c r="J66" i="55"/>
  <c r="N130" i="55"/>
  <c r="L137" i="55"/>
  <c r="L50" i="55"/>
  <c r="N79" i="55"/>
  <c r="N103" i="55"/>
  <c r="L133" i="55"/>
  <c r="J67" i="55"/>
  <c r="N122" i="55"/>
  <c r="I41" i="55"/>
  <c r="I37" i="55"/>
  <c r="N91" i="55"/>
  <c r="J69" i="55"/>
  <c r="L51" i="55"/>
  <c r="J83" i="55"/>
  <c r="L77" i="55"/>
  <c r="N19" i="55"/>
  <c r="C8" i="55"/>
  <c r="B19" i="55"/>
  <c r="N132" i="55"/>
  <c r="L126" i="55"/>
  <c r="L80" i="55"/>
  <c r="B23" i="55"/>
  <c r="N72" i="55"/>
  <c r="I58" i="55"/>
  <c r="L86" i="55"/>
  <c r="J65" i="55"/>
  <c r="L111" i="55"/>
  <c r="L121" i="55"/>
  <c r="L75" i="55"/>
  <c r="N126" i="55"/>
  <c r="J58" i="55"/>
  <c r="L41" i="55"/>
  <c r="J40" i="55"/>
  <c r="N129" i="55"/>
  <c r="L101" i="55"/>
  <c r="L69" i="55"/>
  <c r="L107" i="55"/>
  <c r="J70" i="55"/>
  <c r="L35" i="55"/>
  <c r="N111" i="55"/>
  <c r="N65" i="55"/>
  <c r="E6" i="55"/>
  <c r="N118" i="55"/>
  <c r="L52" i="55"/>
  <c r="N70" i="55"/>
  <c r="I36" i="55"/>
  <c r="L55" i="55"/>
  <c r="I80" i="55"/>
  <c r="N110" i="55"/>
  <c r="N98" i="55"/>
  <c r="I71" i="55"/>
  <c r="L99" i="55"/>
  <c r="I79" i="55"/>
  <c r="L37" i="55"/>
  <c r="N48" i="55"/>
  <c r="N117" i="55"/>
  <c r="L67" i="55"/>
  <c r="N46" i="55"/>
  <c r="J80" i="55"/>
  <c r="N58" i="55"/>
  <c r="L71" i="55"/>
  <c r="L134" i="55"/>
  <c r="L57" i="55"/>
  <c r="I78" i="55"/>
  <c r="N39" i="55"/>
  <c r="L98" i="55"/>
  <c r="J50" i="55"/>
  <c r="L124" i="55"/>
  <c r="N140" i="55"/>
  <c r="I88" i="55"/>
  <c r="N62" i="55"/>
  <c r="J59" i="55"/>
  <c r="I59" i="55"/>
  <c r="N137" i="55"/>
  <c r="I56" i="55"/>
  <c r="N109" i="55"/>
  <c r="N121" i="55"/>
  <c r="I42" i="55"/>
  <c r="J78" i="55"/>
  <c r="J68" i="55"/>
  <c r="N131" i="55"/>
  <c r="I61" i="55"/>
  <c r="I66" i="55"/>
  <c r="N85" i="55"/>
  <c r="I51" i="55"/>
  <c r="L109" i="55"/>
  <c r="J60" i="55"/>
  <c r="J85" i="55"/>
  <c r="I35" i="55"/>
  <c r="L40" i="55"/>
  <c r="I46" i="55"/>
  <c r="N133" i="55"/>
  <c r="L140" i="55"/>
  <c r="L106" i="55"/>
  <c r="N38" i="55"/>
  <c r="J87" i="55"/>
  <c r="N99" i="55"/>
  <c r="N51" i="55"/>
  <c r="N108" i="55"/>
  <c r="L108" i="55"/>
  <c r="L70" i="55"/>
  <c r="L139" i="55"/>
  <c r="I76" i="55"/>
  <c r="L100" i="55"/>
  <c r="N42" i="55"/>
  <c r="I65" i="55"/>
  <c r="I49" i="55"/>
  <c r="J41" i="55"/>
  <c r="L58" i="55"/>
  <c r="N87" i="55"/>
  <c r="L118" i="55"/>
  <c r="N75" i="55"/>
  <c r="N115" i="55"/>
  <c r="L131" i="55"/>
  <c r="L138" i="55"/>
  <c r="L79" i="55"/>
  <c r="J81" i="55"/>
  <c r="I52" i="55"/>
  <c r="J88" i="51"/>
  <c r="I76" i="51"/>
  <c r="J71" i="51"/>
  <c r="J35" i="51"/>
  <c r="B3" i="51"/>
  <c r="N72" i="51"/>
  <c r="J62" i="51"/>
  <c r="N87" i="51"/>
  <c r="N96" i="51"/>
  <c r="I61" i="51"/>
  <c r="N98" i="51"/>
  <c r="N34" i="51"/>
  <c r="I99" i="51"/>
  <c r="C2" i="51"/>
  <c r="I75" i="51"/>
  <c r="N78" i="51"/>
  <c r="I98" i="51"/>
  <c r="N74" i="51"/>
  <c r="E6" i="51"/>
  <c r="I35" i="51"/>
  <c r="J75" i="51"/>
  <c r="I87" i="51"/>
  <c r="B23" i="51"/>
  <c r="N99" i="51"/>
  <c r="I96" i="51"/>
  <c r="J87" i="51"/>
  <c r="L78" i="51"/>
  <c r="B55" i="51"/>
  <c r="N61" i="51"/>
  <c r="L35" i="51"/>
  <c r="J79" i="51"/>
  <c r="J78" i="51"/>
  <c r="N26" i="51"/>
  <c r="I79" i="51"/>
  <c r="I72" i="51"/>
  <c r="J60" i="51"/>
  <c r="J61" i="51"/>
  <c r="J98" i="51"/>
  <c r="L62" i="51"/>
  <c r="I78" i="51"/>
  <c r="C5" i="51"/>
  <c r="B88" i="51"/>
  <c r="N71" i="51"/>
  <c r="B19" i="51"/>
  <c r="J96" i="51"/>
  <c r="B116" i="51"/>
  <c r="C1" i="51"/>
  <c r="C6" i="51"/>
  <c r="I34" i="51"/>
  <c r="L76" i="51"/>
  <c r="N75" i="51"/>
  <c r="J72" i="51"/>
  <c r="N35" i="51"/>
  <c r="B89" i="51"/>
  <c r="I33" i="51"/>
  <c r="N60" i="51"/>
  <c r="B85" i="51"/>
  <c r="N19" i="51"/>
  <c r="I71" i="51"/>
  <c r="C3" i="51"/>
  <c r="L79" i="51"/>
  <c r="J99" i="51"/>
  <c r="N62" i="51"/>
  <c r="J33" i="51"/>
  <c r="I74" i="51"/>
  <c r="B120" i="51"/>
  <c r="J76" i="51"/>
  <c r="B56" i="51"/>
  <c r="L88" i="51"/>
  <c r="N33" i="51"/>
  <c r="C7" i="51"/>
  <c r="N79" i="51"/>
  <c r="I88" i="51"/>
  <c r="C8" i="51"/>
  <c r="I60" i="51"/>
  <c r="N88" i="51"/>
  <c r="J34" i="51"/>
  <c r="I62" i="51"/>
  <c r="J74" i="51"/>
  <c r="B52" i="51"/>
  <c r="B22" i="51"/>
  <c r="N20" i="51"/>
  <c r="N76" i="51"/>
  <c r="N69" i="39"/>
  <c r="L37" i="39"/>
  <c r="J61" i="39"/>
  <c r="I86" i="39"/>
  <c r="L58" i="39"/>
  <c r="N45" i="39"/>
  <c r="L71" i="39"/>
  <c r="J52" i="39"/>
  <c r="N83" i="39"/>
  <c r="J66" i="39"/>
  <c r="I52" i="39"/>
  <c r="N20" i="39"/>
  <c r="E6" i="39"/>
  <c r="L130" i="39"/>
  <c r="N123" i="39"/>
  <c r="N60" i="39"/>
  <c r="J68" i="39"/>
  <c r="N110" i="39"/>
  <c r="L86" i="39"/>
  <c r="L55" i="39"/>
  <c r="L106" i="39"/>
  <c r="L126" i="39"/>
  <c r="I37" i="39"/>
  <c r="N115" i="39"/>
  <c r="N109" i="39"/>
  <c r="C8" i="39"/>
  <c r="L45" i="39"/>
  <c r="N36" i="39"/>
  <c r="N122" i="39"/>
  <c r="B3" i="39"/>
  <c r="L137" i="39"/>
  <c r="N50" i="39"/>
  <c r="C5" i="39"/>
  <c r="N138" i="39"/>
  <c r="L48" i="39"/>
  <c r="J70" i="39"/>
  <c r="I75" i="39"/>
  <c r="J58" i="39"/>
  <c r="I80" i="39"/>
  <c r="L79" i="39"/>
  <c r="L139" i="39"/>
  <c r="I59" i="39"/>
  <c r="J80" i="39"/>
  <c r="I70" i="39"/>
  <c r="N140" i="39"/>
  <c r="J92" i="39"/>
  <c r="L39" i="39"/>
  <c r="L65" i="39"/>
  <c r="N119" i="39"/>
  <c r="L47" i="39"/>
  <c r="N137" i="39"/>
  <c r="I60" i="39"/>
  <c r="J55" i="39"/>
  <c r="I71" i="39"/>
  <c r="J37" i="39"/>
  <c r="J85" i="39"/>
  <c r="N37" i="39"/>
  <c r="C1" i="39"/>
  <c r="N92" i="39"/>
  <c r="N99" i="39"/>
  <c r="L140" i="39"/>
  <c r="L59" i="39"/>
  <c r="J78" i="39"/>
  <c r="N106" i="39"/>
  <c r="L52" i="39"/>
  <c r="N78" i="39"/>
  <c r="J60" i="39"/>
  <c r="J57" i="39"/>
  <c r="L50" i="39"/>
  <c r="I41" i="39"/>
  <c r="I65" i="39"/>
  <c r="N19" i="39"/>
  <c r="N75" i="39"/>
  <c r="L132" i="39"/>
  <c r="L122" i="39"/>
  <c r="I50" i="39"/>
  <c r="L117" i="39"/>
  <c r="L42" i="39"/>
  <c r="N125" i="39"/>
  <c r="N65" i="39"/>
  <c r="L81" i="39"/>
  <c r="L75" i="39"/>
  <c r="L87" i="39"/>
  <c r="L111" i="39"/>
  <c r="L69" i="39"/>
  <c r="N100" i="39"/>
  <c r="J42" i="39"/>
  <c r="N48" i="39"/>
  <c r="B23" i="39"/>
  <c r="N55" i="39"/>
  <c r="I67" i="39"/>
  <c r="L51" i="39"/>
  <c r="L119" i="39"/>
  <c r="I77" i="39"/>
  <c r="L108" i="39"/>
  <c r="J59" i="39"/>
  <c r="L125" i="39"/>
  <c r="J76" i="39"/>
  <c r="N81" i="39"/>
  <c r="L116" i="39"/>
  <c r="I39" i="39"/>
  <c r="L41" i="39"/>
  <c r="N39" i="39"/>
  <c r="L85" i="39"/>
  <c r="L40" i="39"/>
  <c r="I40" i="39"/>
  <c r="J75" i="39"/>
  <c r="L70" i="39"/>
  <c r="J45" i="39"/>
  <c r="N114" i="39"/>
  <c r="N118" i="39"/>
  <c r="L134" i="39"/>
  <c r="L38" i="39"/>
  <c r="N42" i="39"/>
  <c r="J50" i="39"/>
  <c r="I76" i="39"/>
  <c r="B19" i="39"/>
  <c r="N107" i="39"/>
  <c r="N68" i="39"/>
  <c r="N134" i="39"/>
  <c r="N71" i="39"/>
  <c r="N51" i="39"/>
  <c r="J77" i="39"/>
  <c r="C2" i="39"/>
  <c r="L138" i="39"/>
  <c r="J40" i="39"/>
  <c r="N85" i="39"/>
  <c r="I55" i="39"/>
  <c r="N79" i="39"/>
  <c r="I42" i="39"/>
  <c r="N52" i="39"/>
  <c r="J47" i="39"/>
  <c r="L72" i="39"/>
  <c r="J62" i="39"/>
  <c r="I58" i="39"/>
  <c r="L83" i="39"/>
  <c r="L118" i="39"/>
  <c r="L60" i="39"/>
  <c r="N133" i="39"/>
  <c r="L124" i="39"/>
  <c r="I85" i="39"/>
  <c r="L103" i="39"/>
  <c r="N58" i="39"/>
  <c r="N62" i="39"/>
  <c r="I49" i="39"/>
  <c r="I83" i="39"/>
  <c r="L46" i="39"/>
  <c r="N67" i="39"/>
  <c r="J71" i="39"/>
  <c r="L121" i="39"/>
  <c r="L114" i="39"/>
  <c r="N136" i="39"/>
  <c r="J41" i="39"/>
  <c r="I57" i="39"/>
  <c r="L123" i="39"/>
  <c r="L107" i="39"/>
  <c r="N59" i="39"/>
  <c r="N49" i="39"/>
  <c r="I46" i="39"/>
  <c r="L56" i="39"/>
  <c r="J72" i="39"/>
  <c r="L68" i="39"/>
  <c r="I51" i="39"/>
  <c r="N41" i="39"/>
  <c r="N130" i="39"/>
  <c r="J39" i="39"/>
  <c r="J49" i="39"/>
  <c r="N70" i="39"/>
  <c r="I56" i="39"/>
  <c r="I92" i="39"/>
  <c r="J86" i="39"/>
  <c r="L110" i="39"/>
  <c r="N103" i="39"/>
  <c r="J87" i="39"/>
  <c r="N121" i="39"/>
  <c r="I45" i="39"/>
  <c r="N56" i="39"/>
  <c r="L36" i="39"/>
  <c r="N80" i="39"/>
  <c r="N91" i="39"/>
  <c r="J88" i="39"/>
  <c r="N129" i="39"/>
  <c r="L115" i="39"/>
  <c r="I61" i="39"/>
  <c r="J65" i="39"/>
  <c r="J83" i="39"/>
  <c r="I68" i="39"/>
  <c r="N46" i="39"/>
  <c r="N102" i="39"/>
  <c r="I62" i="39"/>
  <c r="J51" i="39"/>
  <c r="J91" i="39"/>
  <c r="N101" i="39"/>
  <c r="J81" i="39"/>
  <c r="L135" i="39"/>
  <c r="J38" i="39"/>
  <c r="J46" i="39"/>
  <c r="I36" i="39"/>
  <c r="N66" i="39"/>
  <c r="L109" i="39"/>
  <c r="L66" i="39"/>
  <c r="L77" i="39"/>
  <c r="J67" i="39"/>
  <c r="L78" i="39"/>
  <c r="L100" i="39"/>
  <c r="N132" i="39"/>
  <c r="N87" i="39"/>
  <c r="I38" i="39"/>
  <c r="N35" i="39"/>
  <c r="N126" i="39"/>
  <c r="L57" i="39"/>
  <c r="N108" i="39"/>
  <c r="N98" i="39"/>
  <c r="I81" i="39"/>
  <c r="N86" i="39"/>
  <c r="L67" i="39"/>
  <c r="N38" i="39"/>
  <c r="I66" i="39"/>
  <c r="I88" i="39"/>
  <c r="I69" i="39"/>
  <c r="N135" i="39"/>
  <c r="J35" i="39"/>
  <c r="N77" i="39"/>
  <c r="L131" i="39"/>
  <c r="L49" i="39"/>
  <c r="L80" i="39"/>
  <c r="N88" i="39"/>
  <c r="J36" i="39"/>
  <c r="I72" i="39"/>
  <c r="N76" i="39"/>
  <c r="I78" i="39"/>
  <c r="C6" i="39"/>
  <c r="I48" i="39"/>
  <c r="N72" i="39"/>
  <c r="L61" i="39"/>
  <c r="L102" i="39"/>
  <c r="L35" i="39"/>
  <c r="I79" i="39"/>
  <c r="L98" i="39"/>
  <c r="N61" i="39"/>
  <c r="N117" i="39"/>
  <c r="L99" i="39"/>
  <c r="L133" i="39"/>
  <c r="N40" i="39"/>
  <c r="N139" i="39"/>
  <c r="N116" i="39"/>
  <c r="L101" i="39"/>
  <c r="L62" i="39"/>
  <c r="N131" i="39"/>
  <c r="I87" i="39"/>
  <c r="J56" i="39"/>
  <c r="N124" i="39"/>
  <c r="J69" i="39"/>
  <c r="J79" i="39"/>
  <c r="N111" i="39"/>
  <c r="I47" i="39"/>
  <c r="N57" i="39"/>
  <c r="I91" i="39"/>
  <c r="L136" i="39"/>
  <c r="L76" i="39"/>
  <c r="I35" i="39"/>
  <c r="C7" i="39"/>
  <c r="N47" i="39"/>
  <c r="J48" i="39"/>
  <c r="L93" i="9"/>
  <c r="I60" i="9"/>
  <c r="N76" i="9"/>
  <c r="I79" i="9"/>
  <c r="C8" i="9"/>
  <c r="N121" i="9"/>
  <c r="I78" i="9"/>
  <c r="C7" i="9"/>
  <c r="I62" i="9"/>
  <c r="N35" i="9"/>
  <c r="N93" i="9"/>
  <c r="J93" i="9"/>
  <c r="N71" i="9"/>
  <c r="I119" i="9"/>
  <c r="B56" i="9"/>
  <c r="L76" i="9"/>
  <c r="N20" i="9"/>
  <c r="N61" i="9"/>
  <c r="N72" i="9"/>
  <c r="N92" i="9"/>
  <c r="J60" i="9"/>
  <c r="B88" i="9"/>
  <c r="J76" i="9"/>
  <c r="I34" i="9"/>
  <c r="N60" i="9"/>
  <c r="I93" i="9"/>
  <c r="L35" i="9"/>
  <c r="J79" i="9"/>
  <c r="J121" i="9"/>
  <c r="E6" i="9"/>
  <c r="J122" i="9"/>
  <c r="J35" i="9"/>
  <c r="I35" i="9"/>
  <c r="B23" i="9"/>
  <c r="B85" i="9"/>
  <c r="L78" i="9"/>
  <c r="N78" i="9"/>
  <c r="B52" i="9"/>
  <c r="B19" i="9"/>
  <c r="J71" i="9"/>
  <c r="I72" i="9"/>
  <c r="J75" i="9"/>
  <c r="N119" i="9"/>
  <c r="I33" i="9"/>
  <c r="I76" i="9"/>
  <c r="J119" i="9"/>
  <c r="J61" i="9"/>
  <c r="I121" i="9"/>
  <c r="B89" i="9"/>
  <c r="J74" i="9"/>
  <c r="I122" i="9"/>
  <c r="N74" i="9"/>
  <c r="L79" i="9"/>
  <c r="J33" i="9"/>
  <c r="I75" i="9"/>
  <c r="L62" i="9"/>
  <c r="J62" i="9"/>
  <c r="N33" i="9"/>
  <c r="N19" i="9"/>
  <c r="N62" i="9"/>
  <c r="I92" i="9"/>
  <c r="N34" i="9"/>
  <c r="B55" i="9"/>
  <c r="I74" i="9"/>
  <c r="I71" i="9"/>
  <c r="B22" i="9"/>
  <c r="B120" i="9"/>
  <c r="C5" i="9"/>
  <c r="C6" i="9"/>
  <c r="J72" i="9"/>
  <c r="C1" i="9"/>
  <c r="J78" i="9"/>
  <c r="C2" i="9"/>
  <c r="N122" i="9"/>
  <c r="I61" i="9"/>
  <c r="B116" i="9"/>
  <c r="B3" i="9"/>
  <c r="N79" i="9"/>
  <c r="N75" i="9"/>
  <c r="J92" i="9"/>
  <c r="J34" i="9"/>
  <c r="N54" i="18"/>
  <c r="I63" i="18"/>
  <c r="C1" i="18"/>
  <c r="C6" i="18"/>
  <c r="J33" i="18"/>
  <c r="J58" i="18"/>
  <c r="N27" i="18"/>
  <c r="J55" i="18"/>
  <c r="C2" i="18"/>
  <c r="J47" i="18"/>
  <c r="I48" i="18"/>
  <c r="B81" i="18"/>
  <c r="B77" i="18"/>
  <c r="I59" i="18"/>
  <c r="I42" i="18"/>
  <c r="N63" i="18"/>
  <c r="I54" i="18"/>
  <c r="B3" i="18"/>
  <c r="N61" i="18"/>
  <c r="N33" i="18"/>
  <c r="L52" i="18"/>
  <c r="L34" i="18"/>
  <c r="N42" i="18"/>
  <c r="N19" i="18"/>
  <c r="J42" i="18"/>
  <c r="L59" i="18"/>
  <c r="E6" i="18"/>
  <c r="I41" i="18"/>
  <c r="I50" i="18"/>
  <c r="N55" i="18"/>
  <c r="I58" i="18"/>
  <c r="J61" i="18"/>
  <c r="L42" i="18"/>
  <c r="N47" i="18"/>
  <c r="B23" i="18"/>
  <c r="C5" i="18"/>
  <c r="J63" i="18"/>
  <c r="I51" i="18"/>
  <c r="J59" i="18"/>
  <c r="J51" i="18"/>
  <c r="J41" i="18"/>
  <c r="I61" i="18"/>
  <c r="C8" i="18"/>
  <c r="N41" i="18"/>
  <c r="N59" i="18"/>
  <c r="N58" i="18"/>
  <c r="I34" i="18"/>
  <c r="I47" i="18"/>
  <c r="N48" i="18"/>
  <c r="I55" i="18"/>
  <c r="B19" i="18"/>
  <c r="J52" i="18"/>
  <c r="L54" i="18"/>
  <c r="B108" i="18"/>
  <c r="B48" i="18"/>
  <c r="J54" i="18"/>
  <c r="B51" i="18"/>
  <c r="I64" i="18"/>
  <c r="J34" i="18"/>
  <c r="I33" i="18"/>
  <c r="J50" i="18"/>
  <c r="N52" i="18"/>
  <c r="C7" i="18"/>
  <c r="N51" i="18"/>
  <c r="I52" i="18"/>
  <c r="N64" i="18"/>
  <c r="N50" i="18"/>
  <c r="L55" i="18"/>
  <c r="B22" i="18"/>
  <c r="B52" i="18"/>
  <c r="J48" i="18"/>
  <c r="N34" i="18"/>
  <c r="B80" i="18"/>
  <c r="J64" i="18"/>
  <c r="B112" i="18"/>
  <c r="M63" i="37"/>
  <c r="J83" i="37"/>
  <c r="B23" i="37"/>
  <c r="M76" i="37"/>
  <c r="M64" i="37"/>
  <c r="I97" i="37"/>
  <c r="M97" i="37"/>
  <c r="I53" i="37"/>
  <c r="I40" i="37"/>
  <c r="J56" i="37"/>
  <c r="I105" i="37"/>
  <c r="J103" i="37"/>
  <c r="J102" i="37"/>
  <c r="M93" i="37"/>
  <c r="J58" i="37"/>
  <c r="J78" i="37"/>
  <c r="B3" i="37"/>
  <c r="I35" i="37"/>
  <c r="M87" i="37"/>
  <c r="J94" i="37"/>
  <c r="J47" i="37"/>
  <c r="M103" i="37"/>
  <c r="J105" i="37"/>
  <c r="I55" i="37"/>
  <c r="I94" i="37"/>
  <c r="J98" i="37"/>
  <c r="M48" i="37"/>
  <c r="J104" i="37"/>
  <c r="I67" i="37"/>
  <c r="M54" i="37"/>
  <c r="M79" i="37"/>
  <c r="I101" i="37"/>
  <c r="M46" i="37"/>
  <c r="J48" i="37"/>
  <c r="M94" i="37"/>
  <c r="M33" i="37"/>
  <c r="C1" i="37"/>
  <c r="M56" i="37"/>
  <c r="I66" i="37"/>
  <c r="I46" i="37"/>
  <c r="C8" i="37"/>
  <c r="I45" i="37"/>
  <c r="M27" i="37"/>
  <c r="J42" i="37"/>
  <c r="J67" i="37"/>
  <c r="M98" i="37"/>
  <c r="I38" i="37"/>
  <c r="I69" i="37"/>
  <c r="J70" i="37"/>
  <c r="I47" i="37"/>
  <c r="J68" i="37"/>
  <c r="M70" i="37"/>
  <c r="M105" i="37"/>
  <c r="B49" i="37"/>
  <c r="J41" i="37"/>
  <c r="M100" i="37"/>
  <c r="I104" i="37"/>
  <c r="J38" i="37"/>
  <c r="I100" i="37"/>
  <c r="M19" i="37"/>
  <c r="M77" i="37"/>
  <c r="I103" i="37"/>
  <c r="I99" i="37"/>
  <c r="I102" i="37"/>
  <c r="J79" i="37"/>
  <c r="M35" i="37"/>
  <c r="I63" i="37"/>
  <c r="I79" i="37"/>
  <c r="J53" i="37"/>
  <c r="J40" i="37"/>
  <c r="M68" i="37"/>
  <c r="I42" i="37"/>
  <c r="J36" i="37"/>
  <c r="C7" i="37"/>
  <c r="I41" i="37"/>
  <c r="M37" i="37"/>
  <c r="C3" i="37"/>
  <c r="J54" i="37"/>
  <c r="J97" i="37"/>
  <c r="M55" i="37"/>
  <c r="M45" i="37"/>
  <c r="J77" i="37"/>
  <c r="J87" i="37"/>
  <c r="I56" i="37"/>
  <c r="M101" i="37"/>
  <c r="J76" i="37"/>
  <c r="J69" i="37"/>
  <c r="M69" i="37"/>
  <c r="I34" i="37"/>
  <c r="I83" i="37"/>
  <c r="M36" i="37"/>
  <c r="M66" i="37"/>
  <c r="M57" i="37"/>
  <c r="M58" i="37"/>
  <c r="J46" i="37"/>
  <c r="M86" i="37"/>
  <c r="I58" i="37"/>
  <c r="M61" i="37"/>
  <c r="I54" i="37"/>
  <c r="I76" i="37"/>
  <c r="M38" i="37"/>
  <c r="J55" i="37"/>
  <c r="I78" i="37"/>
  <c r="C2" i="37"/>
  <c r="J100" i="37"/>
  <c r="M82" i="37"/>
  <c r="E6" i="37"/>
  <c r="I70" i="37"/>
  <c r="J35" i="37"/>
  <c r="J66" i="37"/>
  <c r="J37" i="37"/>
  <c r="J39" i="37"/>
  <c r="M102" i="37"/>
  <c r="M47" i="37"/>
  <c r="I36" i="37"/>
  <c r="B19" i="37"/>
  <c r="J33" i="37"/>
  <c r="J99" i="37"/>
  <c r="I37" i="37"/>
  <c r="J63" i="37"/>
  <c r="M99" i="37"/>
  <c r="M78" i="37"/>
  <c r="I68" i="37"/>
  <c r="M83" i="37"/>
  <c r="M84" i="37"/>
  <c r="I77" i="37"/>
  <c r="I87" i="37"/>
  <c r="B53" i="37"/>
  <c r="M39" i="37"/>
  <c r="J57" i="37"/>
  <c r="J101" i="37"/>
  <c r="C6" i="37"/>
  <c r="M26" i="37"/>
  <c r="J93" i="37"/>
  <c r="J34" i="37"/>
  <c r="I93" i="37"/>
  <c r="C5" i="37"/>
  <c r="I33" i="37"/>
  <c r="M104" i="37"/>
  <c r="M40" i="37"/>
  <c r="I48" i="37"/>
  <c r="J45" i="37"/>
  <c r="I39" i="37"/>
  <c r="M42" i="37"/>
  <c r="M41" i="37"/>
  <c r="M67" i="37"/>
  <c r="M74" i="37"/>
  <c r="I57" i="37"/>
  <c r="M34" i="37"/>
  <c r="M53" i="37"/>
  <c r="I98" i="37"/>
  <c r="J76" i="29"/>
  <c r="J73" i="29"/>
  <c r="I35" i="29"/>
  <c r="N37" i="29"/>
  <c r="N50" i="29"/>
  <c r="C5" i="29"/>
  <c r="J33" i="29"/>
  <c r="B22" i="29"/>
  <c r="N20" i="29"/>
  <c r="L37" i="29"/>
  <c r="C7" i="29"/>
  <c r="N49" i="29"/>
  <c r="C8" i="29"/>
  <c r="C1" i="29"/>
  <c r="B54" i="29"/>
  <c r="I75" i="29"/>
  <c r="I38" i="29"/>
  <c r="L50" i="29"/>
  <c r="L35" i="29"/>
  <c r="N76" i="29"/>
  <c r="I76" i="29"/>
  <c r="B3" i="29"/>
  <c r="N27" i="29"/>
  <c r="I50" i="29"/>
  <c r="N75" i="29"/>
  <c r="J50" i="29"/>
  <c r="I34" i="29"/>
  <c r="C2" i="29"/>
  <c r="J49" i="29"/>
  <c r="J35" i="29"/>
  <c r="J34" i="29"/>
  <c r="I49" i="29"/>
  <c r="I73" i="29"/>
  <c r="B19" i="29"/>
  <c r="N38" i="29"/>
  <c r="N73" i="29"/>
  <c r="N33" i="29"/>
  <c r="L38" i="29"/>
  <c r="J38" i="29"/>
  <c r="B23" i="29"/>
  <c r="I33" i="29"/>
  <c r="E6" i="29"/>
  <c r="C6" i="29"/>
  <c r="J37" i="29"/>
  <c r="N34" i="29"/>
  <c r="N19" i="29"/>
  <c r="B50" i="29"/>
  <c r="J75" i="29"/>
  <c r="N35" i="29"/>
  <c r="I37" i="29"/>
  <c r="E6" i="4"/>
  <c r="I70" i="4"/>
  <c r="I97" i="4"/>
  <c r="B23" i="4"/>
  <c r="N53" i="4"/>
  <c r="I58" i="4"/>
  <c r="N97" i="4"/>
  <c r="B53" i="4"/>
  <c r="C7" i="4"/>
  <c r="I94" i="4"/>
  <c r="J70" i="4"/>
  <c r="C5" i="4"/>
  <c r="I96" i="4"/>
  <c r="N54" i="4"/>
  <c r="C8" i="4"/>
  <c r="I54" i="4"/>
  <c r="N94" i="4"/>
  <c r="N96" i="4"/>
  <c r="B19" i="4"/>
  <c r="L35" i="4"/>
  <c r="N71" i="4"/>
  <c r="N35" i="4"/>
  <c r="J54" i="4"/>
  <c r="I53" i="4"/>
  <c r="I33" i="4"/>
  <c r="J53" i="4"/>
  <c r="J35" i="4"/>
  <c r="C1" i="4"/>
  <c r="J33" i="4"/>
  <c r="L58" i="4"/>
  <c r="B52" i="4"/>
  <c r="J71" i="4"/>
  <c r="J55" i="4"/>
  <c r="N27" i="4"/>
  <c r="J57" i="4"/>
  <c r="J96" i="4"/>
  <c r="C6" i="4"/>
  <c r="B22" i="4"/>
  <c r="L71" i="4"/>
  <c r="I35" i="4"/>
  <c r="B3" i="4"/>
  <c r="I57" i="4"/>
  <c r="N19" i="4"/>
  <c r="J34" i="4"/>
  <c r="N34" i="4"/>
  <c r="C2" i="4"/>
  <c r="N70" i="4"/>
  <c r="B49" i="4"/>
  <c r="L55" i="4"/>
  <c r="N58" i="4"/>
  <c r="I55" i="4"/>
  <c r="I34" i="4"/>
  <c r="N20" i="4"/>
  <c r="B80" i="4"/>
  <c r="N33" i="4"/>
  <c r="N55" i="4"/>
  <c r="J58" i="4"/>
  <c r="B84" i="4"/>
  <c r="L57" i="4"/>
  <c r="J94" i="4"/>
  <c r="I71" i="4"/>
  <c r="J97" i="4"/>
  <c r="N57" i="4"/>
  <c r="I69" i="21"/>
  <c r="N46" i="21"/>
  <c r="B51" i="21"/>
  <c r="J61" i="21"/>
  <c r="J71" i="21"/>
  <c r="N65" i="21"/>
  <c r="N57" i="21"/>
  <c r="B75" i="21"/>
  <c r="I34" i="21"/>
  <c r="J33" i="21"/>
  <c r="N68" i="21"/>
  <c r="I57" i="21"/>
  <c r="I47" i="21"/>
  <c r="B110" i="21"/>
  <c r="B106" i="21"/>
  <c r="I33" i="21"/>
  <c r="L69" i="21"/>
  <c r="B23" i="21"/>
  <c r="N73" i="21"/>
  <c r="L64" i="21"/>
  <c r="B78" i="21"/>
  <c r="N34" i="21"/>
  <c r="B47" i="21"/>
  <c r="L62" i="21"/>
  <c r="I73" i="21"/>
  <c r="C6" i="21"/>
  <c r="I60" i="21"/>
  <c r="N64" i="21"/>
  <c r="B22" i="21"/>
  <c r="N61" i="21"/>
  <c r="I58" i="21"/>
  <c r="L65" i="21"/>
  <c r="J46" i="21"/>
  <c r="J60" i="21"/>
  <c r="I64" i="21"/>
  <c r="C1" i="21"/>
  <c r="N47" i="21"/>
  <c r="N20" i="21"/>
  <c r="L47" i="21"/>
  <c r="L34" i="21"/>
  <c r="J69" i="21"/>
  <c r="E6" i="21"/>
  <c r="N71" i="21"/>
  <c r="N58" i="21"/>
  <c r="J47" i="21"/>
  <c r="C2" i="21"/>
  <c r="I61" i="21"/>
  <c r="N33" i="21"/>
  <c r="I65" i="21"/>
  <c r="J62" i="21"/>
  <c r="N19" i="21"/>
  <c r="J65" i="21"/>
  <c r="J58" i="21"/>
  <c r="N74" i="21"/>
  <c r="J64" i="21"/>
  <c r="J68" i="21"/>
  <c r="I71" i="21"/>
  <c r="I62" i="21"/>
  <c r="I74" i="21"/>
  <c r="N62" i="21"/>
  <c r="B3" i="21"/>
  <c r="N60" i="21"/>
  <c r="B50" i="21"/>
  <c r="C8" i="21"/>
  <c r="C7" i="21"/>
  <c r="N69" i="21"/>
  <c r="J57" i="21"/>
  <c r="J73" i="21"/>
  <c r="N27" i="21"/>
  <c r="I46" i="21"/>
  <c r="J74" i="21"/>
  <c r="B19" i="21"/>
  <c r="C5" i="21"/>
  <c r="B79" i="21"/>
  <c r="J34" i="21"/>
  <c r="I68" i="21"/>
  <c r="B23" i="7"/>
  <c r="C7" i="7"/>
  <c r="N50" i="7"/>
  <c r="L54" i="7"/>
  <c r="J50" i="7"/>
  <c r="B53" i="7"/>
  <c r="B22" i="7"/>
  <c r="B19" i="7"/>
  <c r="N51" i="7"/>
  <c r="C6" i="7"/>
  <c r="N22" i="7"/>
  <c r="C2" i="7"/>
  <c r="J53" i="7"/>
  <c r="N54" i="7"/>
  <c r="E6" i="7"/>
  <c r="N34" i="7"/>
  <c r="I48" i="7"/>
  <c r="J34" i="7"/>
  <c r="N53" i="7"/>
  <c r="N21" i="7"/>
  <c r="C1" i="7"/>
  <c r="J54" i="7"/>
  <c r="I51" i="7"/>
  <c r="N19" i="7"/>
  <c r="B66" i="7"/>
  <c r="N20" i="7"/>
  <c r="B62" i="7"/>
  <c r="L34" i="7"/>
  <c r="C5" i="7"/>
  <c r="B65" i="7"/>
  <c r="I33" i="7"/>
  <c r="I54" i="7"/>
  <c r="I34" i="7"/>
  <c r="B49" i="7"/>
  <c r="J48" i="7"/>
  <c r="N33" i="7"/>
  <c r="J51" i="7"/>
  <c r="C8" i="7"/>
  <c r="B3" i="7"/>
  <c r="J33" i="7"/>
  <c r="N27" i="7"/>
  <c r="I50" i="7"/>
  <c r="I53" i="7"/>
  <c r="J35" i="36"/>
  <c r="I52" i="36"/>
  <c r="L43" i="36"/>
  <c r="N35" i="36"/>
  <c r="E6" i="36"/>
  <c r="I35" i="36"/>
  <c r="B19" i="36"/>
  <c r="I63" i="36"/>
  <c r="B23" i="36"/>
  <c r="C7" i="36"/>
  <c r="N27" i="36"/>
  <c r="B3" i="36"/>
  <c r="L52" i="36"/>
  <c r="B22" i="36"/>
  <c r="C8" i="36"/>
  <c r="C6" i="36"/>
  <c r="C1" i="36"/>
  <c r="N43" i="36"/>
  <c r="N63" i="36"/>
  <c r="C2" i="36"/>
  <c r="C5" i="36"/>
  <c r="J63" i="36"/>
  <c r="N20" i="36"/>
  <c r="J33" i="36"/>
  <c r="J43" i="36"/>
  <c r="N52" i="36"/>
  <c r="N33" i="36"/>
  <c r="I33" i="36"/>
  <c r="L35" i="36"/>
  <c r="I43" i="36"/>
  <c r="J52" i="36"/>
  <c r="N19" i="36"/>
  <c r="B3" i="30"/>
  <c r="L50" i="30"/>
  <c r="I50" i="30"/>
  <c r="J35" i="30"/>
  <c r="N33" i="30"/>
  <c r="B23" i="30"/>
  <c r="I75" i="30"/>
  <c r="B54" i="30"/>
  <c r="N37" i="30"/>
  <c r="L37" i="30"/>
  <c r="N38" i="30"/>
  <c r="C6" i="30"/>
  <c r="N19" i="30"/>
  <c r="N34" i="30"/>
  <c r="J34" i="30"/>
  <c r="I38" i="30"/>
  <c r="B50" i="30"/>
  <c r="J50" i="30"/>
  <c r="J75" i="30"/>
  <c r="N72" i="30"/>
  <c r="C2" i="30"/>
  <c r="J33" i="30"/>
  <c r="B19" i="30"/>
  <c r="E6" i="30"/>
  <c r="C5" i="30"/>
  <c r="N50" i="30"/>
  <c r="N74" i="30"/>
  <c r="L38" i="30"/>
  <c r="N49" i="30"/>
  <c r="I35" i="30"/>
  <c r="B22" i="30"/>
  <c r="J74" i="30"/>
  <c r="I74" i="30"/>
  <c r="C8" i="30"/>
  <c r="J72" i="30"/>
  <c r="J38" i="30"/>
  <c r="N20" i="30"/>
  <c r="N27" i="30"/>
  <c r="I34" i="30"/>
  <c r="N35" i="30"/>
  <c r="I37" i="30"/>
  <c r="I33" i="30"/>
  <c r="I49" i="30"/>
  <c r="J37" i="30"/>
  <c r="I72" i="30"/>
  <c r="L35" i="30"/>
  <c r="N75" i="30"/>
  <c r="C1" i="30"/>
  <c r="J49" i="30"/>
  <c r="C7" i="30"/>
  <c r="N48" i="20"/>
  <c r="N33" i="20"/>
  <c r="B111" i="20"/>
  <c r="J60" i="20"/>
  <c r="L50" i="20"/>
  <c r="C2" i="20"/>
  <c r="J55" i="20"/>
  <c r="E6" i="20"/>
  <c r="I57" i="20"/>
  <c r="I41" i="20"/>
  <c r="I54" i="20"/>
  <c r="N27" i="20"/>
  <c r="J54" i="20"/>
  <c r="N34" i="20"/>
  <c r="B51" i="20"/>
  <c r="J34" i="20"/>
  <c r="J59" i="20"/>
  <c r="N50" i="20"/>
  <c r="C6" i="20"/>
  <c r="N43" i="20"/>
  <c r="N55" i="20"/>
  <c r="J46" i="20"/>
  <c r="B48" i="20"/>
  <c r="I60" i="20"/>
  <c r="I48" i="20"/>
  <c r="I50" i="20"/>
  <c r="B22" i="20"/>
  <c r="J47" i="20"/>
  <c r="I55" i="20"/>
  <c r="L34" i="20"/>
  <c r="I40" i="20"/>
  <c r="B79" i="20"/>
  <c r="I46" i="20"/>
  <c r="N41" i="20"/>
  <c r="I51" i="20"/>
  <c r="C5" i="20"/>
  <c r="J57" i="20"/>
  <c r="B3" i="20"/>
  <c r="L48" i="20"/>
  <c r="J44" i="20"/>
  <c r="N44" i="20"/>
  <c r="J33" i="20"/>
  <c r="N40" i="20"/>
  <c r="J43" i="20"/>
  <c r="I33" i="20"/>
  <c r="N60" i="20"/>
  <c r="L41" i="20"/>
  <c r="N59" i="20"/>
  <c r="B52" i="20"/>
  <c r="I34" i="20"/>
  <c r="B19" i="20"/>
  <c r="B107" i="20"/>
  <c r="N47" i="20"/>
  <c r="I47" i="20"/>
  <c r="C8" i="20"/>
  <c r="B23" i="20"/>
  <c r="I43" i="20"/>
  <c r="J40" i="20"/>
  <c r="J51" i="20"/>
  <c r="L55" i="20"/>
  <c r="N51" i="20"/>
  <c r="J50" i="20"/>
  <c r="N46" i="20"/>
  <c r="N57" i="20"/>
  <c r="B76" i="20"/>
  <c r="C1" i="20"/>
  <c r="I44" i="20"/>
  <c r="B80" i="20"/>
  <c r="I59" i="20"/>
  <c r="C7" i="20"/>
  <c r="N54" i="20"/>
  <c r="N20" i="20"/>
  <c r="J41" i="20"/>
  <c r="N19" i="20"/>
  <c r="L51" i="20"/>
  <c r="J48" i="20"/>
  <c r="J43" i="24"/>
  <c r="M27" i="24"/>
  <c r="C1" i="24"/>
  <c r="J51" i="24"/>
  <c r="I51" i="24"/>
  <c r="M42" i="24"/>
  <c r="C6" i="24"/>
  <c r="J33" i="24"/>
  <c r="C5" i="24"/>
  <c r="M19" i="24"/>
  <c r="I34" i="24"/>
  <c r="B3" i="24"/>
  <c r="C8" i="24"/>
  <c r="M26" i="24"/>
  <c r="M43" i="24"/>
  <c r="M51" i="24"/>
  <c r="I33" i="24"/>
  <c r="B22" i="24"/>
  <c r="B23" i="24"/>
  <c r="J34" i="24"/>
  <c r="J60" i="24"/>
  <c r="J52" i="24"/>
  <c r="C7" i="24"/>
  <c r="M60" i="24"/>
  <c r="I52" i="24"/>
  <c r="M33" i="24"/>
  <c r="B19" i="24"/>
  <c r="J42" i="24"/>
  <c r="M20" i="24"/>
  <c r="M52" i="24"/>
  <c r="I43" i="24"/>
  <c r="M34" i="24"/>
  <c r="I42" i="24"/>
  <c r="I60" i="24"/>
  <c r="E6" i="24"/>
  <c r="C2" i="24"/>
  <c r="C3" i="24"/>
  <c r="N68" i="33"/>
  <c r="N20" i="33"/>
  <c r="J33" i="33"/>
  <c r="C5" i="33"/>
  <c r="C8" i="33"/>
  <c r="N33" i="33"/>
  <c r="J68" i="33"/>
  <c r="B19" i="33"/>
  <c r="E6" i="33"/>
  <c r="C2" i="33"/>
  <c r="N34" i="33"/>
  <c r="N27" i="33"/>
  <c r="J34" i="33"/>
  <c r="N19" i="33"/>
  <c r="B23" i="33"/>
  <c r="I68" i="33"/>
  <c r="C7" i="33"/>
  <c r="C6" i="33"/>
  <c r="I34" i="33"/>
  <c r="I33" i="33"/>
  <c r="I20" i="33"/>
  <c r="C1" i="33"/>
  <c r="B22" i="33"/>
  <c r="B3" i="33"/>
  <c r="N21" i="33"/>
  <c r="J20" i="33"/>
  <c r="L34" i="33"/>
  <c r="J137" i="6"/>
  <c r="L83" i="6"/>
  <c r="J143" i="6"/>
  <c r="J83" i="6"/>
  <c r="N27" i="6"/>
  <c r="L102" i="6"/>
  <c r="L147" i="6"/>
  <c r="I61" i="6"/>
  <c r="J131" i="6"/>
  <c r="I112" i="6"/>
  <c r="N43" i="6"/>
  <c r="L145" i="6"/>
  <c r="J49" i="6"/>
  <c r="N121" i="6"/>
  <c r="J129" i="6"/>
  <c r="N85" i="6"/>
  <c r="I45" i="6"/>
  <c r="L78" i="6"/>
  <c r="L114" i="6"/>
  <c r="I56" i="6"/>
  <c r="N114" i="6"/>
  <c r="N48" i="6"/>
  <c r="J65" i="6"/>
  <c r="L64" i="6"/>
  <c r="N71" i="6"/>
  <c r="N87" i="6"/>
  <c r="L110" i="6"/>
  <c r="I124" i="6"/>
  <c r="L112" i="6"/>
  <c r="N116" i="6"/>
  <c r="J151" i="6"/>
  <c r="I103" i="6"/>
  <c r="N50" i="6"/>
  <c r="I144" i="6"/>
  <c r="L94" i="6"/>
  <c r="N150" i="6"/>
  <c r="I94" i="6"/>
  <c r="I85" i="6"/>
  <c r="L97" i="6"/>
  <c r="I74" i="6"/>
  <c r="J135" i="6"/>
  <c r="N101" i="6"/>
  <c r="N73" i="6"/>
  <c r="L136" i="6"/>
  <c r="J47" i="6"/>
  <c r="L56" i="6"/>
  <c r="N57" i="6"/>
  <c r="J119" i="6"/>
  <c r="I149" i="6"/>
  <c r="I92" i="6"/>
  <c r="N95" i="6"/>
  <c r="N19" i="6"/>
  <c r="L62" i="6"/>
  <c r="N118" i="6"/>
  <c r="N79" i="6"/>
  <c r="I100" i="6"/>
  <c r="N147" i="6"/>
  <c r="I59" i="6"/>
  <c r="N108" i="6"/>
  <c r="I86" i="6"/>
  <c r="I116" i="6"/>
  <c r="I132" i="6"/>
  <c r="I139" i="6"/>
  <c r="J75" i="6"/>
  <c r="N61" i="6"/>
  <c r="J141" i="6"/>
  <c r="J121" i="6"/>
  <c r="L152" i="6"/>
  <c r="N112" i="6"/>
  <c r="I65" i="6"/>
  <c r="I111" i="6"/>
  <c r="L68" i="6"/>
  <c r="J136" i="6"/>
  <c r="N77" i="6"/>
  <c r="J97" i="6"/>
  <c r="L120" i="6"/>
  <c r="L61" i="6"/>
  <c r="N130" i="6"/>
  <c r="L82" i="6"/>
  <c r="N56" i="6"/>
  <c r="N88" i="6"/>
  <c r="N45" i="6"/>
  <c r="J127" i="6"/>
  <c r="I50" i="6"/>
  <c r="N83" i="6"/>
  <c r="C2" i="6"/>
  <c r="L143" i="6"/>
  <c r="J147" i="6"/>
  <c r="N138" i="6"/>
  <c r="J144" i="6"/>
  <c r="I114" i="6"/>
  <c r="I88" i="6"/>
  <c r="N127" i="6"/>
  <c r="N38" i="6"/>
  <c r="J76" i="6"/>
  <c r="I89" i="6"/>
  <c r="I52" i="6"/>
  <c r="I113" i="6"/>
  <c r="I141" i="6"/>
  <c r="J122" i="6"/>
  <c r="N75" i="6"/>
  <c r="B19" i="6"/>
  <c r="N111" i="6"/>
  <c r="L73" i="6"/>
  <c r="L138" i="6"/>
  <c r="N125" i="6"/>
  <c r="L38" i="6"/>
  <c r="L81" i="6"/>
  <c r="J106" i="6"/>
  <c r="J52" i="6"/>
  <c r="L105" i="6"/>
  <c r="L90" i="6"/>
  <c r="L137" i="6"/>
  <c r="I138" i="6"/>
  <c r="L53" i="6"/>
  <c r="I97" i="6"/>
  <c r="N53" i="6"/>
  <c r="I143" i="6"/>
  <c r="L135" i="6"/>
  <c r="L95" i="6"/>
  <c r="L69" i="6"/>
  <c r="J36" i="6"/>
  <c r="N55" i="6"/>
  <c r="J62" i="6"/>
  <c r="J118" i="6"/>
  <c r="N86" i="6"/>
  <c r="I33" i="6"/>
  <c r="I107" i="6"/>
  <c r="N115" i="6"/>
  <c r="N54" i="6"/>
  <c r="I73" i="6"/>
  <c r="I137" i="6"/>
  <c r="J110" i="6"/>
  <c r="B23" i="6"/>
  <c r="I53" i="6"/>
  <c r="L98" i="6"/>
  <c r="J34" i="6"/>
  <c r="I110" i="6"/>
  <c r="I83" i="6"/>
  <c r="N69" i="6"/>
  <c r="L86" i="6"/>
  <c r="J38" i="6"/>
  <c r="L139" i="6"/>
  <c r="L109" i="6"/>
  <c r="L67" i="6"/>
  <c r="J152" i="6"/>
  <c r="N120" i="6"/>
  <c r="L51" i="6"/>
  <c r="L34" i="6"/>
  <c r="L131" i="6"/>
  <c r="N102" i="6"/>
  <c r="N89" i="6"/>
  <c r="J112" i="6"/>
  <c r="I147" i="6"/>
  <c r="N42" i="6"/>
  <c r="J88" i="6"/>
  <c r="I129" i="6"/>
  <c r="J66" i="6"/>
  <c r="N97" i="6"/>
  <c r="N131" i="6"/>
  <c r="N140" i="6"/>
  <c r="I81" i="6"/>
  <c r="N105" i="6"/>
  <c r="L55" i="6"/>
  <c r="J87" i="6"/>
  <c r="J73" i="6"/>
  <c r="L84" i="6"/>
  <c r="N136" i="6"/>
  <c r="N84" i="6"/>
  <c r="J145" i="6"/>
  <c r="N59" i="6"/>
  <c r="I62" i="6"/>
  <c r="I99" i="6"/>
  <c r="I95" i="6"/>
  <c r="L121" i="6"/>
  <c r="L75" i="6"/>
  <c r="I57" i="6"/>
  <c r="J86" i="6"/>
  <c r="L72" i="6"/>
  <c r="N72" i="6"/>
  <c r="I80" i="6"/>
  <c r="L47" i="6"/>
  <c r="L39" i="6"/>
  <c r="J50" i="6"/>
  <c r="N74" i="6"/>
  <c r="J74" i="6"/>
  <c r="I69" i="6"/>
  <c r="L54" i="6"/>
  <c r="L48" i="6"/>
  <c r="I90" i="6"/>
  <c r="J103" i="6"/>
  <c r="L89" i="6"/>
  <c r="I102" i="6"/>
  <c r="L35" i="6"/>
  <c r="N40" i="6"/>
  <c r="I36" i="6"/>
  <c r="L37" i="6"/>
  <c r="I123" i="6"/>
  <c r="J56" i="6"/>
  <c r="I127" i="6"/>
  <c r="I145" i="6"/>
  <c r="I126" i="6"/>
  <c r="N81" i="6"/>
  <c r="I43" i="6"/>
  <c r="J128" i="6"/>
  <c r="I47" i="6"/>
  <c r="I37" i="6"/>
  <c r="J138" i="6"/>
  <c r="I51" i="6"/>
  <c r="J100" i="6"/>
  <c r="C8" i="6"/>
  <c r="J55" i="6"/>
  <c r="L132" i="6"/>
  <c r="J84" i="6"/>
  <c r="I42" i="6"/>
  <c r="L59" i="6"/>
  <c r="I72" i="6"/>
  <c r="J43" i="6"/>
  <c r="I150" i="6"/>
  <c r="N33" i="6"/>
  <c r="C7" i="6"/>
  <c r="I46" i="6"/>
  <c r="L58" i="6"/>
  <c r="I146" i="6"/>
  <c r="J61" i="6"/>
  <c r="J60" i="6"/>
  <c r="L65" i="6"/>
  <c r="N104" i="6"/>
  <c r="N128" i="6"/>
  <c r="N133" i="6"/>
  <c r="I79" i="6"/>
  <c r="J79" i="6"/>
  <c r="N113" i="6"/>
  <c r="N37" i="6"/>
  <c r="I125" i="6"/>
  <c r="N124" i="6"/>
  <c r="N110" i="6"/>
  <c r="L115" i="6"/>
  <c r="I121" i="6"/>
  <c r="L50" i="6"/>
  <c r="I151" i="6"/>
  <c r="C1" i="6"/>
  <c r="I119" i="6"/>
  <c r="N96" i="6"/>
  <c r="J54" i="6"/>
  <c r="L123" i="6"/>
  <c r="L85" i="6"/>
  <c r="L101" i="6"/>
  <c r="I128" i="6"/>
  <c r="J89" i="6"/>
  <c r="N46" i="6"/>
  <c r="J35" i="6"/>
  <c r="L133" i="6"/>
  <c r="N64" i="6"/>
  <c r="L42" i="6"/>
  <c r="I98" i="6"/>
  <c r="I152" i="6"/>
  <c r="J148" i="6"/>
  <c r="N103" i="6"/>
  <c r="N148" i="6"/>
  <c r="J37" i="6"/>
  <c r="N99" i="6"/>
  <c r="L127" i="6"/>
  <c r="I77" i="6"/>
  <c r="N141" i="6"/>
  <c r="L108" i="6"/>
  <c r="N93" i="6"/>
  <c r="N146" i="6"/>
  <c r="I135" i="6"/>
  <c r="J101" i="6"/>
  <c r="J48" i="6"/>
  <c r="L57" i="6"/>
  <c r="J132" i="6"/>
  <c r="L77" i="6"/>
  <c r="L46" i="6"/>
  <c r="N20" i="6"/>
  <c r="L45" i="6"/>
  <c r="I142" i="6"/>
  <c r="I58" i="6"/>
  <c r="I136" i="6"/>
  <c r="I87" i="6"/>
  <c r="J140" i="6"/>
  <c r="N49" i="6"/>
  <c r="N107" i="6"/>
  <c r="I109" i="6"/>
  <c r="J33" i="6"/>
  <c r="J77" i="6"/>
  <c r="I60" i="6"/>
  <c r="I39" i="6"/>
  <c r="N90" i="6"/>
  <c r="L144" i="6"/>
  <c r="L124" i="6"/>
  <c r="I34" i="6"/>
  <c r="I82" i="6"/>
  <c r="C6" i="6"/>
  <c r="J102" i="6"/>
  <c r="N44" i="6"/>
  <c r="L122" i="6"/>
  <c r="N144" i="6"/>
  <c r="I76" i="6"/>
  <c r="J116" i="6"/>
  <c r="L116" i="6"/>
  <c r="N143" i="6"/>
  <c r="N39" i="6"/>
  <c r="I131" i="6"/>
  <c r="J53" i="6"/>
  <c r="L36" i="6"/>
  <c r="I106" i="6"/>
  <c r="N80" i="6"/>
  <c r="I63" i="6"/>
  <c r="I148" i="6"/>
  <c r="I133" i="6"/>
  <c r="I71" i="6"/>
  <c r="I122" i="6"/>
  <c r="I38" i="6"/>
  <c r="N62" i="6"/>
  <c r="L151" i="6"/>
  <c r="I66" i="6"/>
  <c r="J51" i="6"/>
  <c r="I108" i="6"/>
  <c r="J114" i="6"/>
  <c r="N106" i="6"/>
  <c r="C5" i="6"/>
  <c r="L99" i="6"/>
  <c r="J150" i="6"/>
  <c r="L41" i="6"/>
  <c r="N119" i="6"/>
  <c r="J41" i="6"/>
  <c r="N137" i="6"/>
  <c r="J91" i="6"/>
  <c r="N129" i="6"/>
  <c r="L130" i="6"/>
  <c r="N35" i="6"/>
  <c r="L93" i="6"/>
  <c r="N60" i="6"/>
  <c r="I101" i="6"/>
  <c r="L146" i="6"/>
  <c r="N36" i="6"/>
  <c r="L113" i="6"/>
  <c r="J64" i="6"/>
  <c r="J142" i="6"/>
  <c r="J123" i="6"/>
  <c r="L79" i="6"/>
  <c r="N34" i="6"/>
  <c r="J67" i="6"/>
  <c r="J63" i="6"/>
  <c r="L91" i="6"/>
  <c r="L103" i="6"/>
  <c r="N67" i="6"/>
  <c r="J45" i="6"/>
  <c r="E6" i="6"/>
  <c r="J94" i="6"/>
  <c r="I130" i="6"/>
  <c r="J149" i="6"/>
  <c r="J146" i="6"/>
  <c r="N51" i="6"/>
  <c r="N123" i="6"/>
  <c r="J104" i="6"/>
  <c r="L119" i="6"/>
  <c r="I48" i="6"/>
  <c r="L60" i="6"/>
  <c r="I44" i="6"/>
  <c r="N52" i="6"/>
  <c r="J42" i="6"/>
  <c r="L107" i="6"/>
  <c r="L43" i="6"/>
  <c r="N41" i="6"/>
  <c r="J39" i="6"/>
  <c r="I93" i="6"/>
  <c r="L76" i="6"/>
  <c r="N135" i="6"/>
  <c r="N68" i="6"/>
  <c r="L49" i="6"/>
  <c r="N132" i="6"/>
  <c r="L134" i="6"/>
  <c r="L148" i="6"/>
  <c r="L100" i="6"/>
  <c r="J82" i="6"/>
  <c r="I49" i="6"/>
  <c r="L141" i="6"/>
  <c r="J98" i="6"/>
  <c r="I105" i="6"/>
  <c r="J44" i="6"/>
  <c r="L150" i="6"/>
  <c r="L40" i="6"/>
  <c r="J124" i="6"/>
  <c r="J109" i="6"/>
  <c r="L106" i="6"/>
  <c r="J68" i="6"/>
  <c r="B3" i="6"/>
  <c r="N122" i="6"/>
  <c r="L44" i="6"/>
  <c r="J126" i="6"/>
  <c r="L125" i="6"/>
  <c r="I64" i="6"/>
  <c r="N82" i="6"/>
  <c r="L80" i="6"/>
  <c r="I40" i="6"/>
  <c r="N58" i="6"/>
  <c r="J120" i="6"/>
  <c r="J133" i="6"/>
  <c r="J58" i="6"/>
  <c r="J93" i="6"/>
  <c r="I68" i="6"/>
  <c r="N145" i="6"/>
  <c r="J78" i="6"/>
  <c r="L140" i="6"/>
  <c r="N63" i="6"/>
  <c r="J46" i="6"/>
  <c r="J115" i="6"/>
  <c r="I120" i="6"/>
  <c r="I140" i="6"/>
  <c r="J69" i="6"/>
  <c r="J125" i="6"/>
  <c r="J108" i="6"/>
  <c r="J81" i="6"/>
  <c r="L92" i="6"/>
  <c r="I84" i="6"/>
  <c r="L66" i="6"/>
  <c r="I96" i="6"/>
  <c r="L142" i="6"/>
  <c r="J107" i="6"/>
  <c r="N98" i="6"/>
  <c r="N142" i="6"/>
  <c r="I75" i="6"/>
  <c r="L128" i="6"/>
  <c r="J105" i="6"/>
  <c r="L88" i="6"/>
  <c r="I55" i="6"/>
  <c r="J96" i="6"/>
  <c r="L126" i="6"/>
  <c r="J92" i="6"/>
  <c r="N78" i="6"/>
  <c r="J90" i="6"/>
  <c r="J59" i="6"/>
  <c r="N91" i="6"/>
  <c r="L87" i="6"/>
  <c r="N66" i="6"/>
  <c r="I115" i="6"/>
  <c r="L149" i="6"/>
  <c r="N92" i="6"/>
  <c r="L104" i="6"/>
  <c r="J85" i="6"/>
  <c r="N109" i="6"/>
  <c r="I54" i="6"/>
  <c r="I41" i="6"/>
  <c r="J130" i="6"/>
  <c r="J139" i="6"/>
  <c r="N134" i="6"/>
  <c r="J72" i="6"/>
  <c r="N47" i="6"/>
  <c r="N76" i="6"/>
  <c r="N65" i="6"/>
  <c r="J80" i="6"/>
  <c r="L96" i="6"/>
  <c r="I67" i="6"/>
  <c r="J113" i="6"/>
  <c r="N151" i="6"/>
  <c r="N149" i="6"/>
  <c r="I35" i="6"/>
  <c r="N94" i="6"/>
  <c r="L129" i="6"/>
  <c r="J134" i="6"/>
  <c r="J99" i="6"/>
  <c r="J57" i="6"/>
  <c r="L63" i="6"/>
  <c r="I78" i="6"/>
  <c r="J40" i="6"/>
  <c r="J111" i="6"/>
  <c r="L74" i="6"/>
  <c r="I134" i="6"/>
  <c r="I104" i="6"/>
  <c r="L111" i="6"/>
  <c r="I118" i="6"/>
  <c r="L52" i="6"/>
  <c r="J71" i="6"/>
  <c r="I91" i="6"/>
  <c r="N126" i="6"/>
  <c r="J95" i="6"/>
  <c r="N139" i="6"/>
  <c r="N100" i="6"/>
  <c r="J34" i="25"/>
  <c r="C8" i="25"/>
  <c r="L34" i="25"/>
  <c r="I33" i="25"/>
  <c r="N34" i="25"/>
  <c r="C2" i="25"/>
  <c r="N33" i="25"/>
  <c r="J33" i="25"/>
  <c r="C6" i="25"/>
  <c r="I52" i="25"/>
  <c r="N20" i="25"/>
  <c r="E6" i="25"/>
  <c r="B22" i="25"/>
  <c r="N27" i="25"/>
  <c r="B19" i="25"/>
  <c r="C7" i="25"/>
  <c r="N52" i="25"/>
  <c r="I34" i="25"/>
  <c r="J52" i="25"/>
  <c r="C5" i="25"/>
  <c r="N19" i="25"/>
  <c r="B3" i="25"/>
  <c r="C3" i="25" s="1"/>
  <c r="C1" i="25"/>
  <c r="B23" i="25"/>
  <c r="I56" i="23"/>
  <c r="J95" i="23"/>
  <c r="N95" i="23"/>
  <c r="J34" i="23"/>
  <c r="B74" i="23"/>
  <c r="I34" i="23"/>
  <c r="N27" i="23"/>
  <c r="J77" i="23"/>
  <c r="C5" i="23"/>
  <c r="C2" i="23"/>
  <c r="J56" i="23"/>
  <c r="B45" i="23"/>
  <c r="N34" i="23"/>
  <c r="N98" i="23"/>
  <c r="C6" i="23"/>
  <c r="I33" i="23"/>
  <c r="B3" i="23"/>
  <c r="I76" i="23"/>
  <c r="B19" i="23"/>
  <c r="J76" i="23"/>
  <c r="N19" i="23"/>
  <c r="J55" i="23"/>
  <c r="B44" i="23"/>
  <c r="N55" i="23"/>
  <c r="N56" i="23"/>
  <c r="B23" i="23"/>
  <c r="B41" i="23"/>
  <c r="C1" i="23"/>
  <c r="N76" i="23"/>
  <c r="I98" i="23"/>
  <c r="L34" i="23"/>
  <c r="I77" i="23"/>
  <c r="C8" i="23"/>
  <c r="E6" i="23"/>
  <c r="L56" i="23"/>
  <c r="B70" i="23"/>
  <c r="B22" i="23"/>
  <c r="J98" i="23"/>
  <c r="C7" i="23"/>
  <c r="N33" i="23"/>
  <c r="I95" i="23"/>
  <c r="N20" i="23"/>
  <c r="I55" i="23"/>
  <c r="J33" i="23"/>
  <c r="L45" i="15"/>
  <c r="I53" i="15"/>
  <c r="E6" i="15"/>
  <c r="B51" i="15"/>
  <c r="L58" i="15"/>
  <c r="I58" i="15"/>
  <c r="B3" i="15"/>
  <c r="B55" i="15"/>
  <c r="J62" i="15"/>
  <c r="J53" i="15"/>
  <c r="J45" i="15"/>
  <c r="I43" i="15"/>
  <c r="B114" i="15"/>
  <c r="I35" i="15"/>
  <c r="J44" i="15"/>
  <c r="N35" i="15"/>
  <c r="B22" i="15"/>
  <c r="I55" i="15"/>
  <c r="N33" i="15"/>
  <c r="I64" i="15"/>
  <c r="C8" i="15"/>
  <c r="J50" i="15"/>
  <c r="N55" i="15"/>
  <c r="J54" i="15"/>
  <c r="N66" i="15"/>
  <c r="J67" i="15"/>
  <c r="N61" i="15"/>
  <c r="N50" i="15"/>
  <c r="B87" i="15"/>
  <c r="N67" i="15"/>
  <c r="J33" i="15"/>
  <c r="I67" i="15"/>
  <c r="J64" i="15"/>
  <c r="B83" i="15"/>
  <c r="B118" i="15"/>
  <c r="C5" i="15"/>
  <c r="B19" i="15"/>
  <c r="I57" i="15"/>
  <c r="C1" i="15"/>
  <c r="J66" i="15"/>
  <c r="I44" i="15"/>
  <c r="B86" i="15"/>
  <c r="N58" i="15"/>
  <c r="N19" i="15"/>
  <c r="N20" i="15"/>
  <c r="J61" i="15"/>
  <c r="N27" i="15"/>
  <c r="I51" i="15"/>
  <c r="L35" i="15"/>
  <c r="N64" i="15"/>
  <c r="C6" i="15"/>
  <c r="B54" i="15"/>
  <c r="L62" i="15"/>
  <c r="B23" i="15"/>
  <c r="L57" i="15"/>
  <c r="I45" i="15"/>
  <c r="J55" i="15"/>
  <c r="I50" i="15"/>
  <c r="I62" i="15"/>
  <c r="I33" i="15"/>
  <c r="J43" i="15"/>
  <c r="J57" i="15"/>
  <c r="C7" i="15"/>
  <c r="N62" i="15"/>
  <c r="N43" i="15"/>
  <c r="J51" i="15"/>
  <c r="I66" i="15"/>
  <c r="I61" i="15"/>
  <c r="N44" i="15"/>
  <c r="N57" i="15"/>
  <c r="J35" i="15"/>
  <c r="N51" i="15"/>
  <c r="L55" i="15"/>
  <c r="N54" i="15"/>
  <c r="C2" i="15"/>
  <c r="I54" i="15"/>
  <c r="J58" i="15"/>
  <c r="N53" i="15"/>
  <c r="N45" i="15"/>
  <c r="C1" i="32"/>
  <c r="J36" i="32"/>
  <c r="E6" i="32"/>
  <c r="L34" i="32"/>
  <c r="C7" i="32"/>
  <c r="C6" i="32"/>
  <c r="C5" i="32"/>
  <c r="J34" i="32"/>
  <c r="N19" i="32"/>
  <c r="I34" i="32"/>
  <c r="I33" i="32"/>
  <c r="N33" i="32"/>
  <c r="B19" i="32"/>
  <c r="N36" i="32"/>
  <c r="B23" i="32"/>
  <c r="N27" i="32"/>
  <c r="C2" i="32"/>
  <c r="J33" i="32"/>
  <c r="C8" i="32"/>
  <c r="B3" i="32"/>
  <c r="N20" i="32"/>
  <c r="I36" i="32"/>
  <c r="N34" i="32"/>
  <c r="J38" i="34"/>
  <c r="I37" i="34"/>
  <c r="N34" i="34"/>
  <c r="J42" i="34"/>
  <c r="N46" i="34"/>
  <c r="B63" i="34"/>
  <c r="I56" i="34"/>
  <c r="I42" i="34"/>
  <c r="I46" i="34"/>
  <c r="J37" i="34"/>
  <c r="N42" i="34"/>
  <c r="J41" i="34"/>
  <c r="N49" i="34"/>
  <c r="B3" i="34"/>
  <c r="C1" i="34"/>
  <c r="J50" i="34"/>
  <c r="N27" i="34"/>
  <c r="E6" i="34"/>
  <c r="J35" i="34"/>
  <c r="C7" i="34"/>
  <c r="N33" i="34"/>
  <c r="I38" i="34"/>
  <c r="N44" i="34"/>
  <c r="I41" i="34"/>
  <c r="B50" i="34"/>
  <c r="J44" i="34"/>
  <c r="J49" i="34"/>
  <c r="N19" i="34"/>
  <c r="J63" i="34"/>
  <c r="B23" i="34"/>
  <c r="B22" i="34"/>
  <c r="I63" i="34"/>
  <c r="N38" i="34"/>
  <c r="J56" i="34"/>
  <c r="C5" i="34"/>
  <c r="N20" i="34"/>
  <c r="J46" i="34"/>
  <c r="N41" i="34"/>
  <c r="N56" i="34"/>
  <c r="I35" i="34"/>
  <c r="C2" i="34"/>
  <c r="I44" i="34"/>
  <c r="B54" i="34"/>
  <c r="I50" i="34"/>
  <c r="L35" i="34"/>
  <c r="J33" i="34"/>
  <c r="B19" i="34"/>
  <c r="L50" i="34"/>
  <c r="L37" i="34"/>
  <c r="L38" i="34"/>
  <c r="N35" i="34"/>
  <c r="B67" i="34"/>
  <c r="I33" i="34"/>
  <c r="C8" i="34"/>
  <c r="I49" i="34"/>
  <c r="N37" i="34"/>
  <c r="N50" i="34"/>
  <c r="L42" i="34"/>
  <c r="L49" i="34"/>
  <c r="I34" i="34"/>
  <c r="C6" i="34"/>
  <c r="J34" i="34"/>
  <c r="C2" i="28"/>
  <c r="J33" i="28"/>
  <c r="B19" i="28"/>
  <c r="N35" i="28"/>
  <c r="B3" i="28"/>
  <c r="C1" i="28"/>
  <c r="N55" i="28"/>
  <c r="N62" i="28"/>
  <c r="I47" i="28"/>
  <c r="L56" i="28"/>
  <c r="I53" i="28"/>
  <c r="N56" i="28"/>
  <c r="N34" i="28"/>
  <c r="C5" i="28"/>
  <c r="N33" i="28"/>
  <c r="L47" i="28"/>
  <c r="I44" i="28"/>
  <c r="J35" i="28"/>
  <c r="N20" i="28"/>
  <c r="I35" i="28"/>
  <c r="I39" i="28"/>
  <c r="I55" i="28"/>
  <c r="J55" i="28"/>
  <c r="B77" i="28"/>
  <c r="B96" i="28"/>
  <c r="N46" i="28"/>
  <c r="J61" i="28"/>
  <c r="I62" i="28"/>
  <c r="L35" i="28"/>
  <c r="I59" i="28"/>
  <c r="N53" i="28"/>
  <c r="B100" i="28"/>
  <c r="B54" i="28"/>
  <c r="B50" i="28"/>
  <c r="N61" i="28"/>
  <c r="L53" i="28"/>
  <c r="N59" i="28"/>
  <c r="J62" i="28"/>
  <c r="J34" i="28"/>
  <c r="I61" i="28"/>
  <c r="I46" i="28"/>
  <c r="B22" i="28"/>
  <c r="E6" i="28"/>
  <c r="I56" i="28"/>
  <c r="L44" i="28"/>
  <c r="C7" i="28"/>
  <c r="C8" i="28"/>
  <c r="C6" i="28"/>
  <c r="N19" i="28"/>
  <c r="J47" i="28"/>
  <c r="I33" i="28"/>
  <c r="J59" i="28"/>
  <c r="J44" i="28"/>
  <c r="B23" i="28"/>
  <c r="J56" i="28"/>
  <c r="J46" i="28"/>
  <c r="N27" i="28"/>
  <c r="N47" i="28"/>
  <c r="J53" i="28"/>
  <c r="I38" i="28"/>
  <c r="L39" i="28"/>
  <c r="N39" i="28"/>
  <c r="N44" i="28"/>
  <c r="N38" i="28"/>
  <c r="J38" i="28"/>
  <c r="B73" i="28"/>
  <c r="I34" i="28"/>
  <c r="J39" i="28"/>
  <c r="N65" i="59"/>
  <c r="L134" i="59"/>
  <c r="N79" i="59"/>
  <c r="N91" i="59"/>
  <c r="N37" i="59"/>
  <c r="J42" i="59"/>
  <c r="L85" i="59"/>
  <c r="L40" i="59"/>
  <c r="N126" i="59"/>
  <c r="J47" i="59"/>
  <c r="I86" i="59"/>
  <c r="N48" i="59"/>
  <c r="L118" i="59"/>
  <c r="L48" i="59"/>
  <c r="N81" i="59"/>
  <c r="L51" i="59"/>
  <c r="L65" i="59"/>
  <c r="L45" i="59"/>
  <c r="L76" i="59"/>
  <c r="L56" i="59"/>
  <c r="L79" i="59"/>
  <c r="I48" i="59"/>
  <c r="L42" i="59"/>
  <c r="N51" i="59"/>
  <c r="J81" i="59"/>
  <c r="J38" i="59"/>
  <c r="N139" i="59"/>
  <c r="J88" i="59"/>
  <c r="N131" i="59"/>
  <c r="N99" i="59"/>
  <c r="I72" i="59"/>
  <c r="N67" i="59"/>
  <c r="N114" i="59"/>
  <c r="L124" i="59"/>
  <c r="N87" i="59"/>
  <c r="J79" i="59"/>
  <c r="I42" i="59"/>
  <c r="L101" i="59"/>
  <c r="L121" i="59"/>
  <c r="J87" i="59"/>
  <c r="L55" i="59"/>
  <c r="N76" i="59"/>
  <c r="N123" i="59"/>
  <c r="L39" i="59"/>
  <c r="I52" i="59"/>
  <c r="L69" i="59"/>
  <c r="J86" i="59"/>
  <c r="J58" i="59"/>
  <c r="N35" i="59"/>
  <c r="J41" i="59"/>
  <c r="L60" i="59"/>
  <c r="N122" i="59"/>
  <c r="L117" i="59"/>
  <c r="L99" i="59"/>
  <c r="J77" i="59"/>
  <c r="N116" i="59"/>
  <c r="L36" i="59"/>
  <c r="I57" i="59"/>
  <c r="I87" i="59"/>
  <c r="J48" i="59"/>
  <c r="J92" i="59"/>
  <c r="J60" i="59"/>
  <c r="B3" i="59"/>
  <c r="J66" i="59"/>
  <c r="N140" i="59"/>
  <c r="L125" i="59"/>
  <c r="L78" i="59"/>
  <c r="J40" i="59"/>
  <c r="I56" i="59"/>
  <c r="L108" i="59"/>
  <c r="N85" i="59"/>
  <c r="C6" i="59"/>
  <c r="I71" i="59"/>
  <c r="L37" i="59"/>
  <c r="N41" i="59"/>
  <c r="L67" i="59"/>
  <c r="L49" i="59"/>
  <c r="J71" i="59"/>
  <c r="I51" i="59"/>
  <c r="L50" i="59"/>
  <c r="N38" i="59"/>
  <c r="I55" i="59"/>
  <c r="C7" i="59"/>
  <c r="L41" i="59"/>
  <c r="N57" i="59"/>
  <c r="B19" i="59"/>
  <c r="N138" i="59"/>
  <c r="N56" i="59"/>
  <c r="N133" i="59"/>
  <c r="I77" i="59"/>
  <c r="L132" i="59"/>
  <c r="J49" i="59"/>
  <c r="N69" i="59"/>
  <c r="N20" i="59"/>
  <c r="N46" i="59"/>
  <c r="L106" i="59"/>
  <c r="L98" i="59"/>
  <c r="N115" i="59"/>
  <c r="I35" i="59"/>
  <c r="N72" i="59"/>
  <c r="L57" i="59"/>
  <c r="N107" i="59"/>
  <c r="I79" i="59"/>
  <c r="I36" i="59"/>
  <c r="L58" i="59"/>
  <c r="I37" i="59"/>
  <c r="J83" i="59"/>
  <c r="N106" i="59"/>
  <c r="N86" i="59"/>
  <c r="I49" i="59"/>
  <c r="N98" i="59"/>
  <c r="L133" i="59"/>
  <c r="N47" i="59"/>
  <c r="C1" i="59"/>
  <c r="N78" i="59"/>
  <c r="L115" i="59"/>
  <c r="I78" i="59"/>
  <c r="L86" i="59"/>
  <c r="N108" i="59"/>
  <c r="L114" i="59"/>
  <c r="L80" i="59"/>
  <c r="I80" i="59"/>
  <c r="I47" i="59"/>
  <c r="J62" i="59"/>
  <c r="N130" i="59"/>
  <c r="N52" i="59"/>
  <c r="I70" i="59"/>
  <c r="J51" i="59"/>
  <c r="L107" i="59"/>
  <c r="N68" i="59"/>
  <c r="I76" i="59"/>
  <c r="L126" i="59"/>
  <c r="I41" i="59"/>
  <c r="I81" i="59"/>
  <c r="I45" i="59"/>
  <c r="N50" i="59"/>
  <c r="L35" i="59"/>
  <c r="J57" i="59"/>
  <c r="I91" i="59"/>
  <c r="L116" i="59"/>
  <c r="L52" i="59"/>
  <c r="L109" i="59"/>
  <c r="N55" i="59"/>
  <c r="J46" i="59"/>
  <c r="L61" i="59"/>
  <c r="I60" i="59"/>
  <c r="L139" i="59"/>
  <c r="L38" i="59"/>
  <c r="I69" i="59"/>
  <c r="I39" i="59"/>
  <c r="L138" i="59"/>
  <c r="L66" i="59"/>
  <c r="L83" i="59"/>
  <c r="J61" i="59"/>
  <c r="N118" i="59"/>
  <c r="N134" i="59"/>
  <c r="I75" i="59"/>
  <c r="L123" i="59"/>
  <c r="J55" i="59"/>
  <c r="I38" i="59"/>
  <c r="I50" i="59"/>
  <c r="L68" i="59"/>
  <c r="N70" i="59"/>
  <c r="N83" i="59"/>
  <c r="L137" i="59"/>
  <c r="N42" i="59"/>
  <c r="N61" i="59"/>
  <c r="J72" i="59"/>
  <c r="N102" i="59"/>
  <c r="N59" i="59"/>
  <c r="N137" i="59"/>
  <c r="L47" i="59"/>
  <c r="N129" i="59"/>
  <c r="J65" i="59"/>
  <c r="J35" i="59"/>
  <c r="J75" i="59"/>
  <c r="N103" i="59"/>
  <c r="N136" i="59"/>
  <c r="L72" i="59"/>
  <c r="L111" i="59"/>
  <c r="N49" i="59"/>
  <c r="L140" i="59"/>
  <c r="N132" i="59"/>
  <c r="I61" i="59"/>
  <c r="L131" i="59"/>
  <c r="N88" i="59"/>
  <c r="I46" i="59"/>
  <c r="N121" i="59"/>
  <c r="J76" i="59"/>
  <c r="J67" i="59"/>
  <c r="J91" i="59"/>
  <c r="N125" i="59"/>
  <c r="J80" i="59"/>
  <c r="I62" i="59"/>
  <c r="N80" i="59"/>
  <c r="N77" i="59"/>
  <c r="J85" i="59"/>
  <c r="L59" i="59"/>
  <c r="N66" i="59"/>
  <c r="C2" i="59"/>
  <c r="N45" i="59"/>
  <c r="N58" i="59"/>
  <c r="L100" i="59"/>
  <c r="J59" i="59"/>
  <c r="N27" i="59"/>
  <c r="N62" i="59"/>
  <c r="J50" i="59"/>
  <c r="N92" i="59"/>
  <c r="L70" i="59"/>
  <c r="N39" i="59"/>
  <c r="C8" i="59"/>
  <c r="J69" i="59"/>
  <c r="J52" i="59"/>
  <c r="L81" i="59"/>
  <c r="I65" i="59"/>
  <c r="L46" i="59"/>
  <c r="N117" i="59"/>
  <c r="L77" i="59"/>
  <c r="C5" i="59"/>
  <c r="N110" i="59"/>
  <c r="L136" i="59"/>
  <c r="N71" i="59"/>
  <c r="I68" i="59"/>
  <c r="B23" i="59"/>
  <c r="J56" i="59"/>
  <c r="N119" i="59"/>
  <c r="J68" i="59"/>
  <c r="J45" i="59"/>
  <c r="L110" i="59"/>
  <c r="I88" i="59"/>
  <c r="N100" i="59"/>
  <c r="L135" i="59"/>
  <c r="J36" i="59"/>
  <c r="N36" i="59"/>
  <c r="I40" i="59"/>
  <c r="L103" i="59"/>
  <c r="N101" i="59"/>
  <c r="I92" i="59"/>
  <c r="J78" i="59"/>
  <c r="N135" i="59"/>
  <c r="L130" i="59"/>
  <c r="L75" i="59"/>
  <c r="I59" i="59"/>
  <c r="J37" i="59"/>
  <c r="N109" i="59"/>
  <c r="N75" i="59"/>
  <c r="N40" i="59"/>
  <c r="I85" i="59"/>
  <c r="L102" i="59"/>
  <c r="N124" i="59"/>
  <c r="L122" i="59"/>
  <c r="L119" i="59"/>
  <c r="J39" i="59"/>
  <c r="I58" i="59"/>
  <c r="J70" i="59"/>
  <c r="N19" i="59"/>
  <c r="E6" i="59"/>
  <c r="L62" i="59"/>
  <c r="I66" i="59"/>
  <c r="L71" i="59"/>
  <c r="L87" i="59"/>
  <c r="N60" i="59"/>
  <c r="N111" i="59"/>
  <c r="I83" i="59"/>
  <c r="I67" i="59"/>
  <c r="J74" i="11"/>
  <c r="L74" i="11"/>
  <c r="L69" i="11"/>
  <c r="B85" i="11"/>
  <c r="B120" i="11"/>
  <c r="C5" i="11"/>
  <c r="N35" i="11"/>
  <c r="J65" i="11"/>
  <c r="J79" i="11"/>
  <c r="N53" i="11"/>
  <c r="I73" i="11"/>
  <c r="I33" i="11"/>
  <c r="J73" i="11"/>
  <c r="B116" i="11"/>
  <c r="N74" i="11"/>
  <c r="I74" i="11"/>
  <c r="I76" i="11"/>
  <c r="N62" i="11"/>
  <c r="J53" i="11"/>
  <c r="N79" i="11"/>
  <c r="N20" i="11"/>
  <c r="B52" i="11"/>
  <c r="E6" i="11"/>
  <c r="J34" i="11"/>
  <c r="I55" i="11"/>
  <c r="J67" i="11"/>
  <c r="I67" i="11"/>
  <c r="B88" i="11"/>
  <c r="N70" i="11"/>
  <c r="C2" i="11"/>
  <c r="J54" i="11"/>
  <c r="B56" i="11"/>
  <c r="N33" i="11"/>
  <c r="B55" i="11"/>
  <c r="N55" i="11"/>
  <c r="J70" i="11"/>
  <c r="L70" i="11"/>
  <c r="B3" i="11"/>
  <c r="L35" i="11"/>
  <c r="J63" i="11"/>
  <c r="N65" i="11"/>
  <c r="I66" i="11"/>
  <c r="N19" i="11"/>
  <c r="N78" i="11"/>
  <c r="N63" i="11"/>
  <c r="N73" i="11"/>
  <c r="L55" i="11"/>
  <c r="N54" i="11"/>
  <c r="I63" i="11"/>
  <c r="N67" i="11"/>
  <c r="I70" i="11"/>
  <c r="N34" i="11"/>
  <c r="J55" i="11"/>
  <c r="I78" i="11"/>
  <c r="I65" i="11"/>
  <c r="I69" i="11"/>
  <c r="I79" i="11"/>
  <c r="N66" i="11"/>
  <c r="L67" i="11"/>
  <c r="C3" i="11"/>
  <c r="B23" i="11"/>
  <c r="N69" i="11"/>
  <c r="B22" i="11"/>
  <c r="J66" i="11"/>
  <c r="J62" i="11"/>
  <c r="J78" i="11"/>
  <c r="I34" i="11"/>
  <c r="N26" i="11"/>
  <c r="I35" i="11"/>
  <c r="I53" i="11"/>
  <c r="C8" i="11"/>
  <c r="J69" i="11"/>
  <c r="N76" i="11"/>
  <c r="C7" i="11"/>
  <c r="J33" i="11"/>
  <c r="B19" i="11"/>
  <c r="C1" i="11"/>
  <c r="J35" i="11"/>
  <c r="I62" i="11"/>
  <c r="B89" i="11"/>
  <c r="I54" i="11"/>
  <c r="N27" i="11"/>
  <c r="J76" i="11"/>
  <c r="C6" i="11"/>
  <c r="B19" i="27"/>
  <c r="J34" i="27"/>
  <c r="I34" i="27"/>
  <c r="C2" i="27"/>
  <c r="J33" i="27"/>
  <c r="N33" i="27"/>
  <c r="B23" i="27"/>
  <c r="J44" i="27"/>
  <c r="N34" i="27"/>
  <c r="L34" i="27"/>
  <c r="B3" i="27"/>
  <c r="I44" i="27"/>
  <c r="N20" i="27"/>
  <c r="C1" i="27"/>
  <c r="E6" i="27"/>
  <c r="C8" i="27"/>
  <c r="N19" i="27"/>
  <c r="C7" i="27"/>
  <c r="C6" i="27"/>
  <c r="N27" i="27"/>
  <c r="C5" i="27"/>
  <c r="N44" i="27"/>
  <c r="I33" i="27"/>
  <c r="J66" i="19"/>
  <c r="L47" i="19"/>
  <c r="N19" i="19"/>
  <c r="B3" i="19"/>
  <c r="N27" i="19"/>
  <c r="I46" i="19"/>
  <c r="I67" i="19"/>
  <c r="B80" i="19"/>
  <c r="I55" i="19"/>
  <c r="B48" i="19"/>
  <c r="J57" i="19"/>
  <c r="N55" i="19"/>
  <c r="I47" i="19"/>
  <c r="N26" i="19"/>
  <c r="C6" i="19"/>
  <c r="B76" i="19"/>
  <c r="I61" i="19"/>
  <c r="B22" i="19"/>
  <c r="B52" i="19"/>
  <c r="I54" i="19"/>
  <c r="J58" i="19"/>
  <c r="I51" i="19"/>
  <c r="B107" i="19"/>
  <c r="J67" i="19"/>
  <c r="N46" i="19"/>
  <c r="L57" i="19"/>
  <c r="J51" i="19"/>
  <c r="N54" i="19"/>
  <c r="C2" i="19"/>
  <c r="B19" i="19"/>
  <c r="J46" i="19"/>
  <c r="I53" i="19"/>
  <c r="I62" i="19"/>
  <c r="J34" i="19"/>
  <c r="I34" i="19"/>
  <c r="J62" i="19"/>
  <c r="I64" i="19"/>
  <c r="N33" i="19"/>
  <c r="N64" i="19"/>
  <c r="N51" i="19"/>
  <c r="B23" i="19"/>
  <c r="N62" i="19"/>
  <c r="N58" i="19"/>
  <c r="B79" i="19"/>
  <c r="I50" i="19"/>
  <c r="J61" i="19"/>
  <c r="I57" i="19"/>
  <c r="N61" i="19"/>
  <c r="N66" i="19"/>
  <c r="N34" i="19"/>
  <c r="B111" i="19"/>
  <c r="E6" i="19"/>
  <c r="L34" i="19"/>
  <c r="J54" i="19"/>
  <c r="I33" i="19"/>
  <c r="C5" i="19"/>
  <c r="L55" i="19"/>
  <c r="I66" i="19"/>
  <c r="J33" i="19"/>
  <c r="J64" i="19"/>
  <c r="N50" i="19"/>
  <c r="N57" i="19"/>
  <c r="J47" i="19"/>
  <c r="L58" i="19"/>
  <c r="J53" i="19"/>
  <c r="N20" i="19"/>
  <c r="L62" i="19"/>
  <c r="C7" i="19"/>
  <c r="I58" i="19"/>
  <c r="N47" i="19"/>
  <c r="J50" i="19"/>
  <c r="C8" i="19"/>
  <c r="J55" i="19"/>
  <c r="N67" i="19"/>
  <c r="N53" i="19"/>
  <c r="C1" i="19"/>
  <c r="B51" i="19"/>
  <c r="I63" i="22"/>
  <c r="N67" i="22"/>
  <c r="L62" i="22"/>
  <c r="J55" i="22"/>
  <c r="J45" i="22"/>
  <c r="I69" i="22"/>
  <c r="L46" i="22"/>
  <c r="J59" i="22"/>
  <c r="E6" i="22"/>
  <c r="N20" i="22"/>
  <c r="J63" i="22"/>
  <c r="L67" i="22"/>
  <c r="C6" i="22"/>
  <c r="B52" i="22"/>
  <c r="J66" i="22"/>
  <c r="J34" i="22"/>
  <c r="J58" i="22"/>
  <c r="I33" i="22"/>
  <c r="B23" i="22"/>
  <c r="I67" i="22"/>
  <c r="J69" i="22"/>
  <c r="B107" i="22"/>
  <c r="J62" i="22"/>
  <c r="N72" i="22"/>
  <c r="L63" i="22"/>
  <c r="N62" i="22"/>
  <c r="N45" i="22"/>
  <c r="I71" i="22"/>
  <c r="B22" i="22"/>
  <c r="C2" i="22"/>
  <c r="J71" i="22"/>
  <c r="B19" i="22"/>
  <c r="I34" i="22"/>
  <c r="I72" i="22"/>
  <c r="I46" i="22"/>
  <c r="N71" i="22"/>
  <c r="C7" i="22"/>
  <c r="B111" i="22"/>
  <c r="N66" i="22"/>
  <c r="C5" i="22"/>
  <c r="L60" i="22"/>
  <c r="N56" i="22"/>
  <c r="N60" i="22"/>
  <c r="I66" i="22"/>
  <c r="N19" i="22"/>
  <c r="B48" i="22"/>
  <c r="J60" i="22"/>
  <c r="N59" i="22"/>
  <c r="B51" i="22"/>
  <c r="C1" i="22"/>
  <c r="J56" i="22"/>
  <c r="I45" i="22"/>
  <c r="N27" i="22"/>
  <c r="I60" i="22"/>
  <c r="J67" i="22"/>
  <c r="N63" i="22"/>
  <c r="N33" i="22"/>
  <c r="J72" i="22"/>
  <c r="N69" i="22"/>
  <c r="L34" i="22"/>
  <c r="N58" i="22"/>
  <c r="N34" i="22"/>
  <c r="I58" i="22"/>
  <c r="I55" i="22"/>
  <c r="C8" i="22"/>
  <c r="B76" i="22"/>
  <c r="J33" i="22"/>
  <c r="J46" i="22"/>
  <c r="I59" i="22"/>
  <c r="B80" i="22"/>
  <c r="I62" i="22"/>
  <c r="I56" i="22"/>
  <c r="B3" i="22"/>
  <c r="N46" i="22"/>
  <c r="B79" i="22"/>
  <c r="N55" i="22"/>
  <c r="L96" i="17"/>
  <c r="L71" i="17"/>
  <c r="J46" i="17"/>
  <c r="J109" i="17"/>
  <c r="L117" i="17"/>
  <c r="N62" i="17"/>
  <c r="N151" i="17"/>
  <c r="L37" i="17"/>
  <c r="I40" i="17"/>
  <c r="I63" i="17"/>
  <c r="N99" i="17"/>
  <c r="L38" i="17"/>
  <c r="L159" i="17"/>
  <c r="I97" i="17"/>
  <c r="C8" i="17"/>
  <c r="J36" i="17"/>
  <c r="J55" i="17"/>
  <c r="L138" i="17"/>
  <c r="N164" i="17"/>
  <c r="I77" i="17"/>
  <c r="L68" i="17"/>
  <c r="I54" i="17"/>
  <c r="J39" i="17"/>
  <c r="L152" i="17"/>
  <c r="L121" i="17"/>
  <c r="N50" i="17"/>
  <c r="N135" i="17"/>
  <c r="I74" i="17"/>
  <c r="L95" i="17"/>
  <c r="N20" i="17"/>
  <c r="I104" i="17"/>
  <c r="L64" i="17"/>
  <c r="C1" i="17"/>
  <c r="N162" i="17"/>
  <c r="J62" i="17"/>
  <c r="C7" i="17"/>
  <c r="L156" i="17"/>
  <c r="L154" i="17"/>
  <c r="N139" i="17"/>
  <c r="N130" i="17"/>
  <c r="L127" i="17"/>
  <c r="L99" i="17"/>
  <c r="L55" i="17"/>
  <c r="I68" i="17"/>
  <c r="L62" i="17"/>
  <c r="L56" i="17"/>
  <c r="L139" i="17"/>
  <c r="J75" i="17"/>
  <c r="N121" i="17"/>
  <c r="N117" i="17"/>
  <c r="N75" i="17"/>
  <c r="N133" i="17"/>
  <c r="N120" i="17"/>
  <c r="L103" i="17"/>
  <c r="I102" i="17"/>
  <c r="J50" i="17"/>
  <c r="I35" i="17"/>
  <c r="I57" i="17"/>
  <c r="L145" i="17"/>
  <c r="N59" i="17"/>
  <c r="L135" i="17"/>
  <c r="L164" i="17"/>
  <c r="J49" i="17"/>
  <c r="I41" i="17"/>
  <c r="N105" i="17"/>
  <c r="N163" i="17"/>
  <c r="N155" i="17"/>
  <c r="I47" i="17"/>
  <c r="J66" i="17"/>
  <c r="I66" i="17"/>
  <c r="L57" i="17"/>
  <c r="L141" i="17"/>
  <c r="N41" i="17"/>
  <c r="N152" i="17"/>
  <c r="L162" i="17"/>
  <c r="N53" i="17"/>
  <c r="J35" i="17"/>
  <c r="N74" i="17"/>
  <c r="N73" i="17"/>
  <c r="J105" i="17"/>
  <c r="L144" i="17"/>
  <c r="L75" i="17"/>
  <c r="N104" i="17"/>
  <c r="L120" i="17"/>
  <c r="N45" i="17"/>
  <c r="B23" i="17"/>
  <c r="N37" i="17"/>
  <c r="L165" i="17"/>
  <c r="N165" i="17"/>
  <c r="N143" i="17"/>
  <c r="J102" i="17"/>
  <c r="L50" i="17"/>
  <c r="N116" i="17"/>
  <c r="J68" i="17"/>
  <c r="N76" i="17"/>
  <c r="L45" i="17"/>
  <c r="N68" i="17"/>
  <c r="L147" i="17"/>
  <c r="L76" i="17"/>
  <c r="N136" i="17"/>
  <c r="J45" i="17"/>
  <c r="L143" i="17"/>
  <c r="J104" i="17"/>
  <c r="I48" i="17"/>
  <c r="N157" i="17"/>
  <c r="J73" i="17"/>
  <c r="J53" i="17"/>
  <c r="J72" i="17"/>
  <c r="N153" i="17"/>
  <c r="J59" i="17"/>
  <c r="J74" i="17"/>
  <c r="J95" i="17"/>
  <c r="N125" i="17"/>
  <c r="N127" i="17"/>
  <c r="J47" i="17"/>
  <c r="L115" i="17"/>
  <c r="L153" i="17"/>
  <c r="L65" i="17"/>
  <c r="N145" i="17"/>
  <c r="N57" i="17"/>
  <c r="L157" i="17"/>
  <c r="L142" i="17"/>
  <c r="N64" i="17"/>
  <c r="I72" i="17"/>
  <c r="J64" i="17"/>
  <c r="N159" i="17"/>
  <c r="L148" i="17"/>
  <c r="B3" i="17"/>
  <c r="C2" i="17"/>
  <c r="L47" i="17"/>
  <c r="L36" i="17"/>
  <c r="I53" i="17"/>
  <c r="I108" i="17"/>
  <c r="I46" i="17"/>
  <c r="N77" i="17"/>
  <c r="I105" i="17"/>
  <c r="N49" i="17"/>
  <c r="J58" i="17"/>
  <c r="L134" i="17"/>
  <c r="N166" i="17"/>
  <c r="C6" i="17"/>
  <c r="L136" i="17"/>
  <c r="I45" i="17"/>
  <c r="N141" i="17"/>
  <c r="L155" i="17"/>
  <c r="E6" i="17"/>
  <c r="N126" i="17"/>
  <c r="N170" i="17"/>
  <c r="N115" i="17"/>
  <c r="N144" i="17"/>
  <c r="N46" i="17"/>
  <c r="I76" i="17"/>
  <c r="J97" i="17"/>
  <c r="L48" i="17"/>
  <c r="N58" i="17"/>
  <c r="L118" i="17"/>
  <c r="L116" i="17"/>
  <c r="N38" i="17"/>
  <c r="N66" i="17"/>
  <c r="J67" i="17"/>
  <c r="I44" i="17"/>
  <c r="N134" i="17"/>
  <c r="J44" i="17"/>
  <c r="I73" i="17"/>
  <c r="L49" i="17"/>
  <c r="J40" i="17"/>
  <c r="N19" i="17"/>
  <c r="I38" i="17"/>
  <c r="L46" i="17"/>
  <c r="I50" i="17"/>
  <c r="C5" i="17"/>
  <c r="N71" i="17"/>
  <c r="J48" i="17"/>
  <c r="I39" i="17"/>
  <c r="N129" i="17"/>
  <c r="J56" i="17"/>
  <c r="L102" i="17"/>
  <c r="J41" i="17"/>
  <c r="I64" i="17"/>
  <c r="N63" i="17"/>
  <c r="N47" i="17"/>
  <c r="N96" i="17"/>
  <c r="I37" i="17"/>
  <c r="N27" i="17"/>
  <c r="L130" i="17"/>
  <c r="I65" i="17"/>
  <c r="C3" i="17"/>
  <c r="N36" i="17"/>
  <c r="L54" i="17"/>
  <c r="N167" i="17"/>
  <c r="N156" i="17"/>
  <c r="N97" i="17"/>
  <c r="N148" i="17"/>
  <c r="L35" i="17"/>
  <c r="J103" i="17"/>
  <c r="N72" i="17"/>
  <c r="N138" i="17"/>
  <c r="L58" i="17"/>
  <c r="N108" i="17"/>
  <c r="L74" i="17"/>
  <c r="J71" i="17"/>
  <c r="L129" i="17"/>
  <c r="L73" i="17"/>
  <c r="I103" i="17"/>
  <c r="L66" i="17"/>
  <c r="L166" i="17"/>
  <c r="N160" i="17"/>
  <c r="J54" i="17"/>
  <c r="J38" i="17"/>
  <c r="I58" i="17"/>
  <c r="I56" i="17"/>
  <c r="L63" i="17"/>
  <c r="N65" i="17"/>
  <c r="I67" i="17"/>
  <c r="L167" i="17"/>
  <c r="L126" i="17"/>
  <c r="J57" i="17"/>
  <c r="N154" i="17"/>
  <c r="L133" i="17"/>
  <c r="L53" i="17"/>
  <c r="L41" i="17"/>
  <c r="L77" i="17"/>
  <c r="J65" i="17"/>
  <c r="N142" i="17"/>
  <c r="L124" i="17"/>
  <c r="N56" i="17"/>
  <c r="I49" i="17"/>
  <c r="I71" i="17"/>
  <c r="J77" i="17"/>
  <c r="I96" i="17"/>
  <c r="L39" i="17"/>
  <c r="J99" i="17"/>
  <c r="L161" i="17"/>
  <c r="J37" i="17"/>
  <c r="N102" i="17"/>
  <c r="N44" i="17"/>
  <c r="N118" i="17"/>
  <c r="J96" i="17"/>
  <c r="L72" i="17"/>
  <c r="N35" i="17"/>
  <c r="L67" i="17"/>
  <c r="N55" i="17"/>
  <c r="L170" i="17"/>
  <c r="N48" i="17"/>
  <c r="I59" i="17"/>
  <c r="N161" i="17"/>
  <c r="N109" i="17"/>
  <c r="L59" i="17"/>
  <c r="L44" i="17"/>
  <c r="I99" i="17"/>
  <c r="J63" i="17"/>
  <c r="I55" i="17"/>
  <c r="N67" i="17"/>
  <c r="L97" i="17"/>
  <c r="N103" i="17"/>
  <c r="I36" i="17"/>
  <c r="N124" i="17"/>
  <c r="N26" i="17"/>
  <c r="J76" i="17"/>
  <c r="N40" i="17"/>
  <c r="I95" i="17"/>
  <c r="J108" i="17"/>
  <c r="I109" i="17"/>
  <c r="B19" i="17"/>
  <c r="N54" i="17"/>
  <c r="L104" i="17"/>
  <c r="N95" i="17"/>
  <c r="N39" i="17"/>
  <c r="I62" i="17"/>
  <c r="L40" i="17"/>
  <c r="I75" i="17"/>
  <c r="L160" i="17"/>
  <c r="L125" i="17"/>
  <c r="L163" i="17"/>
  <c r="N147" i="17"/>
  <c r="N39" i="16"/>
  <c r="I91" i="16"/>
  <c r="J39" i="16"/>
  <c r="B74" i="16"/>
  <c r="N49" i="16"/>
  <c r="I58" i="16"/>
  <c r="J45" i="16"/>
  <c r="I60" i="16"/>
  <c r="J47" i="16"/>
  <c r="N51" i="16"/>
  <c r="J48" i="16"/>
  <c r="B77" i="16"/>
  <c r="N73" i="16"/>
  <c r="J44" i="16"/>
  <c r="I39" i="16"/>
  <c r="I56" i="16"/>
  <c r="J33" i="16"/>
  <c r="J92" i="16"/>
  <c r="L76" i="16"/>
  <c r="N20" i="16"/>
  <c r="I42" i="16"/>
  <c r="N70" i="16"/>
  <c r="N33" i="16"/>
  <c r="I119" i="16"/>
  <c r="N60" i="16"/>
  <c r="L92" i="16"/>
  <c r="I54" i="16"/>
  <c r="J41" i="16"/>
  <c r="I72" i="16"/>
  <c r="N44" i="16"/>
  <c r="J58" i="16"/>
  <c r="N19" i="16"/>
  <c r="J59" i="16"/>
  <c r="J53" i="16"/>
  <c r="N41" i="16"/>
  <c r="L74" i="16"/>
  <c r="I77" i="16"/>
  <c r="J119" i="16"/>
  <c r="J49" i="16"/>
  <c r="I49" i="16"/>
  <c r="I69" i="16"/>
  <c r="J37" i="16"/>
  <c r="N54" i="16"/>
  <c r="J72" i="16"/>
  <c r="I74" i="16"/>
  <c r="J42" i="16"/>
  <c r="I76" i="16"/>
  <c r="B78" i="16"/>
  <c r="N42" i="16"/>
  <c r="B19" i="16"/>
  <c r="I33" i="16"/>
  <c r="J43" i="16"/>
  <c r="J60" i="16"/>
  <c r="N48" i="16"/>
  <c r="I34" i="16"/>
  <c r="N59" i="16"/>
  <c r="I121" i="16"/>
  <c r="I92" i="16"/>
  <c r="N122" i="16"/>
  <c r="N77" i="16"/>
  <c r="J52" i="16"/>
  <c r="I73" i="16"/>
  <c r="I44" i="16"/>
  <c r="I47" i="16"/>
  <c r="N119" i="16"/>
  <c r="N38" i="16"/>
  <c r="I45" i="16"/>
  <c r="J36" i="16"/>
  <c r="L60" i="16"/>
  <c r="N58" i="16"/>
  <c r="E6" i="16"/>
  <c r="C2" i="16"/>
  <c r="I52" i="16"/>
  <c r="I37" i="16"/>
  <c r="B45" i="16"/>
  <c r="N46" i="16"/>
  <c r="L77" i="16"/>
  <c r="I122" i="16"/>
  <c r="J35" i="16"/>
  <c r="J76" i="16"/>
  <c r="N45" i="16"/>
  <c r="C7" i="16"/>
  <c r="J40" i="16"/>
  <c r="C8" i="16"/>
  <c r="I40" i="16"/>
  <c r="N27" i="16"/>
  <c r="I59" i="16"/>
  <c r="N91" i="16"/>
  <c r="J69" i="16"/>
  <c r="J50" i="16"/>
  <c r="B23" i="16"/>
  <c r="N36" i="16"/>
  <c r="B3" i="16"/>
  <c r="I41" i="16"/>
  <c r="N76" i="16"/>
  <c r="N74" i="16"/>
  <c r="N92" i="16"/>
  <c r="J121" i="16"/>
  <c r="J54" i="16"/>
  <c r="J51" i="16"/>
  <c r="N40" i="16"/>
  <c r="N72" i="16"/>
  <c r="N50" i="16"/>
  <c r="J38" i="16"/>
  <c r="I38" i="16"/>
  <c r="I50" i="16"/>
  <c r="J122" i="16"/>
  <c r="N55" i="16"/>
  <c r="B105" i="16"/>
  <c r="N35" i="16"/>
  <c r="N52" i="16"/>
  <c r="J74" i="16"/>
  <c r="N37" i="16"/>
  <c r="I36" i="16"/>
  <c r="J56" i="16"/>
  <c r="N69" i="16"/>
  <c r="J34" i="16"/>
  <c r="N121" i="16"/>
  <c r="J91" i="16"/>
  <c r="N47" i="16"/>
  <c r="C1" i="16"/>
  <c r="N56" i="16"/>
  <c r="N53" i="16"/>
  <c r="I43" i="16"/>
  <c r="C3" i="16"/>
  <c r="I51" i="16"/>
  <c r="B44" i="16"/>
  <c r="J70" i="16"/>
  <c r="N34" i="16"/>
  <c r="J73" i="16"/>
  <c r="C5" i="16"/>
  <c r="I35" i="16"/>
  <c r="I53" i="16"/>
  <c r="J77" i="16"/>
  <c r="I70" i="16"/>
  <c r="N43" i="16"/>
  <c r="B109" i="16"/>
  <c r="B41" i="16"/>
  <c r="I48" i="16"/>
  <c r="C6" i="16"/>
  <c r="L34" i="31"/>
  <c r="J34" i="31"/>
  <c r="I34" i="31"/>
  <c r="N27" i="31"/>
  <c r="N20" i="31"/>
  <c r="N33" i="31"/>
  <c r="N34" i="31"/>
  <c r="C2" i="31"/>
  <c r="B19" i="31"/>
  <c r="C6" i="31"/>
  <c r="C7" i="31"/>
  <c r="C1" i="31"/>
  <c r="B23" i="31"/>
  <c r="E6" i="31"/>
  <c r="B3" i="31"/>
  <c r="C8" i="31"/>
  <c r="I33" i="31"/>
  <c r="I37" i="31"/>
  <c r="J33" i="31"/>
  <c r="N37" i="31"/>
  <c r="C5" i="31"/>
  <c r="N19" i="31"/>
  <c r="J37" i="31"/>
  <c r="N19" i="35"/>
  <c r="N48" i="35"/>
  <c r="C6" i="35"/>
  <c r="I50" i="35"/>
  <c r="L44" i="35"/>
  <c r="J50" i="35"/>
  <c r="I40" i="35"/>
  <c r="B23" i="35"/>
  <c r="I44" i="35"/>
  <c r="N27" i="35"/>
  <c r="J55" i="35"/>
  <c r="I62" i="35"/>
  <c r="B3" i="35"/>
  <c r="N37" i="35"/>
  <c r="B54" i="35"/>
  <c r="J46" i="35"/>
  <c r="J34" i="35"/>
  <c r="J37" i="35"/>
  <c r="N40" i="35"/>
  <c r="C2" i="35"/>
  <c r="B50" i="35"/>
  <c r="I37" i="35"/>
  <c r="J40" i="35"/>
  <c r="L34" i="35"/>
  <c r="I48" i="35"/>
  <c r="N50" i="35"/>
  <c r="I55" i="35"/>
  <c r="E6" i="35"/>
  <c r="I43" i="35"/>
  <c r="I34" i="35"/>
  <c r="N46" i="35"/>
  <c r="J44" i="35"/>
  <c r="N55" i="35"/>
  <c r="L38" i="35"/>
  <c r="B22" i="35"/>
  <c r="J48" i="35"/>
  <c r="B19" i="35"/>
  <c r="I36" i="35"/>
  <c r="N43" i="35"/>
  <c r="J62" i="35"/>
  <c r="L40" i="35"/>
  <c r="N34" i="35"/>
  <c r="J36" i="35"/>
  <c r="C7" i="35"/>
  <c r="C8" i="35"/>
  <c r="J43" i="35"/>
  <c r="J38" i="35"/>
  <c r="N44" i="35"/>
  <c r="I38" i="35"/>
  <c r="C5" i="35"/>
  <c r="N20" i="35"/>
  <c r="L50" i="35"/>
  <c r="I46" i="35"/>
  <c r="N38" i="35"/>
  <c r="C1" i="35"/>
  <c r="N36" i="35"/>
  <c r="J68" i="26"/>
  <c r="N27" i="26"/>
  <c r="L38" i="26"/>
  <c r="I38" i="26"/>
  <c r="C1" i="26"/>
  <c r="I37" i="26"/>
  <c r="L37" i="26"/>
  <c r="C8" i="26"/>
  <c r="I67" i="26"/>
  <c r="B19" i="26"/>
  <c r="N38" i="26"/>
  <c r="J35" i="26"/>
  <c r="C7" i="26"/>
  <c r="I49" i="26"/>
  <c r="N71" i="26"/>
  <c r="I50" i="26"/>
  <c r="J34" i="26"/>
  <c r="J37" i="26"/>
  <c r="N34" i="26"/>
  <c r="E6" i="26"/>
  <c r="B22" i="26"/>
  <c r="J38" i="26"/>
  <c r="B50" i="26"/>
  <c r="J71" i="26"/>
  <c r="N70" i="26"/>
  <c r="I34" i="26"/>
  <c r="N33" i="26"/>
  <c r="I70" i="26"/>
  <c r="I35" i="26"/>
  <c r="N68" i="26"/>
  <c r="C6" i="26"/>
  <c r="J67" i="26"/>
  <c r="I33" i="26"/>
  <c r="L50" i="26"/>
  <c r="J49" i="26"/>
  <c r="B3" i="26"/>
  <c r="B23" i="26"/>
  <c r="N19" i="26"/>
  <c r="N50" i="26"/>
  <c r="C5" i="26"/>
  <c r="N20" i="26"/>
  <c r="N35" i="26"/>
  <c r="N67" i="26"/>
  <c r="I68" i="26"/>
  <c r="L35" i="26"/>
  <c r="N37" i="26"/>
  <c r="I71" i="26"/>
  <c r="B54" i="26"/>
  <c r="C2" i="26"/>
  <c r="N49" i="26"/>
  <c r="J33" i="26"/>
  <c r="J50" i="26"/>
  <c r="J70" i="26"/>
  <c r="U11" i="65"/>
  <c r="U11" i="69"/>
  <c r="X11" i="65"/>
  <c r="Y11" i="68"/>
  <c r="Z17" i="68"/>
  <c r="U11" i="66"/>
  <c r="Y11" i="67"/>
  <c r="V11" i="66"/>
  <c r="U17" i="70"/>
  <c r="W17" i="66"/>
  <c r="W11" i="69"/>
  <c r="U17" i="68"/>
  <c r="Y11" i="69"/>
  <c r="V11" i="69"/>
  <c r="Y11" i="70"/>
  <c r="Z11" i="67"/>
  <c r="Z11" i="66"/>
  <c r="Z17" i="66"/>
  <c r="V17" i="68"/>
  <c r="V11" i="67"/>
  <c r="X11" i="67"/>
  <c r="X11" i="66"/>
  <c r="X17" i="66"/>
  <c r="U17" i="66"/>
  <c r="X11" i="70"/>
  <c r="V17" i="66"/>
  <c r="X11" i="69"/>
  <c r="X11" i="68"/>
  <c r="X17" i="70"/>
  <c r="W17" i="70"/>
  <c r="W17" i="68"/>
  <c r="Y17" i="66"/>
  <c r="U11" i="68"/>
  <c r="V17" i="70"/>
  <c r="V11" i="70"/>
  <c r="Y11" i="66"/>
  <c r="W11" i="66"/>
  <c r="U11" i="70"/>
  <c r="Z11" i="65"/>
  <c r="W11" i="67"/>
  <c r="Z11" i="69"/>
  <c r="V11" i="65"/>
  <c r="X17" i="68"/>
  <c r="Z11" i="68"/>
  <c r="W11" i="65"/>
  <c r="Y11" i="65"/>
  <c r="U11" i="67"/>
  <c r="Y17" i="70"/>
  <c r="Z11" i="70"/>
  <c r="Y17" i="68"/>
  <c r="W11" i="68"/>
  <c r="V11" i="68"/>
  <c r="Z17" i="70"/>
  <c r="W11" i="70"/>
  <c r="N26" i="6"/>
  <c r="C3" i="6"/>
  <c r="N26" i="9"/>
  <c r="C3" i="9"/>
  <c r="N26" i="16"/>
  <c r="C3" i="52"/>
  <c r="C3" i="53"/>
  <c r="AD17" i="54" l="1"/>
  <c r="AD18" i="54" s="1"/>
  <c r="AD17" i="63"/>
  <c r="AD18" i="63" s="1"/>
  <c r="AD17" i="61"/>
  <c r="AD18" i="61" s="1"/>
  <c r="AD17" i="53"/>
  <c r="AD18" i="53" s="1"/>
  <c r="AD17" i="52"/>
  <c r="AD18" i="52" s="1"/>
  <c r="AD17" i="51"/>
  <c r="AD18" i="51" s="1"/>
  <c r="AD17" i="9"/>
  <c r="AD18" i="9" s="1"/>
  <c r="AD17" i="18"/>
  <c r="AD18" i="18" s="1"/>
  <c r="AD17" i="29"/>
  <c r="AD18" i="29" s="1"/>
  <c r="AD17" i="4"/>
  <c r="AD18" i="4" s="1"/>
  <c r="AD17" i="21"/>
  <c r="AD18" i="21" s="1"/>
  <c r="AD17" i="7"/>
  <c r="AD18" i="7" s="1"/>
  <c r="AD17" i="36"/>
  <c r="AD18" i="36" s="1"/>
  <c r="AD17" i="30"/>
  <c r="AD18" i="30" s="1"/>
  <c r="AD17" i="20"/>
  <c r="AD18" i="20" s="1"/>
  <c r="AC17" i="24"/>
  <c r="AC18" i="24" s="1"/>
  <c r="AD17" i="33"/>
  <c r="AD18" i="33" s="1"/>
  <c r="AD17" i="25"/>
  <c r="AD18" i="25" s="1"/>
  <c r="AD17" i="23"/>
  <c r="AD18" i="23" s="1"/>
  <c r="AD17" i="15"/>
  <c r="AD18" i="15" s="1"/>
  <c r="AD17" i="32"/>
  <c r="AD18" i="32" s="1"/>
  <c r="AD17" i="34"/>
  <c r="AD18" i="34" s="1"/>
  <c r="AD17" i="28"/>
  <c r="AD18" i="28" s="1"/>
  <c r="AD17" i="11"/>
  <c r="AD18" i="11" s="1"/>
  <c r="AD17" i="27"/>
  <c r="AD18" i="27" s="1"/>
  <c r="AD17" i="19"/>
  <c r="AD18" i="19" s="1"/>
  <c r="AD17" i="22"/>
  <c r="AD18" i="22" s="1"/>
  <c r="AD17" i="16"/>
  <c r="AD18" i="16" s="1"/>
  <c r="AD17" i="31"/>
  <c r="AD18" i="31" s="1"/>
  <c r="AD17" i="35"/>
  <c r="AD18" i="35" s="1"/>
  <c r="AD17" i="69"/>
  <c r="AD18" i="69" s="1"/>
  <c r="AD17" i="67"/>
  <c r="AD18" i="67" s="1"/>
  <c r="AD17" i="65"/>
  <c r="AD18" i="65" s="1"/>
  <c r="AD17" i="26"/>
  <c r="AD18" i="26" s="1"/>
  <c r="AA96" i="23"/>
  <c r="AA71" i="26"/>
  <c r="AA68" i="26"/>
  <c r="AA35" i="26"/>
  <c r="AA70" i="26"/>
  <c r="AA50" i="26"/>
  <c r="AA67" i="26"/>
  <c r="AA38" i="26"/>
  <c r="AA34" i="31"/>
  <c r="AA48" i="16"/>
  <c r="AA53" i="16"/>
  <c r="AA35" i="16"/>
  <c r="AA51" i="16"/>
  <c r="AA43" i="16"/>
  <c r="AA36" i="16"/>
  <c r="AA50" i="16"/>
  <c r="AA38" i="16"/>
  <c r="AA41" i="16"/>
  <c r="AA40" i="16"/>
  <c r="AA122" i="16"/>
  <c r="AA37" i="16"/>
  <c r="AA52" i="16"/>
  <c r="AA45" i="16"/>
  <c r="AA47" i="16"/>
  <c r="AA44" i="16"/>
  <c r="AA92" i="16"/>
  <c r="AA121" i="16"/>
  <c r="AA74" i="16"/>
  <c r="AA49" i="16"/>
  <c r="AA77" i="16"/>
  <c r="AA54" i="16"/>
  <c r="AA119" i="16"/>
  <c r="AA42" i="16"/>
  <c r="AA56" i="16"/>
  <c r="AA39" i="16"/>
  <c r="AA60" i="16"/>
  <c r="AA46" i="22"/>
  <c r="AA72" i="22"/>
  <c r="AA34" i="22"/>
  <c r="AA71" i="22"/>
  <c r="AA69" i="22"/>
  <c r="AA66" i="19"/>
  <c r="AA64" i="19"/>
  <c r="AA34" i="19"/>
  <c r="AA47" i="19"/>
  <c r="AA67" i="19"/>
  <c r="AA34" i="27"/>
  <c r="AA35" i="11"/>
  <c r="AA79" i="11"/>
  <c r="AA78" i="11"/>
  <c r="AA55" i="11"/>
  <c r="AA76" i="11"/>
  <c r="AA56" i="28"/>
  <c r="AA61" i="28"/>
  <c r="AA62" i="28"/>
  <c r="AA39" i="28"/>
  <c r="AA35" i="28"/>
  <c r="AA47" i="28"/>
  <c r="AA49" i="34"/>
  <c r="AA50" i="34"/>
  <c r="AA34" i="32"/>
  <c r="AA66" i="15"/>
  <c r="AA62" i="15"/>
  <c r="AA45" i="15"/>
  <c r="AA67" i="15"/>
  <c r="AA64" i="15"/>
  <c r="AA35" i="15"/>
  <c r="AA95" i="23"/>
  <c r="AF95" i="23" s="1"/>
  <c r="AA98" i="23"/>
  <c r="AA34" i="23"/>
  <c r="AA56" i="23"/>
  <c r="AA34" i="25"/>
  <c r="AA34" i="33"/>
  <c r="Z43" i="24"/>
  <c r="Z34" i="24"/>
  <c r="AA59" i="20"/>
  <c r="AA34" i="20"/>
  <c r="AA60" i="20"/>
  <c r="AA41" i="20"/>
  <c r="AA57" i="20"/>
  <c r="AA72" i="30"/>
  <c r="AA74" i="30"/>
  <c r="AA35" i="30"/>
  <c r="AA38" i="30"/>
  <c r="AA75" i="30"/>
  <c r="AA50" i="30"/>
  <c r="AA43" i="36"/>
  <c r="AA63" i="36"/>
  <c r="AA35" i="36"/>
  <c r="AA52" i="36"/>
  <c r="AA50" i="7"/>
  <c r="AF50" i="7" s="1"/>
  <c r="AA34" i="7"/>
  <c r="AA54" i="7"/>
  <c r="AA51" i="7"/>
  <c r="AF51" i="7" s="1"/>
  <c r="AA48" i="7"/>
  <c r="AA74" i="21"/>
  <c r="AA71" i="21"/>
  <c r="AA73" i="21"/>
  <c r="AA47" i="21"/>
  <c r="AA34" i="21"/>
  <c r="AA71" i="4"/>
  <c r="AA55" i="4"/>
  <c r="AA35" i="4"/>
  <c r="AA96" i="4"/>
  <c r="AA94" i="4"/>
  <c r="AA58" i="4"/>
  <c r="AA97" i="4"/>
  <c r="AA73" i="29"/>
  <c r="AA50" i="29"/>
  <c r="AA76" i="29"/>
  <c r="AA38" i="29"/>
  <c r="AA75" i="29"/>
  <c r="AA35" i="29"/>
  <c r="AA64" i="18"/>
  <c r="AA34" i="18"/>
  <c r="AA61" i="18"/>
  <c r="AA42" i="18"/>
  <c r="AA63" i="18"/>
  <c r="AA122" i="9"/>
  <c r="AA121" i="9"/>
  <c r="AA76" i="9"/>
  <c r="AA35" i="9"/>
  <c r="AA93" i="9"/>
  <c r="AA119" i="9"/>
  <c r="AA62" i="9"/>
  <c r="AA79" i="9"/>
  <c r="AA62" i="51"/>
  <c r="AA88" i="51"/>
  <c r="AA79" i="51"/>
  <c r="AA96" i="51"/>
  <c r="AA35" i="51"/>
  <c r="AA98" i="51"/>
  <c r="AA99" i="51"/>
  <c r="AA85" i="52"/>
  <c r="AA88" i="52"/>
  <c r="AA35" i="52"/>
  <c r="AA62" i="52"/>
  <c r="AA87" i="52"/>
  <c r="AA87" i="53"/>
  <c r="AA35" i="53"/>
  <c r="AA62" i="53"/>
  <c r="AA88" i="53"/>
  <c r="AA85" i="53"/>
  <c r="AA35" i="54"/>
  <c r="AA105" i="54"/>
  <c r="AA90" i="54"/>
  <c r="AA102" i="54"/>
  <c r="AA62" i="54"/>
  <c r="AA104" i="54"/>
  <c r="AA79" i="54"/>
  <c r="AF96" i="23"/>
  <c r="AA11" i="67"/>
  <c r="AA11" i="69"/>
  <c r="AF141" i="59"/>
  <c r="AI171" i="17"/>
  <c r="S53" i="34"/>
  <c r="S60" i="34" s="1"/>
  <c r="AD49" i="24"/>
  <c r="AA74" i="11"/>
  <c r="AA70" i="11"/>
  <c r="AA58" i="15"/>
  <c r="AA55" i="20"/>
  <c r="AA51" i="20"/>
  <c r="AD58" i="24"/>
  <c r="AI141" i="39"/>
  <c r="U53" i="34"/>
  <c r="U60" i="34" s="1"/>
  <c r="AE48" i="18"/>
  <c r="Y53" i="34"/>
  <c r="Y60" i="34" s="1"/>
  <c r="AF141" i="55"/>
  <c r="V53" i="34"/>
  <c r="V60" i="34" s="1"/>
  <c r="AD17" i="70"/>
  <c r="AD17" i="68"/>
  <c r="AD17" i="66"/>
  <c r="B9" i="67"/>
  <c r="B9" i="68"/>
  <c r="B9" i="69"/>
  <c r="B9" i="70"/>
  <c r="B9" i="66"/>
  <c r="B9" i="65"/>
  <c r="AA17" i="70"/>
  <c r="AA11" i="70" s="1"/>
  <c r="AA18" i="70" s="1"/>
  <c r="AA17" i="66"/>
  <c r="AA11" i="66" s="1"/>
  <c r="AA18" i="66" s="1"/>
  <c r="AA17" i="68"/>
  <c r="AA11" i="68" s="1"/>
  <c r="AA18" i="68" s="1"/>
  <c r="T64" i="28"/>
  <c r="P53" i="34"/>
  <c r="P60" i="34" s="1"/>
  <c r="X53" i="34"/>
  <c r="X60" i="34" s="1"/>
  <c r="T53" i="34"/>
  <c r="T60" i="34" s="1"/>
  <c r="X64" i="28"/>
  <c r="AI141" i="56"/>
  <c r="AH48" i="18"/>
  <c r="AG58" i="24"/>
  <c r="AG49" i="24"/>
  <c r="Z53" i="34"/>
  <c r="Z60" i="34" s="1"/>
  <c r="AA76" i="51"/>
  <c r="AA76" i="54"/>
  <c r="AA67" i="11"/>
  <c r="AA58" i="19"/>
  <c r="AA62" i="19"/>
  <c r="AA55" i="19"/>
  <c r="AA48" i="20"/>
  <c r="AA69" i="21"/>
  <c r="AA65" i="21"/>
  <c r="AA62" i="21"/>
  <c r="AA40" i="35"/>
  <c r="AA55" i="35"/>
  <c r="AA44" i="35"/>
  <c r="AA34" i="35"/>
  <c r="AA42" i="34"/>
  <c r="AA38" i="34"/>
  <c r="AA56" i="34"/>
  <c r="AA35" i="34"/>
  <c r="AA79" i="52"/>
  <c r="AA83" i="52"/>
  <c r="AA76" i="52"/>
  <c r="AA79" i="53"/>
  <c r="AA83" i="53"/>
  <c r="Q64" i="28"/>
  <c r="Y64" i="28"/>
  <c r="AF141" i="39"/>
  <c r="AG52" i="24"/>
  <c r="P64" i="28"/>
  <c r="V64" i="28"/>
  <c r="AG64" i="28"/>
  <c r="AI141" i="55"/>
  <c r="AD64" i="28"/>
  <c r="AN62" i="11"/>
  <c r="AA51" i="34"/>
  <c r="AI51" i="34" s="1"/>
  <c r="AH56" i="22"/>
  <c r="AF171" i="17"/>
  <c r="AF141" i="57"/>
  <c r="AM50" i="15"/>
  <c r="AI141" i="59"/>
  <c r="S100" i="23"/>
  <c r="AE56" i="22"/>
  <c r="R64" i="28"/>
  <c r="AH77" i="23"/>
  <c r="U100" i="23"/>
  <c r="AI141" i="57"/>
  <c r="AI141" i="58"/>
  <c r="AE77" i="23"/>
  <c r="S64" i="28"/>
  <c r="Z64" i="28"/>
  <c r="V100" i="23"/>
  <c r="AF141" i="56"/>
  <c r="O100" i="23"/>
  <c r="W100" i="23"/>
  <c r="P100" i="23"/>
  <c r="X100" i="23"/>
  <c r="O53" i="34"/>
  <c r="O60" i="34" s="1"/>
  <c r="Q100" i="23"/>
  <c r="Y100" i="23"/>
  <c r="AA47" i="7"/>
  <c r="AD48" i="35"/>
  <c r="R100" i="23"/>
  <c r="Z100" i="23"/>
  <c r="Q53" i="34"/>
  <c r="Q60" i="34" s="1"/>
  <c r="R53" i="34"/>
  <c r="R60" i="34" s="1"/>
  <c r="W53" i="34"/>
  <c r="W60" i="34" s="1"/>
  <c r="T100" i="23"/>
  <c r="AF141" i="58"/>
  <c r="AG91" i="52"/>
  <c r="AD91" i="52"/>
  <c r="AD102" i="51"/>
  <c r="AG77" i="21"/>
  <c r="Z49" i="24"/>
  <c r="AE49" i="24" s="1"/>
  <c r="Z58" i="24"/>
  <c r="Z40" i="24"/>
  <c r="AG100" i="23"/>
  <c r="AD100" i="23"/>
  <c r="AA58" i="34"/>
  <c r="AI58" i="34" s="1"/>
  <c r="O64" i="28"/>
  <c r="U64" i="28"/>
  <c r="W64" i="28"/>
  <c r="AM55" i="22"/>
  <c r="AA57" i="35"/>
  <c r="AF57" i="35" s="1"/>
  <c r="I31" i="5"/>
  <c r="I29" i="5"/>
  <c r="I30" i="5"/>
  <c r="B4" i="64"/>
  <c r="B4" i="62"/>
  <c r="B4" i="63"/>
  <c r="B4" i="61"/>
  <c r="B4" i="35"/>
  <c r="B4" i="27"/>
  <c r="B4" i="18"/>
  <c r="B4" i="58"/>
  <c r="B4" i="52"/>
  <c r="B4" i="39"/>
  <c r="B4" i="7"/>
  <c r="B4" i="32"/>
  <c r="B4" i="23"/>
  <c r="B4" i="37"/>
  <c r="B4" i="34"/>
  <c r="B4" i="29"/>
  <c r="B4" i="20"/>
  <c r="B4" i="11"/>
  <c r="B4" i="57"/>
  <c r="B4" i="51"/>
  <c r="B4" i="17"/>
  <c r="B4" i="26"/>
  <c r="B4" i="24"/>
  <c r="B4" i="4"/>
  <c r="B4" i="31"/>
  <c r="B4" i="22"/>
  <c r="B4" i="54"/>
  <c r="B4" i="56"/>
  <c r="B4" i="9"/>
  <c r="B4" i="36"/>
  <c r="B4" i="28"/>
  <c r="B4" i="19"/>
  <c r="B4" i="33"/>
  <c r="B4" i="25"/>
  <c r="B4" i="15"/>
  <c r="B4" i="59"/>
  <c r="B4" i="53"/>
  <c r="B4" i="55"/>
  <c r="B4" i="16"/>
  <c r="B4" i="30"/>
  <c r="B4" i="21"/>
  <c r="B4" i="6"/>
  <c r="D1" i="5"/>
  <c r="B9" i="62"/>
  <c r="B9" i="61"/>
  <c r="B9" i="63"/>
  <c r="B9" i="64"/>
  <c r="B9" i="32"/>
  <c r="B9" i="23"/>
  <c r="B9" i="6"/>
  <c r="B9" i="29"/>
  <c r="B9" i="20"/>
  <c r="B9" i="11"/>
  <c r="B9" i="58"/>
  <c r="B9" i="51"/>
  <c r="B9" i="39"/>
  <c r="B9" i="7"/>
  <c r="B9" i="26"/>
  <c r="B9" i="24"/>
  <c r="B9" i="4"/>
  <c r="B9" i="37"/>
  <c r="B9" i="36"/>
  <c r="B9" i="34"/>
  <c r="B9" i="31"/>
  <c r="B9" i="22"/>
  <c r="B9" i="54"/>
  <c r="B9" i="57"/>
  <c r="B9" i="9"/>
  <c r="B9" i="17"/>
  <c r="B9" i="28"/>
  <c r="B9" i="19"/>
  <c r="B9" i="33"/>
  <c r="B9" i="25"/>
  <c r="B9" i="15"/>
  <c r="B9" i="53"/>
  <c r="B9" i="56"/>
  <c r="B9" i="16"/>
  <c r="B9" i="30"/>
  <c r="B9" i="21"/>
  <c r="B9" i="35"/>
  <c r="B9" i="27"/>
  <c r="B9" i="18"/>
  <c r="B9" i="59"/>
  <c r="B9" i="52"/>
  <c r="B9" i="55"/>
  <c r="I28" i="5"/>
  <c r="I32" i="5"/>
  <c r="I33" i="5"/>
  <c r="AD17" i="64"/>
  <c r="AD17" i="62"/>
  <c r="AD17" i="56"/>
  <c r="AD17" i="59"/>
  <c r="AD17" i="55"/>
  <c r="AD17" i="6"/>
  <c r="AD17" i="58"/>
  <c r="AD17" i="39"/>
  <c r="AC17" i="37"/>
  <c r="AD17" i="57"/>
  <c r="AD17" i="17"/>
  <c r="M69" i="58"/>
  <c r="M42" i="58"/>
  <c r="M57" i="58"/>
  <c r="M87" i="58"/>
  <c r="M35" i="58"/>
  <c r="M55" i="58"/>
  <c r="M75" i="58"/>
  <c r="N145" i="58"/>
  <c r="M38" i="58"/>
  <c r="M48" i="58"/>
  <c r="M68" i="58"/>
  <c r="M78" i="58"/>
  <c r="M52" i="58"/>
  <c r="M62" i="58"/>
  <c r="M83" i="58"/>
  <c r="M77" i="58"/>
  <c r="M37" i="58"/>
  <c r="M45" i="58"/>
  <c r="N143" i="58"/>
  <c r="M39" i="58"/>
  <c r="M59" i="58"/>
  <c r="M79" i="58"/>
  <c r="M56" i="58"/>
  <c r="M36" i="58"/>
  <c r="M81" i="58"/>
  <c r="M76" i="58"/>
  <c r="N144" i="58"/>
  <c r="M85" i="58"/>
  <c r="M72" i="58"/>
  <c r="M58" i="58"/>
  <c r="M47" i="58"/>
  <c r="M67" i="58"/>
  <c r="M65" i="58"/>
  <c r="M49" i="58"/>
  <c r="M46" i="58"/>
  <c r="M66" i="58"/>
  <c r="G82" i="58"/>
  <c r="G43" i="58"/>
  <c r="AI122" i="58"/>
  <c r="K90" i="54"/>
  <c r="H2" i="54"/>
  <c r="K71" i="54"/>
  <c r="B62" i="54"/>
  <c r="B29" i="54"/>
  <c r="K79" i="54"/>
  <c r="M79" i="54"/>
  <c r="AA72" i="54"/>
  <c r="K72" i="54"/>
  <c r="N107" i="54"/>
  <c r="N108" i="54"/>
  <c r="M35" i="54"/>
  <c r="K35" i="54"/>
  <c r="M76" i="54"/>
  <c r="K76" i="54"/>
  <c r="M62" i="54"/>
  <c r="K62" i="54"/>
  <c r="K78" i="54"/>
  <c r="AA78" i="54"/>
  <c r="M78" i="54"/>
  <c r="AG108" i="54"/>
  <c r="M49" i="57"/>
  <c r="M81" i="57"/>
  <c r="N143" i="57"/>
  <c r="M57" i="57"/>
  <c r="M87" i="57"/>
  <c r="M36" i="57"/>
  <c r="M75" i="57"/>
  <c r="N144" i="57"/>
  <c r="M42" i="57"/>
  <c r="M62" i="57"/>
  <c r="M83" i="57"/>
  <c r="M38" i="57"/>
  <c r="M58" i="57"/>
  <c r="M78" i="57"/>
  <c r="N145" i="57"/>
  <c r="M37" i="57"/>
  <c r="M69" i="57"/>
  <c r="M46" i="57"/>
  <c r="M55" i="57"/>
  <c r="M79" i="57"/>
  <c r="M68" i="57"/>
  <c r="M76" i="57"/>
  <c r="M66" i="57"/>
  <c r="M35" i="57"/>
  <c r="M47" i="57"/>
  <c r="M45" i="57"/>
  <c r="M65" i="57"/>
  <c r="M77" i="57"/>
  <c r="M52" i="57"/>
  <c r="M48" i="57"/>
  <c r="M72" i="57"/>
  <c r="M67" i="57"/>
  <c r="M39" i="57"/>
  <c r="M56" i="57"/>
  <c r="M59" i="57"/>
  <c r="M85" i="57"/>
  <c r="G63" i="57"/>
  <c r="AI81" i="57"/>
  <c r="AI126" i="57"/>
  <c r="G82" i="57"/>
  <c r="G73" i="57"/>
  <c r="G43" i="57"/>
  <c r="AI122" i="57"/>
  <c r="K72" i="53"/>
  <c r="AA72" i="53"/>
  <c r="B62" i="53"/>
  <c r="B29" i="53"/>
  <c r="M35" i="53"/>
  <c r="K35" i="53"/>
  <c r="K83" i="53"/>
  <c r="N90" i="53"/>
  <c r="K76" i="53"/>
  <c r="M76" i="53"/>
  <c r="AA76" i="53"/>
  <c r="N91" i="53"/>
  <c r="M79" i="53"/>
  <c r="K79" i="53"/>
  <c r="K71" i="53"/>
  <c r="AA78" i="53"/>
  <c r="K78" i="53"/>
  <c r="M78" i="53"/>
  <c r="K62" i="53"/>
  <c r="M62" i="53"/>
  <c r="H2" i="53"/>
  <c r="M46" i="56"/>
  <c r="M66" i="56"/>
  <c r="M67" i="56"/>
  <c r="N144" i="56"/>
  <c r="M45" i="56"/>
  <c r="N143" i="56"/>
  <c r="M52" i="56"/>
  <c r="M48" i="56"/>
  <c r="M68" i="56"/>
  <c r="M47" i="56"/>
  <c r="M57" i="56"/>
  <c r="M87" i="56"/>
  <c r="M36" i="56"/>
  <c r="M56" i="56"/>
  <c r="M42" i="56"/>
  <c r="N145" i="56"/>
  <c r="M78" i="56"/>
  <c r="M72" i="56"/>
  <c r="M65" i="56"/>
  <c r="M69" i="56"/>
  <c r="M79" i="56"/>
  <c r="M55" i="56"/>
  <c r="M76" i="56"/>
  <c r="M77" i="56"/>
  <c r="M35" i="56"/>
  <c r="M75" i="56"/>
  <c r="M83" i="56"/>
  <c r="M38" i="56"/>
  <c r="M58" i="56"/>
  <c r="M81" i="56"/>
  <c r="M37" i="56"/>
  <c r="M39" i="56"/>
  <c r="M59" i="56"/>
  <c r="M62" i="56"/>
  <c r="M49" i="56"/>
  <c r="M85" i="56"/>
  <c r="G82" i="56"/>
  <c r="G73" i="56"/>
  <c r="AI88" i="56"/>
  <c r="AA145" i="56"/>
  <c r="G53" i="56"/>
  <c r="AI52" i="56"/>
  <c r="G43" i="56"/>
  <c r="AI81" i="56"/>
  <c r="G63" i="56"/>
  <c r="K71" i="52"/>
  <c r="K72" i="52"/>
  <c r="AA72" i="52"/>
  <c r="M62" i="52"/>
  <c r="K62" i="52"/>
  <c r="K83" i="52"/>
  <c r="B29" i="52"/>
  <c r="B62" i="52"/>
  <c r="H2" i="52"/>
  <c r="M78" i="52"/>
  <c r="AA78" i="52"/>
  <c r="K78" i="52"/>
  <c r="K79" i="52"/>
  <c r="M79" i="52"/>
  <c r="N90" i="52"/>
  <c r="M76" i="52"/>
  <c r="K76" i="52"/>
  <c r="N91" i="52"/>
  <c r="K35" i="52"/>
  <c r="M35" i="52"/>
  <c r="N145" i="55"/>
  <c r="M68" i="55"/>
  <c r="M47" i="55"/>
  <c r="M87" i="55"/>
  <c r="M67" i="55"/>
  <c r="N144" i="55"/>
  <c r="M49" i="55"/>
  <c r="M69" i="55"/>
  <c r="M42" i="55"/>
  <c r="M83" i="55"/>
  <c r="M58" i="55"/>
  <c r="M78" i="55"/>
  <c r="M72" i="55"/>
  <c r="M52" i="55"/>
  <c r="M35" i="55"/>
  <c r="M45" i="55"/>
  <c r="M39" i="55"/>
  <c r="M56" i="55"/>
  <c r="M76" i="55"/>
  <c r="M55" i="55"/>
  <c r="M38" i="55"/>
  <c r="M57" i="55"/>
  <c r="M37" i="55"/>
  <c r="M77" i="55"/>
  <c r="M59" i="55"/>
  <c r="M48" i="55"/>
  <c r="M62" i="55"/>
  <c r="M79" i="55"/>
  <c r="M65" i="55"/>
  <c r="M75" i="55"/>
  <c r="N143" i="55"/>
  <c r="M46" i="55"/>
  <c r="M66" i="55"/>
  <c r="M85" i="55"/>
  <c r="M81" i="55"/>
  <c r="M36" i="55"/>
  <c r="AI52" i="55"/>
  <c r="G53" i="55"/>
  <c r="AI126" i="55"/>
  <c r="AI122" i="55"/>
  <c r="AI88" i="55"/>
  <c r="AA145" i="55"/>
  <c r="G43" i="55"/>
  <c r="AI123" i="55"/>
  <c r="G73" i="55"/>
  <c r="AI124" i="55"/>
  <c r="AI125" i="55"/>
  <c r="AI121" i="55"/>
  <c r="N101" i="51"/>
  <c r="H2" i="51"/>
  <c r="K78" i="51"/>
  <c r="AA78" i="51"/>
  <c r="M78" i="51"/>
  <c r="AA72" i="51"/>
  <c r="K72" i="51"/>
  <c r="K35" i="51"/>
  <c r="M35" i="51"/>
  <c r="M76" i="51"/>
  <c r="K76" i="51"/>
  <c r="N102" i="51"/>
  <c r="K79" i="51"/>
  <c r="M79" i="51"/>
  <c r="M62" i="51"/>
  <c r="K62" i="51"/>
  <c r="K71" i="51"/>
  <c r="B62" i="51"/>
  <c r="B29" i="51"/>
  <c r="K88" i="51"/>
  <c r="N143" i="39"/>
  <c r="M81" i="39"/>
  <c r="M75" i="39"/>
  <c r="N144" i="39"/>
  <c r="M62" i="39"/>
  <c r="M49" i="39"/>
  <c r="M52" i="39"/>
  <c r="M65" i="39"/>
  <c r="M48" i="39"/>
  <c r="M39" i="39"/>
  <c r="M42" i="39"/>
  <c r="M66" i="39"/>
  <c r="M46" i="39"/>
  <c r="M76" i="39"/>
  <c r="M56" i="39"/>
  <c r="N145" i="39"/>
  <c r="M35" i="39"/>
  <c r="M57" i="39"/>
  <c r="M58" i="39"/>
  <c r="M79" i="39"/>
  <c r="M67" i="39"/>
  <c r="M36" i="39"/>
  <c r="M47" i="39"/>
  <c r="M69" i="39"/>
  <c r="M83" i="39"/>
  <c r="M59" i="39"/>
  <c r="M55" i="39"/>
  <c r="M77" i="39"/>
  <c r="M68" i="39"/>
  <c r="M37" i="39"/>
  <c r="M78" i="39"/>
  <c r="M45" i="39"/>
  <c r="M87" i="39"/>
  <c r="M38" i="39"/>
  <c r="M72" i="39"/>
  <c r="M85" i="39"/>
  <c r="G73" i="39"/>
  <c r="G43" i="39"/>
  <c r="G53" i="39"/>
  <c r="AI81" i="39"/>
  <c r="G82" i="39"/>
  <c r="G63" i="39"/>
  <c r="AI62" i="39"/>
  <c r="M78" i="9"/>
  <c r="AA78" i="9"/>
  <c r="K78" i="9"/>
  <c r="M35" i="9"/>
  <c r="K35" i="9"/>
  <c r="K93" i="9"/>
  <c r="M79" i="9"/>
  <c r="K79" i="9"/>
  <c r="K72" i="9"/>
  <c r="AA72" i="9"/>
  <c r="N124" i="9"/>
  <c r="B62" i="9"/>
  <c r="B29" i="9"/>
  <c r="K76" i="9"/>
  <c r="M76" i="9"/>
  <c r="N125" i="9"/>
  <c r="K71" i="9"/>
  <c r="M62" i="9"/>
  <c r="K62" i="9"/>
  <c r="H2" i="9"/>
  <c r="M59" i="18"/>
  <c r="AA59" i="18"/>
  <c r="K59" i="18"/>
  <c r="K54" i="18"/>
  <c r="M54" i="18"/>
  <c r="AA54" i="18"/>
  <c r="N66" i="18"/>
  <c r="M55" i="18"/>
  <c r="AA55" i="18"/>
  <c r="K55" i="18"/>
  <c r="K42" i="18"/>
  <c r="AA48" i="18"/>
  <c r="K48" i="18"/>
  <c r="B29" i="18"/>
  <c r="B58" i="18"/>
  <c r="AA52" i="18"/>
  <c r="M52" i="18"/>
  <c r="K52" i="18"/>
  <c r="K47" i="18"/>
  <c r="K34" i="18"/>
  <c r="N67" i="18"/>
  <c r="M43" i="37"/>
  <c r="M59" i="37"/>
  <c r="M49" i="37"/>
  <c r="M91" i="37"/>
  <c r="M72" i="37"/>
  <c r="M80" i="37"/>
  <c r="AH49" i="37"/>
  <c r="AG52" i="37"/>
  <c r="AG51" i="37"/>
  <c r="AH59" i="37"/>
  <c r="AK36" i="37"/>
  <c r="AH36" i="37"/>
  <c r="AI36" i="37"/>
  <c r="L44" i="37"/>
  <c r="M44" i="37" s="1"/>
  <c r="K35" i="29"/>
  <c r="M35" i="29"/>
  <c r="N78" i="29"/>
  <c r="M38" i="29"/>
  <c r="K38" i="29"/>
  <c r="K50" i="29"/>
  <c r="N79" i="29"/>
  <c r="AA37" i="29"/>
  <c r="K37" i="29"/>
  <c r="M37" i="29"/>
  <c r="N100" i="4"/>
  <c r="N99" i="4"/>
  <c r="K58" i="4"/>
  <c r="M58" i="4"/>
  <c r="M57" i="4"/>
  <c r="K57" i="4"/>
  <c r="K71" i="4"/>
  <c r="K35" i="4"/>
  <c r="M35" i="4"/>
  <c r="K55" i="4"/>
  <c r="M55" i="4"/>
  <c r="K57" i="21"/>
  <c r="N76" i="21"/>
  <c r="B29" i="21"/>
  <c r="B57" i="21"/>
  <c r="N77" i="21"/>
  <c r="K69" i="21"/>
  <c r="M69" i="21"/>
  <c r="K47" i="21"/>
  <c r="K58" i="21"/>
  <c r="AA58" i="21"/>
  <c r="K64" i="21"/>
  <c r="M64" i="21"/>
  <c r="AA64" i="21"/>
  <c r="K62" i="21"/>
  <c r="M62" i="21"/>
  <c r="K65" i="21"/>
  <c r="M65" i="21"/>
  <c r="K34" i="21"/>
  <c r="AD77" i="21"/>
  <c r="K34" i="7"/>
  <c r="N76" i="7"/>
  <c r="N63" i="7"/>
  <c r="K54" i="7"/>
  <c r="N66" i="36"/>
  <c r="K35" i="36"/>
  <c r="K43" i="36"/>
  <c r="AA66" i="36"/>
  <c r="K52" i="36"/>
  <c r="N77" i="30"/>
  <c r="M38" i="30"/>
  <c r="K38" i="30"/>
  <c r="K37" i="30"/>
  <c r="AA37" i="30"/>
  <c r="M37" i="30"/>
  <c r="K50" i="30"/>
  <c r="M35" i="30"/>
  <c r="K35" i="30"/>
  <c r="N78" i="30"/>
  <c r="K43" i="20"/>
  <c r="M51" i="20"/>
  <c r="K51" i="20"/>
  <c r="N62" i="20"/>
  <c r="K55" i="20"/>
  <c r="K34" i="20"/>
  <c r="K41" i="20"/>
  <c r="K44" i="20"/>
  <c r="AA44" i="20"/>
  <c r="B29" i="20"/>
  <c r="B58" i="20"/>
  <c r="M48" i="20"/>
  <c r="K48" i="20"/>
  <c r="N63" i="20"/>
  <c r="M50" i="20"/>
  <c r="AA50" i="20"/>
  <c r="K50" i="20"/>
  <c r="AG63" i="20"/>
  <c r="M62" i="24"/>
  <c r="K34" i="24"/>
  <c r="Z52" i="24"/>
  <c r="AD52" i="24"/>
  <c r="M59" i="6"/>
  <c r="M144" i="6"/>
  <c r="M57" i="6"/>
  <c r="M38" i="6"/>
  <c r="M45" i="6"/>
  <c r="M53" i="6"/>
  <c r="M61" i="6"/>
  <c r="M102" i="6"/>
  <c r="M69" i="6"/>
  <c r="M95" i="6"/>
  <c r="M143" i="6"/>
  <c r="M56" i="6"/>
  <c r="M121" i="6"/>
  <c r="M91" i="6"/>
  <c r="M62" i="6"/>
  <c r="M136" i="6"/>
  <c r="M54" i="6"/>
  <c r="M47" i="6"/>
  <c r="M42" i="6"/>
  <c r="M58" i="6"/>
  <c r="M92" i="6"/>
  <c r="M131" i="6"/>
  <c r="M44" i="6"/>
  <c r="M39" i="6"/>
  <c r="M63" i="6"/>
  <c r="M72" i="6"/>
  <c r="M37" i="6"/>
  <c r="M103" i="6"/>
  <c r="M145" i="6"/>
  <c r="M98" i="6"/>
  <c r="M60" i="6"/>
  <c r="M142" i="6"/>
  <c r="M134" i="6"/>
  <c r="M64" i="6"/>
  <c r="M148" i="6"/>
  <c r="M120" i="6"/>
  <c r="M40" i="6"/>
  <c r="M89" i="6"/>
  <c r="M105" i="6"/>
  <c r="M75" i="6"/>
  <c r="M46" i="6"/>
  <c r="M41" i="6"/>
  <c r="M49" i="6"/>
  <c r="M119" i="6"/>
  <c r="M34" i="6"/>
  <c r="M65" i="6"/>
  <c r="M124" i="6"/>
  <c r="M130" i="6"/>
  <c r="M48" i="6"/>
  <c r="M82" i="6"/>
  <c r="M146" i="6"/>
  <c r="M99" i="6"/>
  <c r="M149" i="6"/>
  <c r="M125" i="6"/>
  <c r="M139" i="6"/>
  <c r="M66" i="6"/>
  <c r="M107" i="6"/>
  <c r="M122" i="6"/>
  <c r="M147" i="6"/>
  <c r="M51" i="6"/>
  <c r="M138" i="6"/>
  <c r="M127" i="6"/>
  <c r="M50" i="6"/>
  <c r="M52" i="6"/>
  <c r="M151" i="6"/>
  <c r="M108" i="6"/>
  <c r="M141" i="6"/>
  <c r="M137" i="6"/>
  <c r="M129" i="6"/>
  <c r="M35" i="6"/>
  <c r="M43" i="6"/>
  <c r="M67" i="6"/>
  <c r="M140" i="6"/>
  <c r="M55" i="6"/>
  <c r="M152" i="6"/>
  <c r="M90" i="6"/>
  <c r="M128" i="6"/>
  <c r="M135" i="6"/>
  <c r="M36" i="6"/>
  <c r="M86" i="6"/>
  <c r="M133" i="6"/>
  <c r="M123" i="6"/>
  <c r="M132" i="6"/>
  <c r="M126" i="6"/>
  <c r="M150" i="6"/>
  <c r="AI135" i="6"/>
  <c r="AI126" i="6"/>
  <c r="AI122" i="6"/>
  <c r="AI130" i="6"/>
  <c r="AI134" i="6"/>
  <c r="AI127" i="6"/>
  <c r="AI131" i="6"/>
  <c r="AI147" i="6"/>
  <c r="AI139" i="6"/>
  <c r="AI146" i="6"/>
  <c r="AI150" i="6"/>
  <c r="N54" i="25"/>
  <c r="K34" i="25"/>
  <c r="M34" i="25"/>
  <c r="B29" i="25"/>
  <c r="B51" i="23"/>
  <c r="B29" i="23"/>
  <c r="K34" i="23"/>
  <c r="M34" i="23"/>
  <c r="AA77" i="23"/>
  <c r="K56" i="23"/>
  <c r="M56" i="23"/>
  <c r="N100" i="23"/>
  <c r="AA55" i="15"/>
  <c r="K55" i="15"/>
  <c r="M55" i="15"/>
  <c r="K50" i="15"/>
  <c r="AA51" i="15"/>
  <c r="K51" i="15"/>
  <c r="N69" i="15"/>
  <c r="N70" i="15"/>
  <c r="K58" i="15"/>
  <c r="M58" i="15"/>
  <c r="M35" i="15"/>
  <c r="K35" i="15"/>
  <c r="K57" i="15"/>
  <c r="M57" i="15"/>
  <c r="AA57" i="15"/>
  <c r="M62" i="15"/>
  <c r="K62" i="15"/>
  <c r="K45" i="15"/>
  <c r="B29" i="15"/>
  <c r="B61" i="15"/>
  <c r="N38" i="32"/>
  <c r="AA36" i="32"/>
  <c r="K34" i="32"/>
  <c r="K37" i="34"/>
  <c r="AA37" i="34"/>
  <c r="M37" i="34"/>
  <c r="AA44" i="34"/>
  <c r="K42" i="34"/>
  <c r="M42" i="34"/>
  <c r="AA46" i="34"/>
  <c r="K49" i="34"/>
  <c r="K35" i="34"/>
  <c r="M35" i="34"/>
  <c r="M38" i="34"/>
  <c r="K38" i="34"/>
  <c r="AD53" i="34"/>
  <c r="AG53" i="34"/>
  <c r="M53" i="28"/>
  <c r="AA53" i="28"/>
  <c r="K39" i="28"/>
  <c r="K35" i="28"/>
  <c r="M35" i="28"/>
  <c r="N65" i="28"/>
  <c r="M47" i="28"/>
  <c r="K47" i="28"/>
  <c r="AA44" i="28"/>
  <c r="M44" i="28"/>
  <c r="N64" i="28"/>
  <c r="AA59" i="28"/>
  <c r="K56" i="28"/>
  <c r="M76" i="59"/>
  <c r="M37" i="59"/>
  <c r="M67" i="59"/>
  <c r="M77" i="59"/>
  <c r="M81" i="59"/>
  <c r="N143" i="59"/>
  <c r="M48" i="59"/>
  <c r="M58" i="59"/>
  <c r="N145" i="59"/>
  <c r="M42" i="59"/>
  <c r="M52" i="59"/>
  <c r="M72" i="59"/>
  <c r="M47" i="59"/>
  <c r="N144" i="59"/>
  <c r="M59" i="59"/>
  <c r="M69" i="59"/>
  <c r="M79" i="59"/>
  <c r="M65" i="59"/>
  <c r="M62" i="59"/>
  <c r="M83" i="59"/>
  <c r="M49" i="59"/>
  <c r="M45" i="59"/>
  <c r="M85" i="59"/>
  <c r="M56" i="59"/>
  <c r="M66" i="59"/>
  <c r="M87" i="59"/>
  <c r="M68" i="59"/>
  <c r="M35" i="59"/>
  <c r="M75" i="59"/>
  <c r="M38" i="59"/>
  <c r="M78" i="59"/>
  <c r="M88" i="59"/>
  <c r="M57" i="59"/>
  <c r="M39" i="59"/>
  <c r="M55" i="59"/>
  <c r="M36" i="59"/>
  <c r="M46" i="59"/>
  <c r="AI62" i="59"/>
  <c r="AI42" i="59"/>
  <c r="G43" i="59"/>
  <c r="G63" i="59"/>
  <c r="AI93" i="59"/>
  <c r="AI81" i="59"/>
  <c r="G82" i="59"/>
  <c r="G73" i="59"/>
  <c r="M67" i="11"/>
  <c r="K67" i="11"/>
  <c r="K74" i="11"/>
  <c r="K69" i="11"/>
  <c r="M69" i="11"/>
  <c r="AA69" i="11"/>
  <c r="B62" i="11"/>
  <c r="B29" i="11"/>
  <c r="N81" i="11"/>
  <c r="N82" i="11"/>
  <c r="M55" i="11"/>
  <c r="K55" i="11"/>
  <c r="M35" i="11"/>
  <c r="K35" i="11"/>
  <c r="M70" i="11"/>
  <c r="K70" i="11"/>
  <c r="K63" i="11"/>
  <c r="AA63" i="11"/>
  <c r="K62" i="11"/>
  <c r="AM62" i="11"/>
  <c r="N46" i="27"/>
  <c r="AA44" i="27"/>
  <c r="K34" i="27"/>
  <c r="K34" i="19"/>
  <c r="N70" i="19"/>
  <c r="K47" i="19"/>
  <c r="AA51" i="19"/>
  <c r="K51" i="19"/>
  <c r="B58" i="19"/>
  <c r="B29" i="19"/>
  <c r="M58" i="19"/>
  <c r="K58" i="19"/>
  <c r="AA57" i="19"/>
  <c r="M57" i="19"/>
  <c r="K57" i="19"/>
  <c r="N69" i="19"/>
  <c r="K62" i="19"/>
  <c r="K55" i="19"/>
  <c r="M55" i="19"/>
  <c r="K50" i="19"/>
  <c r="AA50" i="19"/>
  <c r="K46" i="22"/>
  <c r="AA56" i="22"/>
  <c r="K56" i="22"/>
  <c r="B58" i="22"/>
  <c r="B29" i="22"/>
  <c r="N74" i="22"/>
  <c r="AA63" i="22"/>
  <c r="K63" i="22"/>
  <c r="M63" i="22"/>
  <c r="N75" i="22"/>
  <c r="K62" i="22"/>
  <c r="M62" i="22"/>
  <c r="AA62" i="22"/>
  <c r="K67" i="22"/>
  <c r="M67" i="22"/>
  <c r="AA67" i="22"/>
  <c r="M60" i="22"/>
  <c r="AA60" i="22"/>
  <c r="K60" i="22"/>
  <c r="M34" i="22"/>
  <c r="K34" i="22"/>
  <c r="K55" i="22"/>
  <c r="M102" i="17"/>
  <c r="M97" i="17"/>
  <c r="M44" i="17"/>
  <c r="M41" i="17"/>
  <c r="M63" i="17"/>
  <c r="N173" i="17"/>
  <c r="N174" i="17"/>
  <c r="M64" i="17"/>
  <c r="M35" i="17"/>
  <c r="M55" i="17"/>
  <c r="M65" i="17"/>
  <c r="M75" i="17"/>
  <c r="M71" i="17"/>
  <c r="M66" i="17"/>
  <c r="M39" i="17"/>
  <c r="M59" i="17"/>
  <c r="M96" i="17"/>
  <c r="M36" i="17"/>
  <c r="M46" i="17"/>
  <c r="M56" i="17"/>
  <c r="M47" i="17"/>
  <c r="M48" i="17"/>
  <c r="M68" i="17"/>
  <c r="M72" i="17"/>
  <c r="M37" i="17"/>
  <c r="M57" i="17"/>
  <c r="M77" i="17"/>
  <c r="M95" i="17"/>
  <c r="M45" i="17"/>
  <c r="M53" i="17"/>
  <c r="M54" i="17"/>
  <c r="M74" i="17"/>
  <c r="M104" i="17"/>
  <c r="M99" i="17"/>
  <c r="M50" i="17"/>
  <c r="M62" i="17"/>
  <c r="M38" i="17"/>
  <c r="M73" i="17"/>
  <c r="AI147" i="17"/>
  <c r="G51" i="17"/>
  <c r="AI50" i="17"/>
  <c r="AI142" i="17"/>
  <c r="AI143" i="17"/>
  <c r="AI145" i="17"/>
  <c r="AI111" i="17"/>
  <c r="AI68" i="17"/>
  <c r="G42" i="17"/>
  <c r="G60" i="17"/>
  <c r="K45" i="16"/>
  <c r="K35" i="16"/>
  <c r="K77" i="16"/>
  <c r="M77" i="16"/>
  <c r="K38" i="16"/>
  <c r="K48" i="16"/>
  <c r="B51" i="16"/>
  <c r="K47" i="16"/>
  <c r="K92" i="16"/>
  <c r="K39" i="16"/>
  <c r="K70" i="16"/>
  <c r="N125" i="16"/>
  <c r="K60" i="16"/>
  <c r="M60" i="16"/>
  <c r="K69" i="16"/>
  <c r="N124" i="16"/>
  <c r="K42" i="16"/>
  <c r="K41" i="16"/>
  <c r="K43" i="16"/>
  <c r="K36" i="16"/>
  <c r="M74" i="16"/>
  <c r="K74" i="16"/>
  <c r="K44" i="16"/>
  <c r="M76" i="16"/>
  <c r="AA76" i="16"/>
  <c r="K76" i="16"/>
  <c r="K37" i="16"/>
  <c r="AM55" i="16"/>
  <c r="AN55" i="16"/>
  <c r="AA70" i="16"/>
  <c r="K34" i="31"/>
  <c r="N39" i="31"/>
  <c r="AA37" i="31"/>
  <c r="AA46" i="35"/>
  <c r="K38" i="35"/>
  <c r="AA38" i="35"/>
  <c r="M38" i="35"/>
  <c r="K44" i="35"/>
  <c r="M44" i="35"/>
  <c r="M50" i="35"/>
  <c r="K50" i="35"/>
  <c r="K34" i="35"/>
  <c r="M34" i="35"/>
  <c r="AA48" i="35"/>
  <c r="M40" i="35"/>
  <c r="K40" i="35"/>
  <c r="K50" i="26"/>
  <c r="K38" i="26"/>
  <c r="M38" i="26"/>
  <c r="K35" i="26"/>
  <c r="M35" i="26"/>
  <c r="N74" i="26"/>
  <c r="N73" i="26"/>
  <c r="M37" i="26"/>
  <c r="AA37" i="26"/>
  <c r="K37" i="26"/>
  <c r="AA46" i="27"/>
  <c r="AM50" i="19"/>
  <c r="AN71" i="54"/>
  <c r="AN55" i="22"/>
  <c r="AN50" i="19"/>
  <c r="AM71" i="54"/>
  <c r="AN50" i="15"/>
  <c r="N66" i="33"/>
  <c r="K34" i="33"/>
  <c r="M83" i="53"/>
  <c r="M83" i="52"/>
  <c r="M35" i="36"/>
  <c r="M55" i="20"/>
  <c r="M74" i="11"/>
  <c r="M62" i="19"/>
  <c r="AH136" i="57"/>
  <c r="AH62" i="53"/>
  <c r="AH140" i="56"/>
  <c r="AH62" i="52"/>
  <c r="AH132" i="57"/>
  <c r="AH136" i="56"/>
  <c r="AH41" i="20"/>
  <c r="AH130" i="57"/>
  <c r="AH134" i="56"/>
  <c r="AH140" i="57"/>
  <c r="AH132" i="56"/>
  <c r="AH47" i="19"/>
  <c r="AH138" i="57"/>
  <c r="AH130" i="56"/>
  <c r="AH134" i="57"/>
  <c r="AH138" i="56"/>
  <c r="AH138" i="59"/>
  <c r="AH130" i="59"/>
  <c r="AH134" i="59"/>
  <c r="AH55" i="11"/>
  <c r="AH132" i="59"/>
  <c r="AH140" i="59"/>
  <c r="AH136" i="59"/>
  <c r="M88" i="51"/>
  <c r="M50" i="30"/>
  <c r="M56" i="28"/>
  <c r="AE62" i="9"/>
  <c r="AE64" i="9"/>
  <c r="AE70" i="9"/>
  <c r="AE63" i="9"/>
  <c r="AH70" i="9"/>
  <c r="AH64" i="9"/>
  <c r="AH63" i="9"/>
  <c r="AB134" i="66"/>
  <c r="AB128" i="66"/>
  <c r="AB130" i="66"/>
  <c r="AB126" i="66"/>
  <c r="AB132" i="66"/>
  <c r="AB136" i="66"/>
  <c r="AF94" i="37"/>
  <c r="AE60" i="16"/>
  <c r="AE62" i="16"/>
  <c r="AE68" i="16"/>
  <c r="AE61" i="16"/>
  <c r="AH61" i="16"/>
  <c r="AH68" i="16"/>
  <c r="AH67" i="16"/>
  <c r="AH66" i="16"/>
  <c r="AH62" i="16"/>
  <c r="AH134" i="58"/>
  <c r="AH130" i="39"/>
  <c r="AH130" i="55"/>
  <c r="AH170" i="17"/>
  <c r="AH128" i="66"/>
  <c r="AH134" i="55"/>
  <c r="AH132" i="55"/>
  <c r="AH126" i="66"/>
  <c r="AH136" i="55"/>
  <c r="AH132" i="39"/>
  <c r="AE60" i="65"/>
  <c r="AE61" i="65"/>
  <c r="AE68" i="65"/>
  <c r="AE62" i="65"/>
  <c r="AH62" i="65"/>
  <c r="AH61" i="65"/>
  <c r="AH68" i="65"/>
  <c r="AH130" i="58"/>
  <c r="AH159" i="17"/>
  <c r="AH167" i="17"/>
  <c r="AE62" i="51"/>
  <c r="AE64" i="51"/>
  <c r="AE70" i="51"/>
  <c r="AE63" i="51"/>
  <c r="AH64" i="51"/>
  <c r="AH63" i="51"/>
  <c r="AH70" i="51"/>
  <c r="AH132" i="58"/>
  <c r="AH138" i="39"/>
  <c r="AH140" i="55"/>
  <c r="AH165" i="17"/>
  <c r="AH132" i="66"/>
  <c r="AH140" i="39"/>
  <c r="AH136" i="66"/>
  <c r="AH163" i="17"/>
  <c r="AH140" i="58"/>
  <c r="AH136" i="58"/>
  <c r="AH45" i="15"/>
  <c r="AH138" i="55"/>
  <c r="AH62" i="51"/>
  <c r="AH154" i="17"/>
  <c r="AH130" i="66"/>
  <c r="AH62" i="54"/>
  <c r="AH152" i="17"/>
  <c r="AH136" i="39"/>
  <c r="AE74" i="23"/>
  <c r="AE58" i="23"/>
  <c r="AE56" i="23"/>
  <c r="AH74" i="23"/>
  <c r="AH58" i="23"/>
  <c r="AH60" i="65"/>
  <c r="AH62" i="9"/>
  <c r="AH156" i="17"/>
  <c r="AE63" i="54"/>
  <c r="AE62" i="54"/>
  <c r="AE64" i="54"/>
  <c r="AE70" i="54"/>
  <c r="AH70" i="54"/>
  <c r="AH64" i="54"/>
  <c r="AH63" i="54"/>
  <c r="AE46" i="15"/>
  <c r="AE45" i="15"/>
  <c r="AE47" i="15"/>
  <c r="AE49" i="15"/>
  <c r="AH46" i="15"/>
  <c r="AH49" i="15"/>
  <c r="AH48" i="15"/>
  <c r="AH47" i="15"/>
  <c r="AH138" i="58"/>
  <c r="AH134" i="39"/>
  <c r="AH56" i="23"/>
  <c r="AH161" i="17"/>
  <c r="AH134" i="66"/>
  <c r="AH60" i="16"/>
  <c r="M90" i="54"/>
  <c r="M93" i="9"/>
  <c r="M50" i="29"/>
  <c r="M71" i="4"/>
  <c r="M52" i="36"/>
  <c r="M43" i="36"/>
  <c r="M34" i="32"/>
  <c r="M34" i="27"/>
  <c r="M92" i="16"/>
  <c r="M34" i="31"/>
  <c r="M50" i="26"/>
  <c r="F1" i="5"/>
  <c r="M61" i="58"/>
  <c r="M50" i="58"/>
  <c r="M51" i="58"/>
  <c r="N26" i="58"/>
  <c r="C3" i="58"/>
  <c r="M71" i="58"/>
  <c r="M80" i="58"/>
  <c r="M40" i="58"/>
  <c r="M86" i="58"/>
  <c r="M70" i="58"/>
  <c r="M41" i="58"/>
  <c r="M60" i="58"/>
  <c r="N1" i="54"/>
  <c r="A80" i="63"/>
  <c r="A14" i="63"/>
  <c r="A47" i="63"/>
  <c r="A80" i="61"/>
  <c r="A47" i="61"/>
  <c r="A14" i="61"/>
  <c r="N26" i="57"/>
  <c r="M71" i="57"/>
  <c r="M80" i="57"/>
  <c r="M40" i="57"/>
  <c r="M70" i="57"/>
  <c r="M86" i="57"/>
  <c r="M50" i="57"/>
  <c r="M41" i="57"/>
  <c r="C3" i="57"/>
  <c r="M61" i="57"/>
  <c r="M51" i="57"/>
  <c r="M60" i="57"/>
  <c r="N1" i="53"/>
  <c r="M51" i="56"/>
  <c r="M80" i="56"/>
  <c r="M40" i="56"/>
  <c r="N26" i="56"/>
  <c r="M41" i="56"/>
  <c r="M71" i="56"/>
  <c r="M61" i="56"/>
  <c r="C3" i="56"/>
  <c r="M60" i="56"/>
  <c r="M86" i="56"/>
  <c r="M70" i="56"/>
  <c r="M50" i="56"/>
  <c r="N1" i="52"/>
  <c r="N26" i="55"/>
  <c r="M80" i="55"/>
  <c r="M70" i="55"/>
  <c r="M86" i="55"/>
  <c r="M40" i="55"/>
  <c r="M50" i="55"/>
  <c r="M41" i="55"/>
  <c r="M61" i="55"/>
  <c r="M60" i="55"/>
  <c r="C3" i="55"/>
  <c r="M51" i="55"/>
  <c r="M71" i="55"/>
  <c r="N1" i="51"/>
  <c r="M70" i="39"/>
  <c r="M41" i="39"/>
  <c r="M60" i="39"/>
  <c r="M86" i="39"/>
  <c r="N26" i="39"/>
  <c r="M61" i="39"/>
  <c r="M50" i="39"/>
  <c r="M51" i="39"/>
  <c r="M80" i="39"/>
  <c r="C3" i="39"/>
  <c r="M40" i="39"/>
  <c r="M71" i="39"/>
  <c r="N1" i="9"/>
  <c r="M42" i="18"/>
  <c r="C3" i="18"/>
  <c r="N26" i="18"/>
  <c r="M34" i="18"/>
  <c r="N26" i="29"/>
  <c r="C3" i="29"/>
  <c r="N26" i="4"/>
  <c r="C3" i="4"/>
  <c r="C3" i="21"/>
  <c r="M34" i="21"/>
  <c r="N26" i="21"/>
  <c r="M47" i="21"/>
  <c r="C3" i="7"/>
  <c r="M54" i="7"/>
  <c r="M34" i="7"/>
  <c r="N26" i="7"/>
  <c r="N26" i="36"/>
  <c r="C3" i="36"/>
  <c r="N26" i="30"/>
  <c r="C3" i="30"/>
  <c r="M41" i="20"/>
  <c r="N26" i="20"/>
  <c r="M34" i="20"/>
  <c r="C3" i="20"/>
  <c r="N26" i="33"/>
  <c r="C3" i="33"/>
  <c r="M34" i="33"/>
  <c r="M76" i="6"/>
  <c r="M111" i="6"/>
  <c r="M106" i="6"/>
  <c r="M81" i="6"/>
  <c r="M78" i="6"/>
  <c r="M100" i="6"/>
  <c r="M94" i="6"/>
  <c r="M79" i="6"/>
  <c r="M113" i="6"/>
  <c r="M77" i="6"/>
  <c r="M83" i="6"/>
  <c r="M104" i="6"/>
  <c r="M115" i="6"/>
  <c r="M88" i="6"/>
  <c r="M73" i="6"/>
  <c r="M97" i="6"/>
  <c r="M93" i="6"/>
  <c r="M116" i="6"/>
  <c r="M101" i="6"/>
  <c r="M80" i="6"/>
  <c r="M110" i="6"/>
  <c r="M84" i="6"/>
  <c r="M96" i="6"/>
  <c r="M85" i="6"/>
  <c r="M87" i="6"/>
  <c r="M109" i="6"/>
  <c r="M112" i="6"/>
  <c r="M74" i="6"/>
  <c r="M114" i="6"/>
  <c r="M68" i="6"/>
  <c r="N26" i="25"/>
  <c r="N26" i="23"/>
  <c r="C3" i="23"/>
  <c r="N26" i="15"/>
  <c r="M45" i="15"/>
  <c r="C3" i="15"/>
  <c r="C3" i="32"/>
  <c r="N26" i="32"/>
  <c r="M49" i="34"/>
  <c r="N26" i="34"/>
  <c r="C3" i="34"/>
  <c r="M50" i="34"/>
  <c r="N26" i="28"/>
  <c r="M39" i="28"/>
  <c r="C3" i="28"/>
  <c r="C3" i="59"/>
  <c r="M80" i="59"/>
  <c r="M71" i="59"/>
  <c r="M50" i="59"/>
  <c r="M40" i="59"/>
  <c r="M51" i="59"/>
  <c r="M41" i="59"/>
  <c r="N26" i="59"/>
  <c r="M60" i="59"/>
  <c r="M70" i="59"/>
  <c r="M86" i="59"/>
  <c r="M61" i="59"/>
  <c r="N26" i="27"/>
  <c r="C3" i="27"/>
  <c r="C3" i="19"/>
  <c r="M47" i="19"/>
  <c r="M34" i="19"/>
  <c r="N26" i="22"/>
  <c r="C3" i="22"/>
  <c r="M46" i="22"/>
  <c r="M76" i="17"/>
  <c r="M58" i="17"/>
  <c r="M49" i="17"/>
  <c r="M40" i="17"/>
  <c r="M67" i="17"/>
  <c r="M103" i="17"/>
  <c r="C3" i="31"/>
  <c r="N26" i="31"/>
  <c r="N26" i="35"/>
  <c r="C3" i="35"/>
  <c r="A14" i="69"/>
  <c r="A14" i="67"/>
  <c r="A111" i="65"/>
  <c r="A80" i="65"/>
  <c r="A47" i="65"/>
  <c r="A14" i="65"/>
  <c r="C3" i="26"/>
  <c r="N26" i="26"/>
  <c r="AF95" i="37" l="1"/>
  <c r="AF71" i="37" s="1"/>
  <c r="AF72" i="37" s="1"/>
  <c r="AF74" i="37" s="1"/>
  <c r="AF105" i="54"/>
  <c r="AB62" i="52"/>
  <c r="AF62" i="52"/>
  <c r="AF79" i="51"/>
  <c r="AF76" i="9"/>
  <c r="AF35" i="29"/>
  <c r="AF94" i="4"/>
  <c r="AB71" i="21"/>
  <c r="AF71" i="21"/>
  <c r="AF35" i="36"/>
  <c r="AF72" i="30"/>
  <c r="AB34" i="33"/>
  <c r="AF34" i="33"/>
  <c r="AF67" i="15"/>
  <c r="AF35" i="28"/>
  <c r="AB79" i="11"/>
  <c r="AF79" i="11"/>
  <c r="AB69" i="22"/>
  <c r="AF69" i="22"/>
  <c r="AF42" i="16"/>
  <c r="AB42" i="16"/>
  <c r="AF44" i="16"/>
  <c r="AF38" i="16"/>
  <c r="AF34" i="31"/>
  <c r="AF35" i="54"/>
  <c r="AB35" i="52"/>
  <c r="AF35" i="52"/>
  <c r="AF88" i="51"/>
  <c r="AF121" i="9"/>
  <c r="AF75" i="29"/>
  <c r="AF96" i="4"/>
  <c r="AF74" i="21"/>
  <c r="AF63" i="36"/>
  <c r="AB57" i="20"/>
  <c r="AF57" i="20"/>
  <c r="AB34" i="25"/>
  <c r="AF34" i="25"/>
  <c r="AF45" i="15"/>
  <c r="AF39" i="28"/>
  <c r="AB35" i="11"/>
  <c r="AF35" i="11"/>
  <c r="AB71" i="22"/>
  <c r="AF71" i="22"/>
  <c r="AF119" i="16"/>
  <c r="AF47" i="16"/>
  <c r="AF50" i="16"/>
  <c r="AF38" i="26"/>
  <c r="AB85" i="53"/>
  <c r="AF85" i="53"/>
  <c r="AB88" i="52"/>
  <c r="AF88" i="52"/>
  <c r="AF62" i="51"/>
  <c r="AF122" i="9"/>
  <c r="AF38" i="29"/>
  <c r="AF35" i="4"/>
  <c r="AF48" i="7"/>
  <c r="AF43" i="36"/>
  <c r="AB41" i="20"/>
  <c r="AF41" i="20"/>
  <c r="AF56" i="23"/>
  <c r="AF62" i="15"/>
  <c r="AF62" i="28"/>
  <c r="AF34" i="27"/>
  <c r="AB34" i="22"/>
  <c r="AF34" i="22"/>
  <c r="AF54" i="16"/>
  <c r="AF45" i="16"/>
  <c r="AB36" i="16"/>
  <c r="AF36" i="16"/>
  <c r="AF67" i="26"/>
  <c r="AF79" i="54"/>
  <c r="AB88" i="53"/>
  <c r="AF88" i="53"/>
  <c r="AB85" i="52"/>
  <c r="AF85" i="52"/>
  <c r="AF79" i="9"/>
  <c r="AB63" i="18"/>
  <c r="AF63" i="18"/>
  <c r="AF76" i="29"/>
  <c r="AF55" i="4"/>
  <c r="AF50" i="30"/>
  <c r="AB60" i="20"/>
  <c r="AF60" i="20"/>
  <c r="AF34" i="23"/>
  <c r="AF66" i="15"/>
  <c r="AF61" i="28"/>
  <c r="AB67" i="19"/>
  <c r="AF67" i="19"/>
  <c r="AB72" i="22"/>
  <c r="AF72" i="22"/>
  <c r="AB77" i="16"/>
  <c r="AF77" i="16"/>
  <c r="AF52" i="16"/>
  <c r="AF43" i="16"/>
  <c r="AF50" i="26"/>
  <c r="AF104" i="54"/>
  <c r="AB62" i="53"/>
  <c r="AF62" i="53"/>
  <c r="AF99" i="51"/>
  <c r="AF62" i="9"/>
  <c r="AB42" i="18"/>
  <c r="AF42" i="18"/>
  <c r="AF50" i="29"/>
  <c r="AF71" i="4"/>
  <c r="AB54" i="7"/>
  <c r="AF54" i="7"/>
  <c r="AF75" i="30"/>
  <c r="AF34" i="20"/>
  <c r="AB34" i="20"/>
  <c r="AF98" i="23"/>
  <c r="AF34" i="32"/>
  <c r="AF56" i="28"/>
  <c r="AB47" i="19"/>
  <c r="AF47" i="19"/>
  <c r="AB46" i="22"/>
  <c r="AF46" i="22"/>
  <c r="AF49" i="16"/>
  <c r="AF37" i="16"/>
  <c r="AF51" i="16"/>
  <c r="AB51" i="16"/>
  <c r="AF70" i="26"/>
  <c r="AF62" i="54"/>
  <c r="AB35" i="53"/>
  <c r="AF35" i="53"/>
  <c r="AF98" i="51"/>
  <c r="AF119" i="9"/>
  <c r="AB61" i="18"/>
  <c r="AF61" i="18"/>
  <c r="AF73" i="29"/>
  <c r="AF34" i="21"/>
  <c r="AB34" i="21"/>
  <c r="AB34" i="7"/>
  <c r="AF34" i="7"/>
  <c r="AF38" i="30"/>
  <c r="AB59" i="20"/>
  <c r="AF59" i="20"/>
  <c r="AB50" i="34"/>
  <c r="AF50" i="34"/>
  <c r="AB76" i="11"/>
  <c r="AF76" i="11"/>
  <c r="AB34" i="19"/>
  <c r="AF34" i="19"/>
  <c r="AF60" i="16"/>
  <c r="AF74" i="16"/>
  <c r="AF122" i="16"/>
  <c r="AF35" i="16"/>
  <c r="AF35" i="26"/>
  <c r="AF102" i="54"/>
  <c r="AB87" i="53"/>
  <c r="AF87" i="53"/>
  <c r="AF35" i="51"/>
  <c r="AF93" i="9"/>
  <c r="AB34" i="18"/>
  <c r="AF34" i="18"/>
  <c r="AF97" i="4"/>
  <c r="AF47" i="21"/>
  <c r="AB47" i="21"/>
  <c r="AF35" i="30"/>
  <c r="AA34" i="24"/>
  <c r="AE34" i="24"/>
  <c r="AF35" i="15"/>
  <c r="AB49" i="34"/>
  <c r="AF49" i="34"/>
  <c r="AB55" i="11"/>
  <c r="AF55" i="11"/>
  <c r="AB64" i="19"/>
  <c r="AF64" i="19"/>
  <c r="AF39" i="16"/>
  <c r="AF121" i="16"/>
  <c r="AF53" i="16"/>
  <c r="AF68" i="26"/>
  <c r="AF90" i="54"/>
  <c r="AB87" i="52"/>
  <c r="AF87" i="52"/>
  <c r="AF96" i="51"/>
  <c r="AF35" i="9"/>
  <c r="AB64" i="18"/>
  <c r="AF64" i="18"/>
  <c r="AF58" i="4"/>
  <c r="AF73" i="21"/>
  <c r="AB73" i="21"/>
  <c r="AF52" i="36"/>
  <c r="AF74" i="30"/>
  <c r="AA43" i="24"/>
  <c r="AE43" i="24"/>
  <c r="AF64" i="15"/>
  <c r="AF47" i="28"/>
  <c r="AB78" i="11"/>
  <c r="AF78" i="11"/>
  <c r="AB66" i="19"/>
  <c r="AF66" i="19"/>
  <c r="AF56" i="16"/>
  <c r="AF92" i="16"/>
  <c r="AF41" i="16"/>
  <c r="AF71" i="26"/>
  <c r="AA58" i="24"/>
  <c r="AL58" i="24" s="1"/>
  <c r="AF74" i="11"/>
  <c r="AF58" i="15"/>
  <c r="AF51" i="20"/>
  <c r="AF55" i="20"/>
  <c r="AF70" i="11"/>
  <c r="AH58" i="24"/>
  <c r="AD18" i="66"/>
  <c r="AA11" i="65"/>
  <c r="AD18" i="68"/>
  <c r="AD18" i="70"/>
  <c r="AE58" i="24"/>
  <c r="AF58" i="34"/>
  <c r="AA60" i="34"/>
  <c r="AH44" i="35"/>
  <c r="AH40" i="35"/>
  <c r="AH34" i="35"/>
  <c r="AH55" i="35"/>
  <c r="AH57" i="35"/>
  <c r="AH46" i="35"/>
  <c r="AH48" i="35"/>
  <c r="AH55" i="19"/>
  <c r="AH66" i="19"/>
  <c r="AH64" i="19"/>
  <c r="AH62" i="19"/>
  <c r="AH34" i="19"/>
  <c r="AH49" i="34"/>
  <c r="AH35" i="34"/>
  <c r="AH42" i="34"/>
  <c r="AH38" i="34"/>
  <c r="AH46" i="34"/>
  <c r="AH51" i="34"/>
  <c r="AH58" i="34"/>
  <c r="AH44" i="34"/>
  <c r="AH88" i="53"/>
  <c r="AH35" i="53"/>
  <c r="AH85" i="53"/>
  <c r="AH83" i="53"/>
  <c r="AH87" i="53"/>
  <c r="AH79" i="53"/>
  <c r="AH72" i="53"/>
  <c r="AH104" i="6"/>
  <c r="AH77" i="56"/>
  <c r="AH116" i="56"/>
  <c r="AH56" i="56"/>
  <c r="AH115" i="56"/>
  <c r="AH55" i="56"/>
  <c r="AH118" i="56"/>
  <c r="AH110" i="56"/>
  <c r="AH102" i="56"/>
  <c r="AH114" i="56"/>
  <c r="AH49" i="56"/>
  <c r="AH111" i="56"/>
  <c r="AH48" i="56"/>
  <c r="AH76" i="56"/>
  <c r="AH69" i="56"/>
  <c r="AH108" i="56"/>
  <c r="AH47" i="56"/>
  <c r="AH107" i="56"/>
  <c r="AH46" i="56"/>
  <c r="AH125" i="56"/>
  <c r="AH65" i="56"/>
  <c r="AH106" i="56"/>
  <c r="AH45" i="56"/>
  <c r="AH103" i="56"/>
  <c r="AH39" i="56"/>
  <c r="AH79" i="56"/>
  <c r="AH75" i="56"/>
  <c r="AH100" i="56"/>
  <c r="AH38" i="56"/>
  <c r="AH99" i="56"/>
  <c r="AH37" i="56"/>
  <c r="AH98" i="56"/>
  <c r="AH36" i="56"/>
  <c r="AH85" i="56"/>
  <c r="AH35" i="56"/>
  <c r="AH78" i="56"/>
  <c r="AH122" i="56"/>
  <c r="AH83" i="56"/>
  <c r="AH123" i="56"/>
  <c r="AH59" i="56"/>
  <c r="AH121" i="56"/>
  <c r="AH58" i="56"/>
  <c r="AH119" i="56"/>
  <c r="AH57" i="56"/>
  <c r="AH126" i="56"/>
  <c r="AH54" i="7"/>
  <c r="AH34" i="33"/>
  <c r="AH98" i="58"/>
  <c r="AH57" i="58"/>
  <c r="AH46" i="58"/>
  <c r="AH36" i="58"/>
  <c r="AH77" i="58"/>
  <c r="AH75" i="58"/>
  <c r="AH78" i="58"/>
  <c r="AH116" i="58"/>
  <c r="AH49" i="58"/>
  <c r="AH110" i="58"/>
  <c r="AH108" i="58"/>
  <c r="AH56" i="58"/>
  <c r="AH45" i="58"/>
  <c r="AH39" i="58"/>
  <c r="AH123" i="58"/>
  <c r="AH115" i="58"/>
  <c r="AH100" i="58"/>
  <c r="AH48" i="58"/>
  <c r="AH38" i="58"/>
  <c r="AH35" i="58"/>
  <c r="AH79" i="58"/>
  <c r="AH122" i="58"/>
  <c r="AH107" i="58"/>
  <c r="AH59" i="58"/>
  <c r="AH55" i="58"/>
  <c r="AH121" i="58"/>
  <c r="AH114" i="58"/>
  <c r="AH99" i="58"/>
  <c r="AH106" i="58"/>
  <c r="AH58" i="58"/>
  <c r="AH47" i="58"/>
  <c r="AH37" i="58"/>
  <c r="AH118" i="58"/>
  <c r="AH76" i="58"/>
  <c r="AH125" i="58"/>
  <c r="AH102" i="58"/>
  <c r="AH87" i="57"/>
  <c r="AH34" i="7"/>
  <c r="AH65" i="21"/>
  <c r="AH34" i="21"/>
  <c r="AH74" i="21"/>
  <c r="AH62" i="21"/>
  <c r="AH73" i="21"/>
  <c r="AH71" i="21"/>
  <c r="AH69" i="21"/>
  <c r="AH58" i="21"/>
  <c r="AH118" i="57"/>
  <c r="AH110" i="57"/>
  <c r="AH102" i="57"/>
  <c r="AH67" i="57"/>
  <c r="AH111" i="57"/>
  <c r="AH77" i="57"/>
  <c r="AH45" i="57"/>
  <c r="AH124" i="57"/>
  <c r="AH117" i="57"/>
  <c r="AH109" i="57"/>
  <c r="AH101" i="57"/>
  <c r="AH66" i="57"/>
  <c r="AH103" i="57"/>
  <c r="AH39" i="57"/>
  <c r="AH76" i="57"/>
  <c r="AH69" i="57"/>
  <c r="AH65" i="57"/>
  <c r="AH83" i="57"/>
  <c r="AH85" i="57"/>
  <c r="AH35" i="57"/>
  <c r="AH79" i="57"/>
  <c r="AH75" i="57"/>
  <c r="AH68" i="57"/>
  <c r="AH119" i="57"/>
  <c r="AH125" i="57"/>
  <c r="AH126" i="57"/>
  <c r="AH78" i="57"/>
  <c r="AH49" i="57"/>
  <c r="AH66" i="6"/>
  <c r="AH35" i="28"/>
  <c r="AH67" i="11"/>
  <c r="AH76" i="51"/>
  <c r="AH87" i="56"/>
  <c r="AH34" i="20"/>
  <c r="AH48" i="20"/>
  <c r="AH34" i="25"/>
  <c r="AH109" i="55"/>
  <c r="AH102" i="55"/>
  <c r="AH124" i="55"/>
  <c r="AH78" i="55"/>
  <c r="AH77" i="55"/>
  <c r="AH79" i="55"/>
  <c r="AH69" i="55"/>
  <c r="AH68" i="55"/>
  <c r="AH110" i="55"/>
  <c r="AH75" i="55"/>
  <c r="AH65" i="55"/>
  <c r="AH66" i="55"/>
  <c r="AH125" i="55"/>
  <c r="AH76" i="55"/>
  <c r="AH117" i="55"/>
  <c r="AH67" i="55"/>
  <c r="AH118" i="55"/>
  <c r="AH101" i="55"/>
  <c r="AH85" i="52"/>
  <c r="AH35" i="52"/>
  <c r="AH83" i="52"/>
  <c r="AH79" i="52"/>
  <c r="AH76" i="52"/>
  <c r="AH88" i="52"/>
  <c r="AH87" i="52"/>
  <c r="AH72" i="52"/>
  <c r="AH90" i="54"/>
  <c r="AH76" i="54"/>
  <c r="AH35" i="54"/>
  <c r="AF42" i="34"/>
  <c r="AF34" i="35"/>
  <c r="AF62" i="19"/>
  <c r="AF83" i="53"/>
  <c r="AF83" i="52"/>
  <c r="AF44" i="35"/>
  <c r="AF69" i="21"/>
  <c r="AF58" i="19"/>
  <c r="AF79" i="53"/>
  <c r="AF79" i="52"/>
  <c r="AF55" i="35"/>
  <c r="AF76" i="51"/>
  <c r="AB40" i="35"/>
  <c r="AF40" i="35"/>
  <c r="AF35" i="34"/>
  <c r="AF62" i="21"/>
  <c r="AF76" i="54"/>
  <c r="AA53" i="34"/>
  <c r="AF53" i="34" s="1"/>
  <c r="AF76" i="52"/>
  <c r="AF56" i="34"/>
  <c r="AF55" i="19"/>
  <c r="AF67" i="11"/>
  <c r="AF38" i="34"/>
  <c r="AF65" i="21"/>
  <c r="AF48" i="20"/>
  <c r="AI47" i="7"/>
  <c r="AF47" i="7"/>
  <c r="AB51" i="34"/>
  <c r="AM51" i="34" s="1"/>
  <c r="AF51" i="34"/>
  <c r="AH49" i="24"/>
  <c r="AA49" i="24"/>
  <c r="AM49" i="24" s="1"/>
  <c r="AE40" i="24"/>
  <c r="AH40" i="24"/>
  <c r="AI57" i="35"/>
  <c r="AD18" i="17"/>
  <c r="AD18" i="39"/>
  <c r="AD18" i="62"/>
  <c r="AD18" i="57"/>
  <c r="AD18" i="58"/>
  <c r="AD18" i="64"/>
  <c r="AD18" i="56"/>
  <c r="AD18" i="55"/>
  <c r="AC18" i="37"/>
  <c r="AD18" i="59"/>
  <c r="AD18" i="6"/>
  <c r="AI72" i="58"/>
  <c r="G73" i="58"/>
  <c r="AI93" i="58"/>
  <c r="AI88" i="58"/>
  <c r="AA145" i="58"/>
  <c r="AI94" i="58"/>
  <c r="AI126" i="58"/>
  <c r="AI62" i="58"/>
  <c r="G63" i="58"/>
  <c r="N1" i="58"/>
  <c r="AI62" i="54"/>
  <c r="AI104" i="54"/>
  <c r="AA108" i="54"/>
  <c r="AI72" i="54"/>
  <c r="AF72" i="54"/>
  <c r="AI76" i="54"/>
  <c r="AI105" i="54"/>
  <c r="AI90" i="54"/>
  <c r="AI35" i="54"/>
  <c r="AI102" i="54"/>
  <c r="AA107" i="54"/>
  <c r="AI78" i="54"/>
  <c r="AF78" i="54"/>
  <c r="AI79" i="54"/>
  <c r="N1" i="57"/>
  <c r="AI62" i="53"/>
  <c r="AI35" i="53"/>
  <c r="AI79" i="53"/>
  <c r="AI85" i="53"/>
  <c r="AA90" i="53"/>
  <c r="AI88" i="53"/>
  <c r="AF78" i="53"/>
  <c r="AI78" i="53"/>
  <c r="AF72" i="53"/>
  <c r="AA91" i="53"/>
  <c r="AI72" i="53"/>
  <c r="AF76" i="53"/>
  <c r="AB76" i="53"/>
  <c r="AI76" i="53"/>
  <c r="AI83" i="53"/>
  <c r="AI87" i="53"/>
  <c r="AI126" i="56"/>
  <c r="N1" i="56"/>
  <c r="AI88" i="52"/>
  <c r="AI76" i="52"/>
  <c r="AI85" i="52"/>
  <c r="AA90" i="52"/>
  <c r="AI79" i="52"/>
  <c r="AI78" i="52"/>
  <c r="AF78" i="52"/>
  <c r="AI62" i="52"/>
  <c r="AI83" i="52"/>
  <c r="AA91" i="52"/>
  <c r="AI72" i="52"/>
  <c r="AF72" i="52"/>
  <c r="AI87" i="52"/>
  <c r="AI35" i="52"/>
  <c r="G63" i="55"/>
  <c r="AI62" i="55"/>
  <c r="G82" i="55"/>
  <c r="AI81" i="55"/>
  <c r="N1" i="55"/>
  <c r="AI35" i="51"/>
  <c r="AI72" i="51"/>
  <c r="AA102" i="51"/>
  <c r="AF72" i="51"/>
  <c r="AI79" i="51"/>
  <c r="AI76" i="51"/>
  <c r="AI99" i="51"/>
  <c r="AI96" i="51"/>
  <c r="AA101" i="51"/>
  <c r="AI88" i="51"/>
  <c r="AI78" i="51"/>
  <c r="AF78" i="51"/>
  <c r="AI98" i="51"/>
  <c r="AI62" i="51"/>
  <c r="AI126" i="39"/>
  <c r="N1" i="39"/>
  <c r="AA124" i="9"/>
  <c r="AI119" i="9"/>
  <c r="AI76" i="9"/>
  <c r="AI122" i="9"/>
  <c r="AI93" i="9"/>
  <c r="AI121" i="9"/>
  <c r="AI72" i="9"/>
  <c r="AA125" i="9"/>
  <c r="AF72" i="9"/>
  <c r="AI35" i="9"/>
  <c r="AF78" i="9"/>
  <c r="AI78" i="9"/>
  <c r="AI62" i="9"/>
  <c r="AI79" i="9"/>
  <c r="AI42" i="18"/>
  <c r="AI52" i="18"/>
  <c r="AF52" i="18"/>
  <c r="AI55" i="18"/>
  <c r="AF55" i="18"/>
  <c r="AI64" i="18"/>
  <c r="AF54" i="18"/>
  <c r="AI54" i="18"/>
  <c r="AI63" i="18"/>
  <c r="AA67" i="18"/>
  <c r="AF48" i="18"/>
  <c r="AI48" i="18"/>
  <c r="AB48" i="18"/>
  <c r="AI34" i="18"/>
  <c r="AI61" i="18"/>
  <c r="AA66" i="18"/>
  <c r="AB59" i="18"/>
  <c r="AF59" i="18"/>
  <c r="AI59" i="18"/>
  <c r="L50" i="37"/>
  <c r="M50" i="37" s="1"/>
  <c r="AI59" i="37"/>
  <c r="AK59" i="37"/>
  <c r="L60" i="37"/>
  <c r="M60" i="37" s="1"/>
  <c r="AG61" i="37"/>
  <c r="AG62" i="37"/>
  <c r="AG64" i="37"/>
  <c r="AD89" i="37"/>
  <c r="AH61" i="37"/>
  <c r="AG89" i="37" s="1"/>
  <c r="AI49" i="37"/>
  <c r="AK49" i="37"/>
  <c r="AI37" i="29"/>
  <c r="AF37" i="29"/>
  <c r="AI38" i="29"/>
  <c r="AI76" i="29"/>
  <c r="AI73" i="29"/>
  <c r="AA78" i="29"/>
  <c r="AI35" i="29"/>
  <c r="AI50" i="29"/>
  <c r="AA79" i="29"/>
  <c r="AI75" i="29"/>
  <c r="AI94" i="4"/>
  <c r="AA99" i="4"/>
  <c r="AI55" i="4"/>
  <c r="AI71" i="4"/>
  <c r="AI35" i="4"/>
  <c r="AI96" i="4"/>
  <c r="AI58" i="4"/>
  <c r="AA100" i="4"/>
  <c r="AI97" i="4"/>
  <c r="AI34" i="21"/>
  <c r="AI65" i="21"/>
  <c r="AI47" i="21"/>
  <c r="AI73" i="21"/>
  <c r="AI69" i="21"/>
  <c r="AI64" i="21"/>
  <c r="AF64" i="21"/>
  <c r="AI62" i="21"/>
  <c r="AI74" i="21"/>
  <c r="AA76" i="21"/>
  <c r="AI71" i="21"/>
  <c r="AA77" i="21"/>
  <c r="AF58" i="21"/>
  <c r="AI58" i="21"/>
  <c r="AA68" i="7"/>
  <c r="AI34" i="7"/>
  <c r="AA65" i="7"/>
  <c r="AI54" i="7"/>
  <c r="AA66" i="7"/>
  <c r="AA70" i="7"/>
  <c r="AI51" i="7"/>
  <c r="AA74" i="7"/>
  <c r="AA73" i="7"/>
  <c r="AI50" i="7"/>
  <c r="AA69" i="7"/>
  <c r="AA72" i="7"/>
  <c r="AI48" i="7"/>
  <c r="AA76" i="7"/>
  <c r="AI52" i="36"/>
  <c r="AI43" i="36"/>
  <c r="AI63" i="36"/>
  <c r="AI35" i="36"/>
  <c r="AA77" i="30"/>
  <c r="AI72" i="30"/>
  <c r="AI38" i="30"/>
  <c r="AI50" i="30"/>
  <c r="AI75" i="30"/>
  <c r="AI74" i="30"/>
  <c r="AA78" i="30"/>
  <c r="AI37" i="30"/>
  <c r="AF37" i="30"/>
  <c r="AI35" i="30"/>
  <c r="AI48" i="20"/>
  <c r="AI34" i="20"/>
  <c r="AI55" i="20"/>
  <c r="AI44" i="20"/>
  <c r="AA63" i="20"/>
  <c r="AF44" i="20"/>
  <c r="AF50" i="20"/>
  <c r="AI50" i="20"/>
  <c r="AI59" i="20"/>
  <c r="AI51" i="20"/>
  <c r="AI60" i="20"/>
  <c r="AI57" i="20"/>
  <c r="AA62" i="20"/>
  <c r="AI41" i="20"/>
  <c r="AH43" i="24"/>
  <c r="AH52" i="24"/>
  <c r="AE52" i="24"/>
  <c r="AA52" i="24"/>
  <c r="AH34" i="24"/>
  <c r="AI128" i="6"/>
  <c r="AI132" i="6"/>
  <c r="AI136" i="6"/>
  <c r="AI120" i="6"/>
  <c r="AI124" i="6"/>
  <c r="AI34" i="25"/>
  <c r="AI98" i="23"/>
  <c r="AI95" i="23"/>
  <c r="AI34" i="23"/>
  <c r="AI56" i="23"/>
  <c r="AI77" i="23"/>
  <c r="AB77" i="23"/>
  <c r="AF77" i="23"/>
  <c r="AI66" i="15"/>
  <c r="AF57" i="15"/>
  <c r="AI57" i="15"/>
  <c r="AI58" i="15"/>
  <c r="AA69" i="15"/>
  <c r="AI64" i="15"/>
  <c r="AI67" i="15"/>
  <c r="AI35" i="15"/>
  <c r="AI51" i="15"/>
  <c r="AA70" i="15"/>
  <c r="AF51" i="15"/>
  <c r="AI45" i="15"/>
  <c r="AI62" i="15"/>
  <c r="AF55" i="15"/>
  <c r="AI55" i="15"/>
  <c r="AB55" i="15"/>
  <c r="AI34" i="32"/>
  <c r="AI36" i="32"/>
  <c r="AF36" i="32"/>
  <c r="AI50" i="34"/>
  <c r="AI42" i="34"/>
  <c r="AG60" i="34"/>
  <c r="AH60" i="34" s="1"/>
  <c r="AH53" i="34"/>
  <c r="AI38" i="34"/>
  <c r="AI49" i="34"/>
  <c r="AD60" i="34"/>
  <c r="AI56" i="34"/>
  <c r="AF37" i="34"/>
  <c r="AI37" i="34"/>
  <c r="AI35" i="34"/>
  <c r="AI46" i="34"/>
  <c r="AF46" i="34"/>
  <c r="AI44" i="34"/>
  <c r="AF44" i="34"/>
  <c r="AF59" i="28"/>
  <c r="AI59" i="28"/>
  <c r="AI47" i="28"/>
  <c r="AI35" i="28"/>
  <c r="AI39" i="28"/>
  <c r="AI56" i="28"/>
  <c r="AF44" i="28"/>
  <c r="AI44" i="28"/>
  <c r="AA64" i="28"/>
  <c r="AI53" i="28"/>
  <c r="AF53" i="28"/>
  <c r="AI62" i="28"/>
  <c r="AA65" i="28"/>
  <c r="AI61" i="28"/>
  <c r="G53" i="59"/>
  <c r="AI52" i="59"/>
  <c r="AI126" i="59"/>
  <c r="AI94" i="59"/>
  <c r="AI69" i="11"/>
  <c r="AF69" i="11"/>
  <c r="AI70" i="11"/>
  <c r="AA81" i="11"/>
  <c r="AI76" i="11"/>
  <c r="AI55" i="11"/>
  <c r="AI78" i="11"/>
  <c r="AI74" i="11"/>
  <c r="AA82" i="11"/>
  <c r="AF63" i="11"/>
  <c r="AI63" i="11"/>
  <c r="AI35" i="11"/>
  <c r="AI67" i="11"/>
  <c r="AI79" i="11"/>
  <c r="AI34" i="27"/>
  <c r="AI44" i="27"/>
  <c r="AF44" i="27"/>
  <c r="AF50" i="19"/>
  <c r="AI50" i="19"/>
  <c r="AI55" i="19"/>
  <c r="AI64" i="19"/>
  <c r="AA69" i="19"/>
  <c r="AI66" i="19"/>
  <c r="AI62" i="19"/>
  <c r="AA70" i="19"/>
  <c r="AF51" i="19"/>
  <c r="AI51" i="19"/>
  <c r="AI58" i="19"/>
  <c r="AI67" i="19"/>
  <c r="AI47" i="19"/>
  <c r="AI34" i="19"/>
  <c r="AF57" i="19"/>
  <c r="AI57" i="19"/>
  <c r="AI71" i="22"/>
  <c r="AB67" i="22"/>
  <c r="AI67" i="22"/>
  <c r="AF67" i="22"/>
  <c r="AF63" i="22"/>
  <c r="AI63" i="22"/>
  <c r="AB63" i="22"/>
  <c r="AI72" i="22"/>
  <c r="AI34" i="22"/>
  <c r="AA74" i="22"/>
  <c r="AI69" i="22"/>
  <c r="AI56" i="22"/>
  <c r="AF56" i="22"/>
  <c r="AA75" i="22"/>
  <c r="AB56" i="22"/>
  <c r="AI60" i="22"/>
  <c r="AF60" i="22"/>
  <c r="AB60" i="22"/>
  <c r="AI62" i="22"/>
  <c r="AF62" i="22"/>
  <c r="AI46" i="22"/>
  <c r="AI141" i="17"/>
  <c r="AI148" i="17"/>
  <c r="AI37" i="16"/>
  <c r="AI43" i="16"/>
  <c r="AI74" i="16"/>
  <c r="AI122" i="16"/>
  <c r="AI42" i="16"/>
  <c r="AI41" i="16"/>
  <c r="AI121" i="16"/>
  <c r="AI54" i="16"/>
  <c r="AI92" i="16"/>
  <c r="AF76" i="16"/>
  <c r="AI76" i="16"/>
  <c r="AI36" i="16"/>
  <c r="AI53" i="16"/>
  <c r="AI51" i="16"/>
  <c r="AI49" i="16"/>
  <c r="AI77" i="16"/>
  <c r="AI56" i="16"/>
  <c r="AI35" i="16"/>
  <c r="AF70" i="16"/>
  <c r="AI70" i="16"/>
  <c r="AA125" i="16"/>
  <c r="AI44" i="16"/>
  <c r="AI50" i="16"/>
  <c r="AI52" i="16"/>
  <c r="AI39" i="16"/>
  <c r="AI47" i="16"/>
  <c r="AA124" i="16"/>
  <c r="AI119" i="16"/>
  <c r="AI45" i="16"/>
  <c r="AI60" i="16"/>
  <c r="AI38" i="16"/>
  <c r="AF37" i="31"/>
  <c r="AI37" i="31"/>
  <c r="AI34" i="31"/>
  <c r="AB38" i="35"/>
  <c r="AF38" i="35"/>
  <c r="AI38" i="35"/>
  <c r="AF48" i="35"/>
  <c r="AI48" i="35"/>
  <c r="AI44" i="35"/>
  <c r="AI40" i="35"/>
  <c r="AI55" i="35"/>
  <c r="AI34" i="35"/>
  <c r="AI46" i="35"/>
  <c r="AF46" i="35"/>
  <c r="AA74" i="26"/>
  <c r="AI70" i="26"/>
  <c r="AA73" i="26"/>
  <c r="AI68" i="26"/>
  <c r="AI67" i="26"/>
  <c r="AI38" i="26"/>
  <c r="AI35" i="26"/>
  <c r="AI50" i="26"/>
  <c r="AI71" i="26"/>
  <c r="AI34" i="33"/>
  <c r="AE126" i="66"/>
  <c r="AE136" i="66"/>
  <c r="AE128" i="66"/>
  <c r="AE132" i="66"/>
  <c r="AE134" i="66"/>
  <c r="AE130" i="66"/>
  <c r="AE149" i="6"/>
  <c r="AE147" i="6"/>
  <c r="AE131" i="6"/>
  <c r="AE123" i="6"/>
  <c r="AE139" i="6"/>
  <c r="AE144" i="6"/>
  <c r="AE136" i="6"/>
  <c r="AE128" i="6"/>
  <c r="AE120" i="6"/>
  <c r="AE141" i="6"/>
  <c r="AE133" i="6"/>
  <c r="AE125" i="6"/>
  <c r="AE146" i="6"/>
  <c r="AE138" i="6"/>
  <c r="AE130" i="6"/>
  <c r="AE122" i="6"/>
  <c r="AE143" i="6"/>
  <c r="AE135" i="6"/>
  <c r="AE127" i="6"/>
  <c r="AE119" i="6"/>
  <c r="AE148" i="6"/>
  <c r="AE140" i="6"/>
  <c r="AE132" i="6"/>
  <c r="AE124" i="6"/>
  <c r="AE145" i="6"/>
  <c r="AE137" i="6"/>
  <c r="AE129" i="6"/>
  <c r="AE121" i="6"/>
  <c r="AE150" i="6"/>
  <c r="AE142" i="6"/>
  <c r="AE134" i="6"/>
  <c r="AE126" i="6"/>
  <c r="AE151" i="6"/>
  <c r="AB68" i="65"/>
  <c r="AB62" i="65"/>
  <c r="AB61" i="65"/>
  <c r="AB63" i="65"/>
  <c r="AB60" i="65"/>
  <c r="AE132" i="58"/>
  <c r="AE134" i="58"/>
  <c r="AE140" i="58"/>
  <c r="AE130" i="58"/>
  <c r="AE136" i="58"/>
  <c r="AE138" i="58"/>
  <c r="AE134" i="55"/>
  <c r="AE140" i="55"/>
  <c r="AE130" i="55"/>
  <c r="AE136" i="55"/>
  <c r="AE132" i="55"/>
  <c r="AE138" i="55"/>
  <c r="AE163" i="17"/>
  <c r="AE167" i="17"/>
  <c r="AE161" i="17"/>
  <c r="AE156" i="17"/>
  <c r="AE152" i="17"/>
  <c r="AE170" i="17"/>
  <c r="AE159" i="17"/>
  <c r="AE165" i="17"/>
  <c r="AE154" i="17"/>
  <c r="AC94" i="37"/>
  <c r="AE132" i="39"/>
  <c r="AE138" i="39"/>
  <c r="AE134" i="39"/>
  <c r="AE140" i="39"/>
  <c r="AE130" i="39"/>
  <c r="AE136" i="39"/>
  <c r="N27" i="54"/>
  <c r="N27" i="53"/>
  <c r="N27" i="52"/>
  <c r="N27" i="51"/>
  <c r="N27" i="9"/>
  <c r="AD31" i="22"/>
  <c r="B12" i="17"/>
  <c r="AK31" i="16"/>
  <c r="B114" i="9"/>
  <c r="B82" i="15"/>
  <c r="N28" i="32"/>
  <c r="O17" i="68"/>
  <c r="C10" i="22"/>
  <c r="B75" i="19"/>
  <c r="N28" i="51"/>
  <c r="B83" i="54"/>
  <c r="B18" i="7"/>
  <c r="B84" i="11"/>
  <c r="B12" i="16"/>
  <c r="AK31" i="34"/>
  <c r="B106" i="18"/>
  <c r="B18" i="17"/>
  <c r="D10" i="58"/>
  <c r="C10" i="55"/>
  <c r="B12" i="31"/>
  <c r="B113" i="15"/>
  <c r="S32" i="65"/>
  <c r="B48" i="34"/>
  <c r="B17" i="57"/>
  <c r="B48" i="35"/>
  <c r="B49" i="35"/>
  <c r="A45" i="35" s="1"/>
  <c r="AD31" i="33"/>
  <c r="AG13" i="52"/>
  <c r="AD13" i="59"/>
  <c r="T11" i="65"/>
  <c r="B48" i="4"/>
  <c r="Q11" i="66"/>
  <c r="AK31" i="30"/>
  <c r="AD12" i="30"/>
  <c r="AD31" i="57"/>
  <c r="B18" i="33"/>
  <c r="AD13" i="11"/>
  <c r="AD12" i="32"/>
  <c r="AD31" i="51"/>
  <c r="B106" i="22"/>
  <c r="AG31" i="4"/>
  <c r="AG13" i="56"/>
  <c r="D10" i="11"/>
  <c r="B18" i="18"/>
  <c r="D10" i="54"/>
  <c r="B105" i="21"/>
  <c r="N28" i="25"/>
  <c r="AF32" i="24"/>
  <c r="B75" i="22"/>
  <c r="AD13" i="20"/>
  <c r="B12" i="39"/>
  <c r="B12" i="37"/>
  <c r="B17" i="27"/>
  <c r="AD12" i="54"/>
  <c r="N28" i="26"/>
  <c r="V32" i="67"/>
  <c r="B17" i="24"/>
  <c r="O11" i="67"/>
  <c r="S17" i="68"/>
  <c r="B17" i="53"/>
  <c r="W11" i="64"/>
  <c r="AG32" i="58"/>
  <c r="Z11" i="64"/>
  <c r="C10" i="24"/>
  <c r="B12" i="51"/>
  <c r="X11" i="63"/>
  <c r="C10" i="58"/>
  <c r="AG13" i="25"/>
  <c r="AG13" i="19"/>
  <c r="AG32" i="32"/>
  <c r="B48" i="29"/>
  <c r="B12" i="9"/>
  <c r="B47" i="19"/>
  <c r="AD31" i="56"/>
  <c r="AG31" i="56"/>
  <c r="B75" i="20"/>
  <c r="B17" i="21"/>
  <c r="B48" i="26"/>
  <c r="B69" i="23"/>
  <c r="S11" i="68"/>
  <c r="B12" i="56"/>
  <c r="B17" i="30"/>
  <c r="P17" i="66"/>
  <c r="AL31" i="27"/>
  <c r="AL31" i="16"/>
  <c r="D10" i="4"/>
  <c r="AG31" i="21"/>
  <c r="B104" i="16"/>
  <c r="N28" i="15"/>
  <c r="AG13" i="28"/>
  <c r="B79" i="4"/>
  <c r="B106" i="19"/>
  <c r="B50" i="9"/>
  <c r="N28" i="6"/>
  <c r="B12" i="35"/>
  <c r="AG31" i="16"/>
  <c r="T11" i="70"/>
  <c r="AD31" i="16"/>
  <c r="AG12" i="34"/>
  <c r="B12" i="21"/>
  <c r="AG32" i="18"/>
  <c r="B83" i="11"/>
  <c r="A80" i="11" s="1"/>
  <c r="Z32" i="66"/>
  <c r="AD13" i="19"/>
  <c r="AG13" i="57"/>
  <c r="D10" i="22"/>
  <c r="B74" i="20"/>
  <c r="A71" i="20" s="1"/>
  <c r="B17" i="59"/>
  <c r="AG13" i="16"/>
  <c r="AK31" i="51"/>
  <c r="D10" i="28"/>
  <c r="AD31" i="32"/>
  <c r="AG31" i="36"/>
  <c r="AG13" i="33"/>
  <c r="D10" i="29"/>
  <c r="T11" i="63"/>
  <c r="B71" i="28"/>
  <c r="B18" i="31"/>
  <c r="AG31" i="9"/>
  <c r="B18" i="37"/>
  <c r="AD13" i="54"/>
  <c r="D10" i="27"/>
  <c r="AG13" i="29"/>
  <c r="P11" i="65"/>
  <c r="C10" i="52"/>
  <c r="N28" i="39"/>
  <c r="T11" i="64"/>
  <c r="B48" i="37"/>
  <c r="T32" i="67"/>
  <c r="B49" i="28"/>
  <c r="AD13" i="55"/>
  <c r="B12" i="33"/>
  <c r="N28" i="22"/>
  <c r="AK31" i="29"/>
  <c r="C10" i="16"/>
  <c r="C10" i="32"/>
  <c r="AG31" i="32"/>
  <c r="AG12" i="30"/>
  <c r="AG31" i="51"/>
  <c r="AD13" i="21"/>
  <c r="B73" i="16"/>
  <c r="N28" i="34"/>
  <c r="AG32" i="51"/>
  <c r="D10" i="16"/>
  <c r="AG13" i="15"/>
  <c r="AG32" i="17"/>
  <c r="AD12" i="28"/>
  <c r="B12" i="26"/>
  <c r="AD31" i="53"/>
  <c r="B17" i="36"/>
  <c r="AG31" i="28"/>
  <c r="AL31" i="52"/>
  <c r="N28" i="4"/>
  <c r="AL31" i="36"/>
  <c r="AD31" i="52"/>
  <c r="B12" i="59"/>
  <c r="AL31" i="21"/>
  <c r="N28" i="21"/>
  <c r="B18" i="23"/>
  <c r="P11" i="66"/>
  <c r="C10" i="39"/>
  <c r="AD12" i="9"/>
  <c r="B12" i="52"/>
  <c r="AD12" i="58"/>
  <c r="B115" i="54"/>
  <c r="AG13" i="4"/>
  <c r="N28" i="28"/>
  <c r="Y32" i="67"/>
  <c r="AL31" i="11"/>
  <c r="U32" i="68"/>
  <c r="W32" i="67"/>
  <c r="W11" i="61"/>
  <c r="B18" i="36"/>
  <c r="A14" i="36" s="1"/>
  <c r="O11" i="65"/>
  <c r="P17" i="68"/>
  <c r="N28" i="36"/>
  <c r="AD31" i="30"/>
  <c r="B17" i="31"/>
  <c r="A14" i="31" s="1"/>
  <c r="AD31" i="18"/>
  <c r="Z11" i="63"/>
  <c r="AG13" i="22"/>
  <c r="B12" i="34"/>
  <c r="R11" i="68"/>
  <c r="AK31" i="24"/>
  <c r="AG31" i="25"/>
  <c r="Q17" i="68"/>
  <c r="B84" i="52"/>
  <c r="AK31" i="52"/>
  <c r="U32" i="69"/>
  <c r="P11" i="68"/>
  <c r="AG12" i="59"/>
  <c r="B74" i="19"/>
  <c r="A71" i="19" s="1"/>
  <c r="AG13" i="54"/>
  <c r="AK31" i="54"/>
  <c r="R11" i="65"/>
  <c r="AG12" i="54"/>
  <c r="AL31" i="23"/>
  <c r="B68" i="23"/>
  <c r="AD12" i="35"/>
  <c r="B18" i="54"/>
  <c r="C10" i="51"/>
  <c r="AK31" i="32"/>
  <c r="B18" i="9"/>
  <c r="V32" i="70"/>
  <c r="AG31" i="20"/>
  <c r="B18" i="32"/>
  <c r="N28" i="9"/>
  <c r="O17" i="70"/>
  <c r="AG31" i="17"/>
  <c r="AG12" i="26"/>
  <c r="B47" i="20"/>
  <c r="N28" i="16"/>
  <c r="AD12" i="51"/>
  <c r="B12" i="55"/>
  <c r="B18" i="34"/>
  <c r="B48" i="30"/>
  <c r="B106" i="20"/>
  <c r="AD12" i="33"/>
  <c r="C10" i="37"/>
  <c r="AJ31" i="24"/>
  <c r="U32" i="65"/>
  <c r="AD12" i="39"/>
  <c r="M28" i="37"/>
  <c r="AG12" i="32"/>
  <c r="B47" i="7"/>
  <c r="AG12" i="35"/>
  <c r="AG13" i="35"/>
  <c r="AG31" i="34"/>
  <c r="B18" i="27"/>
  <c r="A14" i="27" s="1"/>
  <c r="N28" i="58"/>
  <c r="AD13" i="16"/>
  <c r="B114" i="54"/>
  <c r="AC13" i="37"/>
  <c r="C10" i="9"/>
  <c r="AD13" i="32"/>
  <c r="AD13" i="35"/>
  <c r="B12" i="19"/>
  <c r="D10" i="7"/>
  <c r="N28" i="30"/>
  <c r="AK31" i="11"/>
  <c r="B112" i="15"/>
  <c r="B40" i="23"/>
  <c r="AD31" i="25"/>
  <c r="V11" i="63"/>
  <c r="C10" i="25"/>
  <c r="R17" i="66"/>
  <c r="AK31" i="19"/>
  <c r="B47" i="22"/>
  <c r="B50" i="15"/>
  <c r="AD31" i="28"/>
  <c r="B12" i="32"/>
  <c r="AD13" i="39"/>
  <c r="AD12" i="26"/>
  <c r="AD12" i="52"/>
  <c r="Q11" i="69"/>
  <c r="AL31" i="29"/>
  <c r="X32" i="69"/>
  <c r="D10" i="21"/>
  <c r="AG32" i="56"/>
  <c r="B12" i="15"/>
  <c r="AG13" i="27"/>
  <c r="AG32" i="33"/>
  <c r="Z32" i="70"/>
  <c r="W32" i="68"/>
  <c r="AG13" i="7"/>
  <c r="D10" i="24"/>
  <c r="B84" i="54"/>
  <c r="A80" i="54" s="1"/>
  <c r="D10" i="55"/>
  <c r="V11" i="61"/>
  <c r="AD13" i="56"/>
  <c r="B12" i="24"/>
  <c r="B18" i="25"/>
  <c r="AL31" i="35"/>
  <c r="B18" i="56"/>
  <c r="AG31" i="23"/>
  <c r="Y11" i="61"/>
  <c r="AG12" i="19"/>
  <c r="AL31" i="28"/>
  <c r="B18" i="30"/>
  <c r="A14" i="30" s="1"/>
  <c r="AG12" i="31"/>
  <c r="AF31" i="37"/>
  <c r="AG12" i="39"/>
  <c r="B12" i="36"/>
  <c r="AK31" i="21"/>
  <c r="AG12" i="9"/>
  <c r="AD12" i="19"/>
  <c r="B18" i="6"/>
  <c r="AG31" i="7"/>
  <c r="B17" i="28"/>
  <c r="B51" i="9"/>
  <c r="A47" i="9" s="1"/>
  <c r="C10" i="54"/>
  <c r="B95" i="28"/>
  <c r="B18" i="52"/>
  <c r="N28" i="56"/>
  <c r="O11" i="69"/>
  <c r="AK31" i="31"/>
  <c r="N28" i="55"/>
  <c r="B12" i="6"/>
  <c r="C10" i="4"/>
  <c r="W32" i="65"/>
  <c r="B46" i="21"/>
  <c r="AG32" i="31"/>
  <c r="T11" i="68"/>
  <c r="AG31" i="59"/>
  <c r="U11" i="64"/>
  <c r="B17" i="51"/>
  <c r="B17" i="35"/>
  <c r="AG13" i="53"/>
  <c r="B84" i="53"/>
  <c r="P11" i="70"/>
  <c r="B17" i="22"/>
  <c r="AD12" i="11"/>
  <c r="AG13" i="17"/>
  <c r="D10" i="26"/>
  <c r="V11" i="62"/>
  <c r="AG32" i="23"/>
  <c r="B51" i="11"/>
  <c r="AG12" i="4"/>
  <c r="B17" i="15"/>
  <c r="N28" i="20"/>
  <c r="B18" i="4"/>
  <c r="B47" i="18"/>
  <c r="B46" i="22"/>
  <c r="A43" i="22" s="1"/>
  <c r="AG32" i="7"/>
  <c r="D10" i="9"/>
  <c r="O11" i="61"/>
  <c r="B104" i="21"/>
  <c r="AL31" i="51"/>
  <c r="R17" i="70"/>
  <c r="S11" i="66"/>
  <c r="AD31" i="29"/>
  <c r="Z32" i="65"/>
  <c r="AG12" i="7"/>
  <c r="AK31" i="4"/>
  <c r="AG13" i="36"/>
  <c r="B18" i="57"/>
  <c r="D10" i="30"/>
  <c r="AD13" i="4"/>
  <c r="AD31" i="34"/>
  <c r="AD13" i="52"/>
  <c r="U11" i="61"/>
  <c r="AD31" i="55"/>
  <c r="AL31" i="25"/>
  <c r="AG12" i="29"/>
  <c r="B17" i="18"/>
  <c r="A14" i="18" s="1"/>
  <c r="AG32" i="55"/>
  <c r="U11" i="63"/>
  <c r="AD12" i="55"/>
  <c r="B48" i="7"/>
  <c r="B39" i="16"/>
  <c r="V32" i="69"/>
  <c r="N28" i="31"/>
  <c r="N28" i="57"/>
  <c r="O11" i="66"/>
  <c r="N28" i="18"/>
  <c r="AD12" i="20"/>
  <c r="AG32" i="11"/>
  <c r="AD13" i="7"/>
  <c r="T32" i="69"/>
  <c r="B115" i="51"/>
  <c r="B18" i="26"/>
  <c r="AL31" i="31"/>
  <c r="AG12" i="17"/>
  <c r="N28" i="17"/>
  <c r="R17" i="68"/>
  <c r="AK31" i="9"/>
  <c r="B51" i="52"/>
  <c r="AD12" i="4"/>
  <c r="AG12" i="28"/>
  <c r="D10" i="31"/>
  <c r="AF31" i="24"/>
  <c r="B18" i="39"/>
  <c r="AL31" i="9"/>
  <c r="T11" i="66"/>
  <c r="B51" i="53"/>
  <c r="AK31" i="23"/>
  <c r="Y32" i="70"/>
  <c r="AG31" i="58"/>
  <c r="B17" i="52"/>
  <c r="A14" i="52" s="1"/>
  <c r="AD31" i="58"/>
  <c r="AK31" i="36"/>
  <c r="AG31" i="52"/>
  <c r="C10" i="11"/>
  <c r="B78" i="4"/>
  <c r="AD13" i="9"/>
  <c r="Z32" i="69"/>
  <c r="AL31" i="53"/>
  <c r="AG32" i="35"/>
  <c r="AG13" i="11"/>
  <c r="B18" i="51"/>
  <c r="A14" i="51" s="1"/>
  <c r="AG12" i="57"/>
  <c r="AG32" i="36"/>
  <c r="S32" i="67"/>
  <c r="U32" i="70"/>
  <c r="B17" i="20"/>
  <c r="D10" i="37"/>
  <c r="B39" i="23"/>
  <c r="A36" i="23" s="1"/>
  <c r="AG31" i="22"/>
  <c r="AL31" i="33"/>
  <c r="AD12" i="25"/>
  <c r="B114" i="53"/>
  <c r="T11" i="67"/>
  <c r="B83" i="52"/>
  <c r="A80" i="52" s="1"/>
  <c r="N28" i="11"/>
  <c r="AG31" i="26"/>
  <c r="B83" i="51"/>
  <c r="B47" i="4"/>
  <c r="A44" i="4" s="1"/>
  <c r="B17" i="19"/>
  <c r="B50" i="52"/>
  <c r="A47" i="52" s="1"/>
  <c r="U32" i="66"/>
  <c r="D10" i="39"/>
  <c r="B17" i="26"/>
  <c r="A14" i="26" s="1"/>
  <c r="C10" i="18"/>
  <c r="B18" i="24"/>
  <c r="A14" i="24" s="1"/>
  <c r="B74" i="21"/>
  <c r="AG32" i="19"/>
  <c r="AD12" i="56"/>
  <c r="AG32" i="21"/>
  <c r="D10" i="57"/>
  <c r="B17" i="37"/>
  <c r="Q11" i="67"/>
  <c r="B50" i="53"/>
  <c r="A47" i="53" s="1"/>
  <c r="B17" i="34"/>
  <c r="A14" i="34" s="1"/>
  <c r="X32" i="70"/>
  <c r="B17" i="23"/>
  <c r="A14" i="23" s="1"/>
  <c r="AD31" i="54"/>
  <c r="B18" i="21"/>
  <c r="A14" i="21" s="1"/>
  <c r="AD31" i="31"/>
  <c r="W32" i="66"/>
  <c r="B17" i="6"/>
  <c r="AG32" i="16"/>
  <c r="B18" i="29"/>
  <c r="AD31" i="15"/>
  <c r="N28" i="27"/>
  <c r="AD12" i="59"/>
  <c r="AD31" i="6"/>
  <c r="AG13" i="23"/>
  <c r="AG32" i="39"/>
  <c r="AG32" i="22"/>
  <c r="B18" i="28"/>
  <c r="A14" i="28" s="1"/>
  <c r="D10" i="19"/>
  <c r="AG13" i="39"/>
  <c r="B12" i="25"/>
  <c r="S11" i="65"/>
  <c r="AG12" i="56"/>
  <c r="AK31" i="26"/>
  <c r="Y32" i="69"/>
  <c r="AG13" i="58"/>
  <c r="T17" i="66"/>
  <c r="M28" i="24"/>
  <c r="Z11" i="61"/>
  <c r="AG31" i="15"/>
  <c r="X32" i="68"/>
  <c r="T11" i="61"/>
  <c r="D10" i="52"/>
  <c r="D10" i="15"/>
  <c r="R11" i="67"/>
  <c r="AK31" i="27"/>
  <c r="C10" i="56"/>
  <c r="D10" i="6"/>
  <c r="AK31" i="25"/>
  <c r="X11" i="62"/>
  <c r="AK31" i="53"/>
  <c r="AG31" i="53"/>
  <c r="C10" i="31"/>
  <c r="AL31" i="19"/>
  <c r="Y32" i="68"/>
  <c r="B72" i="16"/>
  <c r="A69" i="16" s="1"/>
  <c r="AG12" i="16"/>
  <c r="B17" i="4"/>
  <c r="A14" i="4" s="1"/>
  <c r="Y32" i="65"/>
  <c r="P11" i="61"/>
  <c r="AG32" i="59"/>
  <c r="AG32" i="9"/>
  <c r="AD12" i="53"/>
  <c r="P11" i="64"/>
  <c r="T11" i="62"/>
  <c r="T11" i="69"/>
  <c r="B115" i="53"/>
  <c r="B17" i="29"/>
  <c r="A14" i="29" s="1"/>
  <c r="AG32" i="34"/>
  <c r="B74" i="22"/>
  <c r="A71" i="22" s="1"/>
  <c r="B12" i="22"/>
  <c r="AF12" i="24"/>
  <c r="B12" i="20"/>
  <c r="AG12" i="6"/>
  <c r="AG32" i="4"/>
  <c r="AM31" i="4"/>
  <c r="B40" i="16"/>
  <c r="A36" i="16" s="1"/>
  <c r="AG32" i="29"/>
  <c r="B49" i="34"/>
  <c r="AG32" i="28"/>
  <c r="AG31" i="33"/>
  <c r="AD13" i="53"/>
  <c r="AD13" i="36"/>
  <c r="D10" i="32"/>
  <c r="AD31" i="35"/>
  <c r="B46" i="18"/>
  <c r="A43" i="18" s="1"/>
  <c r="T17" i="68"/>
  <c r="A14" i="68" s="1"/>
  <c r="AD12" i="6"/>
  <c r="AM31" i="7"/>
  <c r="B50" i="11"/>
  <c r="A47" i="11" s="1"/>
  <c r="Q11" i="63"/>
  <c r="AL31" i="30"/>
  <c r="Q11" i="68"/>
  <c r="P17" i="70"/>
  <c r="B47" i="37"/>
  <c r="B12" i="18"/>
  <c r="D10" i="56"/>
  <c r="C10" i="15"/>
  <c r="AG13" i="18"/>
  <c r="B115" i="11"/>
  <c r="Q11" i="65"/>
  <c r="AD31" i="36"/>
  <c r="Z32" i="68"/>
  <c r="B18" i="22"/>
  <c r="A14" i="22" s="1"/>
  <c r="C10" i="34"/>
  <c r="Z32" i="67"/>
  <c r="C10" i="35"/>
  <c r="N28" i="19"/>
  <c r="B18" i="35"/>
  <c r="A14" i="35" s="1"/>
  <c r="AG31" i="55"/>
  <c r="AD12" i="21"/>
  <c r="W32" i="69"/>
  <c r="V32" i="65"/>
  <c r="AD13" i="30"/>
  <c r="C10" i="36"/>
  <c r="N28" i="52"/>
  <c r="D10" i="17"/>
  <c r="D10" i="23"/>
  <c r="B61" i="7"/>
  <c r="B17" i="56"/>
  <c r="Y32" i="66"/>
  <c r="B49" i="29"/>
  <c r="C10" i="59"/>
  <c r="AG13" i="59"/>
  <c r="AG12" i="52"/>
  <c r="D10" i="18"/>
  <c r="AK31" i="22"/>
  <c r="AG31" i="27"/>
  <c r="AG32" i="54"/>
  <c r="B18" i="15"/>
  <c r="A14" i="15" s="1"/>
  <c r="N28" i="33"/>
  <c r="O11" i="68"/>
  <c r="AD13" i="51"/>
  <c r="AG32" i="57"/>
  <c r="AG12" i="27"/>
  <c r="B49" i="30"/>
  <c r="AD12" i="29"/>
  <c r="AK31" i="15"/>
  <c r="AG32" i="52"/>
  <c r="B94" i="28"/>
  <c r="B17" i="58"/>
  <c r="P11" i="69"/>
  <c r="X11" i="64"/>
  <c r="B17" i="17"/>
  <c r="R11" i="69"/>
  <c r="S17" i="70"/>
  <c r="V32" i="68"/>
  <c r="B105" i="20"/>
  <c r="D10" i="35"/>
  <c r="AD31" i="7"/>
  <c r="X11" i="61"/>
  <c r="Q11" i="70"/>
  <c r="AD31" i="39"/>
  <c r="D10" i="25"/>
  <c r="R11" i="70"/>
  <c r="AG12" i="18"/>
  <c r="AG13" i="32"/>
  <c r="S32" i="69"/>
  <c r="C10" i="53"/>
  <c r="V11" i="64"/>
  <c r="B17" i="33"/>
  <c r="A14" i="33" s="1"/>
  <c r="AG13" i="34"/>
  <c r="AL31" i="20"/>
  <c r="X32" i="67"/>
  <c r="N28" i="53"/>
  <c r="AC31" i="37"/>
  <c r="B48" i="28"/>
  <c r="A45" i="28" s="1"/>
  <c r="AG13" i="9"/>
  <c r="AG12" i="11"/>
  <c r="B12" i="29"/>
  <c r="AD31" i="9"/>
  <c r="B18" i="59"/>
  <c r="B17" i="39"/>
  <c r="B18" i="20"/>
  <c r="A14" i="20" s="1"/>
  <c r="B105" i="19"/>
  <c r="AL31" i="32"/>
  <c r="AD31" i="11"/>
  <c r="B18" i="11"/>
  <c r="AD31" i="19"/>
  <c r="N28" i="59"/>
  <c r="AG13" i="31"/>
  <c r="B17" i="16"/>
  <c r="C10" i="23"/>
  <c r="AG31" i="31"/>
  <c r="B12" i="23"/>
  <c r="AD12" i="36"/>
  <c r="AG12" i="51"/>
  <c r="B115" i="52"/>
  <c r="C10" i="20"/>
  <c r="B18" i="55"/>
  <c r="D10" i="53"/>
  <c r="B50" i="54"/>
  <c r="C10" i="21"/>
  <c r="AD13" i="17"/>
  <c r="R11" i="66"/>
  <c r="O17" i="66"/>
  <c r="AG31" i="18"/>
  <c r="AG12" i="15"/>
  <c r="AD31" i="17"/>
  <c r="B103" i="16"/>
  <c r="AD13" i="28"/>
  <c r="B46" i="20"/>
  <c r="A43" i="20" s="1"/>
  <c r="B12" i="54"/>
  <c r="B12" i="58"/>
  <c r="AG31" i="11"/>
  <c r="O11" i="62"/>
  <c r="B17" i="7"/>
  <c r="A14" i="7" s="1"/>
  <c r="AG32" i="30"/>
  <c r="AD12" i="31"/>
  <c r="AD13" i="15"/>
  <c r="AD13" i="26"/>
  <c r="B84" i="51"/>
  <c r="A80" i="51" s="1"/>
  <c r="AK31" i="33"/>
  <c r="B17" i="32"/>
  <c r="A14" i="32" s="1"/>
  <c r="AG32" i="25"/>
  <c r="B12" i="30"/>
  <c r="AD31" i="4"/>
  <c r="AG12" i="36"/>
  <c r="AD12" i="18"/>
  <c r="B81" i="15"/>
  <c r="A78" i="15" s="1"/>
  <c r="AG31" i="39"/>
  <c r="AG13" i="6"/>
  <c r="V32" i="66"/>
  <c r="AG32" i="53"/>
  <c r="AD12" i="27"/>
  <c r="AD13" i="58"/>
  <c r="B12" i="7"/>
  <c r="B17" i="25"/>
  <c r="A14" i="25" s="1"/>
  <c r="D10" i="20"/>
  <c r="AD31" i="59"/>
  <c r="C10" i="27"/>
  <c r="AD12" i="23"/>
  <c r="B18" i="53"/>
  <c r="A14" i="53" s="1"/>
  <c r="C10" i="6"/>
  <c r="B114" i="11"/>
  <c r="C10" i="28"/>
  <c r="X32" i="65"/>
  <c r="AD12" i="15"/>
  <c r="AD13" i="29"/>
  <c r="AG12" i="21"/>
  <c r="AG31" i="6"/>
  <c r="D10" i="36"/>
  <c r="T32" i="65"/>
  <c r="AD13" i="31"/>
  <c r="S32" i="68"/>
  <c r="C10" i="57"/>
  <c r="AG31" i="57"/>
  <c r="B12" i="53"/>
  <c r="B62" i="34"/>
  <c r="B51" i="54"/>
  <c r="A47" i="54" s="1"/>
  <c r="AG12" i="23"/>
  <c r="AG32" i="15"/>
  <c r="Y11" i="64"/>
  <c r="AG31" i="29"/>
  <c r="AF12" i="37"/>
  <c r="AD12" i="16"/>
  <c r="B18" i="16"/>
  <c r="Z11" i="62"/>
  <c r="AC12" i="37"/>
  <c r="D10" i="51"/>
  <c r="AL31" i="26"/>
  <c r="AD13" i="18"/>
  <c r="AK31" i="28"/>
  <c r="Y11" i="62"/>
  <c r="AF32" i="37"/>
  <c r="S17" i="66"/>
  <c r="Q17" i="70"/>
  <c r="AG31" i="54"/>
  <c r="AG12" i="55"/>
  <c r="AG13" i="26"/>
  <c r="W32" i="70"/>
  <c r="B83" i="9"/>
  <c r="B49" i="26"/>
  <c r="U11" i="62"/>
  <c r="AG32" i="20"/>
  <c r="AD12" i="7"/>
  <c r="B45" i="21"/>
  <c r="A42" i="21" s="1"/>
  <c r="D10" i="59"/>
  <c r="AD31" i="23"/>
  <c r="B12" i="11"/>
  <c r="AL31" i="34"/>
  <c r="B17" i="9"/>
  <c r="A14" i="9" s="1"/>
  <c r="W11" i="62"/>
  <c r="C10" i="30"/>
  <c r="AG32" i="27"/>
  <c r="B12" i="28"/>
  <c r="AC13" i="24"/>
  <c r="N28" i="7"/>
  <c r="AD13" i="34"/>
  <c r="AG32" i="6"/>
  <c r="B18" i="19"/>
  <c r="A14" i="19" s="1"/>
  <c r="AD31" i="20"/>
  <c r="AG31" i="19"/>
  <c r="O11" i="64"/>
  <c r="AK31" i="20"/>
  <c r="C10" i="17"/>
  <c r="B115" i="9"/>
  <c r="D10" i="33"/>
  <c r="AL31" i="15"/>
  <c r="AG12" i="33"/>
  <c r="AF13" i="24"/>
  <c r="B75" i="18"/>
  <c r="S11" i="70"/>
  <c r="B17" i="54"/>
  <c r="A14" i="54" s="1"/>
  <c r="AG12" i="22"/>
  <c r="T17" i="70"/>
  <c r="AG31" i="35"/>
  <c r="AD13" i="33"/>
  <c r="B49" i="15"/>
  <c r="A46" i="15" s="1"/>
  <c r="AD13" i="22"/>
  <c r="T32" i="68"/>
  <c r="S11" i="69"/>
  <c r="AD12" i="22"/>
  <c r="AL31" i="54"/>
  <c r="P11" i="67"/>
  <c r="B12" i="57"/>
  <c r="B17" i="11"/>
  <c r="A14" i="11" s="1"/>
  <c r="S11" i="67"/>
  <c r="AD13" i="23"/>
  <c r="C10" i="29"/>
  <c r="AC31" i="24"/>
  <c r="B18" i="58"/>
  <c r="AD13" i="6"/>
  <c r="AC12" i="24"/>
  <c r="B107" i="18"/>
  <c r="B114" i="52"/>
  <c r="C10" i="26"/>
  <c r="D10" i="34"/>
  <c r="B76" i="18"/>
  <c r="A72" i="18" s="1"/>
  <c r="Y11" i="63"/>
  <c r="AG12" i="20"/>
  <c r="B105" i="22"/>
  <c r="AD31" i="27"/>
  <c r="C10" i="7"/>
  <c r="B61" i="34"/>
  <c r="A58" i="34" s="1"/>
  <c r="C10" i="33"/>
  <c r="AG13" i="20"/>
  <c r="B17" i="55"/>
  <c r="AL31" i="22"/>
  <c r="AG13" i="55"/>
  <c r="AG13" i="30"/>
  <c r="AD12" i="17"/>
  <c r="N28" i="54"/>
  <c r="AG13" i="21"/>
  <c r="AG32" i="26"/>
  <c r="AG12" i="58"/>
  <c r="B72" i="28"/>
  <c r="A68" i="28" s="1"/>
  <c r="AK31" i="35"/>
  <c r="W11" i="63"/>
  <c r="AD31" i="26"/>
  <c r="AG12" i="25"/>
  <c r="AG31" i="30"/>
  <c r="AD31" i="21"/>
  <c r="AD13" i="27"/>
  <c r="AD13" i="25"/>
  <c r="B60" i="7"/>
  <c r="A57" i="7" s="1"/>
  <c r="X32" i="66"/>
  <c r="AD12" i="57"/>
  <c r="AF13" i="37"/>
  <c r="B50" i="51"/>
  <c r="B83" i="53"/>
  <c r="A80" i="53" s="1"/>
  <c r="Q17" i="66"/>
  <c r="B46" i="19"/>
  <c r="A43" i="19" s="1"/>
  <c r="AD12" i="34"/>
  <c r="R32" i="65"/>
  <c r="C10" i="19"/>
  <c r="N28" i="35"/>
  <c r="AK31" i="7"/>
  <c r="N28" i="29"/>
  <c r="O11" i="70"/>
  <c r="B73" i="21"/>
  <c r="A70" i="21" s="1"/>
  <c r="AG12" i="53"/>
  <c r="B12" i="4"/>
  <c r="U32" i="67"/>
  <c r="AD13" i="57"/>
  <c r="B12" i="27"/>
  <c r="B51" i="51"/>
  <c r="A47" i="51" s="1"/>
  <c r="B114" i="51"/>
  <c r="AG13" i="51"/>
  <c r="B84" i="9"/>
  <c r="A80" i="9" s="1"/>
  <c r="N28" i="23"/>
  <c r="S32" i="66"/>
  <c r="A14" i="66"/>
  <c r="T32" i="66"/>
  <c r="A14" i="70"/>
  <c r="T32" i="70"/>
  <c r="AC95" i="37" l="1"/>
  <c r="AC71" i="37" s="1"/>
  <c r="AM61" i="65"/>
  <c r="AN61" i="65"/>
  <c r="AN62" i="65"/>
  <c r="AM62" i="65"/>
  <c r="AN68" i="65"/>
  <c r="AM68" i="65"/>
  <c r="AF75" i="37"/>
  <c r="AF82" i="37"/>
  <c r="AF84" i="37" s="1"/>
  <c r="AF85" i="37" s="1"/>
  <c r="AF86" i="37"/>
  <c r="S16" i="54"/>
  <c r="AA16" i="54"/>
  <c r="O16" i="54"/>
  <c r="Z16" i="54"/>
  <c r="T16" i="54"/>
  <c r="U16" i="54"/>
  <c r="Q16" i="54"/>
  <c r="R16" i="54"/>
  <c r="V16" i="54"/>
  <c r="W16" i="54"/>
  <c r="P16" i="54"/>
  <c r="X16" i="54"/>
  <c r="Y16" i="54"/>
  <c r="P16" i="53"/>
  <c r="X16" i="53"/>
  <c r="Q16" i="53"/>
  <c r="Y16" i="53"/>
  <c r="Z16" i="53"/>
  <c r="AA16" i="53"/>
  <c r="R16" i="53"/>
  <c r="U16" i="53"/>
  <c r="V16" i="53"/>
  <c r="S16" i="53"/>
  <c r="T16" i="53"/>
  <c r="W16" i="53"/>
  <c r="O16" i="53"/>
  <c r="P16" i="52"/>
  <c r="X16" i="52"/>
  <c r="Y16" i="52"/>
  <c r="R16" i="52"/>
  <c r="Z16" i="52"/>
  <c r="Q16" i="52"/>
  <c r="S16" i="52"/>
  <c r="AA16" i="52"/>
  <c r="W16" i="52"/>
  <c r="T16" i="52"/>
  <c r="U16" i="52"/>
  <c r="O16" i="52"/>
  <c r="V16" i="52"/>
  <c r="U16" i="51"/>
  <c r="Z16" i="51"/>
  <c r="V16" i="51"/>
  <c r="X16" i="51"/>
  <c r="Q16" i="51"/>
  <c r="S16" i="51"/>
  <c r="O16" i="51"/>
  <c r="W16" i="51"/>
  <c r="Y16" i="51"/>
  <c r="P16" i="51"/>
  <c r="AA16" i="51"/>
  <c r="R16" i="51"/>
  <c r="T16" i="51"/>
  <c r="V16" i="9"/>
  <c r="O16" i="9"/>
  <c r="X16" i="9"/>
  <c r="Y16" i="9"/>
  <c r="Z16" i="9"/>
  <c r="W16" i="9"/>
  <c r="S16" i="9"/>
  <c r="P16" i="9"/>
  <c r="Q16" i="9"/>
  <c r="AA16" i="9"/>
  <c r="R16" i="9"/>
  <c r="T16" i="9"/>
  <c r="U16" i="9"/>
  <c r="O16" i="18"/>
  <c r="W16" i="18"/>
  <c r="Y16" i="18"/>
  <c r="Z16" i="18"/>
  <c r="S16" i="18"/>
  <c r="AA16" i="18"/>
  <c r="U16" i="18"/>
  <c r="P16" i="18"/>
  <c r="X16" i="18"/>
  <c r="Q16" i="18"/>
  <c r="R16" i="18"/>
  <c r="T16" i="18"/>
  <c r="V16" i="18"/>
  <c r="V16" i="29"/>
  <c r="X16" i="29"/>
  <c r="O16" i="29"/>
  <c r="W16" i="29"/>
  <c r="P16" i="29"/>
  <c r="Q16" i="29"/>
  <c r="Y16" i="29"/>
  <c r="U16" i="29"/>
  <c r="R16" i="29"/>
  <c r="Z16" i="29"/>
  <c r="S16" i="29"/>
  <c r="AA16" i="29"/>
  <c r="T16" i="29"/>
  <c r="R16" i="4"/>
  <c r="Z16" i="4"/>
  <c r="AA16" i="4"/>
  <c r="U16" i="4"/>
  <c r="P16" i="4"/>
  <c r="S16" i="4"/>
  <c r="V16" i="4"/>
  <c r="T16" i="4"/>
  <c r="W16" i="4"/>
  <c r="X16" i="4"/>
  <c r="O16" i="4"/>
  <c r="Q16" i="4"/>
  <c r="Y16" i="4"/>
  <c r="P16" i="21"/>
  <c r="X16" i="21"/>
  <c r="Q16" i="21"/>
  <c r="Y16" i="21"/>
  <c r="R16" i="21"/>
  <c r="S16" i="21"/>
  <c r="AA16" i="21"/>
  <c r="Z16" i="21"/>
  <c r="W16" i="21"/>
  <c r="T16" i="21"/>
  <c r="V16" i="21"/>
  <c r="O16" i="21"/>
  <c r="U16" i="21"/>
  <c r="S16" i="7"/>
  <c r="AA16" i="7"/>
  <c r="T16" i="7"/>
  <c r="O16" i="7"/>
  <c r="P16" i="7"/>
  <c r="Y16" i="7"/>
  <c r="U16" i="7"/>
  <c r="X16" i="7"/>
  <c r="Z16" i="7"/>
  <c r="V16" i="7"/>
  <c r="W16" i="7"/>
  <c r="Q16" i="7"/>
  <c r="R16" i="7"/>
  <c r="V16" i="36"/>
  <c r="P16" i="36"/>
  <c r="O16" i="36"/>
  <c r="W16" i="36"/>
  <c r="X16" i="36"/>
  <c r="Q16" i="36"/>
  <c r="Y16" i="36"/>
  <c r="Z16" i="36"/>
  <c r="R16" i="36"/>
  <c r="U16" i="36"/>
  <c r="S16" i="36"/>
  <c r="AA16" i="36"/>
  <c r="T16" i="36"/>
  <c r="T16" i="30"/>
  <c r="W16" i="30"/>
  <c r="P16" i="30"/>
  <c r="U16" i="30"/>
  <c r="AA16" i="30"/>
  <c r="V16" i="30"/>
  <c r="O16" i="30"/>
  <c r="X16" i="30"/>
  <c r="Q16" i="30"/>
  <c r="Y16" i="30"/>
  <c r="Z16" i="30"/>
  <c r="S16" i="30"/>
  <c r="R16" i="30"/>
  <c r="P16" i="20"/>
  <c r="X16" i="20"/>
  <c r="Q16" i="20"/>
  <c r="Y16" i="20"/>
  <c r="V16" i="20"/>
  <c r="O16" i="20"/>
  <c r="R16" i="20"/>
  <c r="Z16" i="20"/>
  <c r="S16" i="20"/>
  <c r="AA16" i="20"/>
  <c r="T16" i="20"/>
  <c r="W16" i="20"/>
  <c r="U16" i="20"/>
  <c r="O16" i="24"/>
  <c r="W16" i="24"/>
  <c r="Y16" i="24"/>
  <c r="P16" i="24"/>
  <c r="X16" i="24"/>
  <c r="Q16" i="24"/>
  <c r="R16" i="24"/>
  <c r="Z16" i="24"/>
  <c r="S16" i="24"/>
  <c r="N16" i="24"/>
  <c r="T16" i="24"/>
  <c r="U16" i="24"/>
  <c r="V16" i="24"/>
  <c r="T16" i="33"/>
  <c r="P16" i="33"/>
  <c r="U16" i="33"/>
  <c r="Y16" i="33"/>
  <c r="AA16" i="33"/>
  <c r="V16" i="33"/>
  <c r="Q16" i="33"/>
  <c r="S16" i="33"/>
  <c r="O16" i="33"/>
  <c r="W16" i="33"/>
  <c r="X16" i="33"/>
  <c r="R16" i="33"/>
  <c r="Z16" i="33"/>
  <c r="S16" i="25"/>
  <c r="AA16" i="25"/>
  <c r="T16" i="25"/>
  <c r="U16" i="25"/>
  <c r="V16" i="25"/>
  <c r="W16" i="25"/>
  <c r="X16" i="25"/>
  <c r="Y16" i="25"/>
  <c r="O16" i="25"/>
  <c r="P16" i="25"/>
  <c r="R16" i="25"/>
  <c r="Z16" i="25"/>
  <c r="Q16" i="25"/>
  <c r="O16" i="23"/>
  <c r="W16" i="23"/>
  <c r="X16" i="23"/>
  <c r="Y16" i="23"/>
  <c r="Z16" i="23"/>
  <c r="P16" i="23"/>
  <c r="T16" i="23"/>
  <c r="V16" i="23"/>
  <c r="Q16" i="23"/>
  <c r="AA16" i="23"/>
  <c r="R16" i="23"/>
  <c r="S16" i="23"/>
  <c r="U16" i="23"/>
  <c r="R16" i="15"/>
  <c r="Z16" i="15"/>
  <c r="AA16" i="15"/>
  <c r="W16" i="15"/>
  <c r="P16" i="15"/>
  <c r="S16" i="15"/>
  <c r="T16" i="15"/>
  <c r="U16" i="15"/>
  <c r="Q16" i="15"/>
  <c r="O16" i="15"/>
  <c r="V16" i="15"/>
  <c r="X16" i="15"/>
  <c r="Y16" i="15"/>
  <c r="O16" i="32"/>
  <c r="W16" i="32"/>
  <c r="P16" i="32"/>
  <c r="X16" i="32"/>
  <c r="Q16" i="32"/>
  <c r="Y16" i="32"/>
  <c r="R16" i="32"/>
  <c r="Z16" i="32"/>
  <c r="AA16" i="32"/>
  <c r="S16" i="32"/>
  <c r="U16" i="32"/>
  <c r="T16" i="32"/>
  <c r="V16" i="32"/>
  <c r="U16" i="34"/>
  <c r="O16" i="34"/>
  <c r="W16" i="34"/>
  <c r="X16" i="34"/>
  <c r="V16" i="34"/>
  <c r="Q16" i="34"/>
  <c r="R16" i="34"/>
  <c r="S16" i="34"/>
  <c r="Z16" i="34"/>
  <c r="P16" i="34"/>
  <c r="AA16" i="34"/>
  <c r="T16" i="34"/>
  <c r="Y16" i="34"/>
  <c r="Q16" i="28"/>
  <c r="Y16" i="28"/>
  <c r="Z16" i="28"/>
  <c r="AA16" i="28"/>
  <c r="T16" i="28"/>
  <c r="X16" i="28"/>
  <c r="R16" i="28"/>
  <c r="S16" i="28"/>
  <c r="U16" i="28"/>
  <c r="O16" i="28"/>
  <c r="P16" i="28"/>
  <c r="V16" i="28"/>
  <c r="W16" i="28"/>
  <c r="S16" i="11"/>
  <c r="AA16" i="11"/>
  <c r="T16" i="11"/>
  <c r="U16" i="11"/>
  <c r="V16" i="11"/>
  <c r="O16" i="11"/>
  <c r="W16" i="11"/>
  <c r="Q16" i="11"/>
  <c r="Z16" i="11"/>
  <c r="P16" i="11"/>
  <c r="Y16" i="11"/>
  <c r="X16" i="11"/>
  <c r="R16" i="11"/>
  <c r="S16" i="27"/>
  <c r="AA16" i="27"/>
  <c r="T16" i="27"/>
  <c r="Q16" i="27"/>
  <c r="U16" i="27"/>
  <c r="V16" i="27"/>
  <c r="W16" i="27"/>
  <c r="O16" i="27"/>
  <c r="X16" i="27"/>
  <c r="Y16" i="27"/>
  <c r="P16" i="27"/>
  <c r="R16" i="27"/>
  <c r="Z16" i="27"/>
  <c r="P16" i="19"/>
  <c r="X16" i="19"/>
  <c r="Q16" i="19"/>
  <c r="R16" i="19"/>
  <c r="Z16" i="19"/>
  <c r="AA16" i="19"/>
  <c r="T16" i="19"/>
  <c r="U16" i="19"/>
  <c r="Y16" i="19"/>
  <c r="O16" i="19"/>
  <c r="S16" i="19"/>
  <c r="W16" i="19"/>
  <c r="V16" i="19"/>
  <c r="S16" i="22"/>
  <c r="AA16" i="22"/>
  <c r="W16" i="22"/>
  <c r="X16" i="22"/>
  <c r="T16" i="22"/>
  <c r="U16" i="22"/>
  <c r="V16" i="22"/>
  <c r="P16" i="22"/>
  <c r="R16" i="22"/>
  <c r="O16" i="22"/>
  <c r="Q16" i="22"/>
  <c r="Y16" i="22"/>
  <c r="Z16" i="22"/>
  <c r="R16" i="16"/>
  <c r="Z16" i="16"/>
  <c r="P16" i="16"/>
  <c r="S16" i="16"/>
  <c r="AA16" i="16"/>
  <c r="T16" i="16"/>
  <c r="U16" i="16"/>
  <c r="V16" i="16"/>
  <c r="O16" i="16"/>
  <c r="W16" i="16"/>
  <c r="X16" i="16"/>
  <c r="Y16" i="16"/>
  <c r="Q16" i="16"/>
  <c r="P16" i="31"/>
  <c r="X16" i="31"/>
  <c r="Y16" i="31"/>
  <c r="T16" i="31"/>
  <c r="W16" i="31"/>
  <c r="Q16" i="31"/>
  <c r="Z16" i="31"/>
  <c r="S16" i="31"/>
  <c r="AA16" i="31"/>
  <c r="U16" i="31"/>
  <c r="R16" i="31"/>
  <c r="O16" i="31"/>
  <c r="V16" i="31"/>
  <c r="V16" i="35"/>
  <c r="O16" i="35"/>
  <c r="W16" i="35"/>
  <c r="X16" i="35"/>
  <c r="T16" i="35"/>
  <c r="Q16" i="35"/>
  <c r="S16" i="35"/>
  <c r="P16" i="35"/>
  <c r="Y16" i="35"/>
  <c r="R16" i="35"/>
  <c r="AA16" i="35"/>
  <c r="Z16" i="35"/>
  <c r="U16" i="35"/>
  <c r="AN63" i="65"/>
  <c r="AM63" i="65"/>
  <c r="S16" i="26"/>
  <c r="AA16" i="26"/>
  <c r="T16" i="26"/>
  <c r="Z16" i="26"/>
  <c r="U16" i="26"/>
  <c r="V16" i="26"/>
  <c r="O16" i="26"/>
  <c r="W16" i="26"/>
  <c r="P16" i="26"/>
  <c r="R16" i="26"/>
  <c r="X16" i="26"/>
  <c r="Q16" i="26"/>
  <c r="Y16" i="26"/>
  <c r="AJ32" i="65"/>
  <c r="AM31" i="15"/>
  <c r="AM31" i="27"/>
  <c r="AM32" i="7"/>
  <c r="AL32" i="54"/>
  <c r="AM31" i="35"/>
  <c r="AN31" i="28"/>
  <c r="AN31" i="22"/>
  <c r="AL32" i="21"/>
  <c r="AN31" i="29"/>
  <c r="AN31" i="9"/>
  <c r="AM31" i="21"/>
  <c r="AM31" i="9"/>
  <c r="AN31" i="34"/>
  <c r="AL32" i="32"/>
  <c r="AL32" i="51"/>
  <c r="AN31" i="19"/>
  <c r="AM31" i="36"/>
  <c r="AL31" i="24"/>
  <c r="AN31" i="54"/>
  <c r="AM31" i="28"/>
  <c r="AM31" i="29"/>
  <c r="AM31" i="16"/>
  <c r="AL32" i="27"/>
  <c r="AM31" i="25"/>
  <c r="AN31" i="51"/>
  <c r="AN31" i="23"/>
  <c r="AL32" i="15"/>
  <c r="AL32" i="19"/>
  <c r="AM31" i="11"/>
  <c r="AN31" i="36"/>
  <c r="AN31" i="16"/>
  <c r="AL32" i="29"/>
  <c r="AM31" i="32"/>
  <c r="AN31" i="53"/>
  <c r="AM31" i="54"/>
  <c r="AL32" i="35"/>
  <c r="AM31" i="52"/>
  <c r="AN31" i="32"/>
  <c r="AN31" i="26"/>
  <c r="AM31" i="33"/>
  <c r="AL32" i="30"/>
  <c r="AN31" i="21"/>
  <c r="AM31" i="23"/>
  <c r="AL32" i="33"/>
  <c r="AN31" i="11"/>
  <c r="AL32" i="31"/>
  <c r="AL32" i="11"/>
  <c r="AN31" i="20"/>
  <c r="AM31" i="53"/>
  <c r="AL32" i="16"/>
  <c r="AM31" i="26"/>
  <c r="AM31" i="19"/>
  <c r="AN31" i="15"/>
  <c r="AN31" i="33"/>
  <c r="AN31" i="27"/>
  <c r="AL32" i="26"/>
  <c r="AN31" i="52"/>
  <c r="AL32" i="9"/>
  <c r="AN31" i="25"/>
  <c r="AJ32" i="67"/>
  <c r="AL32" i="28"/>
  <c r="AM31" i="30"/>
  <c r="AN31" i="35"/>
  <c r="AM31" i="20"/>
  <c r="AK32" i="24"/>
  <c r="AN31" i="30"/>
  <c r="AL32" i="25"/>
  <c r="AM31" i="31"/>
  <c r="AM31" i="22"/>
  <c r="AN31" i="31"/>
  <c r="AL32" i="23"/>
  <c r="AM31" i="34"/>
  <c r="AL32" i="34"/>
  <c r="AM31" i="24"/>
  <c r="AM31" i="51"/>
  <c r="AL32" i="20"/>
  <c r="AL32" i="53"/>
  <c r="AM32" i="4"/>
  <c r="AJ32" i="69"/>
  <c r="X16" i="57"/>
  <c r="Y16" i="57"/>
  <c r="P16" i="57"/>
  <c r="T16" i="57"/>
  <c r="W16" i="57"/>
  <c r="Q16" i="57"/>
  <c r="O16" i="57"/>
  <c r="S16" i="57"/>
  <c r="Z16" i="57"/>
  <c r="AA16" i="57"/>
  <c r="V16" i="57"/>
  <c r="R16" i="57"/>
  <c r="U16" i="57"/>
  <c r="Y16" i="56"/>
  <c r="O16" i="56"/>
  <c r="T16" i="56"/>
  <c r="Q16" i="56"/>
  <c r="S16" i="56"/>
  <c r="Z16" i="56"/>
  <c r="X16" i="56"/>
  <c r="V16" i="56"/>
  <c r="P16" i="56"/>
  <c r="R16" i="56"/>
  <c r="AA16" i="56"/>
  <c r="U16" i="56"/>
  <c r="W16" i="56"/>
  <c r="S16" i="37"/>
  <c r="T16" i="37"/>
  <c r="R16" i="37"/>
  <c r="V16" i="37"/>
  <c r="Y16" i="37"/>
  <c r="P16" i="37"/>
  <c r="U16" i="37"/>
  <c r="O16" i="37"/>
  <c r="W16" i="37"/>
  <c r="Z16" i="37"/>
  <c r="X16" i="37"/>
  <c r="Q16" i="37"/>
  <c r="N16" i="37"/>
  <c r="Y16" i="55"/>
  <c r="O16" i="55"/>
  <c r="AA16" i="55"/>
  <c r="S16" i="55"/>
  <c r="Q16" i="55"/>
  <c r="U16" i="55"/>
  <c r="X16" i="55"/>
  <c r="W16" i="55"/>
  <c r="Z16" i="55"/>
  <c r="P16" i="55"/>
  <c r="R16" i="55"/>
  <c r="T16" i="55"/>
  <c r="V16" i="55"/>
  <c r="W16" i="17"/>
  <c r="X16" i="17"/>
  <c r="Q16" i="17"/>
  <c r="AA16" i="17"/>
  <c r="S16" i="17"/>
  <c r="Z16" i="17"/>
  <c r="R16" i="17"/>
  <c r="O16" i="17"/>
  <c r="U16" i="17"/>
  <c r="V16" i="17"/>
  <c r="Y16" i="17"/>
  <c r="T16" i="17"/>
  <c r="P16" i="17"/>
  <c r="S16" i="59"/>
  <c r="AA16" i="59"/>
  <c r="W16" i="59"/>
  <c r="Z16" i="59"/>
  <c r="O16" i="59"/>
  <c r="U16" i="59"/>
  <c r="R16" i="59"/>
  <c r="X16" i="59"/>
  <c r="V16" i="59"/>
  <c r="T16" i="59"/>
  <c r="Y16" i="59"/>
  <c r="P16" i="59"/>
  <c r="Q16" i="59"/>
  <c r="X16" i="39"/>
  <c r="Y16" i="39"/>
  <c r="Q16" i="39"/>
  <c r="O16" i="39"/>
  <c r="P16" i="39"/>
  <c r="W16" i="39"/>
  <c r="V16" i="39"/>
  <c r="U16" i="39"/>
  <c r="S16" i="39"/>
  <c r="T16" i="39"/>
  <c r="Z16" i="39"/>
  <c r="AA16" i="39"/>
  <c r="R16" i="39"/>
  <c r="X16" i="58"/>
  <c r="V16" i="58"/>
  <c r="T16" i="58"/>
  <c r="Y16" i="58"/>
  <c r="P16" i="58"/>
  <c r="U16" i="58"/>
  <c r="S16" i="58"/>
  <c r="Q16" i="58"/>
  <c r="Z16" i="58"/>
  <c r="O16" i="58"/>
  <c r="R16" i="58"/>
  <c r="W16" i="58"/>
  <c r="AA16" i="58"/>
  <c r="R16" i="6"/>
  <c r="W16" i="6"/>
  <c r="Y16" i="6"/>
  <c r="Q16" i="6"/>
  <c r="X16" i="6"/>
  <c r="O16" i="6"/>
  <c r="U16" i="6"/>
  <c r="V16" i="6"/>
  <c r="P16" i="6"/>
  <c r="AA16" i="6"/>
  <c r="S16" i="6"/>
  <c r="T16" i="6"/>
  <c r="Z16" i="6"/>
  <c r="AL32" i="52"/>
  <c r="AL32" i="36"/>
  <c r="AL32" i="22"/>
  <c r="AM58" i="24"/>
  <c r="AI53" i="34"/>
  <c r="AM60" i="65"/>
  <c r="AN60" i="65"/>
  <c r="AN51" i="34"/>
  <c r="AL49" i="24"/>
  <c r="AI60" i="34"/>
  <c r="AF60" i="34"/>
  <c r="AA100" i="23"/>
  <c r="AI96" i="23"/>
  <c r="AN35" i="53"/>
  <c r="AM35" i="53"/>
  <c r="AN76" i="53"/>
  <c r="AM76" i="53"/>
  <c r="L62" i="37"/>
  <c r="M62" i="37" s="1"/>
  <c r="AI64" i="37"/>
  <c r="AK64" i="37"/>
  <c r="AK61" i="37"/>
  <c r="AI61" i="37"/>
  <c r="AH51" i="37"/>
  <c r="AH64" i="37"/>
  <c r="AM47" i="21"/>
  <c r="AN47" i="21"/>
  <c r="AN34" i="21"/>
  <c r="AM34" i="21"/>
  <c r="AI72" i="7"/>
  <c r="AF72" i="7"/>
  <c r="AF66" i="7"/>
  <c r="AI66" i="7"/>
  <c r="AI65" i="7"/>
  <c r="AF65" i="7"/>
  <c r="AF69" i="7"/>
  <c r="AI69" i="7"/>
  <c r="AI74" i="7"/>
  <c r="AF74" i="7"/>
  <c r="AF68" i="7"/>
  <c r="AI68" i="7"/>
  <c r="AF73" i="7"/>
  <c r="AI73" i="7"/>
  <c r="AI70" i="7"/>
  <c r="AF70" i="7"/>
  <c r="AM43" i="24"/>
  <c r="AL43" i="24"/>
  <c r="AL52" i="24"/>
  <c r="AM52" i="24"/>
  <c r="AL34" i="24"/>
  <c r="AM34" i="24"/>
  <c r="AM77" i="23"/>
  <c r="AN77" i="23"/>
  <c r="AM55" i="15"/>
  <c r="AN55" i="15"/>
  <c r="AN49" i="34"/>
  <c r="AM49" i="34"/>
  <c r="AN50" i="34"/>
  <c r="AM50" i="34"/>
  <c r="AM69" i="22"/>
  <c r="AN69" i="22"/>
  <c r="AM56" i="22"/>
  <c r="AN56" i="22"/>
  <c r="AN46" i="22"/>
  <c r="AM46" i="22"/>
  <c r="AN34" i="22"/>
  <c r="AM34" i="22"/>
  <c r="AM67" i="22"/>
  <c r="AN67" i="22"/>
  <c r="AN72" i="22"/>
  <c r="AM72" i="22"/>
  <c r="AM60" i="22"/>
  <c r="AN60" i="22"/>
  <c r="AM63" i="22"/>
  <c r="AN63" i="22"/>
  <c r="AN71" i="22"/>
  <c r="AM71" i="22"/>
  <c r="AN40" i="35"/>
  <c r="AM40" i="35"/>
  <c r="AM38" i="35"/>
  <c r="AN38" i="35"/>
  <c r="S32" i="70"/>
  <c r="R32" i="68"/>
  <c r="R32" i="66"/>
  <c r="AD71" i="37" l="1"/>
  <c r="AC72" i="37"/>
  <c r="AE55" i="35"/>
  <c r="AE44" i="35"/>
  <c r="AE34" i="35"/>
  <c r="AE57" i="35"/>
  <c r="AE46" i="35"/>
  <c r="AE48" i="35"/>
  <c r="AE76" i="54"/>
  <c r="AE67" i="11"/>
  <c r="AE56" i="34"/>
  <c r="AE38" i="34"/>
  <c r="AE35" i="34"/>
  <c r="AE42" i="34"/>
  <c r="AE58" i="34"/>
  <c r="AE46" i="34"/>
  <c r="AE44" i="34"/>
  <c r="AE53" i="34"/>
  <c r="AE60" i="34"/>
  <c r="AE76" i="51"/>
  <c r="AE83" i="52"/>
  <c r="AE76" i="52"/>
  <c r="AE79" i="52"/>
  <c r="AE72" i="52"/>
  <c r="AE48" i="20"/>
  <c r="AE69" i="21"/>
  <c r="AE65" i="21"/>
  <c r="AE62" i="21"/>
  <c r="AE58" i="21"/>
  <c r="AE62" i="19"/>
  <c r="AE55" i="19"/>
  <c r="AE58" i="19"/>
  <c r="AE51" i="19"/>
  <c r="AE83" i="53"/>
  <c r="AE79" i="53"/>
  <c r="AE72" i="53"/>
  <c r="L52" i="37"/>
  <c r="M52" i="37" s="1"/>
  <c r="AK51" i="37"/>
  <c r="AI51" i="37"/>
  <c r="AD72" i="37" l="1"/>
  <c r="AC74" i="37"/>
  <c r="AH63" i="11"/>
  <c r="AH76" i="11"/>
  <c r="AH79" i="11"/>
  <c r="AH74" i="11"/>
  <c r="AH78" i="11"/>
  <c r="AH35" i="11"/>
  <c r="AH70" i="11"/>
  <c r="AH67" i="19"/>
  <c r="AH51" i="19"/>
  <c r="AH63" i="6"/>
  <c r="AH61" i="6"/>
  <c r="AH60" i="6"/>
  <c r="AH62" i="6"/>
  <c r="AH55" i="20"/>
  <c r="AH51" i="20"/>
  <c r="AH59" i="20"/>
  <c r="AH44" i="20"/>
  <c r="AH57" i="20"/>
  <c r="AH60" i="20"/>
  <c r="AH46" i="39"/>
  <c r="AH48" i="39"/>
  <c r="AH66" i="39"/>
  <c r="AH101" i="39"/>
  <c r="AH117" i="39"/>
  <c r="AH118" i="39"/>
  <c r="AH79" i="39"/>
  <c r="AH65" i="39"/>
  <c r="AH99" i="39"/>
  <c r="AH49" i="39"/>
  <c r="AH107" i="39"/>
  <c r="AH75" i="39"/>
  <c r="AH69" i="39"/>
  <c r="AH47" i="39"/>
  <c r="AH109" i="39"/>
  <c r="AH122" i="39"/>
  <c r="AH125" i="39"/>
  <c r="AH102" i="39"/>
  <c r="AH115" i="39"/>
  <c r="AH67" i="39"/>
  <c r="AH68" i="39"/>
  <c r="AH77" i="39"/>
  <c r="AH110" i="39"/>
  <c r="AH76" i="39"/>
  <c r="AH45" i="39"/>
  <c r="AH124" i="39"/>
  <c r="AH78" i="39"/>
  <c r="AH87" i="59"/>
  <c r="AH80" i="66"/>
  <c r="AH98" i="6"/>
  <c r="AH99" i="6"/>
  <c r="AH100" i="6"/>
  <c r="AH101" i="6"/>
  <c r="AH58" i="15"/>
  <c r="AH35" i="69"/>
  <c r="AH59" i="55"/>
  <c r="AH37" i="55"/>
  <c r="AH116" i="55"/>
  <c r="AH123" i="55"/>
  <c r="AH100" i="55"/>
  <c r="AH106" i="55"/>
  <c r="AH55" i="55"/>
  <c r="AH108" i="55"/>
  <c r="AH38" i="55"/>
  <c r="AH56" i="55"/>
  <c r="AH114" i="55"/>
  <c r="AH57" i="55"/>
  <c r="AH58" i="55"/>
  <c r="AE74" i="65"/>
  <c r="AH38" i="59"/>
  <c r="AH45" i="59"/>
  <c r="AH55" i="59"/>
  <c r="AH39" i="59"/>
  <c r="AH126" i="59"/>
  <c r="AH37" i="59"/>
  <c r="AH46" i="59"/>
  <c r="AH48" i="59"/>
  <c r="AH98" i="59"/>
  <c r="AH85" i="59"/>
  <c r="AH35" i="59"/>
  <c r="AH103" i="59"/>
  <c r="AH111" i="59"/>
  <c r="AH115" i="59"/>
  <c r="AH106" i="59"/>
  <c r="AH83" i="59"/>
  <c r="AH107" i="59"/>
  <c r="AH114" i="59"/>
  <c r="AH49" i="59"/>
  <c r="AH36" i="59"/>
  <c r="AH122" i="59"/>
  <c r="AH100" i="59"/>
  <c r="AH58" i="59"/>
  <c r="AH121" i="59"/>
  <c r="AH123" i="59"/>
  <c r="AH56" i="59"/>
  <c r="AH119" i="59"/>
  <c r="AH108" i="59"/>
  <c r="AH57" i="59"/>
  <c r="AH47" i="59"/>
  <c r="AH116" i="59"/>
  <c r="AH59" i="59"/>
  <c r="AH99" i="59"/>
  <c r="AH103" i="70"/>
  <c r="AH66" i="70"/>
  <c r="AH58" i="70"/>
  <c r="AH39" i="70"/>
  <c r="AH98" i="70"/>
  <c r="AH74" i="70"/>
  <c r="AH57" i="70"/>
  <c r="AH48" i="70"/>
  <c r="AH105" i="70"/>
  <c r="AH47" i="70"/>
  <c r="AH97" i="70"/>
  <c r="AH65" i="70"/>
  <c r="AH69" i="70"/>
  <c r="AH99" i="70"/>
  <c r="AH96" i="70"/>
  <c r="AH104" i="70"/>
  <c r="AH68" i="70"/>
  <c r="AH35" i="70"/>
  <c r="AH106" i="70"/>
  <c r="AH91" i="70"/>
  <c r="AH75" i="70"/>
  <c r="AH67" i="70"/>
  <c r="AH111" i="70"/>
  <c r="AH109" i="70"/>
  <c r="AH89" i="65"/>
  <c r="AH74" i="65"/>
  <c r="AH52" i="36"/>
  <c r="AH75" i="68"/>
  <c r="AH74" i="68"/>
  <c r="AG71" i="37"/>
  <c r="AD74" i="37" l="1"/>
  <c r="AC75" i="37"/>
  <c r="AD75" i="37" s="1"/>
  <c r="AC86" i="37"/>
  <c r="AD86" i="37" s="1"/>
  <c r="AC82" i="37"/>
  <c r="AH137" i="17"/>
  <c r="AH90" i="17"/>
  <c r="AH89" i="17"/>
  <c r="AH145" i="17"/>
  <c r="AH75" i="17"/>
  <c r="AH71" i="17"/>
  <c r="AH72" i="17"/>
  <c r="AH74" i="17"/>
  <c r="AH73" i="17"/>
  <c r="AH51" i="16"/>
  <c r="AH36" i="16"/>
  <c r="AH42" i="16"/>
  <c r="AB74" i="65"/>
  <c r="AB108" i="70"/>
  <c r="AB76" i="51"/>
  <c r="AB58" i="19"/>
  <c r="AB55" i="19"/>
  <c r="AB51" i="19"/>
  <c r="AB62" i="19"/>
  <c r="AB76" i="54"/>
  <c r="AB48" i="20"/>
  <c r="AB83" i="52"/>
  <c r="AB79" i="52"/>
  <c r="AB72" i="52"/>
  <c r="AB76" i="52"/>
  <c r="AB57" i="35"/>
  <c r="AB34" i="35"/>
  <c r="AB44" i="35"/>
  <c r="AB48" i="35"/>
  <c r="AB55" i="35"/>
  <c r="AB46" i="35"/>
  <c r="AB67" i="11"/>
  <c r="AB62" i="21"/>
  <c r="AB69" i="21"/>
  <c r="AB65" i="21"/>
  <c r="AB58" i="34"/>
  <c r="AB53" i="34"/>
  <c r="AB56" i="34"/>
  <c r="AB38" i="34"/>
  <c r="AB42" i="34"/>
  <c r="AB60" i="34"/>
  <c r="AB35" i="34"/>
  <c r="AB44" i="34"/>
  <c r="AB46" i="34"/>
  <c r="AB79" i="53"/>
  <c r="AB83" i="53"/>
  <c r="AB72" i="53"/>
  <c r="AD82" i="37" l="1"/>
  <c r="AC84" i="37"/>
  <c r="AE55" i="20"/>
  <c r="AE51" i="20"/>
  <c r="AE44" i="20"/>
  <c r="AE58" i="15"/>
  <c r="AE74" i="11"/>
  <c r="AE70" i="11"/>
  <c r="AE63" i="11"/>
  <c r="AN74" i="65"/>
  <c r="AM74" i="65"/>
  <c r="AG72" i="37"/>
  <c r="AN85" i="52"/>
  <c r="AM62" i="53"/>
  <c r="AN62" i="53"/>
  <c r="AM62" i="52"/>
  <c r="AN62" i="52"/>
  <c r="AM41" i="20"/>
  <c r="AN41" i="20"/>
  <c r="AN55" i="11"/>
  <c r="AM55" i="11"/>
  <c r="AN47" i="19"/>
  <c r="AM47" i="19"/>
  <c r="AN79" i="52"/>
  <c r="AM79" i="52"/>
  <c r="AM34" i="20"/>
  <c r="AN34" i="20"/>
  <c r="AM66" i="19"/>
  <c r="AN66" i="19"/>
  <c r="AN53" i="34"/>
  <c r="AM53" i="34"/>
  <c r="AM46" i="35"/>
  <c r="AN46" i="35"/>
  <c r="AN46" i="34"/>
  <c r="AM46" i="34"/>
  <c r="AM58" i="34"/>
  <c r="AN58" i="34"/>
  <c r="AN55" i="35"/>
  <c r="AM55" i="35"/>
  <c r="AM34" i="25"/>
  <c r="AN34" i="25"/>
  <c r="AN51" i="19"/>
  <c r="AM51" i="19"/>
  <c r="AN72" i="53"/>
  <c r="AM72" i="53"/>
  <c r="AN44" i="34"/>
  <c r="AM44" i="34"/>
  <c r="AN65" i="21"/>
  <c r="AM65" i="21"/>
  <c r="AN67" i="11"/>
  <c r="AM67" i="11"/>
  <c r="AM48" i="35"/>
  <c r="AN48" i="35"/>
  <c r="AN83" i="52"/>
  <c r="AM83" i="52"/>
  <c r="AM76" i="54"/>
  <c r="AN76" i="54"/>
  <c r="AM55" i="19"/>
  <c r="AN55" i="19"/>
  <c r="AM83" i="53"/>
  <c r="AN83" i="53"/>
  <c r="AM35" i="34"/>
  <c r="AN35" i="34"/>
  <c r="AM71" i="21"/>
  <c r="AN71" i="21"/>
  <c r="AN44" i="35"/>
  <c r="AM44" i="35"/>
  <c r="AM35" i="52"/>
  <c r="AN35" i="52"/>
  <c r="AM48" i="20"/>
  <c r="AN48" i="20"/>
  <c r="AN64" i="19"/>
  <c r="AM64" i="19"/>
  <c r="AN76" i="51"/>
  <c r="AM76" i="51"/>
  <c r="AM85" i="53"/>
  <c r="AN85" i="53"/>
  <c r="AM69" i="21"/>
  <c r="AN69" i="21"/>
  <c r="AM34" i="35"/>
  <c r="AN34" i="35"/>
  <c r="AN87" i="52"/>
  <c r="AM87" i="52"/>
  <c r="AN58" i="19"/>
  <c r="AM58" i="19"/>
  <c r="AM34" i="33"/>
  <c r="AN34" i="33"/>
  <c r="AN88" i="53"/>
  <c r="AM88" i="53"/>
  <c r="AM42" i="34"/>
  <c r="AN42" i="34"/>
  <c r="AM73" i="21"/>
  <c r="AN73" i="21"/>
  <c r="AM57" i="35"/>
  <c r="AN57" i="35"/>
  <c r="AN76" i="52"/>
  <c r="AM76" i="52"/>
  <c r="AN34" i="19"/>
  <c r="AM34" i="19"/>
  <c r="AN87" i="53"/>
  <c r="AM87" i="53"/>
  <c r="AN38" i="34"/>
  <c r="AM38" i="34"/>
  <c r="AN72" i="52"/>
  <c r="AM72" i="52"/>
  <c r="AM67" i="19"/>
  <c r="AN67" i="19"/>
  <c r="AM79" i="53"/>
  <c r="AN79" i="53"/>
  <c r="AN56" i="34"/>
  <c r="AM56" i="34"/>
  <c r="AN62" i="21"/>
  <c r="AM62" i="21"/>
  <c r="AM88" i="52"/>
  <c r="AN88" i="52"/>
  <c r="AM62" i="19"/>
  <c r="AN62" i="19"/>
  <c r="AD84" i="37" l="1"/>
  <c r="AC85" i="37"/>
  <c r="AD85" i="37" s="1"/>
  <c r="AB51" i="20"/>
  <c r="AB55" i="20"/>
  <c r="AB44" i="20"/>
  <c r="AB74" i="11"/>
  <c r="AB70" i="11"/>
  <c r="AB63" i="11"/>
  <c r="AB58" i="15"/>
  <c r="AG75" i="37"/>
  <c r="AG74" i="37"/>
  <c r="AM85" i="52"/>
  <c r="AH75" i="66" l="1"/>
  <c r="AH74" i="66"/>
  <c r="AH38" i="66"/>
  <c r="AH118" i="66"/>
  <c r="AH98" i="66"/>
  <c r="AH105" i="66"/>
  <c r="AH112" i="66"/>
  <c r="AH36" i="66"/>
  <c r="AH37" i="66"/>
  <c r="AM58" i="15"/>
  <c r="AN58" i="15"/>
  <c r="AN55" i="20"/>
  <c r="AM55" i="20"/>
  <c r="AM63" i="11"/>
  <c r="AN63" i="11"/>
  <c r="AM59" i="20"/>
  <c r="AN59" i="20"/>
  <c r="AM70" i="11"/>
  <c r="AN70" i="11"/>
  <c r="AN57" i="20"/>
  <c r="AM57" i="20"/>
  <c r="AN78" i="11"/>
  <c r="AM78" i="11"/>
  <c r="AM51" i="20"/>
  <c r="AN51" i="20"/>
  <c r="AM35" i="11"/>
  <c r="AN35" i="11"/>
  <c r="AM60" i="20"/>
  <c r="AN60" i="20"/>
  <c r="AN79" i="11"/>
  <c r="AM79" i="11"/>
  <c r="AM74" i="11"/>
  <c r="AN74" i="11"/>
  <c r="AN76" i="11"/>
  <c r="AM76" i="11"/>
  <c r="AN44" i="20"/>
  <c r="AM44" i="20"/>
  <c r="AC88" i="37"/>
  <c r="AD88" i="37" s="1"/>
  <c r="AG82" i="37"/>
  <c r="AG86" i="37"/>
  <c r="AF88" i="37"/>
  <c r="AG88" i="37" s="1"/>
  <c r="AG85" i="37" l="1"/>
  <c r="AG84" i="37"/>
  <c r="AN36" i="16" l="1"/>
  <c r="AM36" i="16"/>
  <c r="AN42" i="16"/>
  <c r="AM42" i="16"/>
  <c r="AM51" i="16"/>
  <c r="AN51" i="16"/>
  <c r="Y13" i="7"/>
  <c r="AD32" i="20"/>
  <c r="Y13" i="30"/>
  <c r="Q13" i="59"/>
  <c r="O13" i="58"/>
  <c r="E4" i="63"/>
  <c r="Y12" i="56"/>
  <c r="W12" i="26"/>
  <c r="S11" i="63"/>
  <c r="W12" i="25"/>
  <c r="S13" i="58"/>
  <c r="S12" i="25"/>
  <c r="AH132" i="6"/>
  <c r="R11" i="64"/>
  <c r="O13" i="55"/>
  <c r="AG19" i="21"/>
  <c r="T13" i="59"/>
  <c r="P13" i="29"/>
  <c r="T12" i="32"/>
  <c r="C4" i="15"/>
  <c r="X19" i="69"/>
  <c r="Z13" i="18"/>
  <c r="N29" i="26"/>
  <c r="P107" i="65"/>
  <c r="P110" i="65"/>
  <c r="T13" i="28"/>
  <c r="T13" i="19"/>
  <c r="N29" i="33"/>
  <c r="AG20" i="32"/>
  <c r="W12" i="59"/>
  <c r="AG20" i="11"/>
  <c r="V13" i="29"/>
  <c r="S13" i="39"/>
  <c r="S12" i="28"/>
  <c r="Y20" i="65"/>
  <c r="S12" i="26"/>
  <c r="Y12" i="36"/>
  <c r="P12" i="18"/>
  <c r="W13" i="22"/>
  <c r="AG20" i="53"/>
  <c r="Q13" i="54"/>
  <c r="Z12" i="57"/>
  <c r="C4" i="58"/>
  <c r="AG19" i="61"/>
  <c r="AG19" i="26"/>
  <c r="Q12" i="58"/>
  <c r="X13" i="6"/>
  <c r="R11" i="63"/>
  <c r="AH145" i="6"/>
  <c r="N29" i="20"/>
  <c r="Q13" i="20"/>
  <c r="W12" i="51"/>
  <c r="AG20" i="55"/>
  <c r="Y13" i="55"/>
  <c r="S12" i="56"/>
  <c r="T12" i="18"/>
  <c r="V12" i="51"/>
  <c r="Z13" i="21"/>
  <c r="Q12" i="18"/>
  <c r="V12" i="25"/>
  <c r="U12" i="25"/>
  <c r="X20" i="65"/>
  <c r="S12" i="22"/>
  <c r="S13" i="26"/>
  <c r="Z13" i="22"/>
  <c r="Q19" i="67"/>
  <c r="C9" i="59"/>
  <c r="Y13" i="20"/>
  <c r="S13" i="34"/>
  <c r="U12" i="33"/>
  <c r="AD32" i="6"/>
  <c r="Z13" i="30"/>
  <c r="U12" i="58"/>
  <c r="AD32" i="7"/>
  <c r="U13" i="18"/>
  <c r="S13" i="6"/>
  <c r="AG21" i="33"/>
  <c r="S12" i="58"/>
  <c r="E4" i="62"/>
  <c r="Z12" i="32"/>
  <c r="Q13" i="32"/>
  <c r="AG38" i="32"/>
  <c r="S13" i="15"/>
  <c r="W13" i="28"/>
  <c r="Z12" i="11"/>
  <c r="E4" i="34"/>
  <c r="S17" i="34" s="1"/>
  <c r="O12" i="59"/>
  <c r="S13" i="23"/>
  <c r="X12" i="34"/>
  <c r="Q110" i="65"/>
  <c r="E4" i="21"/>
  <c r="Z17" i="21" s="1"/>
  <c r="W13" i="31"/>
  <c r="O113" i="65"/>
  <c r="T20" i="68"/>
  <c r="R12" i="27"/>
  <c r="Y12" i="58"/>
  <c r="V13" i="11"/>
  <c r="Q12" i="54"/>
  <c r="U12" i="39"/>
  <c r="Y19" i="70"/>
  <c r="N29" i="30"/>
  <c r="AH128" i="6"/>
  <c r="X12" i="58"/>
  <c r="R11" i="62"/>
  <c r="AD32" i="56"/>
  <c r="C4" i="4"/>
  <c r="AG19" i="57"/>
  <c r="S13" i="55"/>
  <c r="AH134" i="6"/>
  <c r="AG19" i="55"/>
  <c r="X13" i="23"/>
  <c r="C9" i="39"/>
  <c r="U13" i="36"/>
  <c r="O12" i="21"/>
  <c r="U13" i="7"/>
  <c r="W13" i="15"/>
  <c r="V12" i="17"/>
  <c r="U20" i="65"/>
  <c r="E4" i="27"/>
  <c r="P13" i="26"/>
  <c r="N29" i="6"/>
  <c r="T12" i="17"/>
  <c r="O12" i="29"/>
  <c r="S13" i="56"/>
  <c r="V31" i="28"/>
  <c r="Z31" i="11"/>
  <c r="R13" i="6"/>
  <c r="P12" i="15"/>
  <c r="O12" i="23"/>
  <c r="T12" i="29"/>
  <c r="U13" i="28"/>
  <c r="Y13" i="9"/>
  <c r="AG19" i="52"/>
  <c r="P13" i="35"/>
  <c r="X110" i="65"/>
  <c r="S110" i="65"/>
  <c r="AG20" i="31"/>
  <c r="Q19" i="69"/>
  <c r="R13" i="18"/>
  <c r="W13" i="11"/>
  <c r="P13" i="30"/>
  <c r="AH149" i="6"/>
  <c r="C9" i="20"/>
  <c r="P12" i="54"/>
  <c r="Q21" i="68"/>
  <c r="AC32" i="37"/>
  <c r="N29" i="55"/>
  <c r="Q12" i="33"/>
  <c r="W12" i="24"/>
  <c r="AG19" i="53"/>
  <c r="Q13" i="11"/>
  <c r="X13" i="32"/>
  <c r="U13" i="25"/>
  <c r="U13" i="32"/>
  <c r="S13" i="57"/>
  <c r="O13" i="30"/>
  <c r="AD19" i="67"/>
  <c r="Z13" i="28"/>
  <c r="W12" i="23"/>
  <c r="C9" i="53"/>
  <c r="AD32" i="61"/>
  <c r="C4" i="6"/>
  <c r="V13" i="21"/>
  <c r="V17" i="21" s="1"/>
  <c r="R12" i="18"/>
  <c r="R13" i="55"/>
  <c r="Y13" i="39"/>
  <c r="Y12" i="51"/>
  <c r="Y13" i="21"/>
  <c r="Y17" i="21" s="1"/>
  <c r="Q13" i="18"/>
  <c r="S13" i="21"/>
  <c r="S17" i="21" s="1"/>
  <c r="N29" i="39"/>
  <c r="Q12" i="6"/>
  <c r="AG19" i="15"/>
  <c r="Q11" i="61"/>
  <c r="Z12" i="16"/>
  <c r="Q13" i="16"/>
  <c r="E4" i="15"/>
  <c r="X12" i="28"/>
  <c r="C4" i="37"/>
  <c r="C4" i="33"/>
  <c r="AG19" i="27"/>
  <c r="T12" i="33"/>
  <c r="R13" i="59"/>
  <c r="N13" i="24"/>
  <c r="S11" i="61"/>
  <c r="T13" i="30"/>
  <c r="U12" i="21"/>
  <c r="R13" i="24"/>
  <c r="Y13" i="6"/>
  <c r="C9" i="63"/>
  <c r="T13" i="53"/>
  <c r="Q13" i="15"/>
  <c r="Q17" i="15" s="1"/>
  <c r="AG19" i="62"/>
  <c r="P13" i="23"/>
  <c r="Y12" i="15"/>
  <c r="Q13" i="28"/>
  <c r="X12" i="59"/>
  <c r="R12" i="11"/>
  <c r="T12" i="11"/>
  <c r="Q13" i="6"/>
  <c r="Q107" i="65"/>
  <c r="R13" i="26"/>
  <c r="AD32" i="34"/>
  <c r="U12" i="17"/>
  <c r="X13" i="26"/>
  <c r="W107" i="65"/>
  <c r="P13" i="59"/>
  <c r="E4" i="64"/>
  <c r="Y12" i="54"/>
  <c r="P11" i="63"/>
  <c r="X13" i="29"/>
  <c r="AG19" i="58"/>
  <c r="AG19" i="33"/>
  <c r="Z13" i="27"/>
  <c r="Z17" i="27" s="1"/>
  <c r="W13" i="51"/>
  <c r="C4" i="56"/>
  <c r="R13" i="52"/>
  <c r="V12" i="36"/>
  <c r="P12" i="56"/>
  <c r="AG19" i="39"/>
  <c r="V13" i="30"/>
  <c r="V13" i="56"/>
  <c r="AG20" i="15"/>
  <c r="R12" i="9"/>
  <c r="T13" i="23"/>
  <c r="O13" i="18"/>
  <c r="C4" i="20"/>
  <c r="Y13" i="54"/>
  <c r="Y13" i="16"/>
  <c r="V113" i="65"/>
  <c r="S13" i="35"/>
  <c r="T12" i="35"/>
  <c r="AD32" i="57"/>
  <c r="O13" i="53"/>
  <c r="X12" i="7"/>
  <c r="Y13" i="59"/>
  <c r="AG20" i="7"/>
  <c r="X13" i="34"/>
  <c r="X17" i="34" s="1"/>
  <c r="U12" i="32"/>
  <c r="R13" i="33"/>
  <c r="AG20" i="54"/>
  <c r="Z12" i="58"/>
  <c r="V12" i="30"/>
  <c r="X13" i="18"/>
  <c r="AH143" i="6"/>
  <c r="S12" i="24"/>
  <c r="R12" i="33"/>
  <c r="Q11" i="62"/>
  <c r="X12" i="56"/>
  <c r="P12" i="55"/>
  <c r="X12" i="19"/>
  <c r="X19" i="66"/>
  <c r="W31" i="33"/>
  <c r="X12" i="21"/>
  <c r="C4" i="19"/>
  <c r="Y13" i="56"/>
  <c r="R13" i="7"/>
  <c r="P12" i="30"/>
  <c r="Y13" i="33"/>
  <c r="Q12" i="28"/>
  <c r="P13" i="20"/>
  <c r="O12" i="57"/>
  <c r="U13" i="39"/>
  <c r="V12" i="24"/>
  <c r="V13" i="53"/>
  <c r="P13" i="9"/>
  <c r="C4" i="25"/>
  <c r="Z13" i="6"/>
  <c r="S13" i="11"/>
  <c r="C4" i="32"/>
  <c r="X13" i="19"/>
  <c r="P13" i="28"/>
  <c r="Z12" i="25"/>
  <c r="C9" i="55"/>
  <c r="V12" i="23"/>
  <c r="C4" i="26"/>
  <c r="S12" i="17"/>
  <c r="V12" i="19"/>
  <c r="V13" i="7"/>
  <c r="Y13" i="31"/>
  <c r="P13" i="21"/>
  <c r="P17" i="21" s="1"/>
  <c r="W13" i="9"/>
  <c r="R13" i="36"/>
  <c r="W13" i="18"/>
  <c r="O12" i="22"/>
  <c r="U13" i="33"/>
  <c r="AH144" i="6"/>
  <c r="AH142" i="6"/>
  <c r="E4" i="22"/>
  <c r="N29" i="64"/>
  <c r="O12" i="27"/>
  <c r="T12" i="7"/>
  <c r="R13" i="11"/>
  <c r="V12" i="21"/>
  <c r="AH127" i="6"/>
  <c r="O13" i="15"/>
  <c r="O17" i="15" s="1"/>
  <c r="T12" i="54"/>
  <c r="O12" i="54"/>
  <c r="C9" i="29"/>
  <c r="P12" i="36"/>
  <c r="AH150" i="6"/>
  <c r="AH147" i="6"/>
  <c r="V12" i="57"/>
  <c r="Q13" i="52"/>
  <c r="AD32" i="28"/>
  <c r="Y12" i="53"/>
  <c r="S12" i="32"/>
  <c r="AD32" i="55"/>
  <c r="Q12" i="11"/>
  <c r="S12" i="19"/>
  <c r="X12" i="11"/>
  <c r="X12" i="27"/>
  <c r="T13" i="22"/>
  <c r="T17" i="22" s="1"/>
  <c r="X13" i="16"/>
  <c r="X12" i="30"/>
  <c r="S12" i="7"/>
  <c r="T13" i="17"/>
  <c r="U13" i="11"/>
  <c r="Y12" i="29"/>
  <c r="Y13" i="19"/>
  <c r="Z13" i="9"/>
  <c r="R13" i="27"/>
  <c r="R17" i="27" s="1"/>
  <c r="N29" i="57"/>
  <c r="U12" i="7"/>
  <c r="N29" i="36"/>
  <c r="V13" i="33"/>
  <c r="R13" i="54"/>
  <c r="C9" i="69"/>
  <c r="C4" i="61"/>
  <c r="Y13" i="51"/>
  <c r="X12" i="24"/>
  <c r="X12" i="57"/>
  <c r="Q13" i="39"/>
  <c r="AH141" i="6"/>
  <c r="P13" i="55"/>
  <c r="Z13" i="51"/>
  <c r="Z12" i="18"/>
  <c r="O12" i="34"/>
  <c r="O13" i="21"/>
  <c r="O17" i="21" s="1"/>
  <c r="T12" i="15"/>
  <c r="P12" i="29"/>
  <c r="X12" i="17"/>
  <c r="AG19" i="16"/>
  <c r="W13" i="17"/>
  <c r="O12" i="33"/>
  <c r="S11" i="62"/>
  <c r="U19" i="65"/>
  <c r="R13" i="29"/>
  <c r="C4" i="18"/>
  <c r="X13" i="30"/>
  <c r="W12" i="27"/>
  <c r="C9" i="28"/>
  <c r="S13" i="59"/>
  <c r="W12" i="57"/>
  <c r="P11" i="62"/>
  <c r="T12" i="25"/>
  <c r="Q12" i="29"/>
  <c r="P13" i="25"/>
  <c r="P12" i="6"/>
  <c r="AH137" i="6"/>
  <c r="E4" i="57"/>
  <c r="AD32" i="58"/>
  <c r="V13" i="28"/>
  <c r="N29" i="9"/>
  <c r="U13" i="23"/>
  <c r="X12" i="39"/>
  <c r="T12" i="59"/>
  <c r="Q11" i="64"/>
  <c r="O12" i="11"/>
  <c r="Q13" i="17"/>
  <c r="O13" i="19"/>
  <c r="T19" i="66"/>
  <c r="W12" i="53"/>
  <c r="T12" i="39"/>
  <c r="R12" i="55"/>
  <c r="AD32" i="21"/>
  <c r="T13" i="18"/>
  <c r="T12" i="36"/>
  <c r="AH136" i="6"/>
  <c r="N29" i="70"/>
  <c r="C4" i="16"/>
  <c r="W13" i="34"/>
  <c r="W17" i="34" s="1"/>
  <c r="T12" i="58"/>
  <c r="Z13" i="16"/>
  <c r="N29" i="22"/>
  <c r="Q12" i="59"/>
  <c r="U12" i="28"/>
  <c r="AG20" i="57"/>
  <c r="W13" i="21"/>
  <c r="W17" i="21" s="1"/>
  <c r="AG20" i="62"/>
  <c r="S12" i="33"/>
  <c r="AG19" i="54"/>
  <c r="P12" i="27"/>
  <c r="P13" i="27"/>
  <c r="P17" i="27" s="1"/>
  <c r="Z12" i="53"/>
  <c r="U12" i="56"/>
  <c r="AH139" i="6"/>
  <c r="W12" i="30"/>
  <c r="AC32" i="24"/>
  <c r="V13" i="39"/>
  <c r="O12" i="39"/>
  <c r="T13" i="34"/>
  <c r="T17" i="34" s="1"/>
  <c r="R13" i="58"/>
  <c r="Y13" i="57"/>
  <c r="Z13" i="7"/>
  <c r="Q13" i="24"/>
  <c r="AG19" i="6"/>
  <c r="U12" i="23"/>
  <c r="R13" i="53"/>
  <c r="R12" i="6"/>
  <c r="O13" i="57"/>
  <c r="T13" i="58"/>
  <c r="N29" i="32"/>
  <c r="Y12" i="39"/>
  <c r="AG19" i="11"/>
  <c r="V13" i="55"/>
  <c r="E4" i="19"/>
  <c r="V13" i="54"/>
  <c r="AD20" i="69"/>
  <c r="Z113" i="65"/>
  <c r="T12" i="9"/>
  <c r="X13" i="27"/>
  <c r="X17" i="27" s="1"/>
  <c r="S13" i="31"/>
  <c r="Y12" i="57"/>
  <c r="O12" i="7"/>
  <c r="Y13" i="27"/>
  <c r="Y17" i="27" s="1"/>
  <c r="AG19" i="7"/>
  <c r="O13" i="54"/>
  <c r="U12" i="29"/>
  <c r="S13" i="30"/>
  <c r="V12" i="20"/>
  <c r="U13" i="6"/>
  <c r="X13" i="59"/>
  <c r="AF60" i="24"/>
  <c r="W13" i="56"/>
  <c r="U12" i="30"/>
  <c r="X12" i="33"/>
  <c r="R12" i="56"/>
  <c r="AF19" i="37"/>
  <c r="AG20" i="25"/>
  <c r="Z12" i="51"/>
  <c r="S13" i="18"/>
  <c r="V12" i="29"/>
  <c r="AD32" i="9"/>
  <c r="U13" i="21"/>
  <c r="U17" i="21" s="1"/>
  <c r="AH130" i="6"/>
  <c r="W19" i="68"/>
  <c r="U12" i="6"/>
  <c r="Z12" i="23"/>
  <c r="W13" i="35"/>
  <c r="O12" i="52"/>
  <c r="X19" i="67"/>
  <c r="T19" i="69"/>
  <c r="Y13" i="36"/>
  <c r="C9" i="21"/>
  <c r="V12" i="7"/>
  <c r="N29" i="21"/>
  <c r="V12" i="27"/>
  <c r="S12" i="27"/>
  <c r="P12" i="57"/>
  <c r="Q13" i="58"/>
  <c r="X13" i="39"/>
  <c r="AG20" i="36"/>
  <c r="AD32" i="23"/>
  <c r="W12" i="6"/>
  <c r="P13" i="33"/>
  <c r="AD32" i="52"/>
  <c r="U13" i="56"/>
  <c r="R12" i="57"/>
  <c r="N29" i="15"/>
  <c r="R13" i="32"/>
  <c r="O12" i="18"/>
  <c r="E4" i="11"/>
  <c r="Q12" i="39"/>
  <c r="AG20" i="19"/>
  <c r="Y12" i="27"/>
  <c r="AG19" i="65"/>
  <c r="S13" i="29"/>
  <c r="AD32" i="59"/>
  <c r="S20" i="70"/>
  <c r="Y13" i="28"/>
  <c r="V12" i="59"/>
  <c r="R12" i="28"/>
  <c r="N29" i="54"/>
  <c r="G4" i="7"/>
  <c r="Z12" i="29"/>
  <c r="W13" i="29"/>
  <c r="AD32" i="33"/>
  <c r="U13" i="24"/>
  <c r="R20" i="65"/>
  <c r="N29" i="59"/>
  <c r="Q12" i="52"/>
  <c r="O12" i="56"/>
  <c r="V12" i="52"/>
  <c r="S13" i="33"/>
  <c r="AG20" i="30"/>
  <c r="X13" i="52"/>
  <c r="U13" i="31"/>
  <c r="AD19" i="30"/>
  <c r="Q31" i="6"/>
  <c r="E4" i="58"/>
  <c r="X13" i="20"/>
  <c r="W12" i="11"/>
  <c r="AF20" i="24"/>
  <c r="S12" i="57"/>
  <c r="R12" i="30"/>
  <c r="Y12" i="7"/>
  <c r="S13" i="7"/>
  <c r="O13" i="33"/>
  <c r="P13" i="6"/>
  <c r="U12" i="53"/>
  <c r="P13" i="58"/>
  <c r="C9" i="61"/>
  <c r="V13" i="32"/>
  <c r="P13" i="39"/>
  <c r="S13" i="36"/>
  <c r="X13" i="21"/>
  <c r="X17" i="21" s="1"/>
  <c r="W12" i="36"/>
  <c r="W12" i="29"/>
  <c r="AD32" i="69"/>
  <c r="S13" i="53"/>
  <c r="U20" i="67"/>
  <c r="Y12" i="18"/>
  <c r="R12" i="52"/>
  <c r="V20" i="66"/>
  <c r="AD32" i="4"/>
  <c r="U13" i="29"/>
  <c r="R12" i="58"/>
  <c r="P12" i="9"/>
  <c r="Q12" i="19"/>
  <c r="N29" i="51"/>
  <c r="Z12" i="28"/>
  <c r="N29" i="34"/>
  <c r="AG20" i="35"/>
  <c r="P19" i="66"/>
  <c r="X13" i="33"/>
  <c r="T12" i="6"/>
  <c r="W13" i="59"/>
  <c r="S12" i="54"/>
  <c r="Y12" i="30"/>
  <c r="U13" i="54"/>
  <c r="T13" i="7"/>
  <c r="Q13" i="19"/>
  <c r="Q17" i="19" s="1"/>
  <c r="X13" i="36"/>
  <c r="AH126" i="6"/>
  <c r="AG19" i="19"/>
  <c r="Z12" i="54"/>
  <c r="V12" i="56"/>
  <c r="Y13" i="24"/>
  <c r="V13" i="6"/>
  <c r="C9" i="52"/>
  <c r="P12" i="33"/>
  <c r="S13" i="52"/>
  <c r="P12" i="39"/>
  <c r="V12" i="39"/>
  <c r="W12" i="21"/>
  <c r="E4" i="29"/>
  <c r="C4" i="36"/>
  <c r="AG19" i="25"/>
  <c r="AA110" i="65"/>
  <c r="Z13" i="20"/>
  <c r="U12" i="52"/>
  <c r="AG19" i="35"/>
  <c r="C4" i="35"/>
  <c r="AG20" i="70"/>
  <c r="R13" i="19"/>
  <c r="R17" i="19" s="1"/>
  <c r="AG22" i="7"/>
  <c r="E4" i="37"/>
  <c r="P12" i="20"/>
  <c r="U12" i="36"/>
  <c r="C4" i="23"/>
  <c r="Z12" i="34"/>
  <c r="T12" i="56"/>
  <c r="N29" i="61"/>
  <c r="C9" i="62"/>
  <c r="V13" i="24"/>
  <c r="C4" i="54"/>
  <c r="Q13" i="23"/>
  <c r="AH119" i="6"/>
  <c r="AH135" i="6"/>
  <c r="X12" i="51"/>
  <c r="V12" i="58"/>
  <c r="U13" i="34"/>
  <c r="U17" i="34" s="1"/>
  <c r="C4" i="51"/>
  <c r="C9" i="32"/>
  <c r="T12" i="52"/>
  <c r="Z12" i="56"/>
  <c r="N29" i="58"/>
  <c r="V20" i="65"/>
  <c r="V107" i="65"/>
  <c r="Q20" i="69"/>
  <c r="Q12" i="16"/>
  <c r="T20" i="65"/>
  <c r="Q13" i="51"/>
  <c r="U13" i="19"/>
  <c r="U17" i="19" s="1"/>
  <c r="P13" i="11"/>
  <c r="P17" i="11" s="1"/>
  <c r="Z12" i="27"/>
  <c r="Y12" i="11"/>
  <c r="C4" i="7"/>
  <c r="R12" i="51"/>
  <c r="V12" i="33"/>
  <c r="Z13" i="36"/>
  <c r="AG21" i="7"/>
  <c r="P12" i="58"/>
  <c r="W13" i="39"/>
  <c r="Z13" i="56"/>
  <c r="P12" i="53"/>
  <c r="S13" i="25"/>
  <c r="O12" i="6"/>
  <c r="W13" i="33"/>
  <c r="AG20" i="39"/>
  <c r="P13" i="18"/>
  <c r="C9" i="34"/>
  <c r="O13" i="36"/>
  <c r="Y13" i="32"/>
  <c r="Q12" i="7"/>
  <c r="Y13" i="22"/>
  <c r="Y17" i="22" s="1"/>
  <c r="R12" i="26"/>
  <c r="AG52" i="25"/>
  <c r="P12" i="34"/>
  <c r="AG19" i="17"/>
  <c r="S13" i="28"/>
  <c r="AG20" i="21"/>
  <c r="V13" i="9"/>
  <c r="V31" i="33"/>
  <c r="X12" i="16"/>
  <c r="W13" i="32"/>
  <c r="S12" i="55"/>
  <c r="R13" i="23"/>
  <c r="U13" i="58"/>
  <c r="R13" i="28"/>
  <c r="AG20" i="27"/>
  <c r="P12" i="11"/>
  <c r="O12" i="26"/>
  <c r="Q12" i="51"/>
  <c r="Q13" i="35"/>
  <c r="S12" i="18"/>
  <c r="Y12" i="52"/>
  <c r="U13" i="30"/>
  <c r="O13" i="59"/>
  <c r="O12" i="32"/>
  <c r="R12" i="7"/>
  <c r="P12" i="32"/>
  <c r="U12" i="11"/>
  <c r="C9" i="54"/>
  <c r="Z13" i="57"/>
  <c r="T12" i="30"/>
  <c r="U12" i="31"/>
  <c r="T12" i="23"/>
  <c r="C9" i="23"/>
  <c r="W12" i="33"/>
  <c r="W13" i="23"/>
  <c r="C4" i="27"/>
  <c r="W12" i="56"/>
  <c r="V13" i="51"/>
  <c r="N29" i="19"/>
  <c r="U12" i="20"/>
  <c r="R12" i="23"/>
  <c r="N29" i="63"/>
  <c r="C9" i="57"/>
  <c r="Z12" i="55"/>
  <c r="Z12" i="7"/>
  <c r="T12" i="53"/>
  <c r="C4" i="55"/>
  <c r="W12" i="7"/>
  <c r="O13" i="39"/>
  <c r="R13" i="15"/>
  <c r="R17" i="15" s="1"/>
  <c r="N29" i="18"/>
  <c r="X13" i="25"/>
  <c r="U13" i="9"/>
  <c r="Z12" i="36"/>
  <c r="Q12" i="34"/>
  <c r="C4" i="24"/>
  <c r="R20" i="68"/>
  <c r="Q32" i="67"/>
  <c r="T12" i="16"/>
  <c r="C4" i="63"/>
  <c r="V19" i="70"/>
  <c r="AD32" i="26"/>
  <c r="Z12" i="20"/>
  <c r="T13" i="21"/>
  <c r="T17" i="21" s="1"/>
  <c r="U13" i="20"/>
  <c r="Q13" i="21"/>
  <c r="Q17" i="21" s="1"/>
  <c r="V13" i="31"/>
  <c r="T13" i="11"/>
  <c r="T17" i="11" s="1"/>
  <c r="Q13" i="56"/>
  <c r="AD32" i="63"/>
  <c r="W12" i="20"/>
  <c r="N29" i="17"/>
  <c r="X13" i="57"/>
  <c r="V13" i="23"/>
  <c r="AH124" i="6"/>
  <c r="W13" i="25"/>
  <c r="R12" i="25"/>
  <c r="AG20" i="63"/>
  <c r="V12" i="15"/>
  <c r="S12" i="23"/>
  <c r="U13" i="59"/>
  <c r="W12" i="9"/>
  <c r="S12" i="51"/>
  <c r="C9" i="51"/>
  <c r="W13" i="30"/>
  <c r="AD32" i="67"/>
  <c r="S19" i="69"/>
  <c r="R12" i="22"/>
  <c r="P12" i="23"/>
  <c r="N29" i="52"/>
  <c r="O12" i="19"/>
  <c r="V12" i="28"/>
  <c r="AD32" i="54"/>
  <c r="W13" i="58"/>
  <c r="Y12" i="24"/>
  <c r="Q12" i="9"/>
  <c r="E4" i="6"/>
  <c r="M29" i="24"/>
  <c r="E4" i="24"/>
  <c r="C4" i="62"/>
  <c r="AD32" i="30"/>
  <c r="U12" i="55"/>
  <c r="T12" i="55"/>
  <c r="Q13" i="53"/>
  <c r="V13" i="15"/>
  <c r="V17" i="15" s="1"/>
  <c r="T13" i="36"/>
  <c r="V13" i="18"/>
  <c r="X12" i="15"/>
  <c r="Z12" i="9"/>
  <c r="O12" i="25"/>
  <c r="AH125" i="6"/>
  <c r="AG19" i="36"/>
  <c r="R19" i="65"/>
  <c r="Y19" i="65"/>
  <c r="AD19" i="65"/>
  <c r="Z19" i="67"/>
  <c r="E4" i="16"/>
  <c r="AH148" i="6"/>
  <c r="R12" i="36"/>
  <c r="Y12" i="20"/>
  <c r="O13" i="7"/>
  <c r="Z12" i="30"/>
  <c r="N29" i="27"/>
  <c r="C9" i="17"/>
  <c r="W13" i="57"/>
  <c r="X13" i="56"/>
  <c r="X13" i="54"/>
  <c r="P13" i="53"/>
  <c r="AG19" i="32"/>
  <c r="AG19" i="63"/>
  <c r="AH140" i="6"/>
  <c r="N29" i="23"/>
  <c r="V13" i="52"/>
  <c r="C4" i="9"/>
  <c r="R12" i="16"/>
  <c r="Q31" i="27"/>
  <c r="Q13" i="29"/>
  <c r="Q17" i="29" s="1"/>
  <c r="T12" i="27"/>
  <c r="Y13" i="18"/>
  <c r="S13" i="9"/>
  <c r="AG20" i="56"/>
  <c r="AG20" i="20"/>
  <c r="V13" i="36"/>
  <c r="Z13" i="58"/>
  <c r="C4" i="34"/>
  <c r="Q13" i="55"/>
  <c r="U12" i="57"/>
  <c r="V13" i="57"/>
  <c r="S13" i="24"/>
  <c r="S17" i="24" s="1"/>
  <c r="C9" i="7"/>
  <c r="T13" i="39"/>
  <c r="AG19" i="34"/>
  <c r="AD32" i="39"/>
  <c r="T13" i="32"/>
  <c r="C9" i="64"/>
  <c r="S12" i="53"/>
  <c r="R12" i="31"/>
  <c r="C9" i="58"/>
  <c r="AG20" i="26"/>
  <c r="Z13" i="31"/>
  <c r="AD32" i="29"/>
  <c r="R11" i="61"/>
  <c r="Z12" i="19"/>
  <c r="Z13" i="54"/>
  <c r="T13" i="27"/>
  <c r="T17" i="27" s="1"/>
  <c r="N29" i="4"/>
  <c r="Q12" i="20"/>
  <c r="V12" i="9"/>
  <c r="O19" i="68"/>
  <c r="N29" i="66"/>
  <c r="Q12" i="17"/>
  <c r="T113" i="65"/>
  <c r="AG19" i="51"/>
  <c r="O19" i="70"/>
  <c r="T13" i="26"/>
  <c r="O13" i="20"/>
  <c r="T12" i="21"/>
  <c r="Y12" i="33"/>
  <c r="P13" i="36"/>
  <c r="Q13" i="36"/>
  <c r="O12" i="58"/>
  <c r="AG20" i="51"/>
  <c r="O13" i="56"/>
  <c r="E4" i="33"/>
  <c r="S13" i="54"/>
  <c r="Q13" i="27"/>
  <c r="Q17" i="27" s="1"/>
  <c r="AD32" i="32"/>
  <c r="Z13" i="23"/>
  <c r="AH138" i="6"/>
  <c r="U13" i="15"/>
  <c r="U17" i="15" s="1"/>
  <c r="P13" i="52"/>
  <c r="X13" i="28"/>
  <c r="Y12" i="32"/>
  <c r="U12" i="34"/>
  <c r="O13" i="29"/>
  <c r="O17" i="29" s="1"/>
  <c r="X13" i="11"/>
  <c r="X17" i="11" s="1"/>
  <c r="Q13" i="9"/>
  <c r="AG20" i="67"/>
  <c r="R20" i="70"/>
  <c r="Z13" i="17"/>
  <c r="AG20" i="16"/>
  <c r="V19" i="68"/>
  <c r="Z19" i="69"/>
  <c r="AD32" i="64"/>
  <c r="N29" i="11"/>
  <c r="V12" i="54"/>
  <c r="C4" i="11"/>
  <c r="V12" i="35"/>
  <c r="Y12" i="21"/>
  <c r="T13" i="6"/>
  <c r="W13" i="24"/>
  <c r="W17" i="24" s="1"/>
  <c r="AG20" i="64"/>
  <c r="U12" i="22"/>
  <c r="N29" i="29"/>
  <c r="Z13" i="55"/>
  <c r="Z13" i="52"/>
  <c r="Q12" i="55"/>
  <c r="E4" i="52"/>
  <c r="P12" i="24"/>
  <c r="E4" i="39"/>
  <c r="X13" i="55"/>
  <c r="AG19" i="4"/>
  <c r="R13" i="34"/>
  <c r="R17" i="34" s="1"/>
  <c r="Q12" i="23"/>
  <c r="R12" i="15"/>
  <c r="AG19" i="66"/>
  <c r="Y13" i="15"/>
  <c r="Y17" i="15" s="1"/>
  <c r="W20" i="68"/>
  <c r="X12" i="31"/>
  <c r="P13" i="34"/>
  <c r="P17" i="34" s="1"/>
  <c r="S12" i="59"/>
  <c r="O12" i="36"/>
  <c r="Q13" i="30"/>
  <c r="AG19" i="20"/>
  <c r="T13" i="33"/>
  <c r="T17" i="33" s="1"/>
  <c r="O32" i="66"/>
  <c r="S12" i="36"/>
  <c r="E4" i="53"/>
  <c r="U13" i="55"/>
  <c r="AG20" i="61"/>
  <c r="U12" i="24"/>
  <c r="X12" i="54"/>
  <c r="O13" i="11"/>
  <c r="O17" i="11" s="1"/>
  <c r="AD32" i="25"/>
  <c r="X12" i="23"/>
  <c r="P12" i="51"/>
  <c r="Q12" i="15"/>
  <c r="O12" i="28"/>
  <c r="T12" i="34"/>
  <c r="Z13" i="34"/>
  <c r="Z17" i="34" s="1"/>
  <c r="P13" i="32"/>
  <c r="C9" i="56"/>
  <c r="O13" i="28"/>
  <c r="X12" i="26"/>
  <c r="E4" i="4"/>
  <c r="V13" i="22"/>
  <c r="V17" i="22" s="1"/>
  <c r="P12" i="26"/>
  <c r="AD32" i="19"/>
  <c r="C9" i="4"/>
  <c r="C9" i="27"/>
  <c r="T31" i="33"/>
  <c r="T31" i="6"/>
  <c r="U13" i="22"/>
  <c r="U17" i="22" s="1"/>
  <c r="S12" i="29"/>
  <c r="S12" i="34"/>
  <c r="P13" i="51"/>
  <c r="R12" i="32"/>
  <c r="T13" i="29"/>
  <c r="T17" i="29" s="1"/>
  <c r="S13" i="20"/>
  <c r="R13" i="21"/>
  <c r="R17" i="21" s="1"/>
  <c r="S13" i="22"/>
  <c r="S17" i="22" s="1"/>
  <c r="S20" i="68"/>
  <c r="AA113" i="65"/>
  <c r="C9" i="33"/>
  <c r="S12" i="6"/>
  <c r="S107" i="65"/>
  <c r="AD32" i="36"/>
  <c r="AD21" i="7"/>
  <c r="T13" i="57"/>
  <c r="AG20" i="4"/>
  <c r="AD32" i="62"/>
  <c r="O12" i="20"/>
  <c r="X13" i="58"/>
  <c r="P13" i="16"/>
  <c r="P17" i="16" s="1"/>
  <c r="S11" i="64"/>
  <c r="T13" i="55"/>
  <c r="S12" i="30"/>
  <c r="W12" i="55"/>
  <c r="T13" i="51"/>
  <c r="T13" i="20"/>
  <c r="X12" i="52"/>
  <c r="C9" i="36"/>
  <c r="P13" i="24"/>
  <c r="P17" i="24" s="1"/>
  <c r="O110" i="65"/>
  <c r="E4" i="36"/>
  <c r="O12" i="53"/>
  <c r="E4" i="20"/>
  <c r="Z13" i="53"/>
  <c r="Z17" i="53" s="1"/>
  <c r="P13" i="54"/>
  <c r="AG19" i="64"/>
  <c r="Z13" i="15"/>
  <c r="Z17" i="15" s="1"/>
  <c r="Y13" i="23"/>
  <c r="Q12" i="25"/>
  <c r="W13" i="6"/>
  <c r="W12" i="28"/>
  <c r="E4" i="23"/>
  <c r="Y12" i="59"/>
  <c r="V13" i="34"/>
  <c r="V17" i="34" s="1"/>
  <c r="Z13" i="25"/>
  <c r="U13" i="52"/>
  <c r="U17" i="52" s="1"/>
  <c r="V110" i="65"/>
  <c r="P13" i="19"/>
  <c r="P17" i="19" s="1"/>
  <c r="O32" i="65"/>
  <c r="AD32" i="27"/>
  <c r="P32" i="68"/>
  <c r="Q12" i="35"/>
  <c r="U12" i="54"/>
  <c r="S13" i="27"/>
  <c r="S17" i="27" s="1"/>
  <c r="Q12" i="57"/>
  <c r="W12" i="54"/>
  <c r="V13" i="58"/>
  <c r="C4" i="30"/>
  <c r="Y12" i="23"/>
  <c r="AH122" i="6"/>
  <c r="X13" i="53"/>
  <c r="X17" i="53" s="1"/>
  <c r="V13" i="20"/>
  <c r="V17" i="20" s="1"/>
  <c r="P13" i="7"/>
  <c r="AG19" i="9"/>
  <c r="C4" i="39"/>
  <c r="N29" i="56"/>
  <c r="Z13" i="39"/>
  <c r="X12" i="25"/>
  <c r="V12" i="18"/>
  <c r="O12" i="9"/>
  <c r="W12" i="18"/>
  <c r="S12" i="39"/>
  <c r="E4" i="56"/>
  <c r="W12" i="34"/>
  <c r="Y20" i="66"/>
  <c r="T13" i="31"/>
  <c r="P12" i="22"/>
  <c r="U12" i="19"/>
  <c r="P12" i="17"/>
  <c r="Q113" i="65"/>
  <c r="T12" i="20"/>
  <c r="Q13" i="33"/>
  <c r="Q17" i="33" s="1"/>
  <c r="R12" i="20"/>
  <c r="R12" i="24"/>
  <c r="U12" i="9"/>
  <c r="C9" i="30"/>
  <c r="T13" i="56"/>
  <c r="X12" i="36"/>
  <c r="W13" i="20"/>
  <c r="W17" i="20" s="1"/>
  <c r="AH129" i="6"/>
  <c r="Z12" i="59"/>
  <c r="E4" i="54"/>
  <c r="N29" i="25"/>
  <c r="Z13" i="32"/>
  <c r="Y12" i="25"/>
  <c r="O13" i="6"/>
  <c r="X12" i="32"/>
  <c r="AG63" i="34"/>
  <c r="E4" i="59"/>
  <c r="Y12" i="28"/>
  <c r="X13" i="51"/>
  <c r="N29" i="62"/>
  <c r="T107" i="65"/>
  <c r="Q12" i="24"/>
  <c r="U20" i="68"/>
  <c r="AG152" i="6"/>
  <c r="O12" i="16"/>
  <c r="C4" i="28"/>
  <c r="W12" i="19"/>
  <c r="Q13" i="7"/>
  <c r="Y13" i="58"/>
  <c r="S12" i="21"/>
  <c r="O107" i="65"/>
  <c r="C9" i="24"/>
  <c r="AG20" i="6"/>
  <c r="Y13" i="11"/>
  <c r="Y17" i="11" s="1"/>
  <c r="T12" i="24"/>
  <c r="W13" i="53"/>
  <c r="W17" i="53" s="1"/>
  <c r="S12" i="20"/>
  <c r="AH123" i="6"/>
  <c r="V12" i="55"/>
  <c r="O12" i="24"/>
  <c r="P13" i="56"/>
  <c r="Z12" i="35"/>
  <c r="T12" i="22"/>
  <c r="AA12" i="6"/>
  <c r="Q12" i="32"/>
  <c r="P19" i="70"/>
  <c r="W20" i="69"/>
  <c r="AD20" i="21"/>
  <c r="Q31" i="54"/>
  <c r="R13" i="30"/>
  <c r="C9" i="70"/>
  <c r="T31" i="55"/>
  <c r="O13" i="26"/>
  <c r="U19" i="67"/>
  <c r="AA12" i="19"/>
  <c r="Q31" i="34"/>
  <c r="R32" i="70"/>
  <c r="R13" i="35"/>
  <c r="V13" i="16"/>
  <c r="V17" i="16" s="1"/>
  <c r="O31" i="53"/>
  <c r="AA13" i="39"/>
  <c r="S20" i="69"/>
  <c r="X31" i="4"/>
  <c r="Q31" i="33"/>
  <c r="O13" i="23"/>
  <c r="O17" i="23" s="1"/>
  <c r="P31" i="57"/>
  <c r="AA12" i="20"/>
  <c r="U19" i="70"/>
  <c r="Z31" i="18"/>
  <c r="O31" i="30"/>
  <c r="R110" i="65"/>
  <c r="P31" i="4"/>
  <c r="Y31" i="4"/>
  <c r="Y13" i="35"/>
  <c r="S13" i="16"/>
  <c r="S17" i="16" s="1"/>
  <c r="O13" i="37"/>
  <c r="R31" i="51"/>
  <c r="C4" i="57"/>
  <c r="O31" i="28"/>
  <c r="T31" i="32"/>
  <c r="AG20" i="58"/>
  <c r="Q31" i="19"/>
  <c r="Z110" i="65"/>
  <c r="V19" i="67"/>
  <c r="AA13" i="20"/>
  <c r="W31" i="7"/>
  <c r="P12" i="19"/>
  <c r="W31" i="25"/>
  <c r="T31" i="11"/>
  <c r="Y19" i="66"/>
  <c r="R13" i="39"/>
  <c r="Z19" i="70"/>
  <c r="R31" i="23"/>
  <c r="O12" i="51"/>
  <c r="AJ31" i="19"/>
  <c r="W31" i="24"/>
  <c r="P12" i="52"/>
  <c r="T31" i="29"/>
  <c r="AG20" i="29"/>
  <c r="AD19" i="70"/>
  <c r="AD20" i="11"/>
  <c r="Y31" i="59"/>
  <c r="E4" i="9"/>
  <c r="AA12" i="21"/>
  <c r="Z31" i="28"/>
  <c r="O19" i="67"/>
  <c r="O13" i="34"/>
  <c r="O17" i="34" s="1"/>
  <c r="AG39" i="31"/>
  <c r="W19" i="70"/>
  <c r="O13" i="52"/>
  <c r="O17" i="52" s="1"/>
  <c r="V31" i="53"/>
  <c r="Z13" i="37"/>
  <c r="AD20" i="63"/>
  <c r="AC60" i="24"/>
  <c r="X31" i="30"/>
  <c r="Z12" i="33"/>
  <c r="Q12" i="36"/>
  <c r="AA13" i="55"/>
  <c r="AD52" i="25"/>
  <c r="Z31" i="33"/>
  <c r="AD20" i="35"/>
  <c r="AG19" i="18"/>
  <c r="Y12" i="16"/>
  <c r="U12" i="51"/>
  <c r="S31" i="53"/>
  <c r="T13" i="37"/>
  <c r="N31" i="24"/>
  <c r="AH146" i="6"/>
  <c r="Q12" i="21"/>
  <c r="AG19" i="28"/>
  <c r="Y12" i="55"/>
  <c r="U13" i="51"/>
  <c r="AH121" i="6"/>
  <c r="P32" i="70"/>
  <c r="Q20" i="65"/>
  <c r="T20" i="67"/>
  <c r="Z20" i="66"/>
  <c r="W31" i="9"/>
  <c r="X31" i="58"/>
  <c r="P31" i="29"/>
  <c r="R13" i="25"/>
  <c r="Y21" i="68"/>
  <c r="X31" i="21"/>
  <c r="O31" i="22"/>
  <c r="B13" i="22"/>
  <c r="O31" i="21"/>
  <c r="U31" i="28"/>
  <c r="R31" i="28"/>
  <c r="Z31" i="26"/>
  <c r="Z31" i="59"/>
  <c r="AA13" i="34"/>
  <c r="AA13" i="58"/>
  <c r="AD19" i="53"/>
  <c r="P12" i="35"/>
  <c r="AJ31" i="4"/>
  <c r="O31" i="37"/>
  <c r="AD20" i="22"/>
  <c r="AA13" i="59"/>
  <c r="AA13" i="28"/>
  <c r="AA12" i="26"/>
  <c r="V31" i="36"/>
  <c r="Q31" i="11"/>
  <c r="X31" i="34"/>
  <c r="Z31" i="19"/>
  <c r="AD20" i="7"/>
  <c r="Y31" i="35"/>
  <c r="AA12" i="4"/>
  <c r="T12" i="4"/>
  <c r="X31" i="23"/>
  <c r="Q31" i="35"/>
  <c r="S13" i="37"/>
  <c r="V13" i="25"/>
  <c r="P31" i="27"/>
  <c r="AD19" i="61"/>
  <c r="V19" i="66"/>
  <c r="T12" i="28"/>
  <c r="AD20" i="51"/>
  <c r="O31" i="18"/>
  <c r="X12" i="35"/>
  <c r="Y31" i="30"/>
  <c r="N27" i="39"/>
  <c r="P113" i="65"/>
  <c r="U31" i="57"/>
  <c r="U31" i="29"/>
  <c r="AA12" i="52"/>
  <c r="Q31" i="57"/>
  <c r="U12" i="35"/>
  <c r="N29" i="35"/>
  <c r="T31" i="52"/>
  <c r="E4" i="51"/>
  <c r="V13" i="35"/>
  <c r="C9" i="18"/>
  <c r="O13" i="22"/>
  <c r="O17" i="22" s="1"/>
  <c r="AJ31" i="54"/>
  <c r="U12" i="4"/>
  <c r="T13" i="24"/>
  <c r="T17" i="24" s="1"/>
  <c r="S113" i="65"/>
  <c r="W31" i="58"/>
  <c r="Q12" i="22"/>
  <c r="R13" i="17"/>
  <c r="N27" i="58"/>
  <c r="Q32" i="70"/>
  <c r="X12" i="22"/>
  <c r="Y31" i="53"/>
  <c r="S31" i="58"/>
  <c r="B13" i="28"/>
  <c r="B13" i="15"/>
  <c r="C9" i="11"/>
  <c r="Y12" i="17"/>
  <c r="W31" i="39"/>
  <c r="W31" i="20"/>
  <c r="X19" i="70"/>
  <c r="U113" i="65"/>
  <c r="B13" i="17"/>
  <c r="AD32" i="15"/>
  <c r="P19" i="65"/>
  <c r="Z31" i="52"/>
  <c r="Q31" i="9"/>
  <c r="B13" i="21"/>
  <c r="P13" i="37"/>
  <c r="AD22" i="7"/>
  <c r="B13" i="11"/>
  <c r="P31" i="52"/>
  <c r="Z13" i="33"/>
  <c r="Z17" i="33" s="1"/>
  <c r="S12" i="35"/>
  <c r="Q31" i="20"/>
  <c r="Q31" i="29"/>
  <c r="Y113" i="65"/>
  <c r="Q13" i="26"/>
  <c r="B13" i="33"/>
  <c r="S13" i="51"/>
  <c r="S17" i="51" s="1"/>
  <c r="V12" i="22"/>
  <c r="B13" i="57"/>
  <c r="O31" i="7"/>
  <c r="AD152" i="6"/>
  <c r="Z31" i="21"/>
  <c r="S31" i="56"/>
  <c r="Y20" i="67"/>
  <c r="W113" i="65"/>
  <c r="AD20" i="16"/>
  <c r="AD32" i="66"/>
  <c r="T19" i="65"/>
  <c r="U31" i="16"/>
  <c r="W13" i="7"/>
  <c r="W12" i="17"/>
  <c r="Z20" i="70"/>
  <c r="W19" i="66"/>
  <c r="Q20" i="68"/>
  <c r="Z31" i="20"/>
  <c r="AD19" i="21"/>
  <c r="AJ31" i="52"/>
  <c r="AJ31" i="28"/>
  <c r="Y19" i="67"/>
  <c r="R20" i="66"/>
  <c r="U31" i="35"/>
  <c r="Y31" i="9"/>
  <c r="AD19" i="54"/>
  <c r="AA12" i="18"/>
  <c r="X31" i="57"/>
  <c r="R31" i="59"/>
  <c r="X31" i="17"/>
  <c r="P13" i="57"/>
  <c r="X31" i="26"/>
  <c r="W19" i="65"/>
  <c r="Q13" i="57"/>
  <c r="P20" i="65"/>
  <c r="O12" i="55"/>
  <c r="AA13" i="54"/>
  <c r="R31" i="17"/>
  <c r="O32" i="69"/>
  <c r="AD113" i="65"/>
  <c r="AD20" i="70"/>
  <c r="R19" i="69"/>
  <c r="AG107" i="65"/>
  <c r="Q19" i="68"/>
  <c r="AD19" i="7"/>
  <c r="V31" i="55"/>
  <c r="W13" i="37"/>
  <c r="O31" i="34"/>
  <c r="V31" i="4"/>
  <c r="R31" i="31"/>
  <c r="U13" i="4"/>
  <c r="U17" i="4" s="1"/>
  <c r="AD20" i="31"/>
  <c r="U31" i="22"/>
  <c r="P31" i="34"/>
  <c r="T31" i="15"/>
  <c r="T31" i="51"/>
  <c r="V12" i="4"/>
  <c r="AA12" i="30"/>
  <c r="C4" i="64"/>
  <c r="U31" i="33"/>
  <c r="U31" i="23"/>
  <c r="B13" i="20"/>
  <c r="T31" i="26"/>
  <c r="V31" i="24"/>
  <c r="O31" i="33"/>
  <c r="Z12" i="24"/>
  <c r="AD19" i="56"/>
  <c r="V13" i="19"/>
  <c r="V17" i="19" s="1"/>
  <c r="X12" i="53"/>
  <c r="C9" i="68"/>
  <c r="X31" i="29"/>
  <c r="Z31" i="29"/>
  <c r="Z12" i="6"/>
  <c r="B13" i="51"/>
  <c r="Y31" i="58"/>
  <c r="T110" i="65"/>
  <c r="S12" i="15"/>
  <c r="S31" i="18"/>
  <c r="Y31" i="27"/>
  <c r="Z31" i="55"/>
  <c r="N29" i="68"/>
  <c r="O32" i="68"/>
  <c r="S31" i="57"/>
  <c r="W19" i="67"/>
  <c r="N29" i="28"/>
  <c r="W31" i="19"/>
  <c r="X31" i="54"/>
  <c r="R12" i="21"/>
  <c r="AD19" i="58"/>
  <c r="C4" i="31"/>
  <c r="O13" i="24"/>
  <c r="O17" i="24" s="1"/>
  <c r="AD20" i="34"/>
  <c r="O32" i="70"/>
  <c r="Q32" i="65"/>
  <c r="AA12" i="56"/>
  <c r="AJ31" i="51"/>
  <c r="P19" i="68"/>
  <c r="O31" i="26"/>
  <c r="U31" i="39"/>
  <c r="V31" i="15"/>
  <c r="V12" i="32"/>
  <c r="AA13" i="25"/>
  <c r="C9" i="15"/>
  <c r="E4" i="7"/>
  <c r="W12" i="37"/>
  <c r="O13" i="27"/>
  <c r="O17" i="27" s="1"/>
  <c r="X13" i="15"/>
  <c r="X17" i="15" s="1"/>
  <c r="W31" i="11"/>
  <c r="V12" i="34"/>
  <c r="X12" i="18"/>
  <c r="O31" i="54"/>
  <c r="AA13" i="9"/>
  <c r="Z107" i="65"/>
  <c r="AD20" i="26"/>
  <c r="C9" i="6"/>
  <c r="AA21" i="68"/>
  <c r="W12" i="58"/>
  <c r="AD19" i="26"/>
  <c r="X13" i="22"/>
  <c r="X17" i="22" s="1"/>
  <c r="V12" i="11"/>
  <c r="AD19" i="35"/>
  <c r="AG20" i="34"/>
  <c r="Z21" i="68"/>
  <c r="AA12" i="11"/>
  <c r="R21" i="68"/>
  <c r="S19" i="66"/>
  <c r="X31" i="9"/>
  <c r="Z31" i="15"/>
  <c r="X20" i="68"/>
  <c r="P12" i="28"/>
  <c r="R20" i="69"/>
  <c r="X20" i="69"/>
  <c r="Y12" i="34"/>
  <c r="AA12" i="15"/>
  <c r="AG20" i="66"/>
  <c r="AD19" i="62"/>
  <c r="S31" i="23"/>
  <c r="AJ31" i="35"/>
  <c r="Z20" i="69"/>
  <c r="T13" i="4"/>
  <c r="T17" i="4" s="1"/>
  <c r="AA12" i="16"/>
  <c r="AG20" i="23"/>
  <c r="AD20" i="4"/>
  <c r="AG19" i="70"/>
  <c r="V12" i="31"/>
  <c r="C4" i="22"/>
  <c r="P20" i="68"/>
  <c r="AD19" i="57"/>
  <c r="AD20" i="25"/>
  <c r="S31" i="36"/>
  <c r="S12" i="11"/>
  <c r="Y107" i="65"/>
  <c r="W12" i="22"/>
  <c r="AD32" i="70"/>
  <c r="P13" i="15"/>
  <c r="P17" i="15" s="1"/>
  <c r="Z31" i="32"/>
  <c r="P31" i="22"/>
  <c r="Q12" i="30"/>
  <c r="U20" i="70"/>
  <c r="AJ31" i="11"/>
  <c r="R31" i="57"/>
  <c r="U31" i="30"/>
  <c r="AA13" i="18"/>
  <c r="X13" i="9"/>
  <c r="X17" i="9" s="1"/>
  <c r="B13" i="37"/>
  <c r="O31" i="56"/>
  <c r="Y31" i="33"/>
  <c r="W31" i="59"/>
  <c r="O31" i="57"/>
  <c r="B13" i="36"/>
  <c r="AE152" i="6"/>
  <c r="R31" i="27"/>
  <c r="Q31" i="53"/>
  <c r="Q31" i="17"/>
  <c r="T12" i="57"/>
  <c r="V31" i="25"/>
  <c r="Y31" i="55"/>
  <c r="O20" i="70"/>
  <c r="O12" i="15"/>
  <c r="Y31" i="18"/>
  <c r="AD19" i="25"/>
  <c r="U110" i="65"/>
  <c r="O31" i="25"/>
  <c r="W13" i="36"/>
  <c r="W17" i="36" s="1"/>
  <c r="Y12" i="9"/>
  <c r="AD20" i="53"/>
  <c r="P31" i="32"/>
  <c r="Q31" i="36"/>
  <c r="AD20" i="30"/>
  <c r="Y13" i="29"/>
  <c r="Y17" i="29" s="1"/>
  <c r="AD19" i="63"/>
  <c r="R31" i="30"/>
  <c r="W12" i="15"/>
  <c r="Q12" i="27"/>
  <c r="O13" i="32"/>
  <c r="AH133" i="6"/>
  <c r="AD20" i="39"/>
  <c r="P31" i="39"/>
  <c r="Y13" i="34"/>
  <c r="Y17" i="34" s="1"/>
  <c r="R31" i="36"/>
  <c r="O12" i="4"/>
  <c r="S20" i="65"/>
  <c r="T12" i="51"/>
  <c r="AD19" i="22"/>
  <c r="AD20" i="66"/>
  <c r="Y19" i="69"/>
  <c r="Y31" i="51"/>
  <c r="X31" i="56"/>
  <c r="AA12" i="28"/>
  <c r="AA13" i="57"/>
  <c r="T13" i="52"/>
  <c r="T17" i="52" s="1"/>
  <c r="C9" i="35"/>
  <c r="T31" i="7"/>
  <c r="Y31" i="37"/>
  <c r="C4" i="59"/>
  <c r="AD19" i="23"/>
  <c r="Z31" i="17"/>
  <c r="V20" i="70"/>
  <c r="X12" i="55"/>
  <c r="P31" i="7"/>
  <c r="P12" i="37"/>
  <c r="X31" i="51"/>
  <c r="U31" i="9"/>
  <c r="Q13" i="4"/>
  <c r="Q17" i="4" s="1"/>
  <c r="X20" i="70"/>
  <c r="AJ31" i="7"/>
  <c r="AG19" i="31"/>
  <c r="O20" i="68"/>
  <c r="R31" i="18"/>
  <c r="R31" i="7"/>
  <c r="P32" i="66"/>
  <c r="AA12" i="25"/>
  <c r="AA12" i="39"/>
  <c r="R12" i="34"/>
  <c r="AD32" i="65"/>
  <c r="U31" i="6"/>
  <c r="B13" i="7"/>
  <c r="Y31" i="15"/>
  <c r="P31" i="18"/>
  <c r="AA13" i="56"/>
  <c r="U12" i="15"/>
  <c r="P31" i="23"/>
  <c r="Y31" i="25"/>
  <c r="S20" i="67"/>
  <c r="Z12" i="31"/>
  <c r="Y31" i="16"/>
  <c r="W12" i="32"/>
  <c r="AD107" i="65"/>
  <c r="Z13" i="11"/>
  <c r="Z17" i="11" s="1"/>
  <c r="M29" i="37"/>
  <c r="R31" i="24"/>
  <c r="O31" i="20"/>
  <c r="X31" i="27"/>
  <c r="P31" i="37"/>
  <c r="V13" i="37"/>
  <c r="Q32" i="68"/>
  <c r="R19" i="68"/>
  <c r="R31" i="25"/>
  <c r="V31" i="35"/>
  <c r="B13" i="56"/>
  <c r="AA13" i="52"/>
  <c r="B13" i="25"/>
  <c r="Z31" i="30"/>
  <c r="Y31" i="31"/>
  <c r="P13" i="31"/>
  <c r="V31" i="32"/>
  <c r="Y19" i="68"/>
  <c r="R12" i="59"/>
  <c r="X21" i="68"/>
  <c r="P13" i="4"/>
  <c r="P17" i="4" s="1"/>
  <c r="AD20" i="9"/>
  <c r="Q12" i="4"/>
  <c r="R113" i="65"/>
  <c r="X20" i="67"/>
  <c r="Y20" i="68"/>
  <c r="T13" i="54"/>
  <c r="T17" i="54" s="1"/>
  <c r="AG113" i="65"/>
  <c r="Q19" i="66"/>
  <c r="W31" i="37"/>
  <c r="AG21" i="68"/>
  <c r="B13" i="29"/>
  <c r="B13" i="24"/>
  <c r="V31" i="57"/>
  <c r="T31" i="22"/>
  <c r="Y31" i="39"/>
  <c r="T31" i="21"/>
  <c r="U31" i="17"/>
  <c r="O31" i="35"/>
  <c r="Q13" i="37"/>
  <c r="P31" i="51"/>
  <c r="O31" i="16"/>
  <c r="Q31" i="30"/>
  <c r="T20" i="66"/>
  <c r="AA12" i="36"/>
  <c r="T31" i="37"/>
  <c r="AA12" i="23"/>
  <c r="S31" i="22"/>
  <c r="Q31" i="26"/>
  <c r="Z31" i="36"/>
  <c r="S31" i="28"/>
  <c r="Q31" i="24"/>
  <c r="O12" i="35"/>
  <c r="Q13" i="31"/>
  <c r="AA13" i="11"/>
  <c r="Z31" i="9"/>
  <c r="AD20" i="65"/>
  <c r="Q31" i="4"/>
  <c r="Y31" i="56"/>
  <c r="AD32" i="16"/>
  <c r="Z12" i="39"/>
  <c r="X31" i="11"/>
  <c r="O21" i="68"/>
  <c r="X31" i="52"/>
  <c r="N12" i="24"/>
  <c r="X113" i="65"/>
  <c r="S31" i="52"/>
  <c r="T13" i="35"/>
  <c r="C4" i="53"/>
  <c r="AD20" i="36"/>
  <c r="AH152" i="6"/>
  <c r="W13" i="4"/>
  <c r="W17" i="4" s="1"/>
  <c r="AD20" i="56"/>
  <c r="X13" i="17"/>
  <c r="AG20" i="65"/>
  <c r="Z31" i="35"/>
  <c r="U13" i="57"/>
  <c r="Z19" i="65"/>
  <c r="P31" i="15"/>
  <c r="O13" i="31"/>
  <c r="X12" i="6"/>
  <c r="T31" i="35"/>
  <c r="AD19" i="15"/>
  <c r="T12" i="31"/>
  <c r="E4" i="32"/>
  <c r="W31" i="28"/>
  <c r="AA13" i="23"/>
  <c r="V31" i="58"/>
  <c r="T31" i="20"/>
  <c r="Q20" i="70"/>
  <c r="V12" i="53"/>
  <c r="B13" i="55"/>
  <c r="X12" i="9"/>
  <c r="U21" i="68"/>
  <c r="O31" i="6"/>
  <c r="E4" i="61"/>
  <c r="AG19" i="59"/>
  <c r="AA13" i="7"/>
  <c r="AD32" i="18"/>
  <c r="C9" i="22"/>
  <c r="W13" i="26"/>
  <c r="P31" i="35"/>
  <c r="T31" i="28"/>
  <c r="Q31" i="31"/>
  <c r="X31" i="15"/>
  <c r="W20" i="66"/>
  <c r="C9" i="19"/>
  <c r="O31" i="29"/>
  <c r="P19" i="69"/>
  <c r="AG110" i="65"/>
  <c r="AD19" i="59"/>
  <c r="V13" i="59"/>
  <c r="AD19" i="66"/>
  <c r="AG19" i="22"/>
  <c r="Q13" i="34"/>
  <c r="Q17" i="34" s="1"/>
  <c r="S19" i="68"/>
  <c r="C9" i="16"/>
  <c r="R31" i="58"/>
  <c r="U13" i="35"/>
  <c r="V31" i="37"/>
  <c r="W31" i="29"/>
  <c r="E4" i="35"/>
  <c r="Z19" i="66"/>
  <c r="Y31" i="29"/>
  <c r="AD20" i="32"/>
  <c r="AG20" i="52"/>
  <c r="R12" i="4"/>
  <c r="AD32" i="22"/>
  <c r="V20" i="68"/>
  <c r="Q32" i="69"/>
  <c r="C9" i="31"/>
  <c r="Q31" i="37"/>
  <c r="Y31" i="52"/>
  <c r="AD19" i="11"/>
  <c r="T20" i="70"/>
  <c r="T12" i="26"/>
  <c r="AH151" i="6"/>
  <c r="T19" i="70"/>
  <c r="Y13" i="53"/>
  <c r="Y17" i="53" s="1"/>
  <c r="AA13" i="33"/>
  <c r="R13" i="9"/>
  <c r="R17" i="9" s="1"/>
  <c r="U19" i="66"/>
  <c r="P20" i="67"/>
  <c r="W31" i="4"/>
  <c r="AI31" i="24"/>
  <c r="R13" i="37"/>
  <c r="Y13" i="17"/>
  <c r="P21" i="68"/>
  <c r="B13" i="53"/>
  <c r="AD20" i="33"/>
  <c r="P31" i="30"/>
  <c r="AJ31" i="25"/>
  <c r="B13" i="27"/>
  <c r="V31" i="7"/>
  <c r="AA12" i="32"/>
  <c r="S31" i="37"/>
  <c r="Q31" i="59"/>
  <c r="AD19" i="64"/>
  <c r="Y12" i="37"/>
  <c r="W31" i="23"/>
  <c r="S31" i="34"/>
  <c r="S31" i="4"/>
  <c r="O31" i="55"/>
  <c r="Z31" i="31"/>
  <c r="AJ31" i="15"/>
  <c r="O19" i="66"/>
  <c r="W31" i="6"/>
  <c r="W31" i="17"/>
  <c r="B13" i="23"/>
  <c r="U31" i="27"/>
  <c r="Y31" i="24"/>
  <c r="AA13" i="21"/>
  <c r="R31" i="22"/>
  <c r="AG50" i="35"/>
  <c r="Z12" i="26"/>
  <c r="V31" i="16"/>
  <c r="C4" i="17"/>
  <c r="Q31" i="56"/>
  <c r="W31" i="51"/>
  <c r="P20" i="66"/>
  <c r="V31" i="21"/>
  <c r="Q31" i="52"/>
  <c r="AJ31" i="16"/>
  <c r="R13" i="16"/>
  <c r="R17" i="16" s="1"/>
  <c r="AD62" i="35"/>
  <c r="AG19" i="23"/>
  <c r="AD110" i="65"/>
  <c r="AD20" i="19"/>
  <c r="R12" i="37"/>
  <c r="AD19" i="29"/>
  <c r="P12" i="16"/>
  <c r="U13" i="53"/>
  <c r="U17" i="53" s="1"/>
  <c r="U31" i="24"/>
  <c r="R31" i="39"/>
  <c r="U19" i="68"/>
  <c r="N27" i="55"/>
  <c r="O19" i="69"/>
  <c r="C9" i="37"/>
  <c r="T31" i="56"/>
  <c r="S13" i="17"/>
  <c r="AD32" i="35"/>
  <c r="R31" i="52"/>
  <c r="V31" i="56"/>
  <c r="U107" i="65"/>
  <c r="AA12" i="51"/>
  <c r="AA12" i="57"/>
  <c r="T12" i="19"/>
  <c r="Z31" i="53"/>
  <c r="W31" i="18"/>
  <c r="W31" i="53"/>
  <c r="AA12" i="53"/>
  <c r="V31" i="34"/>
  <c r="V13" i="26"/>
  <c r="AG20" i="69"/>
  <c r="B13" i="58"/>
  <c r="AG19" i="29"/>
  <c r="Z12" i="52"/>
  <c r="U31" i="20"/>
  <c r="U31" i="37"/>
  <c r="C9" i="66"/>
  <c r="U31" i="51"/>
  <c r="B13" i="9"/>
  <c r="T12" i="37"/>
  <c r="U13" i="37"/>
  <c r="R31" i="9"/>
  <c r="AA13" i="51"/>
  <c r="Y13" i="4"/>
  <c r="Y17" i="4" s="1"/>
  <c r="Q31" i="25"/>
  <c r="X13" i="24"/>
  <c r="X17" i="24" s="1"/>
  <c r="S21" i="68"/>
  <c r="S31" i="21"/>
  <c r="Y13" i="26"/>
  <c r="X107" i="65"/>
  <c r="R31" i="6"/>
  <c r="Z31" i="6"/>
  <c r="R107" i="65"/>
  <c r="X13" i="4"/>
  <c r="X17" i="4" s="1"/>
  <c r="Q31" i="51"/>
  <c r="U31" i="21"/>
  <c r="E4" i="30"/>
  <c r="P31" i="53"/>
  <c r="S12" i="31"/>
  <c r="S12" i="52"/>
  <c r="AD20" i="61"/>
  <c r="AG20" i="28"/>
  <c r="Q32" i="66"/>
  <c r="P31" i="26"/>
  <c r="AA12" i="35"/>
  <c r="U20" i="66"/>
  <c r="P13" i="17"/>
  <c r="AD19" i="69"/>
  <c r="R13" i="51"/>
  <c r="R17" i="51" s="1"/>
  <c r="AA13" i="53"/>
  <c r="AA13" i="31"/>
  <c r="T31" i="19"/>
  <c r="V31" i="23"/>
  <c r="T31" i="17"/>
  <c r="AD20" i="67"/>
  <c r="N29" i="69"/>
  <c r="T31" i="53"/>
  <c r="AD20" i="57"/>
  <c r="V31" i="9"/>
  <c r="X31" i="18"/>
  <c r="U31" i="54"/>
  <c r="Y31" i="6"/>
  <c r="U31" i="36"/>
  <c r="B13" i="52"/>
  <c r="V31" i="59"/>
  <c r="AG19" i="69"/>
  <c r="P20" i="70"/>
  <c r="AG20" i="33"/>
  <c r="AD19" i="52"/>
  <c r="V31" i="20"/>
  <c r="V31" i="52"/>
  <c r="C4" i="29"/>
  <c r="Y13" i="52"/>
  <c r="Y17" i="52" s="1"/>
  <c r="AG19" i="68"/>
  <c r="R13" i="31"/>
  <c r="V12" i="26"/>
  <c r="Z12" i="15"/>
  <c r="X31" i="35"/>
  <c r="P12" i="4"/>
  <c r="AD19" i="36"/>
  <c r="S13" i="4"/>
  <c r="S17" i="4" s="1"/>
  <c r="R31" i="20"/>
  <c r="O31" i="58"/>
  <c r="W31" i="52"/>
  <c r="V31" i="51"/>
  <c r="S31" i="33"/>
  <c r="Z12" i="4"/>
  <c r="Z31" i="39"/>
  <c r="T31" i="31"/>
  <c r="U13" i="17"/>
  <c r="AD19" i="55"/>
  <c r="W31" i="54"/>
  <c r="AD32" i="51"/>
  <c r="AJ31" i="32"/>
  <c r="AA13" i="26"/>
  <c r="X31" i="32"/>
  <c r="T31" i="23"/>
  <c r="P31" i="31"/>
  <c r="AD38" i="32"/>
  <c r="O31" i="24"/>
  <c r="W110" i="65"/>
  <c r="V19" i="69"/>
  <c r="R13" i="22"/>
  <c r="R17" i="22" s="1"/>
  <c r="AA12" i="54"/>
  <c r="X13" i="31"/>
  <c r="P32" i="69"/>
  <c r="AD20" i="58"/>
  <c r="U13" i="26"/>
  <c r="V19" i="65"/>
  <c r="W12" i="39"/>
  <c r="S31" i="55"/>
  <c r="S13" i="19"/>
  <c r="S17" i="19" s="1"/>
  <c r="Z31" i="56"/>
  <c r="R12" i="29"/>
  <c r="AD19" i="39"/>
  <c r="AJ31" i="34"/>
  <c r="O12" i="31"/>
  <c r="AF19" i="24"/>
  <c r="X31" i="20"/>
  <c r="W13" i="55"/>
  <c r="Y12" i="4"/>
  <c r="T31" i="58"/>
  <c r="N29" i="31"/>
  <c r="W31" i="57"/>
  <c r="P31" i="20"/>
  <c r="AH131" i="6"/>
  <c r="AD32" i="68"/>
  <c r="S31" i="20"/>
  <c r="Y12" i="19"/>
  <c r="AD32" i="53"/>
  <c r="Q31" i="16"/>
  <c r="U31" i="4"/>
  <c r="Y20" i="69"/>
  <c r="C4" i="52"/>
  <c r="Z20" i="68"/>
  <c r="AC20" i="24"/>
  <c r="O13" i="4"/>
  <c r="O17" i="4" s="1"/>
  <c r="S31" i="51"/>
  <c r="Z13" i="19"/>
  <c r="Z17" i="19" s="1"/>
  <c r="S31" i="19"/>
  <c r="X31" i="39"/>
  <c r="AG20" i="59"/>
  <c r="C9" i="26"/>
  <c r="AK31" i="37"/>
  <c r="Y12" i="26"/>
  <c r="AD32" i="31"/>
  <c r="U19" i="69"/>
  <c r="E4" i="25"/>
  <c r="Q13" i="22"/>
  <c r="Q17" i="22" s="1"/>
  <c r="AG19" i="56"/>
  <c r="R19" i="66"/>
  <c r="V31" i="6"/>
  <c r="N27" i="56"/>
  <c r="W31" i="56"/>
  <c r="S19" i="70"/>
  <c r="Z31" i="16"/>
  <c r="AJ31" i="21"/>
  <c r="V12" i="6"/>
  <c r="T13" i="15"/>
  <c r="T17" i="15" s="1"/>
  <c r="W31" i="22"/>
  <c r="W20" i="65"/>
  <c r="Q19" i="70"/>
  <c r="W12" i="31"/>
  <c r="S13" i="32"/>
  <c r="S17" i="32" s="1"/>
  <c r="C9" i="9"/>
  <c r="P31" i="9"/>
  <c r="O12" i="37"/>
  <c r="R31" i="54"/>
  <c r="AJ31" i="53"/>
  <c r="Z31" i="23"/>
  <c r="Y12" i="6"/>
  <c r="O20" i="66"/>
  <c r="P31" i="36"/>
  <c r="O31" i="31"/>
  <c r="V31" i="29"/>
  <c r="V12" i="37"/>
  <c r="Q12" i="53"/>
  <c r="AD32" i="11"/>
  <c r="N29" i="53"/>
  <c r="N29" i="65"/>
  <c r="Q31" i="55"/>
  <c r="X12" i="37"/>
  <c r="P12" i="21"/>
  <c r="R32" i="67"/>
  <c r="R19" i="67"/>
  <c r="X13" i="7"/>
  <c r="X17" i="7" s="1"/>
  <c r="AG19" i="30"/>
  <c r="W20" i="67"/>
  <c r="P31" i="24"/>
  <c r="B13" i="26"/>
  <c r="AA107" i="65"/>
  <c r="X12" i="20"/>
  <c r="T31" i="30"/>
  <c r="Y31" i="23"/>
  <c r="R31" i="37"/>
  <c r="Z13" i="35"/>
  <c r="Z17" i="35" s="1"/>
  <c r="W19" i="69"/>
  <c r="R31" i="56"/>
  <c r="S31" i="35"/>
  <c r="P31" i="33"/>
  <c r="AJ31" i="29"/>
  <c r="V31" i="22"/>
  <c r="B13" i="34"/>
  <c r="S31" i="24"/>
  <c r="T31" i="18"/>
  <c r="X31" i="33"/>
  <c r="V31" i="11"/>
  <c r="AD19" i="34"/>
  <c r="U31" i="55"/>
  <c r="S31" i="11"/>
  <c r="X31" i="7"/>
  <c r="W12" i="4"/>
  <c r="O13" i="25"/>
  <c r="O17" i="25" s="1"/>
  <c r="AA12" i="29"/>
  <c r="W31" i="34"/>
  <c r="AD19" i="68"/>
  <c r="S31" i="9"/>
  <c r="S31" i="7"/>
  <c r="C9" i="25"/>
  <c r="V12" i="16"/>
  <c r="B13" i="16"/>
  <c r="O19" i="65"/>
  <c r="AD20" i="62"/>
  <c r="T21" i="68"/>
  <c r="P12" i="59"/>
  <c r="X31" i="36"/>
  <c r="B13" i="54"/>
  <c r="U31" i="15"/>
  <c r="X31" i="6"/>
  <c r="O31" i="27"/>
  <c r="W21" i="68"/>
  <c r="AA12" i="58"/>
  <c r="O31" i="51"/>
  <c r="AD20" i="27"/>
  <c r="AD19" i="9"/>
  <c r="X13" i="35"/>
  <c r="X17" i="35" s="1"/>
  <c r="R12" i="54"/>
  <c r="W31" i="21"/>
  <c r="O31" i="9"/>
  <c r="R12" i="35"/>
  <c r="Y31" i="7"/>
  <c r="AG62" i="35"/>
  <c r="W13" i="27"/>
  <c r="W17" i="27" s="1"/>
  <c r="T31" i="39"/>
  <c r="E4" i="28"/>
  <c r="Y20" i="70"/>
  <c r="AD19" i="20"/>
  <c r="V13" i="17"/>
  <c r="N29" i="16"/>
  <c r="U12" i="37"/>
  <c r="Z13" i="24"/>
  <c r="W13" i="54"/>
  <c r="W17" i="54" s="1"/>
  <c r="Z31" i="57"/>
  <c r="X12" i="4"/>
  <c r="P31" i="54"/>
  <c r="O31" i="11"/>
  <c r="W12" i="52"/>
  <c r="U12" i="27"/>
  <c r="V13" i="27"/>
  <c r="V17" i="27" s="1"/>
  <c r="U31" i="56"/>
  <c r="O13" i="51"/>
  <c r="O17" i="51" s="1"/>
  <c r="P20" i="69"/>
  <c r="AD19" i="6"/>
  <c r="Y13" i="25"/>
  <c r="Y17" i="25" s="1"/>
  <c r="S20" i="66"/>
  <c r="N12" i="37"/>
  <c r="X31" i="55"/>
  <c r="P31" i="56"/>
  <c r="B13" i="18"/>
  <c r="Q31" i="21"/>
  <c r="AJ31" i="30"/>
  <c r="Y31" i="17"/>
  <c r="R32" i="69"/>
  <c r="Q13" i="25"/>
  <c r="Q17" i="25" s="1"/>
  <c r="O13" i="35"/>
  <c r="O17" i="35" s="1"/>
  <c r="Z31" i="4"/>
  <c r="AD32" i="17"/>
  <c r="AG20" i="17"/>
  <c r="N13" i="37"/>
  <c r="R13" i="57"/>
  <c r="W12" i="16"/>
  <c r="P31" i="6"/>
  <c r="Z31" i="7"/>
  <c r="B13" i="39"/>
  <c r="T13" i="9"/>
  <c r="T17" i="9" s="1"/>
  <c r="P31" i="58"/>
  <c r="T20" i="69"/>
  <c r="T13" i="25"/>
  <c r="T17" i="25" s="1"/>
  <c r="O31" i="52"/>
  <c r="W13" i="16"/>
  <c r="W17" i="16" s="1"/>
  <c r="S12" i="16"/>
  <c r="X31" i="53"/>
  <c r="P31" i="16"/>
  <c r="T13" i="16"/>
  <c r="T17" i="16" s="1"/>
  <c r="Z12" i="22"/>
  <c r="C4" i="21"/>
  <c r="V20" i="67"/>
  <c r="T31" i="57"/>
  <c r="AD20" i="64"/>
  <c r="Z31" i="27"/>
  <c r="Y31" i="36"/>
  <c r="R13" i="20"/>
  <c r="R17" i="20" s="1"/>
  <c r="Z20" i="65"/>
  <c r="S31" i="15"/>
  <c r="P31" i="19"/>
  <c r="Q31" i="22"/>
  <c r="Z31" i="54"/>
  <c r="S31" i="29"/>
  <c r="AA12" i="22"/>
  <c r="N31" i="37"/>
  <c r="S31" i="26"/>
  <c r="P31" i="28"/>
  <c r="R31" i="55"/>
  <c r="X19" i="68"/>
  <c r="Q20" i="67"/>
  <c r="U12" i="59"/>
  <c r="S12" i="4"/>
  <c r="Z31" i="58"/>
  <c r="U31" i="7"/>
  <c r="V21" i="68"/>
  <c r="R12" i="53"/>
  <c r="S19" i="67"/>
  <c r="C9" i="67"/>
  <c r="Z20" i="67"/>
  <c r="Q12" i="26"/>
  <c r="AA13" i="4"/>
  <c r="Z13" i="59"/>
  <c r="R31" i="34"/>
  <c r="B13" i="30"/>
  <c r="Z31" i="25"/>
  <c r="AD20" i="55"/>
  <c r="Y31" i="54"/>
  <c r="X20" i="66"/>
  <c r="X13" i="37"/>
  <c r="AD19" i="32"/>
  <c r="AA12" i="33"/>
  <c r="R31" i="4"/>
  <c r="U31" i="52"/>
  <c r="Y31" i="32"/>
  <c r="AA13" i="30"/>
  <c r="Y31" i="20"/>
  <c r="AA13" i="19"/>
  <c r="AJ31" i="27"/>
  <c r="Z12" i="21"/>
  <c r="U31" i="18"/>
  <c r="P31" i="11"/>
  <c r="T31" i="25"/>
  <c r="AA13" i="27"/>
  <c r="B13" i="35"/>
  <c r="X31" i="31"/>
  <c r="S31" i="16"/>
  <c r="X31" i="28"/>
  <c r="Z12" i="37"/>
  <c r="P31" i="25"/>
  <c r="S31" i="6"/>
  <c r="AD20" i="15"/>
  <c r="AA12" i="59"/>
  <c r="Q20" i="66"/>
  <c r="AJ31" i="9"/>
  <c r="E4" i="18"/>
  <c r="AG19" i="67"/>
  <c r="AA13" i="32"/>
  <c r="R31" i="35"/>
  <c r="AD19" i="18"/>
  <c r="O20" i="67"/>
  <c r="V20" i="69"/>
  <c r="C9" i="65"/>
  <c r="R31" i="15"/>
  <c r="O12" i="17"/>
  <c r="P32" i="67"/>
  <c r="Q12" i="31"/>
  <c r="S19" i="65"/>
  <c r="O31" i="19"/>
  <c r="P31" i="17"/>
  <c r="P31" i="55"/>
  <c r="AD20" i="17"/>
  <c r="R12" i="17"/>
  <c r="B13" i="19"/>
  <c r="AD19" i="51"/>
  <c r="Y13" i="37"/>
  <c r="T31" i="34"/>
  <c r="AD21" i="33"/>
  <c r="Q19" i="65"/>
  <c r="W31" i="16"/>
  <c r="B13" i="4"/>
  <c r="Z13" i="29"/>
  <c r="Z17" i="29" s="1"/>
  <c r="AD19" i="33"/>
  <c r="N29" i="67"/>
  <c r="Q31" i="15"/>
  <c r="O13" i="16"/>
  <c r="O17" i="16" s="1"/>
  <c r="AD39" i="31"/>
  <c r="O31" i="39"/>
  <c r="Q31" i="39"/>
  <c r="AA12" i="9"/>
  <c r="O20" i="65"/>
  <c r="Q31" i="23"/>
  <c r="P13" i="22"/>
  <c r="P17" i="22" s="1"/>
  <c r="AA12" i="17"/>
  <c r="AG20" i="9"/>
  <c r="O32" i="67"/>
  <c r="T31" i="59"/>
  <c r="B13" i="32"/>
  <c r="AD50" i="35"/>
  <c r="U31" i="58"/>
  <c r="W31" i="30"/>
  <c r="AD19" i="4"/>
  <c r="V31" i="27"/>
  <c r="AA13" i="29"/>
  <c r="S31" i="54"/>
  <c r="E4" i="55"/>
  <c r="O31" i="36"/>
  <c r="R31" i="53"/>
  <c r="U31" i="19"/>
  <c r="AA13" i="22"/>
  <c r="W31" i="55"/>
  <c r="S31" i="59"/>
  <c r="W31" i="32"/>
  <c r="AG20" i="22"/>
  <c r="O20" i="69"/>
  <c r="O13" i="17"/>
  <c r="R31" i="33"/>
  <c r="T19" i="68"/>
  <c r="W31" i="15"/>
  <c r="AD20" i="28"/>
  <c r="W12" i="35"/>
  <c r="X31" i="25"/>
  <c r="AA13" i="35"/>
  <c r="AC19" i="37"/>
  <c r="U13" i="27"/>
  <c r="U17" i="27" s="1"/>
  <c r="Y110" i="65"/>
  <c r="U31" i="59"/>
  <c r="AA12" i="34"/>
  <c r="R13" i="56"/>
  <c r="U31" i="11"/>
  <c r="AJ31" i="22"/>
  <c r="R31" i="16"/>
  <c r="AJ31" i="33"/>
  <c r="AD20" i="52"/>
  <c r="AJ31" i="36"/>
  <c r="S31" i="31"/>
  <c r="S31" i="27"/>
  <c r="T31" i="27"/>
  <c r="Z13" i="26"/>
  <c r="O31" i="32"/>
  <c r="AA12" i="55"/>
  <c r="AC19" i="24"/>
  <c r="R31" i="29"/>
  <c r="P32" i="65"/>
  <c r="AA13" i="16"/>
  <c r="O31" i="59"/>
  <c r="AD20" i="20"/>
  <c r="U31" i="26"/>
  <c r="AJ31" i="20"/>
  <c r="T31" i="9"/>
  <c r="Y31" i="34"/>
  <c r="N27" i="57"/>
  <c r="Y31" i="28"/>
  <c r="U12" i="18"/>
  <c r="Z31" i="51"/>
  <c r="Y31" i="22"/>
  <c r="W31" i="27"/>
  <c r="X31" i="59"/>
  <c r="W31" i="36"/>
  <c r="AA13" i="36"/>
  <c r="AA13" i="15"/>
  <c r="V31" i="17"/>
  <c r="V31" i="39"/>
  <c r="AA12" i="31"/>
  <c r="U12" i="26"/>
  <c r="W31" i="26"/>
  <c r="T19" i="67"/>
  <c r="X31" i="16"/>
  <c r="R12" i="19"/>
  <c r="AA12" i="7"/>
  <c r="V13" i="4"/>
  <c r="V17" i="4" s="1"/>
  <c r="S31" i="30"/>
  <c r="AD21" i="68"/>
  <c r="T31" i="24"/>
  <c r="AD20" i="59"/>
  <c r="AD20" i="23"/>
  <c r="Y31" i="11"/>
  <c r="R31" i="19"/>
  <c r="T31" i="4"/>
  <c r="X31" i="22"/>
  <c r="B13" i="59"/>
  <c r="U31" i="34"/>
  <c r="P12" i="31"/>
  <c r="Q31" i="58"/>
  <c r="U13" i="16"/>
  <c r="U17" i="16" s="1"/>
  <c r="AA13" i="17"/>
  <c r="S12" i="37"/>
  <c r="E4" i="31"/>
  <c r="AH120" i="6"/>
  <c r="P31" i="21"/>
  <c r="AJ31" i="26"/>
  <c r="O31" i="4"/>
  <c r="X31" i="24"/>
  <c r="AD19" i="27"/>
  <c r="AI31" i="37"/>
  <c r="T31" i="36"/>
  <c r="AJ31" i="23"/>
  <c r="Q31" i="18"/>
  <c r="Z31" i="22"/>
  <c r="Y12" i="22"/>
  <c r="O31" i="15"/>
  <c r="U12" i="16"/>
  <c r="R31" i="26"/>
  <c r="AJ31" i="31"/>
  <c r="S31" i="39"/>
  <c r="U31" i="53"/>
  <c r="U31" i="25"/>
  <c r="V31" i="30"/>
  <c r="T31" i="16"/>
  <c r="Z31" i="34"/>
  <c r="AD20" i="29"/>
  <c r="Y12" i="35"/>
  <c r="O31" i="23"/>
  <c r="V31" i="54"/>
  <c r="Z13" i="4"/>
  <c r="Z17" i="4" s="1"/>
  <c r="Y31" i="21"/>
  <c r="R12" i="39"/>
  <c r="X31" i="19"/>
  <c r="B13" i="31"/>
  <c r="W31" i="35"/>
  <c r="AA12" i="27"/>
  <c r="R31" i="11"/>
  <c r="O31" i="17"/>
  <c r="U31" i="32"/>
  <c r="E4" i="26"/>
  <c r="S31" i="17"/>
  <c r="Y31" i="57"/>
  <c r="R31" i="32"/>
  <c r="W13" i="19"/>
  <c r="W17" i="19" s="1"/>
  <c r="AD20" i="54"/>
  <c r="O11" i="63"/>
  <c r="Q12" i="56"/>
  <c r="E4" i="17"/>
  <c r="R31" i="21"/>
  <c r="AD19" i="31"/>
  <c r="Y12" i="31"/>
  <c r="Y31" i="19"/>
  <c r="S12" i="9"/>
  <c r="X31" i="37"/>
  <c r="O13" i="9"/>
  <c r="O17" i="9" s="1"/>
  <c r="Z12" i="17"/>
  <c r="V31" i="18"/>
  <c r="Q31" i="7"/>
  <c r="AD20" i="6"/>
  <c r="AD19" i="16"/>
  <c r="R19" i="70"/>
  <c r="R13" i="4"/>
  <c r="R17" i="4" s="1"/>
  <c r="Q31" i="32"/>
  <c r="AD63" i="34"/>
  <c r="U31" i="31"/>
  <c r="AD19" i="17"/>
  <c r="N29" i="7"/>
  <c r="AD19" i="19"/>
  <c r="AD19" i="28"/>
  <c r="B13" i="6"/>
  <c r="P31" i="59"/>
  <c r="O12" i="30"/>
  <c r="U20" i="69"/>
  <c r="V31" i="26"/>
  <c r="X12" i="29"/>
  <c r="V31" i="31"/>
  <c r="AA13" i="6"/>
  <c r="V31" i="19"/>
  <c r="Q31" i="28"/>
  <c r="Z19" i="68"/>
  <c r="Y31" i="26"/>
  <c r="W31" i="31"/>
  <c r="P12" i="25"/>
  <c r="R20" i="67"/>
  <c r="P12" i="7"/>
  <c r="S31" i="25"/>
  <c r="Q12" i="37"/>
  <c r="S31" i="32"/>
  <c r="X19" i="65"/>
  <c r="P19" i="67"/>
  <c r="W20" i="70"/>
  <c r="T31" i="54"/>
  <c r="W13" i="52"/>
  <c r="W17" i="52" s="1"/>
  <c r="Z17" i="26"/>
  <c r="U17" i="26"/>
  <c r="Y17" i="26"/>
  <c r="V17" i="26"/>
  <c r="W17" i="26"/>
  <c r="Q17" i="26"/>
  <c r="O17" i="26"/>
  <c r="T17" i="26"/>
  <c r="X17" i="26"/>
  <c r="R17" i="26"/>
  <c r="P17" i="26"/>
  <c r="S17" i="26"/>
  <c r="U17" i="35"/>
  <c r="T17" i="35"/>
  <c r="V17" i="35"/>
  <c r="Y17" i="35"/>
  <c r="R17" i="35"/>
  <c r="Q17" i="35"/>
  <c r="W17" i="35"/>
  <c r="S17" i="35"/>
  <c r="P17" i="35"/>
  <c r="X17" i="31"/>
  <c r="R17" i="31"/>
  <c r="O17" i="31"/>
  <c r="Q17" i="31"/>
  <c r="P17" i="31"/>
  <c r="T17" i="31"/>
  <c r="Z17" i="31"/>
  <c r="V17" i="31"/>
  <c r="U17" i="31"/>
  <c r="S17" i="31"/>
  <c r="Y17" i="31"/>
  <c r="W17" i="31"/>
  <c r="Z17" i="16"/>
  <c r="X17" i="16"/>
  <c r="Y17" i="16"/>
  <c r="Q17" i="16"/>
  <c r="Z17" i="22"/>
  <c r="W17" i="22"/>
  <c r="O17" i="19"/>
  <c r="Y17" i="19"/>
  <c r="X17" i="19"/>
  <c r="T17" i="19"/>
  <c r="U17" i="11"/>
  <c r="R17" i="11"/>
  <c r="S17" i="11"/>
  <c r="Q17" i="11"/>
  <c r="W17" i="11"/>
  <c r="V17" i="11"/>
  <c r="O17" i="28"/>
  <c r="X17" i="28"/>
  <c r="R17" i="28"/>
  <c r="S17" i="28"/>
  <c r="Y17" i="28"/>
  <c r="V17" i="28"/>
  <c r="P17" i="28"/>
  <c r="Q17" i="28"/>
  <c r="Z17" i="28"/>
  <c r="U17" i="28"/>
  <c r="W17" i="28"/>
  <c r="T17" i="28"/>
  <c r="O17" i="32"/>
  <c r="Z17" i="32"/>
  <c r="P17" i="32"/>
  <c r="T17" i="32"/>
  <c r="W17" i="32"/>
  <c r="Y17" i="32"/>
  <c r="V17" i="32"/>
  <c r="R17" i="32"/>
  <c r="U17" i="32"/>
  <c r="X17" i="32"/>
  <c r="Q17" i="32"/>
  <c r="W17" i="15"/>
  <c r="S17" i="15"/>
  <c r="Y17" i="23"/>
  <c r="Z17" i="23"/>
  <c r="V17" i="23"/>
  <c r="W17" i="23"/>
  <c r="R17" i="23"/>
  <c r="Q17" i="23"/>
  <c r="U17" i="23"/>
  <c r="T17" i="23"/>
  <c r="P17" i="23"/>
  <c r="X17" i="23"/>
  <c r="S17" i="23"/>
  <c r="V17" i="25"/>
  <c r="R17" i="25"/>
  <c r="Z17" i="25"/>
  <c r="W17" i="25"/>
  <c r="X17" i="25"/>
  <c r="S17" i="25"/>
  <c r="P17" i="25"/>
  <c r="U17" i="25"/>
  <c r="W17" i="33"/>
  <c r="X17" i="33"/>
  <c r="O17" i="33"/>
  <c r="S17" i="33"/>
  <c r="P17" i="33"/>
  <c r="V17" i="33"/>
  <c r="U17" i="33"/>
  <c r="Y17" i="33"/>
  <c r="R17" i="33"/>
  <c r="V17" i="24"/>
  <c r="Y17" i="24"/>
  <c r="U17" i="24"/>
  <c r="Q17" i="24"/>
  <c r="R17" i="24"/>
  <c r="N17" i="24"/>
  <c r="T17" i="20"/>
  <c r="S17" i="20"/>
  <c r="O17" i="20"/>
  <c r="U17" i="20"/>
  <c r="Z17" i="20"/>
  <c r="X17" i="20"/>
  <c r="P17" i="20"/>
  <c r="Y17" i="20"/>
  <c r="Q17" i="20"/>
  <c r="R17" i="30"/>
  <c r="Q17" i="30"/>
  <c r="W17" i="30"/>
  <c r="U17" i="30"/>
  <c r="S17" i="30"/>
  <c r="X17" i="30"/>
  <c r="V17" i="30"/>
  <c r="T17" i="30"/>
  <c r="O17" i="30"/>
  <c r="P17" i="30"/>
  <c r="Z17" i="30"/>
  <c r="Y17" i="30"/>
  <c r="Q17" i="36"/>
  <c r="P17" i="36"/>
  <c r="V17" i="36"/>
  <c r="T17" i="36"/>
  <c r="O17" i="36"/>
  <c r="Z17" i="36"/>
  <c r="X17" i="36"/>
  <c r="S17" i="36"/>
  <c r="Y17" i="36"/>
  <c r="R17" i="36"/>
  <c r="U17" i="36"/>
  <c r="W17" i="7"/>
  <c r="Q17" i="7"/>
  <c r="P17" i="7"/>
  <c r="O17" i="7"/>
  <c r="T17" i="7"/>
  <c r="S17" i="7"/>
  <c r="Z17" i="7"/>
  <c r="V17" i="7"/>
  <c r="R17" i="7"/>
  <c r="U17" i="7"/>
  <c r="Y17" i="7"/>
  <c r="U17" i="29"/>
  <c r="W17" i="29"/>
  <c r="S17" i="29"/>
  <c r="R17" i="29"/>
  <c r="X17" i="29"/>
  <c r="V17" i="29"/>
  <c r="P17" i="29"/>
  <c r="Y17" i="18"/>
  <c r="V17" i="18"/>
  <c r="P17" i="18"/>
  <c r="S17" i="18"/>
  <c r="T17" i="18"/>
  <c r="W17" i="18"/>
  <c r="X17" i="18"/>
  <c r="O17" i="18"/>
  <c r="Q17" i="18"/>
  <c r="R17" i="18"/>
  <c r="U17" i="18"/>
  <c r="Z17" i="18"/>
  <c r="Q17" i="9"/>
  <c r="S17" i="9"/>
  <c r="U17" i="9"/>
  <c r="V17" i="9"/>
  <c r="Z17" i="9"/>
  <c r="W17" i="9"/>
  <c r="P17" i="9"/>
  <c r="Y17" i="9"/>
  <c r="U17" i="51"/>
  <c r="X17" i="51"/>
  <c r="T17" i="51"/>
  <c r="P17" i="51"/>
  <c r="V17" i="51"/>
  <c r="Q17" i="51"/>
  <c r="Z17" i="51"/>
  <c r="Y17" i="51"/>
  <c r="W17" i="51"/>
  <c r="Z17" i="52"/>
  <c r="P17" i="52"/>
  <c r="V17" i="52"/>
  <c r="S17" i="52"/>
  <c r="X17" i="52"/>
  <c r="Q17" i="52"/>
  <c r="R17" i="52"/>
  <c r="P17" i="53"/>
  <c r="Q17" i="53"/>
  <c r="S17" i="53"/>
  <c r="R17" i="53"/>
  <c r="V17" i="53"/>
  <c r="O17" i="53"/>
  <c r="T17" i="53"/>
  <c r="P17" i="61"/>
  <c r="U17" i="61"/>
  <c r="R17" i="61"/>
  <c r="X17" i="61"/>
  <c r="Y17" i="61"/>
  <c r="V17" i="61"/>
  <c r="Q17" i="61"/>
  <c r="T17" i="61"/>
  <c r="W17" i="61"/>
  <c r="Z17" i="61"/>
  <c r="O17" i="61"/>
  <c r="S17" i="61"/>
  <c r="S17" i="63"/>
  <c r="Y17" i="63"/>
  <c r="O17" i="63"/>
  <c r="Z17" i="63"/>
  <c r="U17" i="63"/>
  <c r="W17" i="63"/>
  <c r="X17" i="63"/>
  <c r="R17" i="63"/>
  <c r="T17" i="63"/>
  <c r="V17" i="63"/>
  <c r="Q17" i="63"/>
  <c r="P17" i="63"/>
  <c r="P17" i="54"/>
  <c r="S17" i="54"/>
  <c r="Z17" i="54"/>
  <c r="X17" i="54"/>
  <c r="U17" i="54"/>
  <c r="O17" i="54"/>
  <c r="V17" i="54"/>
  <c r="R17" i="54"/>
  <c r="Y17" i="54"/>
  <c r="Q17" i="54"/>
  <c r="AE61" i="28" l="1"/>
  <c r="AE56" i="28"/>
  <c r="AE58" i="28"/>
  <c r="AE48" i="28"/>
  <c r="AE50" i="28"/>
  <c r="AE52" i="28"/>
  <c r="AE40" i="28"/>
  <c r="AE62" i="28"/>
  <c r="AE47" i="28"/>
  <c r="AE49" i="28"/>
  <c r="AE51" i="28"/>
  <c r="AE39" i="28"/>
  <c r="AE43" i="28"/>
  <c r="AE59" i="28"/>
  <c r="AE53" i="28"/>
  <c r="AE44" i="28"/>
  <c r="AE45" i="17"/>
  <c r="AE47" i="17"/>
  <c r="AE36" i="17"/>
  <c r="AE38" i="17"/>
  <c r="AE62" i="17"/>
  <c r="AE64" i="17"/>
  <c r="AE66" i="17"/>
  <c r="AE53" i="17"/>
  <c r="AE55" i="17"/>
  <c r="AE57" i="17"/>
  <c r="AE44" i="17"/>
  <c r="AE46" i="17"/>
  <c r="AE48" i="17"/>
  <c r="AE35" i="17"/>
  <c r="AE37" i="17"/>
  <c r="AE39" i="17"/>
  <c r="AE54" i="17"/>
  <c r="AE56" i="17"/>
  <c r="AE81" i="17"/>
  <c r="AE146" i="17"/>
  <c r="AE96" i="17"/>
  <c r="AE116" i="17"/>
  <c r="AE118" i="17"/>
  <c r="AE120" i="17"/>
  <c r="AE124" i="17"/>
  <c r="AE126" i="17"/>
  <c r="AE130" i="17"/>
  <c r="AE134" i="17"/>
  <c r="AE136" i="17"/>
  <c r="AE65" i="17"/>
  <c r="AE63" i="17"/>
  <c r="AE80" i="17"/>
  <c r="AE82" i="17"/>
  <c r="AE84" i="17"/>
  <c r="AE95" i="17"/>
  <c r="AE97" i="17"/>
  <c r="AE102" i="17"/>
  <c r="AE115" i="17"/>
  <c r="AE117" i="17"/>
  <c r="AE121" i="17"/>
  <c r="AE125" i="17"/>
  <c r="AE127" i="17"/>
  <c r="AE129" i="17"/>
  <c r="AE133" i="17"/>
  <c r="AE135" i="17"/>
  <c r="AE139" i="17"/>
  <c r="AE147" i="17"/>
  <c r="AE143" i="17"/>
  <c r="AE144" i="17"/>
  <c r="AE141" i="17"/>
  <c r="AE142" i="17"/>
  <c r="AE148" i="17"/>
  <c r="AE49" i="16"/>
  <c r="AE53" i="16"/>
  <c r="AE121" i="16"/>
  <c r="AE94" i="16"/>
  <c r="AE96" i="16"/>
  <c r="AE100" i="16"/>
  <c r="AE102" i="16"/>
  <c r="AE104" i="16"/>
  <c r="AE106" i="16"/>
  <c r="AE108" i="16"/>
  <c r="AE110" i="16"/>
  <c r="AE112" i="16"/>
  <c r="AE114" i="16"/>
  <c r="AE116" i="16"/>
  <c r="AE78" i="16"/>
  <c r="AE80" i="16"/>
  <c r="AE82" i="16"/>
  <c r="AE84" i="16"/>
  <c r="AE86" i="16"/>
  <c r="AE88" i="16"/>
  <c r="AE74" i="16"/>
  <c r="AE38" i="16"/>
  <c r="AE41" i="16"/>
  <c r="AE43" i="16"/>
  <c r="AE45" i="16"/>
  <c r="AE47" i="16"/>
  <c r="AE44" i="16"/>
  <c r="AE119" i="16"/>
  <c r="AE103" i="16"/>
  <c r="AE111" i="16"/>
  <c r="AE39" i="16"/>
  <c r="AE97" i="16"/>
  <c r="AE77" i="16"/>
  <c r="AM77" i="16" s="1"/>
  <c r="AE85" i="16"/>
  <c r="AE54" i="16"/>
  <c r="AE122" i="16"/>
  <c r="AE105" i="16"/>
  <c r="AM105" i="16" s="1"/>
  <c r="AE113" i="16"/>
  <c r="AE79" i="16"/>
  <c r="AE87" i="16"/>
  <c r="AE35" i="16"/>
  <c r="AE89" i="16"/>
  <c r="AE83" i="16"/>
  <c r="AE52" i="16"/>
  <c r="AE107" i="16"/>
  <c r="AE115" i="16"/>
  <c r="AE50" i="16"/>
  <c r="AE56" i="16"/>
  <c r="AE81" i="16"/>
  <c r="AE75" i="16"/>
  <c r="AE101" i="16"/>
  <c r="AE109" i="16"/>
  <c r="AE117" i="16"/>
  <c r="AE37" i="16"/>
  <c r="AE95" i="16"/>
  <c r="AE70" i="16"/>
  <c r="AE73" i="6"/>
  <c r="AE75" i="6"/>
  <c r="AE77" i="6"/>
  <c r="AE79" i="6"/>
  <c r="AE83" i="6"/>
  <c r="AE85" i="6"/>
  <c r="AE87" i="6"/>
  <c r="AE89" i="6"/>
  <c r="AE86" i="6"/>
  <c r="AE84" i="6"/>
  <c r="AE80" i="6"/>
  <c r="AE82" i="6"/>
  <c r="AE93" i="6"/>
  <c r="AE95" i="6"/>
  <c r="AE97" i="6"/>
  <c r="AE103" i="6"/>
  <c r="AE105" i="6"/>
  <c r="AE107" i="6"/>
  <c r="AE109" i="6"/>
  <c r="AE115" i="6"/>
  <c r="AE78" i="6"/>
  <c r="AE76" i="6"/>
  <c r="AE72" i="6"/>
  <c r="AE90" i="6"/>
  <c r="AE92" i="6"/>
  <c r="AE94" i="6"/>
  <c r="AE96" i="6"/>
  <c r="AE102" i="6"/>
  <c r="AE104" i="6"/>
  <c r="AE106" i="6"/>
  <c r="AE116" i="6"/>
  <c r="AE74" i="6"/>
  <c r="AE88" i="6"/>
  <c r="AE34" i="31"/>
  <c r="AE36" i="31"/>
  <c r="AE35" i="31"/>
  <c r="AE37" i="31"/>
  <c r="AE34" i="27"/>
  <c r="AE38" i="27"/>
  <c r="AE40" i="27"/>
  <c r="AE42" i="27"/>
  <c r="AE35" i="27"/>
  <c r="AE37" i="27"/>
  <c r="AE39" i="27"/>
  <c r="AE41" i="27"/>
  <c r="AE44" i="27"/>
  <c r="AD39" i="24"/>
  <c r="AD40" i="24"/>
  <c r="AD40" i="37"/>
  <c r="AD42" i="37"/>
  <c r="AD39" i="37"/>
  <c r="AD41" i="37"/>
  <c r="AD43" i="37"/>
  <c r="AE96" i="4"/>
  <c r="AE71" i="4"/>
  <c r="AE73" i="4"/>
  <c r="AE75" i="4"/>
  <c r="AE77" i="4"/>
  <c r="AE81" i="4"/>
  <c r="AE83" i="4"/>
  <c r="AE85" i="4"/>
  <c r="AE87" i="4"/>
  <c r="AE89" i="4"/>
  <c r="AE93" i="4"/>
  <c r="AE59" i="4"/>
  <c r="AE61" i="4"/>
  <c r="AE63" i="4"/>
  <c r="AE65" i="4"/>
  <c r="AE67" i="4"/>
  <c r="AE55" i="4"/>
  <c r="AE36" i="4"/>
  <c r="AE38" i="4"/>
  <c r="AE40" i="4"/>
  <c r="AE42" i="4"/>
  <c r="AE46" i="4"/>
  <c r="AE50" i="4"/>
  <c r="AE58" i="4"/>
  <c r="AE62" i="4"/>
  <c r="AE66" i="4"/>
  <c r="AE35" i="4"/>
  <c r="AE39" i="4"/>
  <c r="AE43" i="4"/>
  <c r="AE86" i="4"/>
  <c r="AE47" i="4"/>
  <c r="AE94" i="4"/>
  <c r="AE51" i="4"/>
  <c r="AE97" i="4"/>
  <c r="AE80" i="4"/>
  <c r="AE88" i="4"/>
  <c r="AE72" i="4"/>
  <c r="AE92" i="4"/>
  <c r="AE60" i="4"/>
  <c r="AE64" i="4"/>
  <c r="AE68" i="4"/>
  <c r="AE37" i="4"/>
  <c r="AE74" i="4"/>
  <c r="AE76" i="4"/>
  <c r="AE49" i="4"/>
  <c r="AE84" i="4"/>
  <c r="AE41" i="33"/>
  <c r="AE44" i="33"/>
  <c r="AE52" i="33"/>
  <c r="AE55" i="33"/>
  <c r="AE45" i="33"/>
  <c r="AE53" i="33"/>
  <c r="AE40" i="33"/>
  <c r="AE48" i="33"/>
  <c r="AE43" i="33"/>
  <c r="AE51" i="33"/>
  <c r="AE54" i="33"/>
  <c r="AE96" i="51"/>
  <c r="AE99" i="51"/>
  <c r="AE91" i="51"/>
  <c r="AE95" i="51"/>
  <c r="AE80" i="51"/>
  <c r="AE82" i="51"/>
  <c r="AE84" i="51"/>
  <c r="AM84" i="51" s="1"/>
  <c r="AE36" i="51"/>
  <c r="AE40" i="51"/>
  <c r="AE44" i="51"/>
  <c r="AE54" i="51"/>
  <c r="AE58" i="51"/>
  <c r="AE98" i="51"/>
  <c r="AE79" i="51"/>
  <c r="AE81" i="51"/>
  <c r="AE83" i="51"/>
  <c r="AM83" i="51" s="1"/>
  <c r="AE85" i="51"/>
  <c r="AE37" i="51"/>
  <c r="AE43" i="51"/>
  <c r="AE47" i="51"/>
  <c r="AE49" i="51"/>
  <c r="AE55" i="51"/>
  <c r="AE57" i="51"/>
  <c r="AE72" i="51"/>
  <c r="AE104" i="17"/>
  <c r="AH56" i="67"/>
  <c r="AH48" i="67"/>
  <c r="AH40" i="67"/>
  <c r="AH46" i="67"/>
  <c r="AH45" i="67"/>
  <c r="AH43" i="67"/>
  <c r="AH50" i="67"/>
  <c r="AH55" i="67"/>
  <c r="AH39" i="67"/>
  <c r="AH53" i="67"/>
  <c r="AH52" i="67"/>
  <c r="AH51" i="67"/>
  <c r="AH37" i="67"/>
  <c r="AH44" i="67"/>
  <c r="AH36" i="67"/>
  <c r="AH35" i="67"/>
  <c r="AE34" i="32"/>
  <c r="AE36" i="32"/>
  <c r="AE87" i="55"/>
  <c r="AH104" i="17"/>
  <c r="AE34" i="6"/>
  <c r="AE36" i="6"/>
  <c r="AE38" i="6"/>
  <c r="AE40" i="6"/>
  <c r="AE42" i="6"/>
  <c r="AE44" i="6"/>
  <c r="AE46" i="6"/>
  <c r="AE48" i="6"/>
  <c r="AE50" i="6"/>
  <c r="AE52" i="6"/>
  <c r="AE35" i="6"/>
  <c r="AE37" i="6"/>
  <c r="AE39" i="6"/>
  <c r="AE41" i="6"/>
  <c r="AE45" i="6"/>
  <c r="AE47" i="6"/>
  <c r="AE49" i="6"/>
  <c r="AE65" i="6"/>
  <c r="AE68" i="6"/>
  <c r="AE59" i="6"/>
  <c r="AE56" i="6"/>
  <c r="AE69" i="6"/>
  <c r="AE51" i="6"/>
  <c r="AE57" i="6"/>
  <c r="AE54" i="6"/>
  <c r="AE67" i="6"/>
  <c r="AE64" i="6"/>
  <c r="AE55" i="6"/>
  <c r="AE58" i="6"/>
  <c r="AE121" i="9"/>
  <c r="AE95" i="9"/>
  <c r="AE97" i="9"/>
  <c r="AE101" i="9"/>
  <c r="AE103" i="9"/>
  <c r="AE105" i="9"/>
  <c r="AM105" i="9" s="1"/>
  <c r="AE107" i="9"/>
  <c r="AE109" i="9"/>
  <c r="AE111" i="9"/>
  <c r="AE113" i="9"/>
  <c r="AE117" i="9"/>
  <c r="AE79" i="9"/>
  <c r="AE81" i="9"/>
  <c r="AE83" i="9"/>
  <c r="AE85" i="9"/>
  <c r="AE87" i="9"/>
  <c r="AE89" i="9"/>
  <c r="AE76" i="9"/>
  <c r="AE40" i="9"/>
  <c r="AE42" i="9"/>
  <c r="AE44" i="9"/>
  <c r="AE54" i="9"/>
  <c r="AE58" i="9"/>
  <c r="AE119" i="9"/>
  <c r="AE122" i="9"/>
  <c r="AE96" i="9"/>
  <c r="AE98" i="9"/>
  <c r="AE100" i="9"/>
  <c r="AE102" i="9"/>
  <c r="AE104" i="9"/>
  <c r="AE106" i="9"/>
  <c r="AE108" i="9"/>
  <c r="AE110" i="9"/>
  <c r="AE112" i="9"/>
  <c r="AE114" i="9"/>
  <c r="AE116" i="9"/>
  <c r="AE80" i="9"/>
  <c r="AE82" i="9"/>
  <c r="AE84" i="9"/>
  <c r="AE86" i="9"/>
  <c r="AE88" i="9"/>
  <c r="AE90" i="9"/>
  <c r="AE77" i="9"/>
  <c r="AE35" i="9"/>
  <c r="AE37" i="9"/>
  <c r="AE47" i="9"/>
  <c r="AE49" i="9"/>
  <c r="AE57" i="9"/>
  <c r="AE72" i="9"/>
  <c r="AB70" i="65"/>
  <c r="AE46" i="68"/>
  <c r="AE48" i="68"/>
  <c r="AE56" i="68"/>
  <c r="AE66" i="68"/>
  <c r="AE89" i="68"/>
  <c r="AE91" i="68"/>
  <c r="AE97" i="68"/>
  <c r="AE99" i="68"/>
  <c r="AE103" i="68"/>
  <c r="AE35" i="68"/>
  <c r="AE39" i="68"/>
  <c r="AE55" i="68"/>
  <c r="AE57" i="68"/>
  <c r="AE59" i="68"/>
  <c r="AE49" i="68"/>
  <c r="AE92" i="68"/>
  <c r="AE98" i="68"/>
  <c r="AE67" i="68"/>
  <c r="AE106" i="68"/>
  <c r="AE82" i="68"/>
  <c r="AE45" i="68"/>
  <c r="AE69" i="68"/>
  <c r="AE90" i="68"/>
  <c r="AE96" i="68"/>
  <c r="AE47" i="68"/>
  <c r="AE65" i="68"/>
  <c r="AE111" i="68"/>
  <c r="AE110" i="68"/>
  <c r="AE109" i="68"/>
  <c r="AE112" i="68"/>
  <c r="AH45" i="30"/>
  <c r="AH71" i="30"/>
  <c r="AH63" i="30"/>
  <c r="AH55" i="30"/>
  <c r="AH44" i="30"/>
  <c r="AH70" i="30"/>
  <c r="AH62" i="30"/>
  <c r="AH54" i="30"/>
  <c r="AH43" i="30"/>
  <c r="AH69" i="30"/>
  <c r="AH61" i="30"/>
  <c r="AH42" i="30"/>
  <c r="AH60" i="30"/>
  <c r="AH41" i="30"/>
  <c r="AH39" i="30"/>
  <c r="AH53" i="30"/>
  <c r="AH66" i="30"/>
  <c r="AH46" i="30"/>
  <c r="AH68" i="30"/>
  <c r="AH52" i="30"/>
  <c r="AH47" i="30"/>
  <c r="AH65" i="30"/>
  <c r="AH67" i="30"/>
  <c r="AH59" i="30"/>
  <c r="AH51" i="30"/>
  <c r="AH40" i="30"/>
  <c r="AH58" i="30"/>
  <c r="AH57" i="30"/>
  <c r="AH38" i="30"/>
  <c r="AH50" i="30"/>
  <c r="AH35" i="30"/>
  <c r="AH74" i="30"/>
  <c r="AH72" i="30"/>
  <c r="AH75" i="30"/>
  <c r="AG39" i="24"/>
  <c r="AG40" i="24"/>
  <c r="AE55" i="39"/>
  <c r="AE57" i="39"/>
  <c r="AE59" i="39"/>
  <c r="AE36" i="39"/>
  <c r="AE38" i="39"/>
  <c r="AE56" i="39"/>
  <c r="AE58" i="39"/>
  <c r="AE35" i="39"/>
  <c r="AE37" i="39"/>
  <c r="AE39" i="39"/>
  <c r="AE111" i="39"/>
  <c r="AE119" i="39"/>
  <c r="AE100" i="39"/>
  <c r="AE121" i="39"/>
  <c r="AE85" i="39"/>
  <c r="AE98" i="39"/>
  <c r="AE103" i="39"/>
  <c r="AE126" i="39"/>
  <c r="AE108" i="39"/>
  <c r="AE114" i="39"/>
  <c r="AE116" i="39"/>
  <c r="AE106" i="39"/>
  <c r="AE123" i="39"/>
  <c r="AE87" i="58"/>
  <c r="AE45" i="55"/>
  <c r="AE47" i="55"/>
  <c r="AE49" i="55"/>
  <c r="AE46" i="55"/>
  <c r="AE56" i="55"/>
  <c r="AE58" i="55"/>
  <c r="AE85" i="55"/>
  <c r="AE100" i="55"/>
  <c r="AE108" i="55"/>
  <c r="AE116" i="55"/>
  <c r="AE123" i="55"/>
  <c r="AE55" i="55"/>
  <c r="AE57" i="55"/>
  <c r="AE59" i="55"/>
  <c r="AE48" i="55"/>
  <c r="AE99" i="55"/>
  <c r="AE103" i="55"/>
  <c r="AE107" i="55"/>
  <c r="AE111" i="55"/>
  <c r="AE115" i="55"/>
  <c r="AE119" i="55"/>
  <c r="AE122" i="55"/>
  <c r="AE126" i="55"/>
  <c r="AE63" i="36"/>
  <c r="AE53" i="36"/>
  <c r="AE55" i="36"/>
  <c r="AE57" i="36"/>
  <c r="AE59" i="36"/>
  <c r="AE61" i="36"/>
  <c r="AE46" i="36"/>
  <c r="AE48" i="36"/>
  <c r="AE35" i="36"/>
  <c r="AE37" i="36"/>
  <c r="AE49" i="36"/>
  <c r="AE40" i="36"/>
  <c r="AE56" i="36"/>
  <c r="AE38" i="36"/>
  <c r="AE60" i="36"/>
  <c r="AE47" i="36"/>
  <c r="AE54" i="36"/>
  <c r="AE36" i="36"/>
  <c r="AE58" i="36"/>
  <c r="AH89" i="68"/>
  <c r="AH105" i="68"/>
  <c r="AH46" i="68"/>
  <c r="AH68" i="68"/>
  <c r="AH97" i="68"/>
  <c r="AH65" i="68"/>
  <c r="AH57" i="68"/>
  <c r="AH55" i="68"/>
  <c r="AH67" i="68"/>
  <c r="AH90" i="68"/>
  <c r="AH66" i="68"/>
  <c r="AH99" i="68"/>
  <c r="AH82" i="68"/>
  <c r="AH35" i="68"/>
  <c r="AH91" i="68"/>
  <c r="AH48" i="68"/>
  <c r="AH103" i="68"/>
  <c r="AH92" i="68"/>
  <c r="AH39" i="68"/>
  <c r="AH45" i="68"/>
  <c r="AH69" i="68"/>
  <c r="AH59" i="68"/>
  <c r="AH104" i="68"/>
  <c r="AH111" i="68"/>
  <c r="AH96" i="68"/>
  <c r="AH56" i="68"/>
  <c r="AH110" i="68"/>
  <c r="AH47" i="68"/>
  <c r="AH49" i="68"/>
  <c r="AH109" i="68"/>
  <c r="AH106" i="68"/>
  <c r="AH58" i="68"/>
  <c r="AH98" i="68"/>
  <c r="AH112" i="68"/>
  <c r="AH51" i="69"/>
  <c r="AH55" i="69"/>
  <c r="AH44" i="69"/>
  <c r="AH37" i="69"/>
  <c r="AH56" i="69"/>
  <c r="AH48" i="69"/>
  <c r="AH40" i="69"/>
  <c r="AH36" i="69"/>
  <c r="AN36" i="69" s="1"/>
  <c r="AH52" i="69"/>
  <c r="AH46" i="69"/>
  <c r="AH53" i="69"/>
  <c r="AE36" i="69"/>
  <c r="AM36" i="69" s="1"/>
  <c r="AE40" i="69"/>
  <c r="AE44" i="69"/>
  <c r="AE46" i="69"/>
  <c r="AE48" i="69"/>
  <c r="AE50" i="69"/>
  <c r="AE52" i="69"/>
  <c r="AE56" i="69"/>
  <c r="AE37" i="69"/>
  <c r="AE51" i="69"/>
  <c r="AE55" i="69"/>
  <c r="AE45" i="69"/>
  <c r="AE53" i="69"/>
  <c r="AE39" i="69"/>
  <c r="AH72" i="29"/>
  <c r="AH64" i="29"/>
  <c r="AH56" i="29"/>
  <c r="AH45" i="29"/>
  <c r="AH55" i="29"/>
  <c r="AH41" i="29"/>
  <c r="AH67" i="29"/>
  <c r="AH59" i="29"/>
  <c r="AH40" i="29"/>
  <c r="AH71" i="29"/>
  <c r="AH44" i="29"/>
  <c r="AH69" i="29"/>
  <c r="AH61" i="29"/>
  <c r="AH42" i="29"/>
  <c r="AH70" i="29"/>
  <c r="AH62" i="29"/>
  <c r="AH54" i="29"/>
  <c r="AH43" i="29"/>
  <c r="AH53" i="29"/>
  <c r="AH46" i="29"/>
  <c r="AH51" i="29"/>
  <c r="AN51" i="29" s="1"/>
  <c r="AH47" i="29"/>
  <c r="AH68" i="29"/>
  <c r="AH57" i="29"/>
  <c r="AH39" i="29"/>
  <c r="AH35" i="29"/>
  <c r="AH38" i="29"/>
  <c r="AH76" i="29"/>
  <c r="AH50" i="29"/>
  <c r="AH73" i="29"/>
  <c r="AH75" i="29"/>
  <c r="AE73" i="29"/>
  <c r="AE76" i="29"/>
  <c r="AE51" i="29"/>
  <c r="AM51" i="29" s="1"/>
  <c r="AE53" i="29"/>
  <c r="AE55" i="29"/>
  <c r="AE57" i="29"/>
  <c r="AE59" i="29"/>
  <c r="AE61" i="29"/>
  <c r="AE63" i="29"/>
  <c r="AE65" i="29"/>
  <c r="AM65" i="29" s="1"/>
  <c r="AE67" i="29"/>
  <c r="AE69" i="29"/>
  <c r="AE71" i="29"/>
  <c r="AE38" i="29"/>
  <c r="AE40" i="29"/>
  <c r="AE42" i="29"/>
  <c r="AE44" i="29"/>
  <c r="AE46" i="29"/>
  <c r="AE35" i="29"/>
  <c r="AE75" i="29"/>
  <c r="AE64" i="29"/>
  <c r="AE45" i="29"/>
  <c r="AE50" i="29"/>
  <c r="AE47" i="29"/>
  <c r="AE68" i="29"/>
  <c r="AE54" i="29"/>
  <c r="AE70" i="29"/>
  <c r="AE56" i="29"/>
  <c r="AE72" i="29"/>
  <c r="AE58" i="29"/>
  <c r="AE39" i="29"/>
  <c r="AE41" i="29"/>
  <c r="AE62" i="29"/>
  <c r="AE43" i="29"/>
  <c r="AH38" i="23"/>
  <c r="AH53" i="23"/>
  <c r="AH36" i="23"/>
  <c r="AH34" i="23"/>
  <c r="AH96" i="23"/>
  <c r="AH98" i="23"/>
  <c r="AE56" i="66"/>
  <c r="AE66" i="66"/>
  <c r="AE35" i="66"/>
  <c r="AE39" i="66"/>
  <c r="AE45" i="66"/>
  <c r="AE47" i="66"/>
  <c r="AE49" i="66"/>
  <c r="AE82" i="66"/>
  <c r="AE99" i="66"/>
  <c r="AE101" i="66"/>
  <c r="AE107" i="66"/>
  <c r="AE109" i="66"/>
  <c r="AE113" i="66"/>
  <c r="AE65" i="66"/>
  <c r="AE67" i="66"/>
  <c r="AE69" i="66"/>
  <c r="AE46" i="66"/>
  <c r="AE48" i="66"/>
  <c r="AE100" i="66"/>
  <c r="AE102" i="66"/>
  <c r="AE106" i="66"/>
  <c r="AE108" i="66"/>
  <c r="AE116" i="66"/>
  <c r="AE55" i="66"/>
  <c r="AE57" i="66"/>
  <c r="AE59" i="66"/>
  <c r="AE121" i="66"/>
  <c r="AE120" i="66"/>
  <c r="AE119" i="66"/>
  <c r="AE122" i="66"/>
  <c r="AE35" i="15"/>
  <c r="AE41" i="15"/>
  <c r="AE67" i="15"/>
  <c r="AE36" i="15"/>
  <c r="AE38" i="15"/>
  <c r="AE51" i="15"/>
  <c r="AH36" i="31"/>
  <c r="AH35" i="31"/>
  <c r="AH34" i="31"/>
  <c r="AH37" i="31"/>
  <c r="AE53" i="23"/>
  <c r="AE98" i="23"/>
  <c r="AE34" i="23"/>
  <c r="AE36" i="23"/>
  <c r="AE38" i="23"/>
  <c r="AE96" i="23"/>
  <c r="AE84" i="66"/>
  <c r="AE87" i="39"/>
  <c r="AE45" i="25"/>
  <c r="AM45" i="25" s="1"/>
  <c r="AE36" i="25"/>
  <c r="AE46" i="25"/>
  <c r="AE50" i="25"/>
  <c r="AE35" i="25"/>
  <c r="AE38" i="25"/>
  <c r="AH55" i="70"/>
  <c r="AH112" i="70"/>
  <c r="AH90" i="70"/>
  <c r="AH45" i="70"/>
  <c r="AH59" i="70"/>
  <c r="AH82" i="70"/>
  <c r="AH92" i="70"/>
  <c r="AH49" i="70"/>
  <c r="AH56" i="70"/>
  <c r="AH110" i="70"/>
  <c r="AH84" i="66"/>
  <c r="AE64" i="26"/>
  <c r="AE41" i="26"/>
  <c r="AE47" i="26"/>
  <c r="AE68" i="26"/>
  <c r="AE57" i="26"/>
  <c r="AE43" i="26"/>
  <c r="AE51" i="26"/>
  <c r="AE61" i="26"/>
  <c r="AM61" i="26" s="1"/>
  <c r="AE44" i="26"/>
  <c r="AE67" i="26"/>
  <c r="AE70" i="26"/>
  <c r="AE50" i="26"/>
  <c r="AE52" i="26"/>
  <c r="AE54" i="26"/>
  <c r="AE56" i="26"/>
  <c r="AE58" i="26"/>
  <c r="AE60" i="26"/>
  <c r="AE62" i="26"/>
  <c r="AE66" i="26"/>
  <c r="AE45" i="26"/>
  <c r="AE71" i="26"/>
  <c r="AE59" i="26"/>
  <c r="AE40" i="26"/>
  <c r="AE42" i="26"/>
  <c r="AE55" i="26"/>
  <c r="AE35" i="26"/>
  <c r="AE53" i="26"/>
  <c r="AE63" i="26"/>
  <c r="AE46" i="26"/>
  <c r="AE38" i="26"/>
  <c r="AE66" i="58"/>
  <c r="AE68" i="58"/>
  <c r="AE124" i="58"/>
  <c r="AE65" i="58"/>
  <c r="AE67" i="58"/>
  <c r="AE69" i="58"/>
  <c r="AE101" i="58"/>
  <c r="AE103" i="58"/>
  <c r="AE109" i="58"/>
  <c r="AE111" i="58"/>
  <c r="AE117" i="58"/>
  <c r="AE119" i="58"/>
  <c r="AE85" i="58"/>
  <c r="AE126" i="58"/>
  <c r="AE48" i="7"/>
  <c r="AE38" i="7"/>
  <c r="AE41" i="7"/>
  <c r="AE45" i="7"/>
  <c r="AE47" i="7"/>
  <c r="AE83" i="70"/>
  <c r="AE104" i="54"/>
  <c r="AE92" i="54"/>
  <c r="AE94" i="54"/>
  <c r="AE96" i="54"/>
  <c r="AE100" i="54"/>
  <c r="AM100" i="54" s="1"/>
  <c r="AE79" i="54"/>
  <c r="AE81" i="54"/>
  <c r="AE83" i="54"/>
  <c r="AM83" i="54" s="1"/>
  <c r="AE85" i="54"/>
  <c r="AE87" i="54"/>
  <c r="AE97" i="54"/>
  <c r="AM97" i="54" s="1"/>
  <c r="AE102" i="54"/>
  <c r="AE45" i="54"/>
  <c r="AE105" i="54"/>
  <c r="AE101" i="54"/>
  <c r="AE38" i="54"/>
  <c r="AE54" i="54"/>
  <c r="AE80" i="54"/>
  <c r="AE47" i="54"/>
  <c r="AE91" i="54"/>
  <c r="AE82" i="54"/>
  <c r="AE40" i="54"/>
  <c r="AE93" i="54"/>
  <c r="AE49" i="54"/>
  <c r="AE57" i="54"/>
  <c r="AE58" i="54"/>
  <c r="AE86" i="54"/>
  <c r="AE95" i="54"/>
  <c r="AE72" i="54"/>
  <c r="AE58" i="7"/>
  <c r="AE61" i="7"/>
  <c r="AH49" i="28"/>
  <c r="AH57" i="28"/>
  <c r="AH48" i="28"/>
  <c r="AH50" i="28"/>
  <c r="AH58" i="28"/>
  <c r="AH52" i="28"/>
  <c r="AH51" i="28"/>
  <c r="AH43" i="28"/>
  <c r="AH40" i="28"/>
  <c r="AH53" i="28"/>
  <c r="AH44" i="28"/>
  <c r="AH47" i="28"/>
  <c r="AH39" i="28"/>
  <c r="AH56" i="28"/>
  <c r="AH62" i="28"/>
  <c r="AH59" i="28"/>
  <c r="AH61" i="28"/>
  <c r="AE56" i="70"/>
  <c r="AE66" i="70"/>
  <c r="AE91" i="70"/>
  <c r="AE45" i="70"/>
  <c r="AE49" i="70"/>
  <c r="AE82" i="70"/>
  <c r="AE65" i="70"/>
  <c r="AE69" i="70"/>
  <c r="AE90" i="70"/>
  <c r="AE92" i="70"/>
  <c r="AE55" i="70"/>
  <c r="AE59" i="70"/>
  <c r="AE111" i="70"/>
  <c r="AE110" i="70"/>
  <c r="AE112" i="70"/>
  <c r="AH87" i="58"/>
  <c r="AH113" i="6"/>
  <c r="AH97" i="6"/>
  <c r="AH106" i="6"/>
  <c r="AH95" i="6"/>
  <c r="AH80" i="6"/>
  <c r="AH107" i="6"/>
  <c r="AH115" i="6"/>
  <c r="AH82" i="6"/>
  <c r="AH73" i="6"/>
  <c r="AH93" i="6"/>
  <c r="AH85" i="6"/>
  <c r="AH114" i="6"/>
  <c r="AH92" i="6"/>
  <c r="AH111" i="6"/>
  <c r="AH84" i="6"/>
  <c r="AH103" i="6"/>
  <c r="AH96" i="6"/>
  <c r="AH94" i="6"/>
  <c r="AH79" i="6"/>
  <c r="AH75" i="6"/>
  <c r="AH72" i="6"/>
  <c r="AH109" i="6"/>
  <c r="AH76" i="6"/>
  <c r="AH86" i="6"/>
  <c r="AH89" i="6"/>
  <c r="AH87" i="6"/>
  <c r="AH90" i="6"/>
  <c r="AH78" i="6"/>
  <c r="AH102" i="6"/>
  <c r="AH105" i="6"/>
  <c r="AH83" i="6"/>
  <c r="AH74" i="6"/>
  <c r="AH88" i="6"/>
  <c r="AH77" i="6"/>
  <c r="AH114" i="9"/>
  <c r="AH106" i="9"/>
  <c r="AH98" i="9"/>
  <c r="AH87" i="9"/>
  <c r="AH77" i="9"/>
  <c r="AH105" i="9"/>
  <c r="AN105" i="9" s="1"/>
  <c r="AH97" i="9"/>
  <c r="AH86" i="9"/>
  <c r="AH104" i="9"/>
  <c r="AH85" i="9"/>
  <c r="AH95" i="9"/>
  <c r="AH110" i="9"/>
  <c r="AH90" i="9"/>
  <c r="AH116" i="9"/>
  <c r="AH108" i="9"/>
  <c r="AH100" i="9"/>
  <c r="AH113" i="9"/>
  <c r="AH112" i="9"/>
  <c r="AH96" i="9"/>
  <c r="AH103" i="9"/>
  <c r="AH102" i="9"/>
  <c r="AH101" i="9"/>
  <c r="AH115" i="9"/>
  <c r="AH84" i="9"/>
  <c r="AH83" i="9"/>
  <c r="AH89" i="9"/>
  <c r="AH80" i="9"/>
  <c r="AH111" i="9"/>
  <c r="AH109" i="9"/>
  <c r="AH99" i="9"/>
  <c r="AH118" i="9"/>
  <c r="AH82" i="9"/>
  <c r="AH88" i="9"/>
  <c r="AH117" i="9"/>
  <c r="AH81" i="9"/>
  <c r="AH57" i="9"/>
  <c r="AH49" i="9"/>
  <c r="AH48" i="9"/>
  <c r="AH40" i="9"/>
  <c r="AH44" i="9"/>
  <c r="AH55" i="9"/>
  <c r="AH47" i="9"/>
  <c r="AH54" i="9"/>
  <c r="AH37" i="9"/>
  <c r="AH42" i="9"/>
  <c r="AH58" i="9"/>
  <c r="AH119" i="9"/>
  <c r="AH93" i="9"/>
  <c r="AH121" i="9"/>
  <c r="AH35" i="9"/>
  <c r="AH72" i="9"/>
  <c r="AH76" i="9"/>
  <c r="AH122" i="9"/>
  <c r="AH79" i="9"/>
  <c r="AH45" i="66"/>
  <c r="AH68" i="66"/>
  <c r="AH49" i="66"/>
  <c r="AH55" i="66"/>
  <c r="AH101" i="66"/>
  <c r="AH35" i="66"/>
  <c r="AH65" i="66"/>
  <c r="AH57" i="66"/>
  <c r="AH100" i="66"/>
  <c r="AH56" i="66"/>
  <c r="AH106" i="66"/>
  <c r="AH69" i="66"/>
  <c r="AH99" i="66"/>
  <c r="AH67" i="66"/>
  <c r="AH46" i="66"/>
  <c r="AH114" i="66"/>
  <c r="AH48" i="66"/>
  <c r="AH108" i="66"/>
  <c r="AH59" i="66"/>
  <c r="AH113" i="66"/>
  <c r="AH102" i="66"/>
  <c r="AH39" i="66"/>
  <c r="AH120" i="66"/>
  <c r="AH115" i="66"/>
  <c r="AH121" i="66"/>
  <c r="AH66" i="66"/>
  <c r="AH82" i="66"/>
  <c r="AH122" i="66"/>
  <c r="AH109" i="66"/>
  <c r="AH47" i="66"/>
  <c r="AH58" i="66"/>
  <c r="AH119" i="66"/>
  <c r="AH116" i="66"/>
  <c r="AH107" i="66"/>
  <c r="AH87" i="4"/>
  <c r="AH79" i="4"/>
  <c r="AH68" i="4"/>
  <c r="AH60" i="4"/>
  <c r="AH86" i="4"/>
  <c r="AH67" i="4"/>
  <c r="AH59" i="4"/>
  <c r="AH76" i="4"/>
  <c r="AH83" i="4"/>
  <c r="AH64" i="4"/>
  <c r="AH78" i="4"/>
  <c r="AH61" i="4"/>
  <c r="AH93" i="4"/>
  <c r="AH85" i="4"/>
  <c r="AH77" i="4"/>
  <c r="AH66" i="4"/>
  <c r="AH92" i="4"/>
  <c r="AH84" i="4"/>
  <c r="AH65" i="4"/>
  <c r="AH91" i="4"/>
  <c r="AH75" i="4"/>
  <c r="AH74" i="4"/>
  <c r="AH80" i="4"/>
  <c r="AH90" i="4"/>
  <c r="AH63" i="4"/>
  <c r="AH73" i="4"/>
  <c r="AH62" i="4"/>
  <c r="AH72" i="4"/>
  <c r="AH82" i="4"/>
  <c r="AH81" i="4"/>
  <c r="AH89" i="4"/>
  <c r="AH88" i="4"/>
  <c r="AH46" i="4"/>
  <c r="AH38" i="4"/>
  <c r="AH37" i="4"/>
  <c r="AH51" i="4"/>
  <c r="AH36" i="4"/>
  <c r="AH43" i="4"/>
  <c r="AH47" i="4"/>
  <c r="AH42" i="4"/>
  <c r="AH49" i="4"/>
  <c r="AH50" i="4"/>
  <c r="AH40" i="4"/>
  <c r="AH39" i="4"/>
  <c r="AH58" i="4"/>
  <c r="AH97" i="4"/>
  <c r="AH96" i="4"/>
  <c r="AH71" i="4"/>
  <c r="AH55" i="4"/>
  <c r="AH35" i="4"/>
  <c r="AH94" i="4"/>
  <c r="AH85" i="51"/>
  <c r="AH82" i="51"/>
  <c r="AH80" i="51"/>
  <c r="AH81" i="51"/>
  <c r="AH91" i="51"/>
  <c r="AH90" i="51"/>
  <c r="AH55" i="51"/>
  <c r="AH47" i="51"/>
  <c r="AH43" i="51"/>
  <c r="AH49" i="51"/>
  <c r="AH54" i="51"/>
  <c r="AH36" i="51"/>
  <c r="AH42" i="51"/>
  <c r="AH40" i="51"/>
  <c r="AH48" i="51"/>
  <c r="AH58" i="51"/>
  <c r="AH57" i="51"/>
  <c r="AH98" i="51"/>
  <c r="AH88" i="51"/>
  <c r="AH96" i="51"/>
  <c r="AH79" i="51"/>
  <c r="AH72" i="51"/>
  <c r="AH35" i="51"/>
  <c r="AH99" i="51"/>
  <c r="AH34" i="32"/>
  <c r="AH36" i="32"/>
  <c r="AE85" i="65"/>
  <c r="AM85" i="65" s="1"/>
  <c r="AE50" i="65"/>
  <c r="AE36" i="65"/>
  <c r="AE99" i="65"/>
  <c r="AE77" i="65"/>
  <c r="AM77" i="65" s="1"/>
  <c r="AE97" i="65"/>
  <c r="AE100" i="65"/>
  <c r="AE90" i="65"/>
  <c r="AE96" i="65"/>
  <c r="AE80" i="65"/>
  <c r="AE82" i="65"/>
  <c r="AE86" i="65"/>
  <c r="AE35" i="65"/>
  <c r="AE37" i="65"/>
  <c r="AE39" i="65"/>
  <c r="AE43" i="65"/>
  <c r="AE45" i="65"/>
  <c r="AE51" i="65"/>
  <c r="AE53" i="65"/>
  <c r="AE55" i="65"/>
  <c r="AE95" i="65"/>
  <c r="AM95" i="65" s="1"/>
  <c r="AE79" i="65"/>
  <c r="AE83" i="65"/>
  <c r="AM83" i="65" s="1"/>
  <c r="AE40" i="65"/>
  <c r="AE46" i="65"/>
  <c r="AE52" i="65"/>
  <c r="AE48" i="65"/>
  <c r="AE56" i="65"/>
  <c r="AE44" i="65"/>
  <c r="AE70" i="65"/>
  <c r="AH56" i="36"/>
  <c r="AH40" i="36"/>
  <c r="AH37" i="36"/>
  <c r="AH55" i="36"/>
  <c r="AH44" i="36"/>
  <c r="AH61" i="36"/>
  <c r="AH38" i="36"/>
  <c r="AH54" i="36"/>
  <c r="AH53" i="36"/>
  <c r="AH47" i="36"/>
  <c r="AH46" i="36"/>
  <c r="AH60" i="36"/>
  <c r="AH59" i="36"/>
  <c r="AH49" i="36"/>
  <c r="AH48" i="36"/>
  <c r="AH58" i="36"/>
  <c r="AH36" i="36"/>
  <c r="AH57" i="36"/>
  <c r="AH63" i="36"/>
  <c r="AH43" i="36"/>
  <c r="AH35" i="36"/>
  <c r="AH82" i="17"/>
  <c r="AH65" i="17"/>
  <c r="AH47" i="17"/>
  <c r="AH126" i="17"/>
  <c r="AH143" i="17"/>
  <c r="AH136" i="17"/>
  <c r="AH44" i="17"/>
  <c r="AH95" i="17"/>
  <c r="AH142" i="17"/>
  <c r="AH117" i="17"/>
  <c r="AH120" i="17"/>
  <c r="AH55" i="17"/>
  <c r="AH62" i="17"/>
  <c r="AH116" i="17"/>
  <c r="AH115" i="17"/>
  <c r="AH127" i="17"/>
  <c r="AH134" i="17"/>
  <c r="AH36" i="17"/>
  <c r="AH56" i="17"/>
  <c r="AH63" i="17"/>
  <c r="AH80" i="17"/>
  <c r="AH54" i="17"/>
  <c r="AH135" i="17"/>
  <c r="AH48" i="17"/>
  <c r="AH121" i="17"/>
  <c r="AH39" i="17"/>
  <c r="AH125" i="17"/>
  <c r="AH99" i="17"/>
  <c r="AH53" i="17"/>
  <c r="AH35" i="17"/>
  <c r="AH81" i="17"/>
  <c r="AH96" i="17"/>
  <c r="AH141" i="17"/>
  <c r="AH139" i="17"/>
  <c r="AH38" i="17"/>
  <c r="AH144" i="17"/>
  <c r="AH124" i="17"/>
  <c r="AH64" i="17"/>
  <c r="AH147" i="17"/>
  <c r="AH84" i="17"/>
  <c r="AH102" i="17"/>
  <c r="AH118" i="17"/>
  <c r="AH138" i="17"/>
  <c r="AH148" i="17"/>
  <c r="AH57" i="17"/>
  <c r="AH46" i="17"/>
  <c r="AH130" i="17"/>
  <c r="AH97" i="17"/>
  <c r="AH146" i="17"/>
  <c r="AH83" i="17"/>
  <c r="AH129" i="17"/>
  <c r="AH45" i="17"/>
  <c r="AH66" i="17"/>
  <c r="AH37" i="17"/>
  <c r="AH133" i="17"/>
  <c r="AH87" i="39"/>
  <c r="AH83" i="70"/>
  <c r="AH46" i="25"/>
  <c r="AH38" i="25"/>
  <c r="AH45" i="25"/>
  <c r="AN45" i="25" s="1"/>
  <c r="AH36" i="25"/>
  <c r="AH35" i="25"/>
  <c r="AH50" i="25"/>
  <c r="AE72" i="30"/>
  <c r="AE75" i="30"/>
  <c r="AE51" i="30"/>
  <c r="AE55" i="30"/>
  <c r="AE57" i="30"/>
  <c r="AE59" i="30"/>
  <c r="AE61" i="30"/>
  <c r="AE63" i="30"/>
  <c r="AE65" i="30"/>
  <c r="AE67" i="30"/>
  <c r="AE69" i="30"/>
  <c r="AE71" i="30"/>
  <c r="AE39" i="30"/>
  <c r="AE41" i="30"/>
  <c r="AE68" i="30"/>
  <c r="AE46" i="30"/>
  <c r="AE62" i="30"/>
  <c r="AE50" i="30"/>
  <c r="AE38" i="30"/>
  <c r="AE44" i="30"/>
  <c r="AE66" i="30"/>
  <c r="AE47" i="30"/>
  <c r="AE60" i="30"/>
  <c r="AE42" i="30"/>
  <c r="AE74" i="30"/>
  <c r="AE54" i="30"/>
  <c r="AE70" i="30"/>
  <c r="AE45" i="30"/>
  <c r="AE64" i="30"/>
  <c r="AE35" i="30"/>
  <c r="AE58" i="30"/>
  <c r="AE52" i="30"/>
  <c r="AE43" i="30"/>
  <c r="AH82" i="65"/>
  <c r="AH81" i="65"/>
  <c r="AH80" i="65"/>
  <c r="AH96" i="65"/>
  <c r="AH85" i="65"/>
  <c r="AN85" i="65" s="1"/>
  <c r="AH95" i="65"/>
  <c r="AN95" i="65" s="1"/>
  <c r="AH90" i="65"/>
  <c r="AH79" i="65"/>
  <c r="AH86" i="65"/>
  <c r="AH84" i="65"/>
  <c r="AN84" i="65" s="1"/>
  <c r="AH94" i="65"/>
  <c r="AN94" i="65" s="1"/>
  <c r="AH78" i="65"/>
  <c r="AH83" i="65"/>
  <c r="AN83" i="65" s="1"/>
  <c r="AH52" i="65"/>
  <c r="AH44" i="65"/>
  <c r="AH36" i="65"/>
  <c r="AH39" i="65"/>
  <c r="AH51" i="65"/>
  <c r="AH43" i="65"/>
  <c r="AH45" i="65"/>
  <c r="AH50" i="65"/>
  <c r="AH55" i="65"/>
  <c r="AH37" i="65"/>
  <c r="AH56" i="65"/>
  <c r="AH48" i="65"/>
  <c r="AH40" i="65"/>
  <c r="AH53" i="65"/>
  <c r="AH46" i="65"/>
  <c r="AH99" i="65"/>
  <c r="AH70" i="65"/>
  <c r="AH97" i="65"/>
  <c r="AH35" i="65"/>
  <c r="AH77" i="65"/>
  <c r="AN77" i="65" s="1"/>
  <c r="AH100" i="65"/>
  <c r="AG39" i="37"/>
  <c r="AG41" i="37"/>
  <c r="AG43" i="37"/>
  <c r="AG40" i="37"/>
  <c r="AG42" i="37"/>
  <c r="AH38" i="7"/>
  <c r="AH41" i="7"/>
  <c r="AH45" i="7"/>
  <c r="AH48" i="7"/>
  <c r="AH47" i="7"/>
  <c r="AH59" i="6"/>
  <c r="AH44" i="6"/>
  <c r="AH48" i="6"/>
  <c r="AH65" i="6"/>
  <c r="AH40" i="6"/>
  <c r="AH68" i="6"/>
  <c r="AH42" i="6"/>
  <c r="AH55" i="6"/>
  <c r="AH51" i="6"/>
  <c r="AH34" i="6"/>
  <c r="AH57" i="6"/>
  <c r="AH67" i="6"/>
  <c r="AH64" i="6"/>
  <c r="AH49" i="6"/>
  <c r="AH36" i="6"/>
  <c r="AH52" i="6"/>
  <c r="AH39" i="6"/>
  <c r="AH47" i="6"/>
  <c r="AH45" i="6"/>
  <c r="AH41" i="6"/>
  <c r="AH46" i="6"/>
  <c r="AH35" i="6"/>
  <c r="AH56" i="6"/>
  <c r="AH54" i="6"/>
  <c r="AH37" i="6"/>
  <c r="AH58" i="6"/>
  <c r="AH69" i="6"/>
  <c r="AH50" i="6"/>
  <c r="AH38" i="6"/>
  <c r="AH94" i="54"/>
  <c r="AH83" i="54"/>
  <c r="AN83" i="54" s="1"/>
  <c r="AH101" i="54"/>
  <c r="AH93" i="54"/>
  <c r="AH92" i="54"/>
  <c r="AH81" i="54"/>
  <c r="AH99" i="54"/>
  <c r="AN99" i="54" s="1"/>
  <c r="AH95" i="54"/>
  <c r="AH82" i="54"/>
  <c r="AH91" i="54"/>
  <c r="AH86" i="54"/>
  <c r="AH80" i="54"/>
  <c r="AH97" i="54"/>
  <c r="AN97" i="54" s="1"/>
  <c r="AH98" i="54"/>
  <c r="AH87" i="54"/>
  <c r="AH96" i="54"/>
  <c r="AH85" i="54"/>
  <c r="AH84" i="54"/>
  <c r="AN84" i="54" s="1"/>
  <c r="AH58" i="54"/>
  <c r="AH48" i="54"/>
  <c r="AH57" i="54"/>
  <c r="AH49" i="54"/>
  <c r="AH47" i="54"/>
  <c r="AH40" i="54"/>
  <c r="AH38" i="54"/>
  <c r="AH54" i="54"/>
  <c r="AH45" i="54"/>
  <c r="AH55" i="54"/>
  <c r="AH79" i="54"/>
  <c r="AH102" i="54"/>
  <c r="AH105" i="54"/>
  <c r="AH72" i="54"/>
  <c r="AH104" i="54"/>
  <c r="AH115" i="16"/>
  <c r="AH88" i="16"/>
  <c r="AH80" i="16"/>
  <c r="AH113" i="16"/>
  <c r="AH97" i="16"/>
  <c r="AH78" i="16"/>
  <c r="AH110" i="16"/>
  <c r="AH94" i="16"/>
  <c r="AH114" i="16"/>
  <c r="AH106" i="16"/>
  <c r="AH98" i="16"/>
  <c r="AH87" i="16"/>
  <c r="AH79" i="16"/>
  <c r="AH105" i="16"/>
  <c r="AN105" i="16" s="1"/>
  <c r="AH86" i="16"/>
  <c r="AH83" i="16"/>
  <c r="AH100" i="16"/>
  <c r="AH112" i="16"/>
  <c r="AH104" i="16"/>
  <c r="AH96" i="16"/>
  <c r="AH85" i="16"/>
  <c r="AH75" i="16"/>
  <c r="AH111" i="16"/>
  <c r="AH95" i="16"/>
  <c r="AH84" i="16"/>
  <c r="AH109" i="16"/>
  <c r="AH116" i="16"/>
  <c r="AH81" i="16"/>
  <c r="AH103" i="16"/>
  <c r="AH102" i="16"/>
  <c r="AH117" i="16"/>
  <c r="AH82" i="16"/>
  <c r="AH89" i="16"/>
  <c r="AH118" i="16"/>
  <c r="AH101" i="16"/>
  <c r="AH108" i="16"/>
  <c r="AH38" i="16"/>
  <c r="AH41" i="16"/>
  <c r="AH52" i="16"/>
  <c r="AH43" i="16"/>
  <c r="AH122" i="16"/>
  <c r="AH92" i="16"/>
  <c r="AH77" i="16"/>
  <c r="AN77" i="16" s="1"/>
  <c r="AH37" i="16"/>
  <c r="AH35" i="16"/>
  <c r="AH56" i="16"/>
  <c r="AH45" i="16"/>
  <c r="AH50" i="16"/>
  <c r="AH119" i="16"/>
  <c r="AH44" i="16"/>
  <c r="AH54" i="16"/>
  <c r="AH74" i="16"/>
  <c r="AH121" i="16"/>
  <c r="AH47" i="16"/>
  <c r="AH49" i="16"/>
  <c r="AH70" i="16"/>
  <c r="AH39" i="16"/>
  <c r="AH46" i="16"/>
  <c r="AH53" i="16"/>
  <c r="AH61" i="7"/>
  <c r="AH58" i="7"/>
  <c r="AH111" i="39"/>
  <c r="AH85" i="39"/>
  <c r="AH57" i="39"/>
  <c r="AH114" i="39"/>
  <c r="AH123" i="39"/>
  <c r="AH103" i="39"/>
  <c r="AH39" i="39"/>
  <c r="AH126" i="39"/>
  <c r="AH116" i="39"/>
  <c r="AH106" i="39"/>
  <c r="AH37" i="39"/>
  <c r="AH108" i="39"/>
  <c r="AH83" i="39"/>
  <c r="AH36" i="39"/>
  <c r="AH59" i="39"/>
  <c r="AH98" i="39"/>
  <c r="AH35" i="39"/>
  <c r="AH58" i="39"/>
  <c r="AH55" i="39"/>
  <c r="AH38" i="39"/>
  <c r="AH100" i="39"/>
  <c r="AH119" i="39"/>
  <c r="AH121" i="39"/>
  <c r="AH56" i="39"/>
  <c r="AH55" i="33"/>
  <c r="AH45" i="33"/>
  <c r="AH43" i="33"/>
  <c r="AH40" i="33"/>
  <c r="AH54" i="33"/>
  <c r="AH53" i="33"/>
  <c r="AH52" i="33"/>
  <c r="AH44" i="33"/>
  <c r="AH51" i="33"/>
  <c r="AH48" i="33"/>
  <c r="AH41" i="33"/>
  <c r="AH119" i="58"/>
  <c r="AH65" i="58"/>
  <c r="AH69" i="58"/>
  <c r="AH103" i="58"/>
  <c r="AH67" i="58"/>
  <c r="AH124" i="58"/>
  <c r="AH68" i="58"/>
  <c r="AH109" i="58"/>
  <c r="AH85" i="58"/>
  <c r="AH111" i="58"/>
  <c r="AH117" i="58"/>
  <c r="AH126" i="58"/>
  <c r="AH83" i="58"/>
  <c r="AH101" i="58"/>
  <c r="AH66" i="58"/>
  <c r="AH41" i="27"/>
  <c r="AH35" i="27"/>
  <c r="AH40" i="27"/>
  <c r="AH39" i="27"/>
  <c r="AH43" i="27"/>
  <c r="AH38" i="27"/>
  <c r="AH37" i="27"/>
  <c r="AH42" i="27"/>
  <c r="AH34" i="27"/>
  <c r="AH44" i="27"/>
  <c r="AH39" i="15"/>
  <c r="AH41" i="15"/>
  <c r="AH38" i="15"/>
  <c r="AH36" i="15"/>
  <c r="AH64" i="15"/>
  <c r="AH51" i="15"/>
  <c r="AH66" i="15"/>
  <c r="AH62" i="15"/>
  <c r="AH67" i="15"/>
  <c r="AH35" i="15"/>
  <c r="AE35" i="67"/>
  <c r="AE37" i="67"/>
  <c r="AE39" i="67"/>
  <c r="AE43" i="67"/>
  <c r="AE45" i="67"/>
  <c r="AE51" i="67"/>
  <c r="AE53" i="67"/>
  <c r="AE55" i="67"/>
  <c r="AE48" i="67"/>
  <c r="AE56" i="67"/>
  <c r="AE36" i="67"/>
  <c r="AE40" i="67"/>
  <c r="AE44" i="67"/>
  <c r="AE50" i="67"/>
  <c r="AE46" i="67"/>
  <c r="AE52" i="67"/>
  <c r="AH107" i="55"/>
  <c r="AH99" i="55"/>
  <c r="AH103" i="55"/>
  <c r="AH39" i="55"/>
  <c r="AH45" i="55"/>
  <c r="AH126" i="55"/>
  <c r="AH122" i="55"/>
  <c r="AH98" i="55"/>
  <c r="AH48" i="55"/>
  <c r="AH85" i="55"/>
  <c r="AH47" i="55"/>
  <c r="AH46" i="55"/>
  <c r="AH35" i="55"/>
  <c r="AH115" i="55"/>
  <c r="AH119" i="55"/>
  <c r="AH36" i="55"/>
  <c r="AH121" i="55"/>
  <c r="AH49" i="55"/>
  <c r="AH111" i="55"/>
  <c r="AH83" i="55"/>
  <c r="AH87" i="55"/>
  <c r="AH59" i="26"/>
  <c r="AH51" i="26"/>
  <c r="AH40" i="26"/>
  <c r="AH45" i="26"/>
  <c r="AH44" i="26"/>
  <c r="AH43" i="26"/>
  <c r="AH41" i="26"/>
  <c r="AH66" i="26"/>
  <c r="AH58" i="26"/>
  <c r="AH47" i="26"/>
  <c r="AH39" i="26"/>
  <c r="AN39" i="26" s="1"/>
  <c r="AH56" i="26"/>
  <c r="AH65" i="26"/>
  <c r="AN65" i="26" s="1"/>
  <c r="AH57" i="26"/>
  <c r="AH46" i="26"/>
  <c r="AH62" i="26"/>
  <c r="AH64" i="26"/>
  <c r="AH42" i="26"/>
  <c r="AH52" i="26"/>
  <c r="AH63" i="26"/>
  <c r="AH55" i="26"/>
  <c r="AH54" i="26"/>
  <c r="AH53" i="26"/>
  <c r="AH60" i="26"/>
  <c r="AH71" i="26"/>
  <c r="AH68" i="26"/>
  <c r="AH50" i="26"/>
  <c r="AH67" i="26"/>
  <c r="AH38" i="26"/>
  <c r="AH70" i="26"/>
  <c r="AH35" i="26"/>
  <c r="AA17" i="54"/>
  <c r="AK96" i="54"/>
  <c r="AK85" i="54"/>
  <c r="AK83" i="54"/>
  <c r="AK95" i="54"/>
  <c r="AK84" i="54"/>
  <c r="AK81" i="54"/>
  <c r="AK94" i="54"/>
  <c r="AK86" i="54"/>
  <c r="AK101" i="54"/>
  <c r="AK93" i="54"/>
  <c r="AK82" i="54"/>
  <c r="AK100" i="54"/>
  <c r="AK92" i="54"/>
  <c r="AK99" i="54"/>
  <c r="AK91" i="54"/>
  <c r="AK80" i="54"/>
  <c r="AK98" i="54"/>
  <c r="AK87" i="54"/>
  <c r="AK77" i="54"/>
  <c r="AK97" i="54"/>
  <c r="AK66" i="54"/>
  <c r="AK54" i="54"/>
  <c r="AK46" i="54"/>
  <c r="AK38" i="54"/>
  <c r="AK44" i="54"/>
  <c r="AK36" i="54"/>
  <c r="AK49" i="54"/>
  <c r="AK65" i="54"/>
  <c r="AK53" i="54"/>
  <c r="AK45" i="54"/>
  <c r="AK37" i="54"/>
  <c r="AK52" i="54"/>
  <c r="AK64" i="54"/>
  <c r="AK63" i="54"/>
  <c r="AK51" i="54"/>
  <c r="AK43" i="54"/>
  <c r="AK69" i="54"/>
  <c r="AK57" i="54"/>
  <c r="AK70" i="54"/>
  <c r="AK58" i="54"/>
  <c r="AK50" i="54"/>
  <c r="AK42" i="54"/>
  <c r="AK68" i="54"/>
  <c r="AK56" i="54"/>
  <c r="AK48" i="54"/>
  <c r="AK40" i="54"/>
  <c r="AK67" i="54"/>
  <c r="AK55" i="54"/>
  <c r="AK41" i="54"/>
  <c r="AK47" i="54"/>
  <c r="AK39" i="54"/>
  <c r="AL95" i="54"/>
  <c r="AL84" i="54"/>
  <c r="AL85" i="54"/>
  <c r="AL94" i="54"/>
  <c r="AL83" i="54"/>
  <c r="AL80" i="54"/>
  <c r="AL101" i="54"/>
  <c r="AL93" i="54"/>
  <c r="AL82" i="54"/>
  <c r="AL96" i="54"/>
  <c r="AL100" i="54"/>
  <c r="AL92" i="54"/>
  <c r="AL81" i="54"/>
  <c r="AL99" i="54"/>
  <c r="AL91" i="54"/>
  <c r="AL98" i="54"/>
  <c r="AL87" i="54"/>
  <c r="AL77" i="54"/>
  <c r="AL97" i="54"/>
  <c r="AL86" i="54"/>
  <c r="AL65" i="54"/>
  <c r="AL53" i="54"/>
  <c r="AL45" i="54"/>
  <c r="AL37" i="54"/>
  <c r="AL43" i="54"/>
  <c r="AL68" i="54"/>
  <c r="AL64" i="54"/>
  <c r="AL52" i="54"/>
  <c r="AL44" i="54"/>
  <c r="AL36" i="54"/>
  <c r="AL51" i="54"/>
  <c r="AL63" i="54"/>
  <c r="AL70" i="54"/>
  <c r="AL58" i="54"/>
  <c r="AL50" i="54"/>
  <c r="AL42" i="54"/>
  <c r="AL56" i="54"/>
  <c r="AL48" i="54"/>
  <c r="AL69" i="54"/>
  <c r="AL57" i="54"/>
  <c r="AL49" i="54"/>
  <c r="AL41" i="54"/>
  <c r="AL67" i="54"/>
  <c r="AL55" i="54"/>
  <c r="AL47" i="54"/>
  <c r="AL39" i="54"/>
  <c r="AL66" i="54"/>
  <c r="AL54" i="54"/>
  <c r="AL38" i="54"/>
  <c r="AL46" i="54"/>
  <c r="AL40" i="54"/>
  <c r="AA17" i="63"/>
  <c r="AK80" i="63"/>
  <c r="AK77" i="63"/>
  <c r="AK84" i="63"/>
  <c r="AK63" i="63"/>
  <c r="AK51" i="63"/>
  <c r="AK43" i="63"/>
  <c r="AK37" i="63"/>
  <c r="AK70" i="63"/>
  <c r="AK58" i="63"/>
  <c r="AK50" i="63"/>
  <c r="AK42" i="63"/>
  <c r="AK69" i="63"/>
  <c r="AK57" i="63"/>
  <c r="AK49" i="63"/>
  <c r="AK41" i="63"/>
  <c r="AK39" i="63"/>
  <c r="AK68" i="63"/>
  <c r="AK56" i="63"/>
  <c r="AK48" i="63"/>
  <c r="AK40" i="63"/>
  <c r="AK53" i="63"/>
  <c r="AK67" i="63"/>
  <c r="AK55" i="63"/>
  <c r="AK47" i="63"/>
  <c r="AK38" i="63"/>
  <c r="AK45" i="63"/>
  <c r="AK66" i="63"/>
  <c r="AK54" i="63"/>
  <c r="AK46" i="63"/>
  <c r="AK65" i="63"/>
  <c r="AK64" i="63"/>
  <c r="AK52" i="63"/>
  <c r="AK44" i="63"/>
  <c r="AK36" i="63"/>
  <c r="AL77" i="63"/>
  <c r="AL84" i="63"/>
  <c r="AL80" i="63"/>
  <c r="AL70" i="63"/>
  <c r="AL58" i="63"/>
  <c r="AL50" i="63"/>
  <c r="AL42" i="63"/>
  <c r="AL69" i="63"/>
  <c r="AL57" i="63"/>
  <c r="AL49" i="63"/>
  <c r="AL41" i="63"/>
  <c r="AL38" i="63"/>
  <c r="AL68" i="63"/>
  <c r="AL56" i="63"/>
  <c r="AL48" i="63"/>
  <c r="AL40" i="63"/>
  <c r="AL46" i="63"/>
  <c r="AL37" i="63"/>
  <c r="AL44" i="63"/>
  <c r="AL67" i="63"/>
  <c r="AL55" i="63"/>
  <c r="AL47" i="63"/>
  <c r="AL39" i="63"/>
  <c r="AL66" i="63"/>
  <c r="AL54" i="63"/>
  <c r="AL64" i="63"/>
  <c r="AL65" i="63"/>
  <c r="AL53" i="63"/>
  <c r="AL45" i="63"/>
  <c r="AL36" i="63"/>
  <c r="AL63" i="63"/>
  <c r="AL51" i="63"/>
  <c r="AL43" i="63"/>
  <c r="AL52" i="63"/>
  <c r="AA17" i="61"/>
  <c r="AK80" i="61"/>
  <c r="AK84" i="61"/>
  <c r="AK77" i="61"/>
  <c r="AK63" i="61"/>
  <c r="AK51" i="61"/>
  <c r="AK43" i="61"/>
  <c r="AK70" i="61"/>
  <c r="AK58" i="61"/>
  <c r="AK50" i="61"/>
  <c r="AK42" i="61"/>
  <c r="AK41" i="61"/>
  <c r="AK36" i="61"/>
  <c r="AK69" i="61"/>
  <c r="AK57" i="61"/>
  <c r="AK49" i="61"/>
  <c r="AK44" i="61"/>
  <c r="AK68" i="61"/>
  <c r="AK56" i="61"/>
  <c r="AK48" i="61"/>
  <c r="AK40" i="61"/>
  <c r="AK46" i="61"/>
  <c r="AK64" i="61"/>
  <c r="AK67" i="61"/>
  <c r="AK55" i="61"/>
  <c r="AK47" i="61"/>
  <c r="AK39" i="61"/>
  <c r="AK38" i="61"/>
  <c r="AK52" i="61"/>
  <c r="AK66" i="61"/>
  <c r="AK54" i="61"/>
  <c r="AK65" i="61"/>
  <c r="AK53" i="61"/>
  <c r="AK45" i="61"/>
  <c r="AK37" i="61"/>
  <c r="AL77" i="61"/>
  <c r="AL84" i="61"/>
  <c r="AL80" i="61"/>
  <c r="AL70" i="61"/>
  <c r="AL58" i="61"/>
  <c r="AL50" i="61"/>
  <c r="AL42" i="61"/>
  <c r="AL69" i="61"/>
  <c r="AL57" i="61"/>
  <c r="AL49" i="61"/>
  <c r="AL41" i="61"/>
  <c r="AL40" i="61"/>
  <c r="AL51" i="61"/>
  <c r="AL43" i="61"/>
  <c r="AL68" i="61"/>
  <c r="AL56" i="61"/>
  <c r="AL48" i="61"/>
  <c r="AL38" i="61"/>
  <c r="AL45" i="61"/>
  <c r="AL63" i="61"/>
  <c r="AL67" i="61"/>
  <c r="AL55" i="61"/>
  <c r="AL47" i="61"/>
  <c r="AL39" i="61"/>
  <c r="AL66" i="61"/>
  <c r="AL54" i="61"/>
  <c r="AL46" i="61"/>
  <c r="AL65" i="61"/>
  <c r="AL53" i="61"/>
  <c r="AL37" i="61"/>
  <c r="AL64" i="61"/>
  <c r="AL52" i="61"/>
  <c r="AL44" i="61"/>
  <c r="AL36" i="61"/>
  <c r="AK80" i="53"/>
  <c r="AK77" i="53"/>
  <c r="AK84" i="53"/>
  <c r="AK63" i="53"/>
  <c r="AK51" i="53"/>
  <c r="AK43" i="53"/>
  <c r="AK42" i="53"/>
  <c r="AK53" i="53"/>
  <c r="AK70" i="53"/>
  <c r="AK58" i="53"/>
  <c r="AK50" i="53"/>
  <c r="AK69" i="53"/>
  <c r="AK57" i="53"/>
  <c r="AK49" i="53"/>
  <c r="AK41" i="53"/>
  <c r="AK68" i="53"/>
  <c r="AK56" i="53"/>
  <c r="AK48" i="53"/>
  <c r="AK40" i="53"/>
  <c r="AK67" i="53"/>
  <c r="AK55" i="53"/>
  <c r="AK47" i="53"/>
  <c r="AK39" i="53"/>
  <c r="AK66" i="53"/>
  <c r="AK54" i="53"/>
  <c r="AK46" i="53"/>
  <c r="AK38" i="53"/>
  <c r="AK45" i="53"/>
  <c r="AK37" i="53"/>
  <c r="AK64" i="53"/>
  <c r="AK52" i="53"/>
  <c r="AK44" i="53"/>
  <c r="AK36" i="53"/>
  <c r="AK65" i="53"/>
  <c r="AA17" i="53"/>
  <c r="AL77" i="53"/>
  <c r="AL84" i="53"/>
  <c r="AL80" i="53"/>
  <c r="AL70" i="53"/>
  <c r="AL58" i="53"/>
  <c r="AL50" i="53"/>
  <c r="AL42" i="53"/>
  <c r="AL41" i="53"/>
  <c r="AL69" i="53"/>
  <c r="AL57" i="53"/>
  <c r="AL49" i="53"/>
  <c r="AL38" i="53"/>
  <c r="AL68" i="53"/>
  <c r="AL56" i="53"/>
  <c r="AL48" i="53"/>
  <c r="AL40" i="53"/>
  <c r="AL67" i="53"/>
  <c r="AL55" i="53"/>
  <c r="AL47" i="53"/>
  <c r="AL39" i="53"/>
  <c r="AL44" i="53"/>
  <c r="AL36" i="53"/>
  <c r="AL66" i="53"/>
  <c r="AL54" i="53"/>
  <c r="AL46" i="53"/>
  <c r="AL37" i="53"/>
  <c r="AL64" i="53"/>
  <c r="AL52" i="53"/>
  <c r="AL65" i="53"/>
  <c r="AL53" i="53"/>
  <c r="AL45" i="53"/>
  <c r="AL63" i="53"/>
  <c r="AL51" i="53"/>
  <c r="AL43" i="53"/>
  <c r="AA17" i="52"/>
  <c r="AK80" i="52"/>
  <c r="AK84" i="52"/>
  <c r="AK77" i="52"/>
  <c r="AK63" i="52"/>
  <c r="AK51" i="52"/>
  <c r="AK43" i="52"/>
  <c r="AK40" i="52"/>
  <c r="AK70" i="52"/>
  <c r="AK58" i="52"/>
  <c r="AK50" i="52"/>
  <c r="AK42" i="52"/>
  <c r="AK53" i="52"/>
  <c r="AK69" i="52"/>
  <c r="AK57" i="52"/>
  <c r="AK49" i="52"/>
  <c r="AK41" i="52"/>
  <c r="AK68" i="52"/>
  <c r="AK56" i="52"/>
  <c r="AK48" i="52"/>
  <c r="AK67" i="52"/>
  <c r="AK55" i="52"/>
  <c r="AK47" i="52"/>
  <c r="AK39" i="52"/>
  <c r="AK65" i="52"/>
  <c r="AK66" i="52"/>
  <c r="AK54" i="52"/>
  <c r="AK46" i="52"/>
  <c r="AK38" i="52"/>
  <c r="AK37" i="52"/>
  <c r="AK64" i="52"/>
  <c r="AK52" i="52"/>
  <c r="AK44" i="52"/>
  <c r="AK36" i="52"/>
  <c r="AK45" i="52"/>
  <c r="AL77" i="52"/>
  <c r="AL80" i="52"/>
  <c r="AL84" i="52"/>
  <c r="AL70" i="52"/>
  <c r="AL58" i="52"/>
  <c r="AL50" i="52"/>
  <c r="AL42" i="52"/>
  <c r="AL39" i="52"/>
  <c r="AL38" i="52"/>
  <c r="AL69" i="52"/>
  <c r="AL57" i="52"/>
  <c r="AL49" i="52"/>
  <c r="AL41" i="52"/>
  <c r="AL68" i="52"/>
  <c r="AL56" i="52"/>
  <c r="AL48" i="52"/>
  <c r="AL40" i="52"/>
  <c r="AL67" i="52"/>
  <c r="AL55" i="52"/>
  <c r="AL47" i="52"/>
  <c r="AL37" i="52"/>
  <c r="AL64" i="52"/>
  <c r="AL66" i="52"/>
  <c r="AL54" i="52"/>
  <c r="AL46" i="52"/>
  <c r="AL52" i="52"/>
  <c r="AL36" i="52"/>
  <c r="AL65" i="52"/>
  <c r="AL53" i="52"/>
  <c r="AL45" i="52"/>
  <c r="AL44" i="52"/>
  <c r="AL63" i="52"/>
  <c r="AL51" i="52"/>
  <c r="AL43" i="52"/>
  <c r="AA17" i="51"/>
  <c r="AK94" i="51"/>
  <c r="AK83" i="51"/>
  <c r="AK93" i="51"/>
  <c r="AK82" i="51"/>
  <c r="AK92" i="51"/>
  <c r="AK81" i="51"/>
  <c r="AK77" i="51"/>
  <c r="AK91" i="51"/>
  <c r="AK80" i="51"/>
  <c r="AK90" i="51"/>
  <c r="AK89" i="51"/>
  <c r="AK85" i="51"/>
  <c r="AK95" i="51"/>
  <c r="AK84" i="51"/>
  <c r="AK64" i="51"/>
  <c r="AK52" i="51"/>
  <c r="AK44" i="51"/>
  <c r="AK36" i="51"/>
  <c r="AK42" i="51"/>
  <c r="AK39" i="51"/>
  <c r="AK38" i="51"/>
  <c r="AK63" i="51"/>
  <c r="AK51" i="51"/>
  <c r="AK43" i="51"/>
  <c r="AK70" i="51"/>
  <c r="AK58" i="51"/>
  <c r="AK50" i="51"/>
  <c r="AK69" i="51"/>
  <c r="AK57" i="51"/>
  <c r="AK49" i="51"/>
  <c r="AK41" i="51"/>
  <c r="AK68" i="51"/>
  <c r="AK56" i="51"/>
  <c r="AK48" i="51"/>
  <c r="AK40" i="51"/>
  <c r="AK66" i="51"/>
  <c r="AK54" i="51"/>
  <c r="AK67" i="51"/>
  <c r="AK55" i="51"/>
  <c r="AK47" i="51"/>
  <c r="AK46" i="51"/>
  <c r="AK65" i="51"/>
  <c r="AK53" i="51"/>
  <c r="AK45" i="51"/>
  <c r="AK37" i="51"/>
  <c r="AL93" i="51"/>
  <c r="AL82" i="51"/>
  <c r="AL92" i="51"/>
  <c r="AL81" i="51"/>
  <c r="AL84" i="51"/>
  <c r="AL91" i="51"/>
  <c r="AL80" i="51"/>
  <c r="AL90" i="51"/>
  <c r="AL77" i="51"/>
  <c r="AL89" i="51"/>
  <c r="AL85" i="51"/>
  <c r="AL95" i="51"/>
  <c r="AL94" i="51"/>
  <c r="AL83" i="51"/>
  <c r="AL63" i="51"/>
  <c r="AL51" i="51"/>
  <c r="AL43" i="51"/>
  <c r="AL45" i="51"/>
  <c r="AL70" i="51"/>
  <c r="AL58" i="51"/>
  <c r="AL50" i="51"/>
  <c r="AL42" i="51"/>
  <c r="AL65" i="51"/>
  <c r="AL53" i="51"/>
  <c r="AL69" i="51"/>
  <c r="AL57" i="51"/>
  <c r="AL49" i="51"/>
  <c r="AL41" i="51"/>
  <c r="AL37" i="51"/>
  <c r="AL68" i="51"/>
  <c r="AL56" i="51"/>
  <c r="AL48" i="51"/>
  <c r="AL40" i="51"/>
  <c r="AL67" i="51"/>
  <c r="AL55" i="51"/>
  <c r="AL47" i="51"/>
  <c r="AL39" i="51"/>
  <c r="AL38" i="51"/>
  <c r="AL66" i="51"/>
  <c r="AL54" i="51"/>
  <c r="AL46" i="51"/>
  <c r="AL64" i="51"/>
  <c r="AL52" i="51"/>
  <c r="AL44" i="51"/>
  <c r="AL36" i="51"/>
  <c r="AA17" i="9"/>
  <c r="AL116" i="9"/>
  <c r="AL108" i="9"/>
  <c r="AL100" i="9"/>
  <c r="AL89" i="9"/>
  <c r="AL81" i="9"/>
  <c r="AL95" i="9"/>
  <c r="AL115" i="9"/>
  <c r="AL107" i="9"/>
  <c r="AL99" i="9"/>
  <c r="AL88" i="9"/>
  <c r="AL80" i="9"/>
  <c r="AL103" i="9"/>
  <c r="AL114" i="9"/>
  <c r="AL106" i="9"/>
  <c r="AL98" i="9"/>
  <c r="AL87" i="9"/>
  <c r="AL77" i="9"/>
  <c r="AL111" i="9"/>
  <c r="AL113" i="9"/>
  <c r="AL105" i="9"/>
  <c r="AL97" i="9"/>
  <c r="AL86" i="9"/>
  <c r="AL101" i="9"/>
  <c r="AL112" i="9"/>
  <c r="AL104" i="9"/>
  <c r="AL96" i="9"/>
  <c r="AL85" i="9"/>
  <c r="AL84" i="9"/>
  <c r="AL118" i="9"/>
  <c r="AL110" i="9"/>
  <c r="AL102" i="9"/>
  <c r="AL94" i="9"/>
  <c r="AL83" i="9"/>
  <c r="AL117" i="9"/>
  <c r="AL109" i="9"/>
  <c r="AL82" i="9"/>
  <c r="AL90" i="9"/>
  <c r="AL68" i="9"/>
  <c r="AL56" i="9"/>
  <c r="AL48" i="9"/>
  <c r="AL40" i="9"/>
  <c r="AL39" i="9"/>
  <c r="AL54" i="9"/>
  <c r="AL67" i="9"/>
  <c r="AL55" i="9"/>
  <c r="AL47" i="9"/>
  <c r="AL66" i="9"/>
  <c r="AL65" i="9"/>
  <c r="AL64" i="9"/>
  <c r="AL52" i="9"/>
  <c r="AL44" i="9"/>
  <c r="AL36" i="9"/>
  <c r="AL43" i="9"/>
  <c r="AL63" i="9"/>
  <c r="AL51" i="9"/>
  <c r="AL70" i="9"/>
  <c r="AL58" i="9"/>
  <c r="AL50" i="9"/>
  <c r="AL42" i="9"/>
  <c r="AL37" i="9"/>
  <c r="AL38" i="9"/>
  <c r="AL53" i="9"/>
  <c r="AL41" i="9"/>
  <c r="AL46" i="9"/>
  <c r="AL49" i="9"/>
  <c r="AL45" i="9"/>
  <c r="AL57" i="9"/>
  <c r="AL69" i="9"/>
  <c r="AK117" i="9"/>
  <c r="AK109" i="9"/>
  <c r="AK101" i="9"/>
  <c r="AK90" i="9"/>
  <c r="AK82" i="9"/>
  <c r="AK81" i="9"/>
  <c r="AK112" i="9"/>
  <c r="AK116" i="9"/>
  <c r="AK108" i="9"/>
  <c r="AK100" i="9"/>
  <c r="AK89" i="9"/>
  <c r="AK115" i="9"/>
  <c r="AK107" i="9"/>
  <c r="AK99" i="9"/>
  <c r="AK88" i="9"/>
  <c r="AK80" i="9"/>
  <c r="AK104" i="9"/>
  <c r="AK96" i="9"/>
  <c r="AK114" i="9"/>
  <c r="AK106" i="9"/>
  <c r="AK98" i="9"/>
  <c r="AK87" i="9"/>
  <c r="AK77" i="9"/>
  <c r="AK85" i="9"/>
  <c r="AK113" i="9"/>
  <c r="AK105" i="9"/>
  <c r="AK97" i="9"/>
  <c r="AK86" i="9"/>
  <c r="AK111" i="9"/>
  <c r="AK103" i="9"/>
  <c r="AK95" i="9"/>
  <c r="AK84" i="9"/>
  <c r="AK118" i="9"/>
  <c r="AK110" i="9"/>
  <c r="AK102" i="9"/>
  <c r="AK83" i="9"/>
  <c r="AK94" i="9"/>
  <c r="AK69" i="9"/>
  <c r="AK57" i="9"/>
  <c r="AK49" i="9"/>
  <c r="AK41" i="9"/>
  <c r="AK40" i="9"/>
  <c r="AK67" i="9"/>
  <c r="AK68" i="9"/>
  <c r="AK56" i="9"/>
  <c r="AK48" i="9"/>
  <c r="AK55" i="9"/>
  <c r="AK66" i="9"/>
  <c r="AK65" i="9"/>
  <c r="AK53" i="9"/>
  <c r="AK45" i="9"/>
  <c r="AK37" i="9"/>
  <c r="AK44" i="9"/>
  <c r="AK64" i="9"/>
  <c r="AK52" i="9"/>
  <c r="AK63" i="9"/>
  <c r="AK51" i="9"/>
  <c r="AK43" i="9"/>
  <c r="AK50" i="9"/>
  <c r="AK36" i="9"/>
  <c r="AK39" i="9"/>
  <c r="AK46" i="9"/>
  <c r="AK58" i="9"/>
  <c r="AK54" i="9"/>
  <c r="AK38" i="9"/>
  <c r="AK42" i="9"/>
  <c r="AK47" i="9"/>
  <c r="AK70" i="9"/>
  <c r="AA17" i="18"/>
  <c r="AK68" i="29"/>
  <c r="AK60" i="29"/>
  <c r="AK52" i="29"/>
  <c r="AK41" i="29"/>
  <c r="AK67" i="29"/>
  <c r="AK59" i="29"/>
  <c r="AK51" i="29"/>
  <c r="AK40" i="29"/>
  <c r="AK70" i="29"/>
  <c r="AK42" i="29"/>
  <c r="AK66" i="29"/>
  <c r="AK58" i="29"/>
  <c r="AK47" i="29"/>
  <c r="AK39" i="29"/>
  <c r="AK53" i="29"/>
  <c r="AK65" i="29"/>
  <c r="AK57" i="29"/>
  <c r="AK46" i="29"/>
  <c r="AK36" i="29"/>
  <c r="AK61" i="29"/>
  <c r="AK72" i="29"/>
  <c r="AK64" i="29"/>
  <c r="AK56" i="29"/>
  <c r="AK45" i="29"/>
  <c r="AK62" i="29"/>
  <c r="AK43" i="29"/>
  <c r="AK71" i="29"/>
  <c r="AK63" i="29"/>
  <c r="AK55" i="29"/>
  <c r="AK44" i="29"/>
  <c r="AK54" i="29"/>
  <c r="AK69" i="29"/>
  <c r="AL67" i="29"/>
  <c r="AL59" i="29"/>
  <c r="AL51" i="29"/>
  <c r="AL40" i="29"/>
  <c r="AL66" i="29"/>
  <c r="AL58" i="29"/>
  <c r="AL47" i="29"/>
  <c r="AL39" i="29"/>
  <c r="AL61" i="29"/>
  <c r="AL42" i="29"/>
  <c r="AL65" i="29"/>
  <c r="AL57" i="29"/>
  <c r="AL46" i="29"/>
  <c r="AL36" i="29"/>
  <c r="AL69" i="29"/>
  <c r="AL41" i="29"/>
  <c r="AL72" i="29"/>
  <c r="AL64" i="29"/>
  <c r="AL56" i="29"/>
  <c r="AL45" i="29"/>
  <c r="AL71" i="29"/>
  <c r="AL63" i="29"/>
  <c r="AL55" i="29"/>
  <c r="AL44" i="29"/>
  <c r="AL53" i="29"/>
  <c r="AL68" i="29"/>
  <c r="AL60" i="29"/>
  <c r="AL70" i="29"/>
  <c r="AL62" i="29"/>
  <c r="AL54" i="29"/>
  <c r="AL43" i="29"/>
  <c r="AL52" i="29"/>
  <c r="AK92" i="4"/>
  <c r="AK84" i="4"/>
  <c r="AK76" i="4"/>
  <c r="AK65" i="4"/>
  <c r="AK91" i="4"/>
  <c r="AK83" i="4"/>
  <c r="AK75" i="4"/>
  <c r="AK64" i="4"/>
  <c r="AK61" i="4"/>
  <c r="AK60" i="4"/>
  <c r="AK78" i="4"/>
  <c r="AK67" i="4"/>
  <c r="AK90" i="4"/>
  <c r="AK82" i="4"/>
  <c r="AK74" i="4"/>
  <c r="AK63" i="4"/>
  <c r="AK89" i="4"/>
  <c r="AK81" i="4"/>
  <c r="AK73" i="4"/>
  <c r="AK62" i="4"/>
  <c r="AK88" i="4"/>
  <c r="AK80" i="4"/>
  <c r="AK72" i="4"/>
  <c r="AK87" i="4"/>
  <c r="AK79" i="4"/>
  <c r="AK68" i="4"/>
  <c r="AK86" i="4"/>
  <c r="AK59" i="4"/>
  <c r="AK93" i="4"/>
  <c r="AK85" i="4"/>
  <c r="AK77" i="4"/>
  <c r="AK66" i="4"/>
  <c r="AK56" i="4"/>
  <c r="AK37" i="4"/>
  <c r="AK44" i="4"/>
  <c r="AK36" i="4"/>
  <c r="AK51" i="4"/>
  <c r="AK43" i="4"/>
  <c r="AK50" i="4"/>
  <c r="AK42" i="4"/>
  <c r="AK49" i="4"/>
  <c r="AK41" i="4"/>
  <c r="AK48" i="4"/>
  <c r="AK40" i="4"/>
  <c r="AK47" i="4"/>
  <c r="AK39" i="4"/>
  <c r="AK46" i="4"/>
  <c r="AK38" i="4"/>
  <c r="AK45" i="4"/>
  <c r="AM90" i="4"/>
  <c r="AM82" i="4"/>
  <c r="AM74" i="4"/>
  <c r="AM63" i="4"/>
  <c r="AM59" i="4"/>
  <c r="AM92" i="4"/>
  <c r="AM84" i="4"/>
  <c r="AM89" i="4"/>
  <c r="AM81" i="4"/>
  <c r="AM73" i="4"/>
  <c r="AM62" i="4"/>
  <c r="AM88" i="4"/>
  <c r="AM80" i="4"/>
  <c r="AM72" i="4"/>
  <c r="AM61" i="4"/>
  <c r="AM87" i="4"/>
  <c r="AM79" i="4"/>
  <c r="AM68" i="4"/>
  <c r="AM60" i="4"/>
  <c r="AM65" i="4"/>
  <c r="AM86" i="4"/>
  <c r="AM78" i="4"/>
  <c r="AM67" i="4"/>
  <c r="AM93" i="4"/>
  <c r="AM85" i="4"/>
  <c r="AM77" i="4"/>
  <c r="AM66" i="4"/>
  <c r="AM56" i="4"/>
  <c r="AM76" i="4"/>
  <c r="AM91" i="4"/>
  <c r="AM83" i="4"/>
  <c r="AM75" i="4"/>
  <c r="AM64" i="4"/>
  <c r="AM43" i="4"/>
  <c r="AM50" i="4"/>
  <c r="AM42" i="4"/>
  <c r="AM49" i="4"/>
  <c r="AM41" i="4"/>
  <c r="AM48" i="4"/>
  <c r="AM40" i="4"/>
  <c r="AM47" i="4"/>
  <c r="AM39" i="4"/>
  <c r="AM46" i="4"/>
  <c r="AM38" i="4"/>
  <c r="AM45" i="4"/>
  <c r="AM37" i="4"/>
  <c r="AM44" i="4"/>
  <c r="AM36" i="4"/>
  <c r="AM51" i="4"/>
  <c r="AK66" i="21"/>
  <c r="AK63" i="21"/>
  <c r="AK70" i="21"/>
  <c r="AK49" i="21"/>
  <c r="AK38" i="21"/>
  <c r="AK50" i="21"/>
  <c r="AK56" i="21"/>
  <c r="AK48" i="21"/>
  <c r="AK37" i="21"/>
  <c r="AK35" i="21"/>
  <c r="AK55" i="21"/>
  <c r="AK44" i="21"/>
  <c r="AK36" i="21"/>
  <c r="AK54" i="21"/>
  <c r="AK43" i="21"/>
  <c r="AK53" i="21"/>
  <c r="AK42" i="21"/>
  <c r="AK52" i="21"/>
  <c r="AK41" i="21"/>
  <c r="AK51" i="21"/>
  <c r="AK40" i="21"/>
  <c r="AK39" i="21"/>
  <c r="AL63" i="21"/>
  <c r="AL66" i="21"/>
  <c r="AL70" i="21"/>
  <c r="AL56" i="21"/>
  <c r="AL48" i="21"/>
  <c r="AL37" i="21"/>
  <c r="AL55" i="21"/>
  <c r="AL44" i="21"/>
  <c r="AL36" i="21"/>
  <c r="AL54" i="21"/>
  <c r="AL43" i="21"/>
  <c r="AL35" i="21"/>
  <c r="AL49" i="21"/>
  <c r="AL53" i="21"/>
  <c r="AL42" i="21"/>
  <c r="AL52" i="21"/>
  <c r="AL41" i="21"/>
  <c r="AL38" i="21"/>
  <c r="AL51" i="21"/>
  <c r="AL40" i="21"/>
  <c r="AL50" i="21"/>
  <c r="AL39" i="21"/>
  <c r="AA17" i="21"/>
  <c r="AK41" i="7"/>
  <c r="AK39" i="7"/>
  <c r="AK38" i="7"/>
  <c r="AK35" i="7"/>
  <c r="AK40" i="7"/>
  <c r="AK37" i="7"/>
  <c r="AK45" i="7"/>
  <c r="AK44" i="7"/>
  <c r="AK36" i="7"/>
  <c r="AK43" i="7"/>
  <c r="AK42" i="7"/>
  <c r="AM39" i="7"/>
  <c r="AM37" i="7"/>
  <c r="AM38" i="7"/>
  <c r="AM45" i="7"/>
  <c r="AM36" i="7"/>
  <c r="AM43" i="7"/>
  <c r="AM42" i="7"/>
  <c r="AM44" i="7"/>
  <c r="AM35" i="7"/>
  <c r="AM40" i="7"/>
  <c r="AM41" i="7"/>
  <c r="AK61" i="36"/>
  <c r="AK53" i="36"/>
  <c r="AK39" i="36"/>
  <c r="AK60" i="36"/>
  <c r="AK49" i="36"/>
  <c r="AK38" i="36"/>
  <c r="AK64" i="36"/>
  <c r="AK59" i="36"/>
  <c r="AK48" i="36"/>
  <c r="AK37" i="36"/>
  <c r="AK58" i="36"/>
  <c r="AK47" i="36"/>
  <c r="AK36" i="36"/>
  <c r="AK57" i="36"/>
  <c r="AK46" i="36"/>
  <c r="AK56" i="36"/>
  <c r="AK45" i="36"/>
  <c r="AK54" i="36"/>
  <c r="AK40" i="36"/>
  <c r="AK55" i="36"/>
  <c r="AK44" i="36"/>
  <c r="AL60" i="36"/>
  <c r="AL49" i="36"/>
  <c r="AL38" i="36"/>
  <c r="AL36" i="36"/>
  <c r="AL64" i="36"/>
  <c r="AL59" i="36"/>
  <c r="AL48" i="36"/>
  <c r="AL37" i="36"/>
  <c r="AL58" i="36"/>
  <c r="AL47" i="36"/>
  <c r="AL39" i="36"/>
  <c r="AL57" i="36"/>
  <c r="AL46" i="36"/>
  <c r="AL56" i="36"/>
  <c r="AL45" i="36"/>
  <c r="AL55" i="36"/>
  <c r="AL44" i="36"/>
  <c r="AL54" i="36"/>
  <c r="AL40" i="36"/>
  <c r="AL61" i="36"/>
  <c r="AL53" i="36"/>
  <c r="AK70" i="30"/>
  <c r="AK62" i="30"/>
  <c r="AK54" i="30"/>
  <c r="AK43" i="30"/>
  <c r="AK46" i="30"/>
  <c r="AK55" i="30"/>
  <c r="AK69" i="30"/>
  <c r="AK61" i="30"/>
  <c r="AK53" i="30"/>
  <c r="AK42" i="30"/>
  <c r="AK36" i="30"/>
  <c r="AK63" i="30"/>
  <c r="AK44" i="30"/>
  <c r="AK68" i="30"/>
  <c r="AK60" i="30"/>
  <c r="AK52" i="30"/>
  <c r="AK41" i="30"/>
  <c r="AK67" i="30"/>
  <c r="AK59" i="30"/>
  <c r="AK51" i="30"/>
  <c r="AK40" i="30"/>
  <c r="AK66" i="30"/>
  <c r="AK58" i="30"/>
  <c r="AK47" i="30"/>
  <c r="AK39" i="30"/>
  <c r="AK71" i="30"/>
  <c r="AK65" i="30"/>
  <c r="AK57" i="30"/>
  <c r="AK64" i="30"/>
  <c r="AK56" i="30"/>
  <c r="AK45" i="30"/>
  <c r="AL69" i="30"/>
  <c r="AL61" i="30"/>
  <c r="AL53" i="30"/>
  <c r="AL42" i="30"/>
  <c r="AL68" i="30"/>
  <c r="AL60" i="30"/>
  <c r="AL52" i="30"/>
  <c r="AL41" i="30"/>
  <c r="AL70" i="30"/>
  <c r="AL67" i="30"/>
  <c r="AL59" i="30"/>
  <c r="AL51" i="30"/>
  <c r="AL40" i="30"/>
  <c r="AL66" i="30"/>
  <c r="AL58" i="30"/>
  <c r="AL47" i="30"/>
  <c r="AL39" i="30"/>
  <c r="AL36" i="30"/>
  <c r="AL65" i="30"/>
  <c r="AL57" i="30"/>
  <c r="AL46" i="30"/>
  <c r="AL45" i="30"/>
  <c r="AL62" i="30"/>
  <c r="AL64" i="30"/>
  <c r="AL56" i="30"/>
  <c r="AL54" i="30"/>
  <c r="AL71" i="30"/>
  <c r="AL63" i="30"/>
  <c r="AL55" i="30"/>
  <c r="AL44" i="30"/>
  <c r="AL43" i="30"/>
  <c r="AA17" i="20"/>
  <c r="AK52" i="20"/>
  <c r="AK49" i="20"/>
  <c r="AK56" i="20"/>
  <c r="AK42" i="20"/>
  <c r="AK38" i="20"/>
  <c r="AK37" i="20"/>
  <c r="AK36" i="20"/>
  <c r="AK35" i="20"/>
  <c r="AL49" i="20"/>
  <c r="AL56" i="20"/>
  <c r="AL52" i="20"/>
  <c r="AL42" i="20"/>
  <c r="AL35" i="20"/>
  <c r="AL38" i="20"/>
  <c r="AL37" i="20"/>
  <c r="AL36" i="20"/>
  <c r="AJ48" i="24"/>
  <c r="AJ44" i="24"/>
  <c r="AJ39" i="24"/>
  <c r="AJ45" i="24"/>
  <c r="AJ35" i="24"/>
  <c r="AJ36" i="24"/>
  <c r="AJ47" i="24"/>
  <c r="AJ57" i="24"/>
  <c r="AJ55" i="24"/>
  <c r="AJ53" i="24"/>
  <c r="AJ46" i="24"/>
  <c r="AJ37" i="24"/>
  <c r="AJ38" i="24"/>
  <c r="AJ54" i="24"/>
  <c r="AJ56" i="24"/>
  <c r="AK48" i="24"/>
  <c r="AK44" i="24"/>
  <c r="AK45" i="24"/>
  <c r="AK35" i="24"/>
  <c r="AK36" i="24"/>
  <c r="AK57" i="24"/>
  <c r="AK55" i="24"/>
  <c r="AK53" i="24"/>
  <c r="AK46" i="24"/>
  <c r="AK37" i="24"/>
  <c r="AK38" i="24"/>
  <c r="AK47" i="24"/>
  <c r="AK39" i="24"/>
  <c r="AK56" i="24"/>
  <c r="AK54" i="24"/>
  <c r="AK64" i="33"/>
  <c r="AK56" i="33"/>
  <c r="AK48" i="33"/>
  <c r="AK40" i="33"/>
  <c r="AK36" i="33"/>
  <c r="AK51" i="33"/>
  <c r="AK63" i="33"/>
  <c r="AK55" i="33"/>
  <c r="AK47" i="33"/>
  <c r="AK39" i="33"/>
  <c r="AK62" i="33"/>
  <c r="AK54" i="33"/>
  <c r="AK46" i="33"/>
  <c r="AK38" i="33"/>
  <c r="AK35" i="33"/>
  <c r="AK61" i="33"/>
  <c r="AK53" i="33"/>
  <c r="AK45" i="33"/>
  <c r="AK37" i="33"/>
  <c r="AK49" i="33"/>
  <c r="AK60" i="33"/>
  <c r="AK52" i="33"/>
  <c r="AK44" i="33"/>
  <c r="AK59" i="33"/>
  <c r="AK43" i="33"/>
  <c r="AK41" i="33"/>
  <c r="AK58" i="33"/>
  <c r="AK50" i="33"/>
  <c r="AK42" i="33"/>
  <c r="AK65" i="33"/>
  <c r="AK57" i="33"/>
  <c r="AL63" i="33"/>
  <c r="AL55" i="33"/>
  <c r="AL47" i="33"/>
  <c r="AL39" i="33"/>
  <c r="AL62" i="33"/>
  <c r="AL54" i="33"/>
  <c r="AL46" i="33"/>
  <c r="AL38" i="33"/>
  <c r="AL61" i="33"/>
  <c r="AL53" i="33"/>
  <c r="AL45" i="33"/>
  <c r="AL37" i="33"/>
  <c r="AL60" i="33"/>
  <c r="AL52" i="33"/>
  <c r="AL44" i="33"/>
  <c r="AL36" i="33"/>
  <c r="AL59" i="33"/>
  <c r="AL51" i="33"/>
  <c r="AL43" i="33"/>
  <c r="AL35" i="33"/>
  <c r="AL58" i="33"/>
  <c r="AL50" i="33"/>
  <c r="AL42" i="33"/>
  <c r="AL56" i="33"/>
  <c r="AL48" i="33"/>
  <c r="AL65" i="33"/>
  <c r="AL57" i="33"/>
  <c r="AL49" i="33"/>
  <c r="AL41" i="33"/>
  <c r="AL64" i="33"/>
  <c r="AL40" i="33"/>
  <c r="AK49" i="25"/>
  <c r="AK41" i="25"/>
  <c r="AK43" i="25"/>
  <c r="AK35" i="25"/>
  <c r="AK48" i="25"/>
  <c r="AK40" i="25"/>
  <c r="AK47" i="25"/>
  <c r="AK39" i="25"/>
  <c r="AK38" i="25"/>
  <c r="AK46" i="25"/>
  <c r="AK37" i="25"/>
  <c r="AK36" i="25"/>
  <c r="AK45" i="25"/>
  <c r="AK44" i="25"/>
  <c r="AK50" i="25"/>
  <c r="AK42" i="25"/>
  <c r="AL48" i="25"/>
  <c r="AL40" i="25"/>
  <c r="AL37" i="25"/>
  <c r="AL43" i="25"/>
  <c r="AL47" i="25"/>
  <c r="AL39" i="25"/>
  <c r="AL44" i="25"/>
  <c r="AL35" i="25"/>
  <c r="AL50" i="25"/>
  <c r="AL46" i="25"/>
  <c r="AL38" i="25"/>
  <c r="AL45" i="25"/>
  <c r="AL36" i="25"/>
  <c r="AL42" i="25"/>
  <c r="AL49" i="25"/>
  <c r="AL41" i="25"/>
  <c r="AA18" i="23"/>
  <c r="AK92" i="23"/>
  <c r="AK88" i="23"/>
  <c r="AK78" i="23"/>
  <c r="AK90" i="23"/>
  <c r="AK86" i="23"/>
  <c r="AK80" i="23"/>
  <c r="AK93" i="23"/>
  <c r="AK91" i="23"/>
  <c r="AK89" i="23"/>
  <c r="AK87" i="23"/>
  <c r="AK85" i="23"/>
  <c r="AK83" i="23"/>
  <c r="AK81" i="23"/>
  <c r="AK79" i="23"/>
  <c r="AK94" i="23"/>
  <c r="AK84" i="23"/>
  <c r="AK82" i="23"/>
  <c r="AK67" i="23"/>
  <c r="AK59" i="23"/>
  <c r="AK48" i="23"/>
  <c r="AK40" i="23"/>
  <c r="AK39" i="23"/>
  <c r="AK74" i="23"/>
  <c r="AK66" i="23"/>
  <c r="AK58" i="23"/>
  <c r="AK47" i="23"/>
  <c r="AK35" i="23"/>
  <c r="AK73" i="23"/>
  <c r="AK65" i="23"/>
  <c r="AK57" i="23"/>
  <c r="AK46" i="23"/>
  <c r="AK38" i="23"/>
  <c r="AK37" i="23"/>
  <c r="AK36" i="23"/>
  <c r="AK72" i="23"/>
  <c r="AK64" i="23"/>
  <c r="AK53" i="23"/>
  <c r="AK45" i="23"/>
  <c r="AK44" i="23"/>
  <c r="AK71" i="23"/>
  <c r="AK63" i="23"/>
  <c r="AK52" i="23"/>
  <c r="AK70" i="23"/>
  <c r="AK62" i="23"/>
  <c r="AK51" i="23"/>
  <c r="AK43" i="23"/>
  <c r="AK69" i="23"/>
  <c r="AK61" i="23"/>
  <c r="AK68" i="23"/>
  <c r="AK60" i="23"/>
  <c r="AK49" i="23"/>
  <c r="AK41" i="23"/>
  <c r="AK42" i="23"/>
  <c r="AK50" i="23"/>
  <c r="AL94" i="23"/>
  <c r="AL92" i="23"/>
  <c r="AL90" i="23"/>
  <c r="AL88" i="23"/>
  <c r="AL86" i="23"/>
  <c r="AL84" i="23"/>
  <c r="AL82" i="23"/>
  <c r="AL80" i="23"/>
  <c r="AL78" i="23"/>
  <c r="AL87" i="23"/>
  <c r="AL74" i="23"/>
  <c r="AL66" i="23"/>
  <c r="AL58" i="23"/>
  <c r="AL47" i="23"/>
  <c r="AL39" i="23"/>
  <c r="AL38" i="23"/>
  <c r="AL81" i="23"/>
  <c r="AL73" i="23"/>
  <c r="AL65" i="23"/>
  <c r="AL57" i="23"/>
  <c r="AL46" i="23"/>
  <c r="AL36" i="23"/>
  <c r="AL42" i="23"/>
  <c r="AL85" i="23"/>
  <c r="AL72" i="23"/>
  <c r="AL64" i="23"/>
  <c r="AL53" i="23"/>
  <c r="AL45" i="23"/>
  <c r="AL37" i="23"/>
  <c r="AL83" i="23"/>
  <c r="AL71" i="23"/>
  <c r="AL63" i="23"/>
  <c r="AL52" i="23"/>
  <c r="AL44" i="23"/>
  <c r="AL35" i="23"/>
  <c r="AL91" i="23"/>
  <c r="AL79" i="23"/>
  <c r="AL70" i="23"/>
  <c r="AL62" i="23"/>
  <c r="AL51" i="23"/>
  <c r="AL43" i="23"/>
  <c r="AL68" i="23"/>
  <c r="AL60" i="23"/>
  <c r="AL93" i="23"/>
  <c r="AL69" i="23"/>
  <c r="AL61" i="23"/>
  <c r="AL50" i="23"/>
  <c r="AL89" i="23"/>
  <c r="AL67" i="23"/>
  <c r="AL59" i="23"/>
  <c r="AL48" i="23"/>
  <c r="AL40" i="23"/>
  <c r="AL49" i="23"/>
  <c r="AL41" i="23"/>
  <c r="AK56" i="15"/>
  <c r="AK63" i="15"/>
  <c r="AK59" i="15"/>
  <c r="AK38" i="15"/>
  <c r="AK36" i="15"/>
  <c r="AK47" i="15"/>
  <c r="AK46" i="15"/>
  <c r="AK49" i="15"/>
  <c r="AK37" i="15"/>
  <c r="AK41" i="15"/>
  <c r="AK40" i="15"/>
  <c r="AK48" i="15"/>
  <c r="AK39" i="15"/>
  <c r="AA17" i="15"/>
  <c r="AL59" i="15"/>
  <c r="AL63" i="15"/>
  <c r="AL56" i="15"/>
  <c r="AL49" i="15"/>
  <c r="AL37" i="15"/>
  <c r="AL39" i="15"/>
  <c r="AL48" i="15"/>
  <c r="AL36" i="15"/>
  <c r="AL47" i="15"/>
  <c r="AL46" i="15"/>
  <c r="AL41" i="15"/>
  <c r="AL40" i="15"/>
  <c r="AL38" i="15"/>
  <c r="AK35" i="32"/>
  <c r="AL35" i="32"/>
  <c r="AL57" i="34"/>
  <c r="AL39" i="34"/>
  <c r="AL36" i="34"/>
  <c r="AL43" i="34"/>
  <c r="AK57" i="34"/>
  <c r="AK43" i="34"/>
  <c r="AK39" i="34"/>
  <c r="AK36" i="34"/>
  <c r="AK48" i="28"/>
  <c r="AK49" i="28"/>
  <c r="AK58" i="28"/>
  <c r="AK57" i="28"/>
  <c r="AK52" i="28"/>
  <c r="AK50" i="28"/>
  <c r="AK51" i="28"/>
  <c r="AK36" i="28"/>
  <c r="AK43" i="28"/>
  <c r="AK41" i="28"/>
  <c r="AK42" i="28"/>
  <c r="AK40" i="28"/>
  <c r="AL58" i="28"/>
  <c r="AL57" i="28"/>
  <c r="AL52" i="28"/>
  <c r="AL51" i="28"/>
  <c r="AL48" i="28"/>
  <c r="AL50" i="28"/>
  <c r="AL49" i="28"/>
  <c r="AL42" i="28"/>
  <c r="AL40" i="28"/>
  <c r="AL43" i="28"/>
  <c r="AL41" i="28"/>
  <c r="AL36" i="28"/>
  <c r="AA17" i="11"/>
  <c r="AK71" i="11"/>
  <c r="AK68" i="11"/>
  <c r="AK75" i="11"/>
  <c r="AK50" i="11"/>
  <c r="AK42" i="11"/>
  <c r="AK45" i="11"/>
  <c r="AK61" i="11"/>
  <c r="AK49" i="11"/>
  <c r="AK41" i="11"/>
  <c r="AK39" i="11"/>
  <c r="AK60" i="11"/>
  <c r="AK48" i="11"/>
  <c r="AK40" i="11"/>
  <c r="AK38" i="11"/>
  <c r="AK59" i="11"/>
  <c r="AK47" i="11"/>
  <c r="AK36" i="11"/>
  <c r="AK58" i="11"/>
  <c r="AK46" i="11"/>
  <c r="AK37" i="11"/>
  <c r="AK57" i="11"/>
  <c r="AK44" i="11"/>
  <c r="AK56" i="11"/>
  <c r="AK51" i="11"/>
  <c r="AK43" i="11"/>
  <c r="AL71" i="11"/>
  <c r="AL68" i="11"/>
  <c r="AL75" i="11"/>
  <c r="AL61" i="11"/>
  <c r="AL49" i="11"/>
  <c r="AL41" i="11"/>
  <c r="AL60" i="11"/>
  <c r="AL48" i="11"/>
  <c r="AL40" i="11"/>
  <c r="AL59" i="11"/>
  <c r="AL47" i="11"/>
  <c r="AL39" i="11"/>
  <c r="AL44" i="11"/>
  <c r="AL58" i="11"/>
  <c r="AL46" i="11"/>
  <c r="AL38" i="11"/>
  <c r="AL37" i="11"/>
  <c r="AL36" i="11"/>
  <c r="AL43" i="11"/>
  <c r="AL57" i="11"/>
  <c r="AL45" i="11"/>
  <c r="AL56" i="11"/>
  <c r="AL51" i="11"/>
  <c r="AL50" i="11"/>
  <c r="AL42" i="11"/>
  <c r="AK41" i="27"/>
  <c r="AK43" i="27"/>
  <c r="AK40" i="27"/>
  <c r="AK35" i="27"/>
  <c r="AK39" i="27"/>
  <c r="AK38" i="27"/>
  <c r="AK37" i="27"/>
  <c r="AK36" i="27"/>
  <c r="AK42" i="27"/>
  <c r="AL40" i="27"/>
  <c r="AL39" i="27"/>
  <c r="AL42" i="27"/>
  <c r="AL38" i="27"/>
  <c r="AL37" i="27"/>
  <c r="AL35" i="27"/>
  <c r="AL36" i="27"/>
  <c r="AL43" i="27"/>
  <c r="AL41" i="27"/>
  <c r="AA17" i="19"/>
  <c r="AK59" i="19"/>
  <c r="AK56" i="19"/>
  <c r="AK63" i="19"/>
  <c r="AK39" i="19"/>
  <c r="AK49" i="19"/>
  <c r="AK38" i="19"/>
  <c r="AK37" i="19"/>
  <c r="AK36" i="19"/>
  <c r="AK48" i="19"/>
  <c r="AK44" i="19"/>
  <c r="AK41" i="19"/>
  <c r="AK43" i="19"/>
  <c r="AK35" i="19"/>
  <c r="AK42" i="19"/>
  <c r="AK40" i="19"/>
  <c r="AL56" i="19"/>
  <c r="AL63" i="19"/>
  <c r="AL59" i="19"/>
  <c r="AL49" i="19"/>
  <c r="AL38" i="19"/>
  <c r="AL35" i="19"/>
  <c r="AL48" i="19"/>
  <c r="AL37" i="19"/>
  <c r="AL36" i="19"/>
  <c r="AL44" i="19"/>
  <c r="AL40" i="19"/>
  <c r="AL43" i="19"/>
  <c r="AL41" i="19"/>
  <c r="AL39" i="19"/>
  <c r="AL42" i="19"/>
  <c r="AA17" i="22"/>
  <c r="AL61" i="22"/>
  <c r="AL68" i="22"/>
  <c r="AL64" i="22"/>
  <c r="AL54" i="22"/>
  <c r="AL43" i="22"/>
  <c r="AL35" i="22"/>
  <c r="AL53" i="22"/>
  <c r="AL42" i="22"/>
  <c r="AL52" i="22"/>
  <c r="AL41" i="22"/>
  <c r="AL47" i="22"/>
  <c r="AL51" i="22"/>
  <c r="AL40" i="22"/>
  <c r="AL50" i="22"/>
  <c r="AL39" i="22"/>
  <c r="AL36" i="22"/>
  <c r="AL49" i="22"/>
  <c r="AL38" i="22"/>
  <c r="AL48" i="22"/>
  <c r="AL37" i="22"/>
  <c r="AK64" i="22"/>
  <c r="AK68" i="22"/>
  <c r="AK61" i="22"/>
  <c r="AK47" i="22"/>
  <c r="AK36" i="22"/>
  <c r="AK42" i="22"/>
  <c r="AK38" i="22"/>
  <c r="AK48" i="22"/>
  <c r="AK54" i="22"/>
  <c r="AK43" i="22"/>
  <c r="AK35" i="22"/>
  <c r="AK53" i="22"/>
  <c r="AK52" i="22"/>
  <c r="AK41" i="22"/>
  <c r="AK37" i="22"/>
  <c r="AK51" i="22"/>
  <c r="AK40" i="22"/>
  <c r="AK50" i="22"/>
  <c r="AK39" i="22"/>
  <c r="AK49" i="22"/>
  <c r="AA17" i="16"/>
  <c r="AK111" i="16"/>
  <c r="AK103" i="16"/>
  <c r="AK95" i="16"/>
  <c r="AK84" i="16"/>
  <c r="AK118" i="16"/>
  <c r="AK110" i="16"/>
  <c r="AK102" i="16"/>
  <c r="AK94" i="16"/>
  <c r="AK83" i="16"/>
  <c r="AK117" i="16"/>
  <c r="AK109" i="16"/>
  <c r="AK101" i="16"/>
  <c r="AK93" i="16"/>
  <c r="AK82" i="16"/>
  <c r="AK86" i="16"/>
  <c r="AK116" i="16"/>
  <c r="AK108" i="16"/>
  <c r="AK100" i="16"/>
  <c r="AK89" i="16"/>
  <c r="AK81" i="16"/>
  <c r="AK115" i="16"/>
  <c r="AK107" i="16"/>
  <c r="AK99" i="16"/>
  <c r="AK88" i="16"/>
  <c r="AK80" i="16"/>
  <c r="AK97" i="16"/>
  <c r="AK78" i="16"/>
  <c r="AK114" i="16"/>
  <c r="AK106" i="16"/>
  <c r="AK98" i="16"/>
  <c r="AK87" i="16"/>
  <c r="AK79" i="16"/>
  <c r="AK113" i="16"/>
  <c r="AK105" i="16"/>
  <c r="AK85" i="16"/>
  <c r="AK96" i="16"/>
  <c r="AK104" i="16"/>
  <c r="AK112" i="16"/>
  <c r="AK75" i="16"/>
  <c r="AK65" i="16"/>
  <c r="AK67" i="16"/>
  <c r="AK64" i="16"/>
  <c r="AK63" i="16"/>
  <c r="AK61" i="16"/>
  <c r="AK62" i="16"/>
  <c r="AK68" i="16"/>
  <c r="AK66" i="16"/>
  <c r="AL118" i="16"/>
  <c r="AL110" i="16"/>
  <c r="AL102" i="16"/>
  <c r="AL94" i="16"/>
  <c r="AL83" i="16"/>
  <c r="AL117" i="16"/>
  <c r="AL109" i="16"/>
  <c r="AL101" i="16"/>
  <c r="AL93" i="16"/>
  <c r="AL82" i="16"/>
  <c r="AL75" i="16"/>
  <c r="AL116" i="16"/>
  <c r="AL108" i="16"/>
  <c r="AL100" i="16"/>
  <c r="AL89" i="16"/>
  <c r="AL81" i="16"/>
  <c r="AL104" i="16"/>
  <c r="AL115" i="16"/>
  <c r="AL107" i="16"/>
  <c r="AL99" i="16"/>
  <c r="AL88" i="16"/>
  <c r="AL80" i="16"/>
  <c r="AL112" i="16"/>
  <c r="AL85" i="16"/>
  <c r="AL114" i="16"/>
  <c r="AL106" i="16"/>
  <c r="AL98" i="16"/>
  <c r="AL87" i="16"/>
  <c r="AL79" i="16"/>
  <c r="AL113" i="16"/>
  <c r="AL105" i="16"/>
  <c r="AL97" i="16"/>
  <c r="AL86" i="16"/>
  <c r="AL78" i="16"/>
  <c r="AL96" i="16"/>
  <c r="AL95" i="16"/>
  <c r="AL111" i="16"/>
  <c r="AL84" i="16"/>
  <c r="AL103" i="16"/>
  <c r="AL64" i="16"/>
  <c r="AL63" i="16"/>
  <c r="AL62" i="16"/>
  <c r="AL66" i="16"/>
  <c r="AL61" i="16"/>
  <c r="AL67" i="16"/>
  <c r="AL65" i="16"/>
  <c r="AL68" i="16"/>
  <c r="AK36" i="31"/>
  <c r="AK35" i="31"/>
  <c r="AL35" i="31"/>
  <c r="AL36" i="31"/>
  <c r="AK56" i="35"/>
  <c r="AK45" i="35"/>
  <c r="AK41" i="35"/>
  <c r="AK39" i="35"/>
  <c r="AK35" i="35"/>
  <c r="AL56" i="35"/>
  <c r="AL41" i="35"/>
  <c r="AL39" i="35"/>
  <c r="AL35" i="35"/>
  <c r="AL45" i="35"/>
  <c r="AL50" i="69"/>
  <c r="AL42" i="69"/>
  <c r="AL45" i="69"/>
  <c r="AL37" i="69"/>
  <c r="AL49" i="69"/>
  <c r="AL41" i="69"/>
  <c r="AL56" i="69"/>
  <c r="AL48" i="69"/>
  <c r="AL40" i="69"/>
  <c r="AL55" i="69"/>
  <c r="AL47" i="69"/>
  <c r="AL39" i="69"/>
  <c r="AL36" i="69"/>
  <c r="AL51" i="69"/>
  <c r="AL54" i="69"/>
  <c r="AL46" i="69"/>
  <c r="AL38" i="69"/>
  <c r="AL43" i="69"/>
  <c r="AL53" i="69"/>
  <c r="AL52" i="69"/>
  <c r="AL44" i="69"/>
  <c r="AK51" i="69"/>
  <c r="AK43" i="69"/>
  <c r="AK52" i="69"/>
  <c r="AK50" i="69"/>
  <c r="AK42" i="69"/>
  <c r="AK44" i="69"/>
  <c r="AK49" i="69"/>
  <c r="AK41" i="69"/>
  <c r="AK56" i="69"/>
  <c r="AK48" i="69"/>
  <c r="AK40" i="69"/>
  <c r="AK38" i="69"/>
  <c r="AK36" i="69"/>
  <c r="AK55" i="69"/>
  <c r="AK47" i="69"/>
  <c r="AK39" i="69"/>
  <c r="AK37" i="69"/>
  <c r="AK54" i="69"/>
  <c r="AK46" i="69"/>
  <c r="AK53" i="69"/>
  <c r="AK45" i="69"/>
  <c r="AK56" i="67"/>
  <c r="AK48" i="67"/>
  <c r="AK40" i="67"/>
  <c r="AK55" i="67"/>
  <c r="AK47" i="67"/>
  <c r="AK39" i="67"/>
  <c r="AK43" i="67"/>
  <c r="AK50" i="67"/>
  <c r="AK54" i="67"/>
  <c r="AK46" i="67"/>
  <c r="AK38" i="67"/>
  <c r="AK36" i="67"/>
  <c r="AK42" i="67"/>
  <c r="AK53" i="67"/>
  <c r="AK45" i="67"/>
  <c r="AK37" i="67"/>
  <c r="AK52" i="67"/>
  <c r="AK44" i="67"/>
  <c r="AK51" i="67"/>
  <c r="AK49" i="67"/>
  <c r="AK41" i="67"/>
  <c r="AL55" i="67"/>
  <c r="AL47" i="67"/>
  <c r="AL39" i="67"/>
  <c r="AL41" i="67"/>
  <c r="AL54" i="67"/>
  <c r="AL46" i="67"/>
  <c r="AL38" i="67"/>
  <c r="AL53" i="67"/>
  <c r="AL45" i="67"/>
  <c r="AL37" i="67"/>
  <c r="AL52" i="67"/>
  <c r="AL44" i="67"/>
  <c r="AL36" i="67"/>
  <c r="AL49" i="67"/>
  <c r="AL51" i="67"/>
  <c r="AL43" i="67"/>
  <c r="AL50" i="67"/>
  <c r="AL42" i="67"/>
  <c r="AL56" i="67"/>
  <c r="AL48" i="67"/>
  <c r="AL40" i="67"/>
  <c r="AL95" i="65"/>
  <c r="AL84" i="65"/>
  <c r="AL80" i="65"/>
  <c r="AL78" i="65"/>
  <c r="AL94" i="65"/>
  <c r="AL83" i="65"/>
  <c r="AL93" i="65"/>
  <c r="AL82" i="65"/>
  <c r="AL79" i="65"/>
  <c r="AL92" i="65"/>
  <c r="AL81" i="65"/>
  <c r="AL91" i="65"/>
  <c r="AL90" i="65"/>
  <c r="AL86" i="65"/>
  <c r="AL96" i="65"/>
  <c r="AL85" i="65"/>
  <c r="AL75" i="65"/>
  <c r="AL62" i="65"/>
  <c r="AL50" i="65"/>
  <c r="AL42" i="65"/>
  <c r="AL46" i="65"/>
  <c r="AL38" i="65"/>
  <c r="AL61" i="65"/>
  <c r="AL49" i="65"/>
  <c r="AL41" i="65"/>
  <c r="AL68" i="65"/>
  <c r="AL56" i="65"/>
  <c r="AL48" i="65"/>
  <c r="AL40" i="65"/>
  <c r="AL67" i="65"/>
  <c r="AL55" i="65"/>
  <c r="AL47" i="65"/>
  <c r="AL39" i="65"/>
  <c r="AL36" i="65"/>
  <c r="AL66" i="65"/>
  <c r="AL54" i="65"/>
  <c r="AL65" i="65"/>
  <c r="AL53" i="65"/>
  <c r="AL45" i="65"/>
  <c r="AL37" i="65"/>
  <c r="AL44" i="65"/>
  <c r="AL64" i="65"/>
  <c r="AL52" i="65"/>
  <c r="AL63" i="65"/>
  <c r="AL51" i="65"/>
  <c r="AL43" i="65"/>
  <c r="AK96" i="65"/>
  <c r="AK85" i="65"/>
  <c r="AK75" i="65"/>
  <c r="AK95" i="65"/>
  <c r="AK84" i="65"/>
  <c r="AK80" i="65"/>
  <c r="AK94" i="65"/>
  <c r="AK83" i="65"/>
  <c r="AK93" i="65"/>
  <c r="AK82" i="65"/>
  <c r="AK81" i="65"/>
  <c r="AK92" i="65"/>
  <c r="AK91" i="65"/>
  <c r="AK79" i="65"/>
  <c r="AK90" i="65"/>
  <c r="AK86" i="65"/>
  <c r="AK78" i="65"/>
  <c r="AK63" i="65"/>
  <c r="AK51" i="65"/>
  <c r="AK43" i="65"/>
  <c r="AK42" i="65"/>
  <c r="AK55" i="65"/>
  <c r="AK37" i="65"/>
  <c r="AK62" i="65"/>
  <c r="AK50" i="65"/>
  <c r="AK39" i="65"/>
  <c r="AK61" i="65"/>
  <c r="AK49" i="65"/>
  <c r="AK41" i="65"/>
  <c r="AK47" i="65"/>
  <c r="AK68" i="65"/>
  <c r="AK56" i="65"/>
  <c r="AK48" i="65"/>
  <c r="AK40" i="65"/>
  <c r="AK67" i="65"/>
  <c r="AK66" i="65"/>
  <c r="AK54" i="65"/>
  <c r="AK46" i="65"/>
  <c r="AK38" i="65"/>
  <c r="AK65" i="65"/>
  <c r="AK53" i="65"/>
  <c r="AK45" i="65"/>
  <c r="AK64" i="65"/>
  <c r="AK52" i="65"/>
  <c r="AK44" i="65"/>
  <c r="AK36" i="65"/>
  <c r="AK63" i="26"/>
  <c r="AK55" i="26"/>
  <c r="AK44" i="26"/>
  <c r="AK62" i="26"/>
  <c r="AK54" i="26"/>
  <c r="AK43" i="26"/>
  <c r="AK61" i="26"/>
  <c r="AK53" i="26"/>
  <c r="AK42" i="26"/>
  <c r="AK60" i="26"/>
  <c r="AK52" i="26"/>
  <c r="AK41" i="26"/>
  <c r="AK59" i="26"/>
  <c r="AK51" i="26"/>
  <c r="AK40" i="26"/>
  <c r="AK45" i="26"/>
  <c r="AK66" i="26"/>
  <c r="AK58" i="26"/>
  <c r="AK47" i="26"/>
  <c r="AK39" i="26"/>
  <c r="AK64" i="26"/>
  <c r="AK65" i="26"/>
  <c r="AK57" i="26"/>
  <c r="AK46" i="26"/>
  <c r="AK36" i="26"/>
  <c r="AK56" i="26"/>
  <c r="AL62" i="26"/>
  <c r="AL54" i="26"/>
  <c r="AL43" i="26"/>
  <c r="AL55" i="26"/>
  <c r="AL61" i="26"/>
  <c r="AL53" i="26"/>
  <c r="AL42" i="26"/>
  <c r="AL63" i="26"/>
  <c r="AL44" i="26"/>
  <c r="AL60" i="26"/>
  <c r="AL52" i="26"/>
  <c r="AL41" i="26"/>
  <c r="AL59" i="26"/>
  <c r="AL51" i="26"/>
  <c r="AL40" i="26"/>
  <c r="AL66" i="26"/>
  <c r="AL58" i="26"/>
  <c r="AL47" i="26"/>
  <c r="AL39" i="26"/>
  <c r="AL36" i="26"/>
  <c r="AL65" i="26"/>
  <c r="AL57" i="26"/>
  <c r="AL46" i="26"/>
  <c r="AL64" i="26"/>
  <c r="AL56" i="26"/>
  <c r="AL45" i="26"/>
  <c r="Z115" i="68"/>
  <c r="AK79" i="54"/>
  <c r="AK35" i="54"/>
  <c r="AK102" i="54"/>
  <c r="AK104" i="54"/>
  <c r="AK105" i="54"/>
  <c r="AK62" i="54"/>
  <c r="AK78" i="54"/>
  <c r="AK72" i="54"/>
  <c r="AK90" i="54"/>
  <c r="AK71" i="54"/>
  <c r="AK76" i="54"/>
  <c r="AK76" i="29"/>
  <c r="AK75" i="29"/>
  <c r="AK35" i="29"/>
  <c r="AK73" i="29"/>
  <c r="AK50" i="29"/>
  <c r="AK37" i="29"/>
  <c r="AK38" i="29"/>
  <c r="AK96" i="23"/>
  <c r="AK56" i="23"/>
  <c r="AK34" i="23"/>
  <c r="AK98" i="23"/>
  <c r="AK77" i="23"/>
  <c r="AK95" i="23"/>
  <c r="AK60" i="20"/>
  <c r="AK34" i="20"/>
  <c r="AK41" i="20"/>
  <c r="AK57" i="20"/>
  <c r="AK44" i="20"/>
  <c r="AK48" i="20"/>
  <c r="AK50" i="20"/>
  <c r="AK43" i="20"/>
  <c r="AK55" i="20"/>
  <c r="AK59" i="20"/>
  <c r="AK51" i="20"/>
  <c r="AK85" i="52"/>
  <c r="AK62" i="52"/>
  <c r="AK83" i="52"/>
  <c r="AK87" i="52"/>
  <c r="AK35" i="52"/>
  <c r="AK72" i="52"/>
  <c r="AK78" i="52"/>
  <c r="AK88" i="52"/>
  <c r="AK79" i="52"/>
  <c r="AK76" i="52"/>
  <c r="AK59" i="28"/>
  <c r="AK56" i="28"/>
  <c r="AK62" i="28"/>
  <c r="AK47" i="28"/>
  <c r="AK35" i="28"/>
  <c r="AK61" i="28"/>
  <c r="AK53" i="28"/>
  <c r="AK44" i="28"/>
  <c r="AK39" i="28"/>
  <c r="T115" i="68"/>
  <c r="AA20" i="69"/>
  <c r="AL71" i="22"/>
  <c r="AL72" i="22"/>
  <c r="AL67" i="22"/>
  <c r="AL46" i="22"/>
  <c r="AL34" i="22"/>
  <c r="AL63" i="22"/>
  <c r="AL60" i="22"/>
  <c r="AL56" i="22"/>
  <c r="AL62" i="22"/>
  <c r="AL55" i="22"/>
  <c r="AL69" i="22"/>
  <c r="AD52" i="35"/>
  <c r="AE50" i="35"/>
  <c r="AK50" i="35"/>
  <c r="AL35" i="9"/>
  <c r="AL121" i="9"/>
  <c r="AL119" i="9"/>
  <c r="AL93" i="9"/>
  <c r="AL122" i="9"/>
  <c r="AL72" i="9"/>
  <c r="AL79" i="9"/>
  <c r="AL62" i="9"/>
  <c r="AL76" i="9"/>
  <c r="AL78" i="9"/>
  <c r="AA20" i="65"/>
  <c r="AK34" i="33"/>
  <c r="AA20" i="67"/>
  <c r="AK50" i="15"/>
  <c r="AK64" i="15"/>
  <c r="AK67" i="15"/>
  <c r="AK55" i="15"/>
  <c r="AK57" i="15"/>
  <c r="AK45" i="15"/>
  <c r="AK58" i="15"/>
  <c r="AK66" i="15"/>
  <c r="AK62" i="15"/>
  <c r="AK35" i="15"/>
  <c r="AK51" i="15"/>
  <c r="X115" i="68"/>
  <c r="AK34" i="27"/>
  <c r="AK44" i="27"/>
  <c r="AA19" i="65"/>
  <c r="AD115" i="68"/>
  <c r="AK32" i="11"/>
  <c r="AA20" i="66"/>
  <c r="AB84" i="66" s="1"/>
  <c r="AK32" i="31"/>
  <c r="AJ40" i="24"/>
  <c r="AJ34" i="24"/>
  <c r="AJ52" i="24"/>
  <c r="AJ58" i="24"/>
  <c r="AJ43" i="24"/>
  <c r="AJ49" i="24"/>
  <c r="AK32" i="53"/>
  <c r="AK32" i="51"/>
  <c r="AG115" i="68"/>
  <c r="AG66" i="33"/>
  <c r="AK35" i="67"/>
  <c r="AL59" i="28"/>
  <c r="AL61" i="28"/>
  <c r="AL53" i="28"/>
  <c r="AL62" i="28"/>
  <c r="AL56" i="28"/>
  <c r="AL39" i="28"/>
  <c r="AL35" i="28"/>
  <c r="AL44" i="28"/>
  <c r="AL47" i="28"/>
  <c r="AK72" i="61"/>
  <c r="AK87" i="61"/>
  <c r="AK79" i="61"/>
  <c r="AK88" i="61"/>
  <c r="AK83" i="61"/>
  <c r="AK78" i="61"/>
  <c r="AK35" i="61"/>
  <c r="AK85" i="61"/>
  <c r="AK62" i="61"/>
  <c r="AK76" i="61"/>
  <c r="AL35" i="69"/>
  <c r="AK32" i="35"/>
  <c r="AA19" i="69"/>
  <c r="U115" i="68"/>
  <c r="AK51" i="19"/>
  <c r="AK50" i="19"/>
  <c r="AK67" i="19"/>
  <c r="AK58" i="19"/>
  <c r="AK47" i="19"/>
  <c r="AK57" i="19"/>
  <c r="AK66" i="19"/>
  <c r="AK55" i="19"/>
  <c r="AK62" i="19"/>
  <c r="AK64" i="19"/>
  <c r="AK34" i="19"/>
  <c r="AG52" i="35"/>
  <c r="AH50" i="35"/>
  <c r="AL50" i="35"/>
  <c r="AA19" i="66"/>
  <c r="AD66" i="33"/>
  <c r="AK32" i="22"/>
  <c r="AL87" i="52"/>
  <c r="AL78" i="52"/>
  <c r="AL72" i="52"/>
  <c r="AL62" i="52"/>
  <c r="AL35" i="52"/>
  <c r="AL88" i="52"/>
  <c r="AL79" i="52"/>
  <c r="AL85" i="52"/>
  <c r="AL83" i="52"/>
  <c r="AL76" i="52"/>
  <c r="AK36" i="32"/>
  <c r="AK34" i="32"/>
  <c r="S115" i="68"/>
  <c r="AL70" i="65"/>
  <c r="AL97" i="65"/>
  <c r="AL60" i="65"/>
  <c r="AL89" i="65"/>
  <c r="AL35" i="65"/>
  <c r="AL69" i="65"/>
  <c r="AL74" i="65"/>
  <c r="AL77" i="65"/>
  <c r="AL76" i="65"/>
  <c r="AL100" i="65"/>
  <c r="AL99" i="65"/>
  <c r="AK52" i="36"/>
  <c r="AK35" i="36"/>
  <c r="AK63" i="36"/>
  <c r="AK43" i="36"/>
  <c r="AK32" i="16"/>
  <c r="AK89" i="65"/>
  <c r="AK60" i="65"/>
  <c r="AK76" i="65"/>
  <c r="AK99" i="65"/>
  <c r="AK100" i="65"/>
  <c r="AK97" i="65"/>
  <c r="AK69" i="65"/>
  <c r="AK74" i="65"/>
  <c r="AK70" i="65"/>
  <c r="AK35" i="65"/>
  <c r="AK77" i="65"/>
  <c r="AK79" i="9"/>
  <c r="AK72" i="9"/>
  <c r="AK62" i="9"/>
  <c r="AK121" i="9"/>
  <c r="AK78" i="9"/>
  <c r="AK119" i="9"/>
  <c r="AK76" i="9"/>
  <c r="AK122" i="9"/>
  <c r="AK93" i="9"/>
  <c r="AK35" i="9"/>
  <c r="Y115" i="68"/>
  <c r="R115" i="68"/>
  <c r="AK32" i="65"/>
  <c r="AA20" i="68"/>
  <c r="AK35" i="30"/>
  <c r="AK38" i="30"/>
  <c r="AK72" i="30"/>
  <c r="AK50" i="30"/>
  <c r="AK74" i="30"/>
  <c r="AK37" i="30"/>
  <c r="AK75" i="30"/>
  <c r="AK83" i="53"/>
  <c r="AK85" i="53"/>
  <c r="AK62" i="53"/>
  <c r="AK78" i="53"/>
  <c r="AK79" i="53"/>
  <c r="AK35" i="53"/>
  <c r="AK72" i="53"/>
  <c r="AK87" i="53"/>
  <c r="AK76" i="53"/>
  <c r="AK88" i="53"/>
  <c r="AA20" i="70"/>
  <c r="AB83" i="70" s="1"/>
  <c r="AK34" i="25"/>
  <c r="AK55" i="4"/>
  <c r="AK71" i="4"/>
  <c r="AK35" i="4"/>
  <c r="AK94" i="4"/>
  <c r="AK97" i="4"/>
  <c r="AK57" i="4"/>
  <c r="AK96" i="4"/>
  <c r="AK58" i="4"/>
  <c r="AL95" i="23"/>
  <c r="AL96" i="23"/>
  <c r="AL34" i="23"/>
  <c r="AL98" i="23"/>
  <c r="AL56" i="23"/>
  <c r="AL77" i="23"/>
  <c r="AL51" i="34"/>
  <c r="AL38" i="34"/>
  <c r="AL58" i="34"/>
  <c r="AL56" i="34"/>
  <c r="AL49" i="34"/>
  <c r="AL42" i="34"/>
  <c r="AL37" i="34"/>
  <c r="AL53" i="34"/>
  <c r="AL44" i="34"/>
  <c r="AL50" i="34"/>
  <c r="AL35" i="34"/>
  <c r="AL46" i="34"/>
  <c r="AK38" i="26"/>
  <c r="AK71" i="26"/>
  <c r="AK35" i="26"/>
  <c r="AK70" i="26"/>
  <c r="AK50" i="26"/>
  <c r="AK67" i="26"/>
  <c r="AK37" i="26"/>
  <c r="AK68" i="26"/>
  <c r="P115" i="68"/>
  <c r="AK38" i="34"/>
  <c r="AK49" i="34"/>
  <c r="AK56" i="34"/>
  <c r="AK42" i="34"/>
  <c r="AK51" i="34"/>
  <c r="AK58" i="34"/>
  <c r="AK50" i="34"/>
  <c r="AK44" i="34"/>
  <c r="AK46" i="34"/>
  <c r="AK35" i="34"/>
  <c r="AK37" i="34"/>
  <c r="AK53" i="34"/>
  <c r="AK37" i="31"/>
  <c r="AK34" i="31"/>
  <c r="Q115" i="68"/>
  <c r="AK46" i="16"/>
  <c r="AK37" i="16"/>
  <c r="AK41" i="16"/>
  <c r="AK38" i="16"/>
  <c r="AK52" i="16"/>
  <c r="AK76" i="16"/>
  <c r="AK48" i="16"/>
  <c r="AK50" i="16"/>
  <c r="AK121" i="16"/>
  <c r="AK74" i="16"/>
  <c r="AK45" i="16"/>
  <c r="AK43" i="16"/>
  <c r="AK77" i="16"/>
  <c r="AK35" i="16"/>
  <c r="AK122" i="16"/>
  <c r="AK49" i="16"/>
  <c r="AK60" i="16"/>
  <c r="AK70" i="16"/>
  <c r="AK39" i="16"/>
  <c r="AK47" i="16"/>
  <c r="AK92" i="16"/>
  <c r="AK119" i="16"/>
  <c r="AK36" i="16"/>
  <c r="AK51" i="16"/>
  <c r="AK55" i="16"/>
  <c r="AK44" i="16"/>
  <c r="AK40" i="16"/>
  <c r="AK56" i="16"/>
  <c r="AK42" i="16"/>
  <c r="AK53" i="16"/>
  <c r="AK54" i="16"/>
  <c r="AK34" i="7"/>
  <c r="AK50" i="7"/>
  <c r="AK51" i="7"/>
  <c r="AK48" i="7"/>
  <c r="AK47" i="7"/>
  <c r="AK32" i="15"/>
  <c r="AK35" i="51"/>
  <c r="AK79" i="51"/>
  <c r="AK96" i="51"/>
  <c r="AK99" i="51"/>
  <c r="AK98" i="51"/>
  <c r="AK78" i="51"/>
  <c r="AK72" i="51"/>
  <c r="AK76" i="51"/>
  <c r="AK88" i="51"/>
  <c r="AK62" i="51"/>
  <c r="AK72" i="22"/>
  <c r="AK69" i="22"/>
  <c r="AK60" i="22"/>
  <c r="AK46" i="22"/>
  <c r="AK34" i="22"/>
  <c r="AK56" i="22"/>
  <c r="AK62" i="22"/>
  <c r="AK67" i="22"/>
  <c r="AK63" i="22"/>
  <c r="AK55" i="22"/>
  <c r="AK71" i="22"/>
  <c r="AK38" i="35"/>
  <c r="AK48" i="35"/>
  <c r="AK34" i="35"/>
  <c r="AK40" i="35"/>
  <c r="AK44" i="35"/>
  <c r="AK57" i="35"/>
  <c r="AK55" i="35"/>
  <c r="AK46" i="35"/>
  <c r="AE52" i="25"/>
  <c r="AD54" i="25"/>
  <c r="AK52" i="25"/>
  <c r="AD60" i="24"/>
  <c r="AJ60" i="24"/>
  <c r="AC62" i="24"/>
  <c r="AK76" i="63"/>
  <c r="AK83" i="63"/>
  <c r="AK35" i="63"/>
  <c r="AK72" i="63"/>
  <c r="AK62" i="63"/>
  <c r="AK87" i="63"/>
  <c r="AK78" i="63"/>
  <c r="AK79" i="63"/>
  <c r="AK85" i="63"/>
  <c r="AK88" i="63"/>
  <c r="AA19" i="67"/>
  <c r="AK62" i="11"/>
  <c r="AK79" i="11"/>
  <c r="AK35" i="11"/>
  <c r="AK78" i="11"/>
  <c r="AK69" i="11"/>
  <c r="AK67" i="11"/>
  <c r="AK74" i="11"/>
  <c r="AK70" i="11"/>
  <c r="AK63" i="11"/>
  <c r="AK76" i="11"/>
  <c r="AK55" i="11"/>
  <c r="AL76" i="29"/>
  <c r="AL38" i="29"/>
  <c r="AL75" i="29"/>
  <c r="AL37" i="29"/>
  <c r="AL73" i="29"/>
  <c r="AL50" i="29"/>
  <c r="AL35" i="29"/>
  <c r="AK58" i="21"/>
  <c r="AK71" i="21"/>
  <c r="AK74" i="21"/>
  <c r="AK69" i="21"/>
  <c r="AK62" i="21"/>
  <c r="AK65" i="21"/>
  <c r="AK64" i="21"/>
  <c r="AK34" i="21"/>
  <c r="AK47" i="21"/>
  <c r="AK73" i="21"/>
  <c r="AH116" i="6"/>
  <c r="AK32" i="27"/>
  <c r="AM94" i="4"/>
  <c r="AM71" i="4"/>
  <c r="AM58" i="4"/>
  <c r="AM35" i="4"/>
  <c r="AM97" i="4"/>
  <c r="AM96" i="4"/>
  <c r="AM55" i="4"/>
  <c r="AM57" i="4"/>
  <c r="AD63" i="7"/>
  <c r="AD67" i="7" s="1"/>
  <c r="AK32" i="36"/>
  <c r="AK32" i="19"/>
  <c r="AK32" i="25"/>
  <c r="AL78" i="61"/>
  <c r="AL83" i="61"/>
  <c r="AL35" i="61"/>
  <c r="AL85" i="61"/>
  <c r="AL62" i="61"/>
  <c r="AL87" i="61"/>
  <c r="AL76" i="61"/>
  <c r="AL88" i="61"/>
  <c r="AL72" i="61"/>
  <c r="AL79" i="61"/>
  <c r="V115" i="68"/>
  <c r="AL122" i="16"/>
  <c r="AL77" i="16"/>
  <c r="AL35" i="16"/>
  <c r="AL70" i="16"/>
  <c r="AL52" i="16"/>
  <c r="AL41" i="16"/>
  <c r="AL40" i="16"/>
  <c r="AL119" i="16"/>
  <c r="AL56" i="16"/>
  <c r="AL36" i="16"/>
  <c r="AL49" i="16"/>
  <c r="AL43" i="16"/>
  <c r="AL76" i="16"/>
  <c r="AL51" i="16"/>
  <c r="AL60" i="16"/>
  <c r="AL45" i="16"/>
  <c r="AL38" i="16"/>
  <c r="AL48" i="16"/>
  <c r="AL47" i="16"/>
  <c r="AL50" i="16"/>
  <c r="AL74" i="16"/>
  <c r="AL121" i="16"/>
  <c r="AL42" i="16"/>
  <c r="AL37" i="16"/>
  <c r="AL54" i="16"/>
  <c r="AL46" i="16"/>
  <c r="AL53" i="16"/>
  <c r="AL55" i="16"/>
  <c r="AL39" i="16"/>
  <c r="AL92" i="16"/>
  <c r="AL44" i="16"/>
  <c r="AL35" i="67"/>
  <c r="AK32" i="32"/>
  <c r="AL96" i="51"/>
  <c r="AL35" i="51"/>
  <c r="AL88" i="51"/>
  <c r="AL78" i="51"/>
  <c r="AL72" i="51"/>
  <c r="AL98" i="51"/>
  <c r="AL76" i="51"/>
  <c r="AL62" i="51"/>
  <c r="AL99" i="51"/>
  <c r="AL79" i="51"/>
  <c r="AA19" i="70"/>
  <c r="AA19" i="68"/>
  <c r="O115" i="68"/>
  <c r="AK32" i="29"/>
  <c r="AL38" i="26"/>
  <c r="AL70" i="26"/>
  <c r="AL37" i="26"/>
  <c r="AL35" i="26"/>
  <c r="AL50" i="26"/>
  <c r="AL68" i="26"/>
  <c r="AL71" i="26"/>
  <c r="AL67" i="26"/>
  <c r="AL60" i="20"/>
  <c r="AL44" i="20"/>
  <c r="AL51" i="20"/>
  <c r="AL57" i="20"/>
  <c r="AL55" i="20"/>
  <c r="AL50" i="20"/>
  <c r="AL43" i="20"/>
  <c r="AL34" i="20"/>
  <c r="AL41" i="20"/>
  <c r="AL48" i="20"/>
  <c r="AL59" i="20"/>
  <c r="AK32" i="30"/>
  <c r="AK32" i="54"/>
  <c r="AK32" i="67"/>
  <c r="AL83" i="63"/>
  <c r="AL62" i="63"/>
  <c r="AL72" i="63"/>
  <c r="AL76" i="63"/>
  <c r="AL85" i="63"/>
  <c r="AL78" i="63"/>
  <c r="AL79" i="63"/>
  <c r="AL87" i="63"/>
  <c r="AL35" i="63"/>
  <c r="AL88" i="63"/>
  <c r="AK32" i="63"/>
  <c r="AK32" i="26"/>
  <c r="AL44" i="27"/>
  <c r="AL34" i="27"/>
  <c r="AL71" i="21"/>
  <c r="AL64" i="21"/>
  <c r="AL47" i="21"/>
  <c r="AL65" i="21"/>
  <c r="AL58" i="21"/>
  <c r="AL34" i="21"/>
  <c r="AL74" i="21"/>
  <c r="AL73" i="21"/>
  <c r="AL69" i="21"/>
  <c r="AL62" i="21"/>
  <c r="AH52" i="25"/>
  <c r="AG54" i="25"/>
  <c r="AL52" i="25"/>
  <c r="AG63" i="7"/>
  <c r="AG67" i="7" s="1"/>
  <c r="AM48" i="7"/>
  <c r="AM50" i="7"/>
  <c r="AM34" i="7"/>
  <c r="AM47" i="7"/>
  <c r="AM51" i="7"/>
  <c r="AL48" i="35"/>
  <c r="AL40" i="35"/>
  <c r="AL34" i="35"/>
  <c r="AL44" i="35"/>
  <c r="AL55" i="35"/>
  <c r="AL38" i="35"/>
  <c r="AL57" i="35"/>
  <c r="AL46" i="35"/>
  <c r="AK32" i="4"/>
  <c r="AK32" i="69"/>
  <c r="AK34" i="24"/>
  <c r="AK49" i="24"/>
  <c r="AK58" i="24"/>
  <c r="AK43" i="24"/>
  <c r="AK40" i="24"/>
  <c r="AK52" i="24"/>
  <c r="AL37" i="30"/>
  <c r="AL74" i="30"/>
  <c r="AL75" i="30"/>
  <c r="AL72" i="30"/>
  <c r="AL38" i="30"/>
  <c r="AL50" i="30"/>
  <c r="AL35" i="30"/>
  <c r="AK32" i="33"/>
  <c r="I21" i="7"/>
  <c r="AL55" i="19"/>
  <c r="AL64" i="19"/>
  <c r="AL66" i="19"/>
  <c r="AL34" i="19"/>
  <c r="AL57" i="19"/>
  <c r="AL47" i="19"/>
  <c r="AL50" i="19"/>
  <c r="AL67" i="19"/>
  <c r="AL62" i="19"/>
  <c r="AL51" i="19"/>
  <c r="AL58" i="19"/>
  <c r="AK32" i="52"/>
  <c r="AK32" i="23"/>
  <c r="AL35" i="36"/>
  <c r="AL43" i="36"/>
  <c r="AL63" i="36"/>
  <c r="AL52" i="36"/>
  <c r="W115" i="68"/>
  <c r="AK32" i="9"/>
  <c r="AL34" i="25"/>
  <c r="AG60" i="24"/>
  <c r="AF62" i="24"/>
  <c r="AK60" i="24"/>
  <c r="AK35" i="69"/>
  <c r="AJ32" i="24"/>
  <c r="AK32" i="21"/>
  <c r="AK32" i="28"/>
  <c r="AL78" i="54"/>
  <c r="AL90" i="54"/>
  <c r="AL62" i="54"/>
  <c r="AL72" i="54"/>
  <c r="AL71" i="54"/>
  <c r="AL35" i="54"/>
  <c r="AL79" i="54"/>
  <c r="AL102" i="54"/>
  <c r="AL76" i="54"/>
  <c r="AL105" i="54"/>
  <c r="AL104" i="54"/>
  <c r="AL64" i="15"/>
  <c r="AL55" i="15"/>
  <c r="AL50" i="15"/>
  <c r="AL45" i="15"/>
  <c r="AL35" i="15"/>
  <c r="AL57" i="15"/>
  <c r="AL51" i="15"/>
  <c r="AL67" i="15"/>
  <c r="AL62" i="15"/>
  <c r="AL66" i="15"/>
  <c r="AL58" i="15"/>
  <c r="AK32" i="34"/>
  <c r="AK32" i="61"/>
  <c r="AL37" i="31"/>
  <c r="AL34" i="31"/>
  <c r="AL34" i="33"/>
  <c r="AK32" i="7"/>
  <c r="AL88" i="53"/>
  <c r="AL79" i="53"/>
  <c r="AL83" i="53"/>
  <c r="AL85" i="53"/>
  <c r="AL87" i="53"/>
  <c r="AL62" i="53"/>
  <c r="AL35" i="53"/>
  <c r="AL78" i="53"/>
  <c r="AL76" i="53"/>
  <c r="AL72" i="53"/>
  <c r="AL62" i="11"/>
  <c r="AL55" i="11"/>
  <c r="AL35" i="11"/>
  <c r="AL63" i="11"/>
  <c r="AL74" i="11"/>
  <c r="AL67" i="11"/>
  <c r="AL76" i="11"/>
  <c r="AL69" i="11"/>
  <c r="AL79" i="11"/>
  <c r="AL78" i="11"/>
  <c r="AL70" i="11"/>
  <c r="AL34" i="32"/>
  <c r="AL36" i="32"/>
  <c r="AK32" i="20"/>
  <c r="AB56" i="23"/>
  <c r="AB58" i="23"/>
  <c r="AB74" i="23"/>
  <c r="Z11" i="4"/>
  <c r="O11" i="16"/>
  <c r="Z17" i="59"/>
  <c r="W11" i="16"/>
  <c r="N11" i="37"/>
  <c r="O11" i="51"/>
  <c r="W11" i="27"/>
  <c r="U11" i="26"/>
  <c r="U17" i="17"/>
  <c r="Y11" i="52"/>
  <c r="V11" i="59"/>
  <c r="X17" i="17"/>
  <c r="AG114" i="65"/>
  <c r="V17" i="37"/>
  <c r="V94" i="37" s="1"/>
  <c r="P11" i="15"/>
  <c r="AG109" i="65"/>
  <c r="W11" i="7"/>
  <c r="Q11" i="26"/>
  <c r="U114" i="65"/>
  <c r="U11" i="51"/>
  <c r="Z111" i="65"/>
  <c r="R112" i="65"/>
  <c r="O11" i="26"/>
  <c r="Y11" i="11"/>
  <c r="T109" i="65"/>
  <c r="P11" i="19"/>
  <c r="V11" i="34"/>
  <c r="P11" i="54"/>
  <c r="T11" i="20"/>
  <c r="X17" i="58"/>
  <c r="S109" i="65"/>
  <c r="S11" i="20"/>
  <c r="U11" i="55"/>
  <c r="Y11" i="15"/>
  <c r="Z11" i="55"/>
  <c r="Z11" i="17"/>
  <c r="Q11" i="27"/>
  <c r="T11" i="26"/>
  <c r="Q11" i="55"/>
  <c r="V11" i="52"/>
  <c r="W17" i="57"/>
  <c r="V11" i="15"/>
  <c r="Q17" i="56"/>
  <c r="U11" i="20"/>
  <c r="Z17" i="57"/>
  <c r="R11" i="23"/>
  <c r="W11" i="39"/>
  <c r="U11" i="19"/>
  <c r="Q11" i="23"/>
  <c r="AA111" i="65"/>
  <c r="X11" i="36"/>
  <c r="W11" i="59"/>
  <c r="P11" i="6"/>
  <c r="X11" i="52"/>
  <c r="W11" i="35"/>
  <c r="W17" i="56"/>
  <c r="U11" i="6"/>
  <c r="S11" i="31"/>
  <c r="T11" i="58"/>
  <c r="Z11" i="7"/>
  <c r="V17" i="39"/>
  <c r="Q11" i="17"/>
  <c r="S11" i="59"/>
  <c r="O11" i="21"/>
  <c r="Y11" i="51"/>
  <c r="Z11" i="9"/>
  <c r="X11" i="16"/>
  <c r="R11" i="36"/>
  <c r="V11" i="7"/>
  <c r="Z11" i="6"/>
  <c r="P11" i="20"/>
  <c r="X11" i="18"/>
  <c r="V114" i="65"/>
  <c r="S17" i="64"/>
  <c r="Y17" i="64"/>
  <c r="Q11" i="28"/>
  <c r="Y17" i="6"/>
  <c r="R11" i="59"/>
  <c r="Y11" i="21"/>
  <c r="S112" i="65"/>
  <c r="U11" i="28"/>
  <c r="W11" i="15"/>
  <c r="S11" i="55"/>
  <c r="Q111" i="65"/>
  <c r="Q11" i="32"/>
  <c r="V17" i="62"/>
  <c r="U11" i="18"/>
  <c r="T11" i="19"/>
  <c r="Z11" i="18"/>
  <c r="S17" i="58"/>
  <c r="Q17" i="59"/>
  <c r="T11" i="28"/>
  <c r="Y11" i="30"/>
  <c r="U11" i="36"/>
  <c r="W11" i="52"/>
  <c r="U11" i="27"/>
  <c r="Z11" i="59"/>
  <c r="O11" i="25"/>
  <c r="U11" i="17"/>
  <c r="R11" i="51"/>
  <c r="X11" i="4"/>
  <c r="X11" i="24"/>
  <c r="S11" i="17"/>
  <c r="AD111" i="65"/>
  <c r="Y11" i="53"/>
  <c r="AG111" i="65"/>
  <c r="X11" i="17"/>
  <c r="AG115" i="65"/>
  <c r="V11" i="37"/>
  <c r="Q11" i="4"/>
  <c r="Y11" i="29"/>
  <c r="W11" i="36"/>
  <c r="Y108" i="65"/>
  <c r="AD115" i="65"/>
  <c r="Y114" i="65"/>
  <c r="U115" i="65"/>
  <c r="O11" i="22"/>
  <c r="T11" i="37"/>
  <c r="O17" i="37"/>
  <c r="O94" i="37" s="1"/>
  <c r="T108" i="65"/>
  <c r="W11" i="20"/>
  <c r="T11" i="31"/>
  <c r="X11" i="53"/>
  <c r="V111" i="65"/>
  <c r="W17" i="6"/>
  <c r="S108" i="65"/>
  <c r="V11" i="22"/>
  <c r="Z17" i="17"/>
  <c r="Q11" i="9"/>
  <c r="P11" i="52"/>
  <c r="Z11" i="54"/>
  <c r="T11" i="32"/>
  <c r="Q17" i="55"/>
  <c r="W11" i="30"/>
  <c r="W11" i="25"/>
  <c r="R11" i="15"/>
  <c r="Z11" i="57"/>
  <c r="P11" i="18"/>
  <c r="W17" i="39"/>
  <c r="U11" i="29"/>
  <c r="S11" i="36"/>
  <c r="P17" i="6"/>
  <c r="W11" i="29"/>
  <c r="X11" i="39"/>
  <c r="W11" i="56"/>
  <c r="O11" i="57"/>
  <c r="Y17" i="57"/>
  <c r="W11" i="34"/>
  <c r="R11" i="11"/>
  <c r="X11" i="34"/>
  <c r="V115" i="65"/>
  <c r="T11" i="23"/>
  <c r="W11" i="51"/>
  <c r="W17" i="64"/>
  <c r="X17" i="64"/>
  <c r="Y11" i="39"/>
  <c r="Z11" i="28"/>
  <c r="U11" i="25"/>
  <c r="W11" i="11"/>
  <c r="X112" i="65"/>
  <c r="R17" i="6"/>
  <c r="R17" i="62"/>
  <c r="O17" i="62"/>
  <c r="Z11" i="22"/>
  <c r="Q11" i="20"/>
  <c r="P11" i="29"/>
  <c r="P111" i="65"/>
  <c r="W11" i="28"/>
  <c r="T11" i="59"/>
  <c r="V11" i="4"/>
  <c r="Z11" i="29"/>
  <c r="T11" i="25"/>
  <c r="O11" i="35"/>
  <c r="V11" i="27"/>
  <c r="X11" i="35"/>
  <c r="Z11" i="19"/>
  <c r="X11" i="31"/>
  <c r="P11" i="17"/>
  <c r="R108" i="65"/>
  <c r="S17" i="17"/>
  <c r="AD112" i="65"/>
  <c r="Y11" i="17"/>
  <c r="AG112" i="65"/>
  <c r="O11" i="31"/>
  <c r="U111" i="65"/>
  <c r="Y109" i="65"/>
  <c r="Z109" i="65"/>
  <c r="O11" i="24"/>
  <c r="AD114" i="65"/>
  <c r="Y115" i="65"/>
  <c r="R17" i="17"/>
  <c r="T17" i="37"/>
  <c r="T94" i="37" s="1"/>
  <c r="O11" i="37"/>
  <c r="O11" i="23"/>
  <c r="R11" i="30"/>
  <c r="O109" i="65"/>
  <c r="T17" i="56"/>
  <c r="Z17" i="39"/>
  <c r="V17" i="58"/>
  <c r="V112" i="65"/>
  <c r="W11" i="6"/>
  <c r="Z11" i="53"/>
  <c r="T11" i="51"/>
  <c r="AA115" i="65"/>
  <c r="T11" i="29"/>
  <c r="O11" i="11"/>
  <c r="T11" i="33"/>
  <c r="R11" i="34"/>
  <c r="W11" i="24"/>
  <c r="S11" i="54"/>
  <c r="Q11" i="36"/>
  <c r="T114" i="65"/>
  <c r="T11" i="39"/>
  <c r="Z11" i="58"/>
  <c r="S11" i="9"/>
  <c r="P11" i="53"/>
  <c r="O11" i="7"/>
  <c r="Q11" i="53"/>
  <c r="U11" i="59"/>
  <c r="T11" i="11"/>
  <c r="T11" i="21"/>
  <c r="O17" i="39"/>
  <c r="O11" i="59"/>
  <c r="W11" i="32"/>
  <c r="Q11" i="51"/>
  <c r="V11" i="24"/>
  <c r="S11" i="52"/>
  <c r="Q11" i="19"/>
  <c r="X11" i="33"/>
  <c r="P17" i="39"/>
  <c r="V21" i="7"/>
  <c r="X21" i="7"/>
  <c r="Q21" i="7"/>
  <c r="U21" i="7"/>
  <c r="T21" i="7"/>
  <c r="S21" i="7"/>
  <c r="R21" i="7"/>
  <c r="O21" i="7"/>
  <c r="Z21" i="7"/>
  <c r="Y21" i="7"/>
  <c r="W21" i="7"/>
  <c r="P21" i="7"/>
  <c r="R11" i="32"/>
  <c r="X17" i="39"/>
  <c r="S11" i="30"/>
  <c r="X11" i="27"/>
  <c r="O17" i="57"/>
  <c r="Y11" i="57"/>
  <c r="U11" i="23"/>
  <c r="X11" i="30"/>
  <c r="Z11" i="51"/>
  <c r="R11" i="54"/>
  <c r="Y11" i="19"/>
  <c r="T11" i="22"/>
  <c r="W11" i="9"/>
  <c r="P11" i="28"/>
  <c r="P11" i="9"/>
  <c r="Y11" i="33"/>
  <c r="Y11" i="59"/>
  <c r="V17" i="56"/>
  <c r="Z17" i="64"/>
  <c r="P17" i="59"/>
  <c r="R11" i="26"/>
  <c r="P11" i="23"/>
  <c r="R11" i="24"/>
  <c r="Q11" i="16"/>
  <c r="Y17" i="39"/>
  <c r="X111" i="65"/>
  <c r="R11" i="6"/>
  <c r="U11" i="7"/>
  <c r="V11" i="11"/>
  <c r="S11" i="23"/>
  <c r="S17" i="62"/>
  <c r="U17" i="62"/>
  <c r="X11" i="6"/>
  <c r="O11" i="17"/>
  <c r="Y11" i="37"/>
  <c r="Z11" i="35"/>
  <c r="S11" i="32"/>
  <c r="W11" i="55"/>
  <c r="S11" i="4"/>
  <c r="P17" i="17"/>
  <c r="R109" i="65"/>
  <c r="Y11" i="4"/>
  <c r="Y17" i="17"/>
  <c r="U11" i="35"/>
  <c r="U11" i="57"/>
  <c r="W11" i="4"/>
  <c r="T11" i="54"/>
  <c r="P11" i="4"/>
  <c r="Z11" i="11"/>
  <c r="T11" i="52"/>
  <c r="U112" i="65"/>
  <c r="Z108" i="65"/>
  <c r="T112" i="65"/>
  <c r="U11" i="4"/>
  <c r="Q11" i="57"/>
  <c r="W114" i="65"/>
  <c r="R11" i="17"/>
  <c r="V11" i="35"/>
  <c r="V11" i="25"/>
  <c r="O11" i="52"/>
  <c r="P17" i="56"/>
  <c r="O108" i="65"/>
  <c r="X11" i="51"/>
  <c r="T11" i="56"/>
  <c r="Z11" i="39"/>
  <c r="V11" i="58"/>
  <c r="O111" i="65"/>
  <c r="T17" i="55"/>
  <c r="AA114" i="65"/>
  <c r="O11" i="28"/>
  <c r="X11" i="55"/>
  <c r="T17" i="6"/>
  <c r="X11" i="11"/>
  <c r="U11" i="15"/>
  <c r="O17" i="56"/>
  <c r="T115" i="65"/>
  <c r="T17" i="39"/>
  <c r="Z17" i="58"/>
  <c r="U17" i="59"/>
  <c r="V11" i="23"/>
  <c r="O11" i="39"/>
  <c r="O17" i="59"/>
  <c r="Y11" i="22"/>
  <c r="W11" i="33"/>
  <c r="V108" i="65"/>
  <c r="V11" i="6"/>
  <c r="P11" i="39"/>
  <c r="O11" i="33"/>
  <c r="U11" i="56"/>
  <c r="Q11" i="58"/>
  <c r="U11" i="21"/>
  <c r="Z114" i="65"/>
  <c r="R11" i="58"/>
  <c r="P11" i="27"/>
  <c r="T11" i="18"/>
  <c r="P17" i="55"/>
  <c r="Y17" i="59"/>
  <c r="Y11" i="16"/>
  <c r="V11" i="56"/>
  <c r="Z11" i="27"/>
  <c r="V17" i="64"/>
  <c r="P11" i="59"/>
  <c r="Q108" i="65"/>
  <c r="R17" i="55"/>
  <c r="O11" i="30"/>
  <c r="X11" i="32"/>
  <c r="R11" i="18"/>
  <c r="S17" i="56"/>
  <c r="O115" i="65"/>
  <c r="W17" i="62"/>
  <c r="T17" i="62"/>
  <c r="Z11" i="30"/>
  <c r="S11" i="26"/>
  <c r="X17" i="6"/>
  <c r="W11" i="22"/>
  <c r="S17" i="39"/>
  <c r="P112" i="65"/>
  <c r="R11" i="4"/>
  <c r="U11" i="16"/>
  <c r="R17" i="56"/>
  <c r="O17" i="17"/>
  <c r="Y17" i="37"/>
  <c r="Y94" i="37" s="1"/>
  <c r="R11" i="20"/>
  <c r="T11" i="9"/>
  <c r="Q11" i="25"/>
  <c r="W11" i="54"/>
  <c r="AA108" i="65"/>
  <c r="O11" i="4"/>
  <c r="W17" i="55"/>
  <c r="R11" i="22"/>
  <c r="X108" i="65"/>
  <c r="U17" i="37"/>
  <c r="U94" i="37" s="1"/>
  <c r="R11" i="16"/>
  <c r="R11" i="37"/>
  <c r="W11" i="26"/>
  <c r="U17" i="57"/>
  <c r="R115" i="65"/>
  <c r="AD108" i="65"/>
  <c r="T11" i="4"/>
  <c r="T111" i="65"/>
  <c r="W11" i="37"/>
  <c r="Q17" i="57"/>
  <c r="W115" i="65"/>
  <c r="Z11" i="33"/>
  <c r="S115" i="65"/>
  <c r="P114" i="65"/>
  <c r="S11" i="37"/>
  <c r="S11" i="16"/>
  <c r="V11" i="16"/>
  <c r="P11" i="56"/>
  <c r="Y11" i="58"/>
  <c r="O17" i="6"/>
  <c r="U11" i="52"/>
  <c r="Y11" i="23"/>
  <c r="O112" i="65"/>
  <c r="T11" i="55"/>
  <c r="T17" i="57"/>
  <c r="S11" i="22"/>
  <c r="P11" i="51"/>
  <c r="Q11" i="30"/>
  <c r="X17" i="55"/>
  <c r="T11" i="6"/>
  <c r="O11" i="56"/>
  <c r="P11" i="36"/>
  <c r="Z11" i="31"/>
  <c r="Y11" i="18"/>
  <c r="X11" i="54"/>
  <c r="V11" i="18"/>
  <c r="W11" i="58"/>
  <c r="X17" i="57"/>
  <c r="V11" i="31"/>
  <c r="R11" i="28"/>
  <c r="V11" i="9"/>
  <c r="Z11" i="36"/>
  <c r="V109" i="65"/>
  <c r="R11" i="19"/>
  <c r="V17" i="6"/>
  <c r="T11" i="7"/>
  <c r="S11" i="53"/>
  <c r="X11" i="20"/>
  <c r="S11" i="33"/>
  <c r="Y11" i="28"/>
  <c r="U17" i="56"/>
  <c r="Q17" i="58"/>
  <c r="O11" i="54"/>
  <c r="Z115" i="65"/>
  <c r="V11" i="54"/>
  <c r="R11" i="53"/>
  <c r="R17" i="58"/>
  <c r="V11" i="28"/>
  <c r="R11" i="29"/>
  <c r="P11" i="55"/>
  <c r="V11" i="33"/>
  <c r="U11" i="11"/>
  <c r="U11" i="33"/>
  <c r="P11" i="21"/>
  <c r="X11" i="19"/>
  <c r="V11" i="53"/>
  <c r="R11" i="7"/>
  <c r="T17" i="64"/>
  <c r="W108" i="65"/>
  <c r="Q109" i="65"/>
  <c r="Q11" i="15"/>
  <c r="T11" i="30"/>
  <c r="S11" i="21"/>
  <c r="R11" i="55"/>
  <c r="S17" i="57"/>
  <c r="P11" i="35"/>
  <c r="S11" i="56"/>
  <c r="O114" i="65"/>
  <c r="R11" i="56"/>
  <c r="P11" i="22"/>
  <c r="R17" i="57"/>
  <c r="V17" i="17"/>
  <c r="AA109" i="65"/>
  <c r="T11" i="15"/>
  <c r="W111" i="65"/>
  <c r="R11" i="31"/>
  <c r="X109" i="65"/>
  <c r="U11" i="37"/>
  <c r="V11" i="26"/>
  <c r="R17" i="37"/>
  <c r="R94" i="37" s="1"/>
  <c r="T11" i="35"/>
  <c r="Q11" i="31"/>
  <c r="R114" i="65"/>
  <c r="AD109" i="65"/>
  <c r="Y11" i="34"/>
  <c r="X11" i="15"/>
  <c r="W17" i="37"/>
  <c r="W94" i="37" s="1"/>
  <c r="P11" i="57"/>
  <c r="P17" i="37"/>
  <c r="P94" i="37" s="1"/>
  <c r="S114" i="65"/>
  <c r="P115" i="65"/>
  <c r="S17" i="37"/>
  <c r="S94" i="37" s="1"/>
  <c r="O11" i="34"/>
  <c r="R17" i="39"/>
  <c r="Y17" i="58"/>
  <c r="O11" i="6"/>
  <c r="Q11" i="33"/>
  <c r="P11" i="7"/>
  <c r="S11" i="27"/>
  <c r="T11" i="57"/>
  <c r="P11" i="32"/>
  <c r="O11" i="29"/>
  <c r="Z11" i="23"/>
  <c r="S11" i="24"/>
  <c r="V11" i="36"/>
  <c r="X17" i="56"/>
  <c r="W17" i="58"/>
  <c r="X11" i="57"/>
  <c r="U11" i="9"/>
  <c r="V11" i="51"/>
  <c r="U11" i="30"/>
  <c r="U11" i="58"/>
  <c r="Y11" i="32"/>
  <c r="S11" i="25"/>
  <c r="V11" i="32"/>
  <c r="S11" i="7"/>
  <c r="X11" i="59"/>
  <c r="V11" i="55"/>
  <c r="W11" i="21"/>
  <c r="W17" i="17"/>
  <c r="Q17" i="39"/>
  <c r="T11" i="17"/>
  <c r="Q11" i="52"/>
  <c r="U11" i="39"/>
  <c r="Y11" i="56"/>
  <c r="O11" i="53"/>
  <c r="Y11" i="54"/>
  <c r="V11" i="30"/>
  <c r="X11" i="29"/>
  <c r="Q17" i="64"/>
  <c r="W109" i="65"/>
  <c r="Q11" i="6"/>
  <c r="S11" i="57"/>
  <c r="Q11" i="11"/>
  <c r="Q17" i="62"/>
  <c r="S11" i="6"/>
  <c r="S11" i="34"/>
  <c r="Z11" i="21"/>
  <c r="Q11" i="54"/>
  <c r="S11" i="39"/>
  <c r="P109" i="65"/>
  <c r="O11" i="55"/>
  <c r="O11" i="58"/>
  <c r="Y11" i="7"/>
  <c r="T17" i="59"/>
  <c r="W11" i="19"/>
  <c r="Y112" i="65"/>
  <c r="X17" i="37"/>
  <c r="X94" i="37" s="1"/>
  <c r="T11" i="16"/>
  <c r="R11" i="57"/>
  <c r="Y11" i="25"/>
  <c r="V11" i="17"/>
  <c r="S11" i="19"/>
  <c r="W112" i="65"/>
  <c r="U109" i="65"/>
  <c r="U11" i="53"/>
  <c r="Q11" i="34"/>
  <c r="X115" i="65"/>
  <c r="Q17" i="37"/>
  <c r="Q94" i="37" s="1"/>
  <c r="P11" i="31"/>
  <c r="X11" i="9"/>
  <c r="X11" i="22"/>
  <c r="V11" i="19"/>
  <c r="P17" i="57"/>
  <c r="S11" i="51"/>
  <c r="P11" i="37"/>
  <c r="R11" i="25"/>
  <c r="R11" i="39"/>
  <c r="Y11" i="35"/>
  <c r="R11" i="35"/>
  <c r="W11" i="53"/>
  <c r="Q115" i="65"/>
  <c r="Z11" i="25"/>
  <c r="Z11" i="15"/>
  <c r="P11" i="24"/>
  <c r="P11" i="16"/>
  <c r="R11" i="21"/>
  <c r="U11" i="22"/>
  <c r="P11" i="34"/>
  <c r="Z11" i="52"/>
  <c r="O11" i="20"/>
  <c r="V17" i="57"/>
  <c r="Q11" i="29"/>
  <c r="X11" i="56"/>
  <c r="T11" i="36"/>
  <c r="Q11" i="21"/>
  <c r="U17" i="58"/>
  <c r="S11" i="28"/>
  <c r="Z11" i="56"/>
  <c r="P11" i="11"/>
  <c r="U11" i="34"/>
  <c r="Z11" i="20"/>
  <c r="Y11" i="24"/>
  <c r="U11" i="54"/>
  <c r="P11" i="58"/>
  <c r="U11" i="31"/>
  <c r="U11" i="24"/>
  <c r="S11" i="29"/>
  <c r="Y11" i="36"/>
  <c r="S11" i="18"/>
  <c r="X17" i="59"/>
  <c r="Y11" i="27"/>
  <c r="V17" i="55"/>
  <c r="Q11" i="24"/>
  <c r="T11" i="34"/>
  <c r="O11" i="19"/>
  <c r="P11" i="25"/>
  <c r="W11" i="17"/>
  <c r="Q11" i="39"/>
  <c r="R11" i="27"/>
  <c r="T17" i="17"/>
  <c r="W11" i="18"/>
  <c r="Y11" i="31"/>
  <c r="S11" i="11"/>
  <c r="U17" i="39"/>
  <c r="Y17" i="56"/>
  <c r="P17" i="64"/>
  <c r="R17" i="64"/>
  <c r="Q17" i="6"/>
  <c r="T11" i="53"/>
  <c r="N11" i="24"/>
  <c r="Q11" i="18"/>
  <c r="V11" i="21"/>
  <c r="A45" i="30"/>
  <c r="Y11" i="9"/>
  <c r="P11" i="26"/>
  <c r="X11" i="23"/>
  <c r="W11" i="31"/>
  <c r="S11" i="15"/>
  <c r="X17" i="62"/>
  <c r="S17" i="6"/>
  <c r="Y11" i="55"/>
  <c r="A45" i="29"/>
  <c r="P108" i="65"/>
  <c r="O17" i="55"/>
  <c r="O17" i="58"/>
  <c r="P17" i="62"/>
  <c r="O11" i="9"/>
  <c r="A75" i="4"/>
  <c r="Z11" i="26"/>
  <c r="Y111" i="65"/>
  <c r="X11" i="37"/>
  <c r="N17" i="37"/>
  <c r="N94" i="37" s="1"/>
  <c r="X11" i="7"/>
  <c r="Q11" i="22"/>
  <c r="Y11" i="26"/>
  <c r="U108" i="65"/>
  <c r="R11" i="9"/>
  <c r="V17" i="59"/>
  <c r="X114" i="65"/>
  <c r="Q11" i="37"/>
  <c r="O11" i="32"/>
  <c r="O11" i="27"/>
  <c r="AG108" i="65"/>
  <c r="T11" i="24"/>
  <c r="Z112" i="65"/>
  <c r="R111" i="65"/>
  <c r="Q11" i="7"/>
  <c r="Z11" i="32"/>
  <c r="Q114" i="65"/>
  <c r="V11" i="20"/>
  <c r="A45" i="34"/>
  <c r="X11" i="58"/>
  <c r="Z11" i="34"/>
  <c r="U17" i="55"/>
  <c r="Z17" i="55"/>
  <c r="X11" i="28"/>
  <c r="A45" i="26"/>
  <c r="T11" i="27"/>
  <c r="V11" i="57"/>
  <c r="W11" i="57"/>
  <c r="Q11" i="56"/>
  <c r="X11" i="25"/>
  <c r="W11" i="23"/>
  <c r="Q11" i="35"/>
  <c r="O11" i="36"/>
  <c r="Z17" i="56"/>
  <c r="AA112" i="65"/>
  <c r="W17" i="59"/>
  <c r="X11" i="21"/>
  <c r="P17" i="58"/>
  <c r="P11" i="33"/>
  <c r="U17" i="6"/>
  <c r="T17" i="58"/>
  <c r="V11" i="39"/>
  <c r="Z11" i="16"/>
  <c r="Q17" i="17"/>
  <c r="S17" i="59"/>
  <c r="O11" i="15"/>
  <c r="A44" i="7"/>
  <c r="Z17" i="6"/>
  <c r="R11" i="33"/>
  <c r="S11" i="35"/>
  <c r="O11" i="18"/>
  <c r="R11" i="52"/>
  <c r="O17" i="64"/>
  <c r="U17" i="64"/>
  <c r="X11" i="26"/>
  <c r="Y11" i="6"/>
  <c r="R17" i="59"/>
  <c r="U11" i="32"/>
  <c r="P11" i="30"/>
  <c r="S111" i="65"/>
  <c r="A91" i="28"/>
  <c r="S17" i="55"/>
  <c r="Q112" i="65"/>
  <c r="Y17" i="62"/>
  <c r="Y11" i="20"/>
  <c r="Y17" i="55"/>
  <c r="V11" i="29"/>
  <c r="S11" i="58"/>
  <c r="Q11" i="59"/>
  <c r="Z17" i="62"/>
  <c r="W32" i="52"/>
  <c r="W20" i="52"/>
  <c r="W19" i="52"/>
  <c r="U32" i="27"/>
  <c r="U20" i="27"/>
  <c r="U19" i="27"/>
  <c r="Z19" i="59"/>
  <c r="Z20" i="59"/>
  <c r="Z32" i="59"/>
  <c r="O32" i="25"/>
  <c r="O52" i="25"/>
  <c r="O19" i="25"/>
  <c r="O20" i="25"/>
  <c r="U19" i="17"/>
  <c r="U20" i="17"/>
  <c r="U32" i="17"/>
  <c r="R19" i="51"/>
  <c r="R32" i="51"/>
  <c r="R20" i="51"/>
  <c r="X20" i="4"/>
  <c r="X19" i="4"/>
  <c r="X32" i="4"/>
  <c r="X32" i="24"/>
  <c r="X19" i="24"/>
  <c r="X20" i="24"/>
  <c r="X60" i="24"/>
  <c r="Y19" i="53"/>
  <c r="Y20" i="53"/>
  <c r="Y32" i="53"/>
  <c r="R20" i="61"/>
  <c r="R32" i="61"/>
  <c r="R19" i="61"/>
  <c r="W32" i="61"/>
  <c r="W20" i="61"/>
  <c r="W19" i="61"/>
  <c r="X32" i="17"/>
  <c r="X19" i="17"/>
  <c r="X20" i="17"/>
  <c r="V32" i="37"/>
  <c r="V19" i="37"/>
  <c r="Q19" i="4"/>
  <c r="Q32" i="4"/>
  <c r="Q20" i="4"/>
  <c r="Y19" i="29"/>
  <c r="Y20" i="29"/>
  <c r="Y32" i="29"/>
  <c r="W32" i="36"/>
  <c r="W19" i="36"/>
  <c r="W20" i="36"/>
  <c r="O20" i="22"/>
  <c r="O19" i="22"/>
  <c r="O32" i="22"/>
  <c r="W19" i="20"/>
  <c r="W32" i="20"/>
  <c r="W20" i="20"/>
  <c r="T39" i="31"/>
  <c r="T32" i="31"/>
  <c r="T20" i="31"/>
  <c r="T19" i="31"/>
  <c r="X32" i="53"/>
  <c r="X20" i="53"/>
  <c r="X19" i="53"/>
  <c r="X19" i="58"/>
  <c r="X20" i="58"/>
  <c r="X32" i="58"/>
  <c r="V19" i="22"/>
  <c r="V20" i="22"/>
  <c r="V32" i="22"/>
  <c r="Q20" i="9"/>
  <c r="Q32" i="9"/>
  <c r="Q19" i="9"/>
  <c r="P20" i="52"/>
  <c r="P32" i="52"/>
  <c r="P19" i="52"/>
  <c r="Z20" i="54"/>
  <c r="Z32" i="54"/>
  <c r="Z19" i="54"/>
  <c r="T32" i="32"/>
  <c r="T19" i="32"/>
  <c r="T20" i="32"/>
  <c r="T38" i="32"/>
  <c r="W19" i="57"/>
  <c r="W32" i="57"/>
  <c r="W20" i="57"/>
  <c r="W20" i="30"/>
  <c r="W32" i="30"/>
  <c r="W19" i="30"/>
  <c r="W20" i="25"/>
  <c r="W19" i="25"/>
  <c r="W32" i="25"/>
  <c r="W52" i="25"/>
  <c r="Q19" i="56"/>
  <c r="Q20" i="56"/>
  <c r="Q32" i="56"/>
  <c r="R19" i="15"/>
  <c r="R20" i="15"/>
  <c r="R32" i="15"/>
  <c r="Z19" i="57"/>
  <c r="Z20" i="57"/>
  <c r="Z32" i="57"/>
  <c r="P32" i="18"/>
  <c r="P19" i="18"/>
  <c r="U32" i="29"/>
  <c r="U20" i="29"/>
  <c r="U19" i="29"/>
  <c r="S19" i="36"/>
  <c r="S32" i="36"/>
  <c r="S20" i="36"/>
  <c r="W19" i="29"/>
  <c r="W32" i="29"/>
  <c r="W20" i="29"/>
  <c r="W20" i="56"/>
  <c r="W19" i="56"/>
  <c r="W32" i="56"/>
  <c r="V32" i="39"/>
  <c r="V19" i="39"/>
  <c r="V20" i="39"/>
  <c r="W19" i="34"/>
  <c r="W20" i="34"/>
  <c r="W32" i="34"/>
  <c r="W63" i="34"/>
  <c r="R32" i="11"/>
  <c r="R19" i="11"/>
  <c r="R20" i="11"/>
  <c r="X32" i="34"/>
  <c r="X20" i="34"/>
  <c r="X63" i="34"/>
  <c r="X19" i="34"/>
  <c r="T32" i="23"/>
  <c r="T19" i="23"/>
  <c r="T20" i="23"/>
  <c r="W19" i="51"/>
  <c r="W32" i="51"/>
  <c r="W20" i="51"/>
  <c r="S19" i="64"/>
  <c r="S32" i="64"/>
  <c r="S20" i="64"/>
  <c r="Y19" i="64"/>
  <c r="Y20" i="64"/>
  <c r="Y32" i="64"/>
  <c r="Y20" i="6"/>
  <c r="Y32" i="6"/>
  <c r="Y19" i="6"/>
  <c r="Y152" i="6"/>
  <c r="Z32" i="28"/>
  <c r="Z20" i="28"/>
  <c r="Z19" i="28"/>
  <c r="U32" i="25"/>
  <c r="U20" i="25"/>
  <c r="U52" i="25"/>
  <c r="U19" i="25"/>
  <c r="W32" i="11"/>
  <c r="W20" i="11"/>
  <c r="W19" i="11"/>
  <c r="V19" i="62"/>
  <c r="V32" i="62"/>
  <c r="V20" i="62"/>
  <c r="Z19" i="22"/>
  <c r="Z20" i="22"/>
  <c r="Z32" i="22"/>
  <c r="Q32" i="20"/>
  <c r="Q19" i="20"/>
  <c r="Q20" i="20"/>
  <c r="S32" i="58"/>
  <c r="S20" i="58"/>
  <c r="S19" i="58"/>
  <c r="T20" i="63"/>
  <c r="T32" i="63"/>
  <c r="T19" i="63"/>
  <c r="Q19" i="59"/>
  <c r="Q32" i="59"/>
  <c r="Q20" i="59"/>
  <c r="V20" i="63"/>
  <c r="V19" i="63"/>
  <c r="V32" i="63"/>
  <c r="V32" i="4"/>
  <c r="V19" i="4"/>
  <c r="V20" i="4"/>
  <c r="Z19" i="29"/>
  <c r="Z20" i="29"/>
  <c r="Z32" i="29"/>
  <c r="T32" i="25"/>
  <c r="T52" i="25"/>
  <c r="T20" i="25"/>
  <c r="T19" i="25"/>
  <c r="O20" i="35"/>
  <c r="O32" i="35"/>
  <c r="O19" i="35"/>
  <c r="O62" i="35"/>
  <c r="O50" i="35"/>
  <c r="V19" i="27"/>
  <c r="V32" i="27"/>
  <c r="V20" i="27"/>
  <c r="X32" i="35"/>
  <c r="X62" i="35"/>
  <c r="X19" i="35"/>
  <c r="X50" i="35"/>
  <c r="X20" i="35"/>
  <c r="Z19" i="19"/>
  <c r="Z20" i="19"/>
  <c r="Z32" i="19"/>
  <c r="X19" i="31"/>
  <c r="X20" i="31"/>
  <c r="X32" i="31"/>
  <c r="X39" i="31"/>
  <c r="V32" i="61"/>
  <c r="V20" i="61"/>
  <c r="V19" i="61"/>
  <c r="O32" i="31"/>
  <c r="O19" i="31"/>
  <c r="O20" i="31"/>
  <c r="O39" i="31"/>
  <c r="O19" i="24"/>
  <c r="O60" i="24"/>
  <c r="O32" i="24"/>
  <c r="O20" i="24"/>
  <c r="O32" i="37"/>
  <c r="O19" i="37"/>
  <c r="O20" i="23"/>
  <c r="O32" i="23"/>
  <c r="O19" i="23"/>
  <c r="R19" i="30"/>
  <c r="R20" i="30"/>
  <c r="R32" i="30"/>
  <c r="W152" i="6"/>
  <c r="W19" i="6"/>
  <c r="W20" i="6"/>
  <c r="W32" i="6"/>
  <c r="Z32" i="53"/>
  <c r="Z19" i="53"/>
  <c r="Z20" i="53"/>
  <c r="T32" i="51"/>
  <c r="T20" i="51"/>
  <c r="T19" i="51"/>
  <c r="T32" i="29"/>
  <c r="T19" i="29"/>
  <c r="T20" i="29"/>
  <c r="O19" i="11"/>
  <c r="O32" i="11"/>
  <c r="O20" i="11"/>
  <c r="T19" i="33"/>
  <c r="T32" i="33"/>
  <c r="T21" i="33"/>
  <c r="T20" i="33"/>
  <c r="R63" i="34"/>
  <c r="R32" i="34"/>
  <c r="R20" i="34"/>
  <c r="R19" i="34"/>
  <c r="W32" i="24"/>
  <c r="W60" i="24"/>
  <c r="W20" i="24"/>
  <c r="W19" i="24"/>
  <c r="Z20" i="17"/>
  <c r="Z19" i="17"/>
  <c r="Z32" i="17"/>
  <c r="S32" i="54"/>
  <c r="S19" i="54"/>
  <c r="S20" i="54"/>
  <c r="Q19" i="36"/>
  <c r="Q20" i="36"/>
  <c r="Q32" i="36"/>
  <c r="Q32" i="55"/>
  <c r="Q20" i="55"/>
  <c r="Q19" i="55"/>
  <c r="S32" i="9"/>
  <c r="S20" i="9"/>
  <c r="S19" i="9"/>
  <c r="P32" i="53"/>
  <c r="P19" i="53"/>
  <c r="P20" i="53"/>
  <c r="O19" i="7"/>
  <c r="O22" i="7"/>
  <c r="O32" i="7"/>
  <c r="O20" i="7"/>
  <c r="Q20" i="53"/>
  <c r="Q32" i="53"/>
  <c r="Q19" i="53"/>
  <c r="T19" i="11"/>
  <c r="T32" i="11"/>
  <c r="T20" i="11"/>
  <c r="T32" i="21"/>
  <c r="T20" i="21"/>
  <c r="T19" i="21"/>
  <c r="W38" i="32"/>
  <c r="W20" i="32"/>
  <c r="W19" i="32"/>
  <c r="W32" i="32"/>
  <c r="W20" i="39"/>
  <c r="W32" i="39"/>
  <c r="W19" i="39"/>
  <c r="Q19" i="51"/>
  <c r="Q20" i="51"/>
  <c r="Q32" i="51"/>
  <c r="V32" i="24"/>
  <c r="V60" i="24"/>
  <c r="V19" i="24"/>
  <c r="V20" i="24"/>
  <c r="S19" i="52"/>
  <c r="S20" i="52"/>
  <c r="S32" i="52"/>
  <c r="Q32" i="19"/>
  <c r="Q20" i="19"/>
  <c r="Q19" i="19"/>
  <c r="X21" i="33"/>
  <c r="X19" i="33"/>
  <c r="X32" i="33"/>
  <c r="X20" i="33"/>
  <c r="P152" i="6"/>
  <c r="P19" i="6"/>
  <c r="P32" i="6"/>
  <c r="P20" i="6"/>
  <c r="R19" i="32"/>
  <c r="R38" i="32"/>
  <c r="R20" i="32"/>
  <c r="R32" i="32"/>
  <c r="S20" i="30"/>
  <c r="S32" i="30"/>
  <c r="S19" i="30"/>
  <c r="X19" i="27"/>
  <c r="X20" i="27"/>
  <c r="X32" i="27"/>
  <c r="Y20" i="57"/>
  <c r="Y32" i="57"/>
  <c r="Y19" i="57"/>
  <c r="U19" i="23"/>
  <c r="U32" i="23"/>
  <c r="U20" i="23"/>
  <c r="X19" i="30"/>
  <c r="X20" i="30"/>
  <c r="X32" i="30"/>
  <c r="Z32" i="51"/>
  <c r="Z20" i="51"/>
  <c r="Z19" i="51"/>
  <c r="R19" i="54"/>
  <c r="R32" i="54"/>
  <c r="R20" i="54"/>
  <c r="Y20" i="19"/>
  <c r="Y32" i="19"/>
  <c r="Y19" i="19"/>
  <c r="T32" i="22"/>
  <c r="T20" i="22"/>
  <c r="T19" i="22"/>
  <c r="W19" i="9"/>
  <c r="W20" i="9"/>
  <c r="W32" i="9"/>
  <c r="P32" i="28"/>
  <c r="P19" i="28"/>
  <c r="P20" i="28"/>
  <c r="P20" i="9"/>
  <c r="P32" i="9"/>
  <c r="P19" i="9"/>
  <c r="Y21" i="33"/>
  <c r="Y32" i="33"/>
  <c r="Y20" i="33"/>
  <c r="Y19" i="33"/>
  <c r="W20" i="64"/>
  <c r="W32" i="64"/>
  <c r="W19" i="64"/>
  <c r="X32" i="64"/>
  <c r="X19" i="64"/>
  <c r="X20" i="64"/>
  <c r="R20" i="26"/>
  <c r="R19" i="26"/>
  <c r="R32" i="26"/>
  <c r="P20" i="23"/>
  <c r="P19" i="23"/>
  <c r="P32" i="23"/>
  <c r="R19" i="24"/>
  <c r="R20" i="24"/>
  <c r="R32" i="24"/>
  <c r="R60" i="24"/>
  <c r="Q20" i="16"/>
  <c r="Q32" i="16"/>
  <c r="Q19" i="16"/>
  <c r="R32" i="6"/>
  <c r="R19" i="6"/>
  <c r="R152" i="6"/>
  <c r="R20" i="6"/>
  <c r="U20" i="7"/>
  <c r="U32" i="7"/>
  <c r="U19" i="7"/>
  <c r="U22" i="7"/>
  <c r="V20" i="11"/>
  <c r="V32" i="11"/>
  <c r="V19" i="11"/>
  <c r="S19" i="23"/>
  <c r="S20" i="23"/>
  <c r="S32" i="23"/>
  <c r="R19" i="62"/>
  <c r="R20" i="62"/>
  <c r="R32" i="62"/>
  <c r="O20" i="62"/>
  <c r="O19" i="62"/>
  <c r="O32" i="62"/>
  <c r="T19" i="28"/>
  <c r="T20" i="28"/>
  <c r="T32" i="28"/>
  <c r="P19" i="29"/>
  <c r="P20" i="29"/>
  <c r="P32" i="29"/>
  <c r="O32" i="63"/>
  <c r="O20" i="63"/>
  <c r="O19" i="63"/>
  <c r="Z19" i="63"/>
  <c r="Z20" i="63"/>
  <c r="Z32" i="63"/>
  <c r="Y20" i="30"/>
  <c r="Y19" i="30"/>
  <c r="Y32" i="30"/>
  <c r="Z50" i="35"/>
  <c r="Z20" i="35"/>
  <c r="Z32" i="35"/>
  <c r="Z62" i="35"/>
  <c r="Z19" i="35"/>
  <c r="S32" i="32"/>
  <c r="S20" i="32"/>
  <c r="S19" i="32"/>
  <c r="S38" i="32"/>
  <c r="S32" i="4"/>
  <c r="S19" i="4"/>
  <c r="S20" i="4"/>
  <c r="Y32" i="4"/>
  <c r="Y19" i="4"/>
  <c r="Y20" i="4"/>
  <c r="S32" i="17"/>
  <c r="S20" i="17"/>
  <c r="S19" i="17"/>
  <c r="U62" i="35"/>
  <c r="U50" i="35"/>
  <c r="U19" i="35"/>
  <c r="U20" i="35"/>
  <c r="U32" i="35"/>
  <c r="T32" i="61"/>
  <c r="T19" i="61"/>
  <c r="T20" i="61"/>
  <c r="W20" i="4"/>
  <c r="W19" i="4"/>
  <c r="W32" i="4"/>
  <c r="T19" i="54"/>
  <c r="T32" i="54"/>
  <c r="T20" i="54"/>
  <c r="P19" i="4"/>
  <c r="P20" i="4"/>
  <c r="P32" i="4"/>
  <c r="Z19" i="11"/>
  <c r="Z32" i="11"/>
  <c r="Z20" i="11"/>
  <c r="T32" i="52"/>
  <c r="T19" i="52"/>
  <c r="T20" i="52"/>
  <c r="U20" i="4"/>
  <c r="U19" i="4"/>
  <c r="U32" i="4"/>
  <c r="R32" i="17"/>
  <c r="R20" i="17"/>
  <c r="R19" i="17"/>
  <c r="V62" i="35"/>
  <c r="V32" i="35"/>
  <c r="V50" i="35"/>
  <c r="V19" i="35"/>
  <c r="V20" i="35"/>
  <c r="V20" i="25"/>
  <c r="V52" i="25"/>
  <c r="V32" i="25"/>
  <c r="V19" i="25"/>
  <c r="T32" i="37"/>
  <c r="T19" i="37"/>
  <c r="O19" i="52"/>
  <c r="O32" i="52"/>
  <c r="O20" i="52"/>
  <c r="X32" i="51"/>
  <c r="X19" i="51"/>
  <c r="X20" i="51"/>
  <c r="T32" i="56"/>
  <c r="T20" i="56"/>
  <c r="T19" i="56"/>
  <c r="Z32" i="39"/>
  <c r="Z20" i="39"/>
  <c r="Z19" i="39"/>
  <c r="V20" i="58"/>
  <c r="V19" i="58"/>
  <c r="V32" i="58"/>
  <c r="O20" i="28"/>
  <c r="O32" i="28"/>
  <c r="O19" i="28"/>
  <c r="X32" i="11"/>
  <c r="X20" i="11"/>
  <c r="X19" i="11"/>
  <c r="U19" i="15"/>
  <c r="U20" i="15"/>
  <c r="U32" i="15"/>
  <c r="V20" i="23"/>
  <c r="V19" i="23"/>
  <c r="V32" i="23"/>
  <c r="O32" i="39"/>
  <c r="O19" i="39"/>
  <c r="O20" i="39"/>
  <c r="Y32" i="22"/>
  <c r="Y19" i="22"/>
  <c r="Y20" i="22"/>
  <c r="W20" i="33"/>
  <c r="W21" i="33"/>
  <c r="W19" i="33"/>
  <c r="W32" i="33"/>
  <c r="P32" i="39"/>
  <c r="P20" i="39"/>
  <c r="P19" i="39"/>
  <c r="O32" i="33"/>
  <c r="O21" i="33"/>
  <c r="O19" i="33"/>
  <c r="O20" i="33"/>
  <c r="X32" i="39"/>
  <c r="X19" i="39"/>
  <c r="X20" i="39"/>
  <c r="U20" i="21"/>
  <c r="U19" i="21"/>
  <c r="U32" i="21"/>
  <c r="O19" i="57"/>
  <c r="O32" i="57"/>
  <c r="O20" i="57"/>
  <c r="P20" i="27"/>
  <c r="P19" i="27"/>
  <c r="P32" i="27"/>
  <c r="T32" i="18"/>
  <c r="T19" i="18"/>
  <c r="S32" i="22"/>
  <c r="S19" i="22"/>
  <c r="S20" i="22"/>
  <c r="Y19" i="16"/>
  <c r="Y20" i="16"/>
  <c r="Y32" i="16"/>
  <c r="V32" i="56"/>
  <c r="V19" i="56"/>
  <c r="V20" i="56"/>
  <c r="Z20" i="27"/>
  <c r="Z32" i="27"/>
  <c r="Z19" i="27"/>
  <c r="Z19" i="64"/>
  <c r="Z32" i="64"/>
  <c r="Z20" i="64"/>
  <c r="P32" i="59"/>
  <c r="P20" i="59"/>
  <c r="P19" i="59"/>
  <c r="Y32" i="39"/>
  <c r="Y20" i="39"/>
  <c r="Y19" i="39"/>
  <c r="O20" i="30"/>
  <c r="O19" i="30"/>
  <c r="O32" i="30"/>
  <c r="X19" i="32"/>
  <c r="X38" i="32"/>
  <c r="X32" i="32"/>
  <c r="X20" i="32"/>
  <c r="R19" i="18"/>
  <c r="R32" i="18"/>
  <c r="S32" i="62"/>
  <c r="S20" i="62"/>
  <c r="S19" i="62"/>
  <c r="U20" i="62"/>
  <c r="U32" i="62"/>
  <c r="U19" i="62"/>
  <c r="Z19" i="30"/>
  <c r="Z20" i="30"/>
  <c r="Z32" i="30"/>
  <c r="S32" i="26"/>
  <c r="S19" i="26"/>
  <c r="S20" i="26"/>
  <c r="W32" i="22"/>
  <c r="W19" i="22"/>
  <c r="W20" i="22"/>
  <c r="W32" i="63"/>
  <c r="W19" i="63"/>
  <c r="W20" i="63"/>
  <c r="S19" i="34"/>
  <c r="S20" i="34"/>
  <c r="S32" i="34"/>
  <c r="S63" i="34"/>
  <c r="R32" i="4"/>
  <c r="R20" i="4"/>
  <c r="R19" i="4"/>
  <c r="U19" i="16"/>
  <c r="U20" i="16"/>
  <c r="U32" i="16"/>
  <c r="R19" i="20"/>
  <c r="R32" i="20"/>
  <c r="R20" i="20"/>
  <c r="T19" i="9"/>
  <c r="T20" i="9"/>
  <c r="T32" i="9"/>
  <c r="Q19" i="25"/>
  <c r="Q20" i="25"/>
  <c r="Q52" i="25"/>
  <c r="Q32" i="25"/>
  <c r="W20" i="54"/>
  <c r="W32" i="54"/>
  <c r="W19" i="54"/>
  <c r="O32" i="4"/>
  <c r="O19" i="4"/>
  <c r="O20" i="4"/>
  <c r="R32" i="22"/>
  <c r="R20" i="22"/>
  <c r="R19" i="22"/>
  <c r="P20" i="17"/>
  <c r="P32" i="17"/>
  <c r="P19" i="17"/>
  <c r="R19" i="16"/>
  <c r="R20" i="16"/>
  <c r="R32" i="16"/>
  <c r="Y19" i="17"/>
  <c r="Y32" i="17"/>
  <c r="Y20" i="17"/>
  <c r="W32" i="26"/>
  <c r="W19" i="26"/>
  <c r="W20" i="26"/>
  <c r="O20" i="61"/>
  <c r="O32" i="61"/>
  <c r="O19" i="61"/>
  <c r="T32" i="4"/>
  <c r="T19" i="4"/>
  <c r="T20" i="4"/>
  <c r="Z32" i="33"/>
  <c r="Z20" i="33"/>
  <c r="Z21" i="33"/>
  <c r="Z19" i="33"/>
  <c r="S32" i="16"/>
  <c r="S20" i="16"/>
  <c r="S19" i="16"/>
  <c r="V32" i="16"/>
  <c r="V20" i="16"/>
  <c r="V19" i="16"/>
  <c r="P20" i="56"/>
  <c r="P32" i="56"/>
  <c r="P19" i="56"/>
  <c r="U19" i="52"/>
  <c r="U20" i="52"/>
  <c r="U32" i="52"/>
  <c r="Y19" i="23"/>
  <c r="Y32" i="23"/>
  <c r="Y20" i="23"/>
  <c r="T32" i="55"/>
  <c r="T19" i="55"/>
  <c r="T20" i="55"/>
  <c r="P32" i="51"/>
  <c r="P19" i="51"/>
  <c r="P20" i="51"/>
  <c r="Q19" i="30"/>
  <c r="Q32" i="30"/>
  <c r="Q20" i="30"/>
  <c r="T32" i="6"/>
  <c r="T20" i="6"/>
  <c r="T152" i="6"/>
  <c r="T19" i="6"/>
  <c r="O32" i="56"/>
  <c r="O19" i="56"/>
  <c r="O20" i="56"/>
  <c r="P19" i="36"/>
  <c r="P32" i="36"/>
  <c r="P20" i="36"/>
  <c r="Z19" i="31"/>
  <c r="Z39" i="31"/>
  <c r="Z20" i="31"/>
  <c r="Z32" i="31"/>
  <c r="T32" i="39"/>
  <c r="T20" i="39"/>
  <c r="T19" i="39"/>
  <c r="Z32" i="58"/>
  <c r="Z19" i="58"/>
  <c r="Z20" i="58"/>
  <c r="Y19" i="18"/>
  <c r="Y32" i="18"/>
  <c r="X32" i="54"/>
  <c r="X19" i="54"/>
  <c r="X20" i="54"/>
  <c r="V19" i="18"/>
  <c r="V32" i="18"/>
  <c r="U32" i="59"/>
  <c r="U19" i="59"/>
  <c r="U20" i="59"/>
  <c r="V39" i="31"/>
  <c r="V32" i="31"/>
  <c r="V20" i="31"/>
  <c r="V19" i="31"/>
  <c r="O19" i="59"/>
  <c r="O20" i="59"/>
  <c r="O32" i="59"/>
  <c r="R32" i="28"/>
  <c r="R19" i="28"/>
  <c r="R20" i="28"/>
  <c r="V20" i="9"/>
  <c r="V19" i="9"/>
  <c r="V32" i="9"/>
  <c r="Z32" i="36"/>
  <c r="Z19" i="36"/>
  <c r="Z20" i="36"/>
  <c r="R19" i="19"/>
  <c r="R32" i="19"/>
  <c r="R20" i="19"/>
  <c r="T32" i="7"/>
  <c r="T19" i="7"/>
  <c r="T20" i="7"/>
  <c r="T22" i="7"/>
  <c r="S20" i="53"/>
  <c r="S19" i="53"/>
  <c r="S32" i="53"/>
  <c r="X19" i="20"/>
  <c r="X32" i="20"/>
  <c r="X20" i="20"/>
  <c r="S20" i="33"/>
  <c r="S32" i="33"/>
  <c r="S21" i="33"/>
  <c r="S19" i="33"/>
  <c r="Y19" i="28"/>
  <c r="Y20" i="28"/>
  <c r="Y32" i="28"/>
  <c r="O20" i="54"/>
  <c r="O32" i="54"/>
  <c r="O19" i="54"/>
  <c r="V19" i="54"/>
  <c r="V32" i="54"/>
  <c r="V20" i="54"/>
  <c r="R20" i="53"/>
  <c r="R32" i="53"/>
  <c r="R19" i="53"/>
  <c r="V32" i="28"/>
  <c r="V19" i="28"/>
  <c r="V20" i="28"/>
  <c r="R19" i="29"/>
  <c r="R32" i="29"/>
  <c r="R20" i="29"/>
  <c r="P20" i="55"/>
  <c r="P32" i="55"/>
  <c r="P19" i="55"/>
  <c r="V21" i="33"/>
  <c r="V20" i="33"/>
  <c r="V32" i="33"/>
  <c r="V19" i="33"/>
  <c r="U19" i="11"/>
  <c r="U20" i="11"/>
  <c r="U32" i="11"/>
  <c r="U19" i="33"/>
  <c r="U21" i="33"/>
  <c r="U20" i="33"/>
  <c r="U32" i="33"/>
  <c r="P32" i="21"/>
  <c r="P20" i="21"/>
  <c r="P19" i="21"/>
  <c r="X19" i="19"/>
  <c r="X32" i="19"/>
  <c r="X20" i="19"/>
  <c r="V20" i="53"/>
  <c r="V32" i="53"/>
  <c r="V19" i="53"/>
  <c r="R22" i="7"/>
  <c r="R20" i="7"/>
  <c r="R19" i="7"/>
  <c r="R32" i="7"/>
  <c r="Y19" i="59"/>
  <c r="Y20" i="59"/>
  <c r="Y32" i="59"/>
  <c r="V19" i="64"/>
  <c r="V20" i="64"/>
  <c r="V32" i="64"/>
  <c r="Q20" i="15"/>
  <c r="Q19" i="15"/>
  <c r="Q32" i="15"/>
  <c r="T19" i="30"/>
  <c r="T32" i="30"/>
  <c r="T20" i="30"/>
  <c r="S32" i="21"/>
  <c r="S20" i="21"/>
  <c r="S19" i="21"/>
  <c r="R20" i="55"/>
  <c r="R19" i="55"/>
  <c r="R32" i="55"/>
  <c r="P32" i="35"/>
  <c r="P62" i="35"/>
  <c r="P19" i="35"/>
  <c r="P50" i="35"/>
  <c r="P20" i="35"/>
  <c r="S32" i="56"/>
  <c r="S19" i="56"/>
  <c r="S20" i="56"/>
  <c r="U32" i="36"/>
  <c r="U19" i="36"/>
  <c r="U20" i="36"/>
  <c r="W19" i="28"/>
  <c r="W32" i="28"/>
  <c r="W20" i="28"/>
  <c r="W32" i="62"/>
  <c r="W20" i="62"/>
  <c r="W19" i="62"/>
  <c r="T20" i="62"/>
  <c r="T19" i="62"/>
  <c r="T32" i="62"/>
  <c r="X19" i="6"/>
  <c r="X152" i="6"/>
  <c r="X20" i="6"/>
  <c r="X32" i="6"/>
  <c r="S20" i="39"/>
  <c r="S19" i="39"/>
  <c r="S32" i="39"/>
  <c r="R20" i="56"/>
  <c r="R32" i="56"/>
  <c r="R19" i="56"/>
  <c r="O19" i="17"/>
  <c r="O32" i="17"/>
  <c r="O20" i="17"/>
  <c r="P19" i="22"/>
  <c r="P32" i="22"/>
  <c r="P20" i="22"/>
  <c r="Y19" i="37"/>
  <c r="Y32" i="37"/>
  <c r="T19" i="15"/>
  <c r="T32" i="15"/>
  <c r="T20" i="15"/>
  <c r="W19" i="55"/>
  <c r="W32" i="55"/>
  <c r="W20" i="55"/>
  <c r="R19" i="31"/>
  <c r="R39" i="31"/>
  <c r="R20" i="31"/>
  <c r="R32" i="31"/>
  <c r="U32" i="37"/>
  <c r="U19" i="37"/>
  <c r="V32" i="26"/>
  <c r="V20" i="26"/>
  <c r="V19" i="26"/>
  <c r="S19" i="61"/>
  <c r="S32" i="61"/>
  <c r="S20" i="61"/>
  <c r="U20" i="57"/>
  <c r="U32" i="57"/>
  <c r="U19" i="57"/>
  <c r="T50" i="35"/>
  <c r="T19" i="35"/>
  <c r="T20" i="35"/>
  <c r="T62" i="35"/>
  <c r="T32" i="35"/>
  <c r="Q20" i="31"/>
  <c r="Q32" i="31"/>
  <c r="Q39" i="31"/>
  <c r="Q19" i="31"/>
  <c r="Y32" i="34"/>
  <c r="Y20" i="34"/>
  <c r="Y19" i="34"/>
  <c r="Y63" i="34"/>
  <c r="X32" i="15"/>
  <c r="X19" i="15"/>
  <c r="X20" i="15"/>
  <c r="Q19" i="57"/>
  <c r="Q32" i="57"/>
  <c r="Q20" i="57"/>
  <c r="O20" i="34"/>
  <c r="O19" i="34"/>
  <c r="O63" i="34"/>
  <c r="O32" i="34"/>
  <c r="O19" i="6"/>
  <c r="O32" i="6"/>
  <c r="O152" i="6"/>
  <c r="O20" i="6"/>
  <c r="Q20" i="33"/>
  <c r="Q21" i="33"/>
  <c r="Q19" i="33"/>
  <c r="Q32" i="33"/>
  <c r="P19" i="7"/>
  <c r="P32" i="7"/>
  <c r="P22" i="7"/>
  <c r="P20" i="7"/>
  <c r="S20" i="27"/>
  <c r="S19" i="27"/>
  <c r="S32" i="27"/>
  <c r="T32" i="57"/>
  <c r="T20" i="57"/>
  <c r="T19" i="57"/>
  <c r="P19" i="32"/>
  <c r="P38" i="32"/>
  <c r="P32" i="32"/>
  <c r="P20" i="32"/>
  <c r="X20" i="55"/>
  <c r="X32" i="55"/>
  <c r="X19" i="55"/>
  <c r="O32" i="29"/>
  <c r="O20" i="29"/>
  <c r="O19" i="29"/>
  <c r="Z32" i="23"/>
  <c r="Z19" i="23"/>
  <c r="Z20" i="23"/>
  <c r="S19" i="24"/>
  <c r="S60" i="24"/>
  <c r="S20" i="24"/>
  <c r="S32" i="24"/>
  <c r="V19" i="36"/>
  <c r="V32" i="36"/>
  <c r="V20" i="36"/>
  <c r="X32" i="57"/>
  <c r="X19" i="57"/>
  <c r="X20" i="57"/>
  <c r="U20" i="9"/>
  <c r="U32" i="9"/>
  <c r="U19" i="9"/>
  <c r="V32" i="51"/>
  <c r="V20" i="51"/>
  <c r="V19" i="51"/>
  <c r="U32" i="30"/>
  <c r="U19" i="30"/>
  <c r="U20" i="30"/>
  <c r="Y20" i="32"/>
  <c r="Y38" i="32"/>
  <c r="Y32" i="32"/>
  <c r="Y19" i="32"/>
  <c r="S19" i="25"/>
  <c r="S20" i="25"/>
  <c r="S52" i="25"/>
  <c r="S32" i="25"/>
  <c r="V32" i="6"/>
  <c r="V20" i="6"/>
  <c r="V19" i="6"/>
  <c r="V152" i="6"/>
  <c r="V38" i="32"/>
  <c r="V20" i="32"/>
  <c r="V19" i="32"/>
  <c r="V32" i="32"/>
  <c r="S19" i="7"/>
  <c r="S32" i="7"/>
  <c r="S20" i="7"/>
  <c r="S22" i="7"/>
  <c r="U19" i="56"/>
  <c r="U20" i="56"/>
  <c r="U32" i="56"/>
  <c r="Q19" i="58"/>
  <c r="Q20" i="58"/>
  <c r="Q32" i="58"/>
  <c r="R32" i="58"/>
  <c r="R19" i="58"/>
  <c r="R20" i="58"/>
  <c r="W32" i="21"/>
  <c r="W19" i="21"/>
  <c r="W20" i="21"/>
  <c r="Q20" i="52"/>
  <c r="Q32" i="52"/>
  <c r="Q19" i="52"/>
  <c r="O32" i="53"/>
  <c r="O19" i="53"/>
  <c r="O20" i="53"/>
  <c r="Y20" i="54"/>
  <c r="Y32" i="54"/>
  <c r="Y19" i="54"/>
  <c r="V32" i="30"/>
  <c r="V20" i="30"/>
  <c r="V19" i="30"/>
  <c r="X20" i="29"/>
  <c r="X19" i="29"/>
  <c r="X32" i="29"/>
  <c r="T19" i="64"/>
  <c r="T20" i="64"/>
  <c r="T32" i="64"/>
  <c r="S32" i="57"/>
  <c r="S19" i="57"/>
  <c r="S20" i="57"/>
  <c r="Q20" i="11"/>
  <c r="Q19" i="11"/>
  <c r="Q32" i="11"/>
  <c r="Z32" i="21"/>
  <c r="Z19" i="21"/>
  <c r="Z20" i="21"/>
  <c r="W19" i="19"/>
  <c r="W20" i="19"/>
  <c r="W32" i="19"/>
  <c r="T32" i="16"/>
  <c r="T20" i="16"/>
  <c r="T19" i="16"/>
  <c r="R32" i="57"/>
  <c r="R20" i="57"/>
  <c r="R19" i="57"/>
  <c r="Y52" i="25"/>
  <c r="Y32" i="25"/>
  <c r="Y20" i="25"/>
  <c r="Y19" i="25"/>
  <c r="V20" i="17"/>
  <c r="V32" i="17"/>
  <c r="V19" i="17"/>
  <c r="S20" i="19"/>
  <c r="S19" i="19"/>
  <c r="S32" i="19"/>
  <c r="U19" i="53"/>
  <c r="U32" i="53"/>
  <c r="U20" i="53"/>
  <c r="R19" i="37"/>
  <c r="R32" i="37"/>
  <c r="Q63" i="34"/>
  <c r="Q19" i="34"/>
  <c r="Q32" i="34"/>
  <c r="Q20" i="34"/>
  <c r="Y32" i="61"/>
  <c r="Y19" i="61"/>
  <c r="Y20" i="61"/>
  <c r="Q19" i="61"/>
  <c r="Q20" i="61"/>
  <c r="Q32" i="61"/>
  <c r="P32" i="31"/>
  <c r="P20" i="31"/>
  <c r="P39" i="31"/>
  <c r="P19" i="31"/>
  <c r="X20" i="9"/>
  <c r="X19" i="9"/>
  <c r="X32" i="9"/>
  <c r="X32" i="22"/>
  <c r="X19" i="22"/>
  <c r="X20" i="22"/>
  <c r="V19" i="19"/>
  <c r="V32" i="19"/>
  <c r="V20" i="19"/>
  <c r="W19" i="37"/>
  <c r="W32" i="37"/>
  <c r="S19" i="51"/>
  <c r="S32" i="51"/>
  <c r="S20" i="51"/>
  <c r="P19" i="37"/>
  <c r="P32" i="37"/>
  <c r="S19" i="37"/>
  <c r="S32" i="37"/>
  <c r="R52" i="25"/>
  <c r="R19" i="25"/>
  <c r="R32" i="25"/>
  <c r="R20" i="25"/>
  <c r="R19" i="39"/>
  <c r="R32" i="39"/>
  <c r="R20" i="39"/>
  <c r="Y62" i="35"/>
  <c r="Y19" i="35"/>
  <c r="Y32" i="35"/>
  <c r="Y20" i="35"/>
  <c r="Y50" i="35"/>
  <c r="R32" i="35"/>
  <c r="R62" i="35"/>
  <c r="R20" i="35"/>
  <c r="R19" i="35"/>
  <c r="R50" i="35"/>
  <c r="W19" i="53"/>
  <c r="W20" i="53"/>
  <c r="W32" i="53"/>
  <c r="Y20" i="58"/>
  <c r="Y19" i="58"/>
  <c r="Y32" i="58"/>
  <c r="Z32" i="25"/>
  <c r="Z19" i="25"/>
  <c r="Z52" i="25"/>
  <c r="Z20" i="25"/>
  <c r="Z19" i="15"/>
  <c r="Z20" i="15"/>
  <c r="Z32" i="15"/>
  <c r="P60" i="24"/>
  <c r="P32" i="24"/>
  <c r="P20" i="24"/>
  <c r="P19" i="24"/>
  <c r="P32" i="16"/>
  <c r="P20" i="16"/>
  <c r="P19" i="16"/>
  <c r="R19" i="21"/>
  <c r="R20" i="21"/>
  <c r="R32" i="21"/>
  <c r="U20" i="22"/>
  <c r="U32" i="22"/>
  <c r="U19" i="22"/>
  <c r="P20" i="34"/>
  <c r="P32" i="34"/>
  <c r="P19" i="34"/>
  <c r="P63" i="34"/>
  <c r="Z32" i="52"/>
  <c r="Z19" i="52"/>
  <c r="Z20" i="52"/>
  <c r="O20" i="20"/>
  <c r="O19" i="20"/>
  <c r="O32" i="20"/>
  <c r="Q20" i="29"/>
  <c r="Q19" i="29"/>
  <c r="Q32" i="29"/>
  <c r="X20" i="56"/>
  <c r="X32" i="56"/>
  <c r="X19" i="56"/>
  <c r="T32" i="36"/>
  <c r="T19" i="36"/>
  <c r="T20" i="36"/>
  <c r="W20" i="58"/>
  <c r="W32" i="58"/>
  <c r="W19" i="58"/>
  <c r="Q19" i="21"/>
  <c r="Q20" i="21"/>
  <c r="Q32" i="21"/>
  <c r="S32" i="28"/>
  <c r="S20" i="28"/>
  <c r="S19" i="28"/>
  <c r="P19" i="11"/>
  <c r="P20" i="11"/>
  <c r="P32" i="11"/>
  <c r="U63" i="34"/>
  <c r="U32" i="34"/>
  <c r="U19" i="34"/>
  <c r="U20" i="34"/>
  <c r="Z20" i="20"/>
  <c r="Z19" i="20"/>
  <c r="Z32" i="20"/>
  <c r="Y60" i="24"/>
  <c r="Y19" i="24"/>
  <c r="Y20" i="24"/>
  <c r="Y32" i="24"/>
  <c r="U32" i="54"/>
  <c r="U20" i="54"/>
  <c r="U19" i="54"/>
  <c r="U32" i="31"/>
  <c r="U39" i="31"/>
  <c r="U19" i="31"/>
  <c r="U20" i="31"/>
  <c r="U20" i="24"/>
  <c r="U32" i="24"/>
  <c r="U60" i="24"/>
  <c r="U19" i="24"/>
  <c r="S19" i="29"/>
  <c r="S20" i="29"/>
  <c r="S32" i="29"/>
  <c r="Y20" i="36"/>
  <c r="Y32" i="36"/>
  <c r="Y19" i="36"/>
  <c r="S19" i="18"/>
  <c r="S32" i="18"/>
  <c r="Y20" i="27"/>
  <c r="Y32" i="27"/>
  <c r="Y19" i="27"/>
  <c r="Q32" i="24"/>
  <c r="Q60" i="24"/>
  <c r="Q20" i="24"/>
  <c r="Q19" i="24"/>
  <c r="T63" i="34"/>
  <c r="T19" i="34"/>
  <c r="T20" i="34"/>
  <c r="T32" i="34"/>
  <c r="O20" i="19"/>
  <c r="O32" i="19"/>
  <c r="O19" i="19"/>
  <c r="P20" i="25"/>
  <c r="P19" i="25"/>
  <c r="P32" i="25"/>
  <c r="P52" i="25"/>
  <c r="W20" i="17"/>
  <c r="W32" i="17"/>
  <c r="W19" i="17"/>
  <c r="Q20" i="39"/>
  <c r="Q32" i="39"/>
  <c r="Q19" i="39"/>
  <c r="R19" i="27"/>
  <c r="R32" i="27"/>
  <c r="R20" i="27"/>
  <c r="W32" i="18"/>
  <c r="W19" i="18"/>
  <c r="Y39" i="31"/>
  <c r="Y20" i="31"/>
  <c r="Y32" i="31"/>
  <c r="Y19" i="31"/>
  <c r="S32" i="11"/>
  <c r="S19" i="11"/>
  <c r="S20" i="11"/>
  <c r="Q20" i="64"/>
  <c r="Q32" i="64"/>
  <c r="Q19" i="64"/>
  <c r="T19" i="53"/>
  <c r="T32" i="53"/>
  <c r="T20" i="53"/>
  <c r="N32" i="24"/>
  <c r="N19" i="24"/>
  <c r="N60" i="24"/>
  <c r="N20" i="24"/>
  <c r="Q32" i="18"/>
  <c r="Q19" i="18"/>
  <c r="V19" i="21"/>
  <c r="V20" i="21"/>
  <c r="V32" i="21"/>
  <c r="Y32" i="9"/>
  <c r="Y20" i="9"/>
  <c r="Y19" i="9"/>
  <c r="P32" i="26"/>
  <c r="P19" i="26"/>
  <c r="P20" i="26"/>
  <c r="X19" i="23"/>
  <c r="X32" i="23"/>
  <c r="X20" i="23"/>
  <c r="W39" i="31"/>
  <c r="W32" i="31"/>
  <c r="W19" i="31"/>
  <c r="W20" i="31"/>
  <c r="S32" i="15"/>
  <c r="S20" i="15"/>
  <c r="S19" i="15"/>
  <c r="Q19" i="62"/>
  <c r="Q32" i="62"/>
  <c r="Q20" i="62"/>
  <c r="Q19" i="63"/>
  <c r="Q32" i="63"/>
  <c r="Q20" i="63"/>
  <c r="T32" i="59"/>
  <c r="T19" i="59"/>
  <c r="T20" i="59"/>
  <c r="Q20" i="54"/>
  <c r="Q19" i="54"/>
  <c r="Q32" i="54"/>
  <c r="R32" i="63"/>
  <c r="R20" i="63"/>
  <c r="R19" i="63"/>
  <c r="O19" i="9"/>
  <c r="O20" i="9"/>
  <c r="O32" i="9"/>
  <c r="Z32" i="26"/>
  <c r="Z20" i="26"/>
  <c r="Z19" i="26"/>
  <c r="X32" i="37"/>
  <c r="X19" i="37"/>
  <c r="X19" i="7"/>
  <c r="X20" i="7"/>
  <c r="X22" i="7"/>
  <c r="X32" i="7"/>
  <c r="Q20" i="22"/>
  <c r="Q19" i="22"/>
  <c r="Q32" i="22"/>
  <c r="Y32" i="26"/>
  <c r="Y20" i="26"/>
  <c r="Y19" i="26"/>
  <c r="R20" i="9"/>
  <c r="R19" i="9"/>
  <c r="R32" i="9"/>
  <c r="P19" i="61"/>
  <c r="P20" i="61"/>
  <c r="P32" i="61"/>
  <c r="U32" i="61"/>
  <c r="U20" i="61"/>
  <c r="U19" i="61"/>
  <c r="Q19" i="37"/>
  <c r="Q32" i="37"/>
  <c r="O38" i="32"/>
  <c r="O20" i="32"/>
  <c r="O19" i="32"/>
  <c r="O32" i="32"/>
  <c r="O32" i="27"/>
  <c r="O20" i="27"/>
  <c r="O19" i="27"/>
  <c r="P19" i="57"/>
  <c r="P20" i="57"/>
  <c r="P32" i="57"/>
  <c r="T60" i="24"/>
  <c r="T20" i="24"/>
  <c r="T32" i="24"/>
  <c r="T19" i="24"/>
  <c r="Q19" i="7"/>
  <c r="Q22" i="7"/>
  <c r="Q32" i="7"/>
  <c r="Q20" i="7"/>
  <c r="Z20" i="32"/>
  <c r="Z19" i="32"/>
  <c r="Z38" i="32"/>
  <c r="Z32" i="32"/>
  <c r="V19" i="20"/>
  <c r="V32" i="20"/>
  <c r="V20" i="20"/>
  <c r="Z20" i="34"/>
  <c r="Z63" i="34"/>
  <c r="Z32" i="34"/>
  <c r="Z19" i="34"/>
  <c r="X19" i="28"/>
  <c r="X32" i="28"/>
  <c r="X20" i="28"/>
  <c r="T32" i="27"/>
  <c r="T20" i="27"/>
  <c r="T19" i="27"/>
  <c r="V32" i="57"/>
  <c r="V20" i="57"/>
  <c r="V19" i="57"/>
  <c r="X20" i="25"/>
  <c r="X32" i="25"/>
  <c r="X52" i="25"/>
  <c r="X19" i="25"/>
  <c r="W19" i="23"/>
  <c r="W32" i="23"/>
  <c r="W20" i="23"/>
  <c r="Q19" i="35"/>
  <c r="Q20" i="35"/>
  <c r="Q62" i="35"/>
  <c r="Q32" i="35"/>
  <c r="Q50" i="35"/>
  <c r="U19" i="58"/>
  <c r="U32" i="58"/>
  <c r="U20" i="58"/>
  <c r="O20" i="36"/>
  <c r="O32" i="36"/>
  <c r="O19" i="36"/>
  <c r="X19" i="21"/>
  <c r="X20" i="21"/>
  <c r="X32" i="21"/>
  <c r="P20" i="33"/>
  <c r="P21" i="33"/>
  <c r="P32" i="33"/>
  <c r="P19" i="33"/>
  <c r="X32" i="59"/>
  <c r="X19" i="59"/>
  <c r="X20" i="59"/>
  <c r="V32" i="55"/>
  <c r="V19" i="55"/>
  <c r="V20" i="55"/>
  <c r="Z19" i="16"/>
  <c r="Z32" i="16"/>
  <c r="Z20" i="16"/>
  <c r="T20" i="17"/>
  <c r="T32" i="17"/>
  <c r="T19" i="17"/>
  <c r="O19" i="15"/>
  <c r="O32" i="15"/>
  <c r="O20" i="15"/>
  <c r="U19" i="39"/>
  <c r="U20" i="39"/>
  <c r="U32" i="39"/>
  <c r="Y32" i="56"/>
  <c r="Y19" i="56"/>
  <c r="Y20" i="56"/>
  <c r="R32" i="33"/>
  <c r="R21" i="33"/>
  <c r="R20" i="33"/>
  <c r="R19" i="33"/>
  <c r="S50" i="35"/>
  <c r="S20" i="35"/>
  <c r="S19" i="35"/>
  <c r="S32" i="35"/>
  <c r="S62" i="35"/>
  <c r="O19" i="18"/>
  <c r="O32" i="18"/>
  <c r="R19" i="52"/>
  <c r="R32" i="52"/>
  <c r="R20" i="52"/>
  <c r="P20" i="64"/>
  <c r="P32" i="64"/>
  <c r="P19" i="64"/>
  <c r="R20" i="64"/>
  <c r="R32" i="64"/>
  <c r="R19" i="64"/>
  <c r="X32" i="26"/>
  <c r="X19" i="26"/>
  <c r="X20" i="26"/>
  <c r="Q19" i="6"/>
  <c r="Q152" i="6"/>
  <c r="Q20" i="6"/>
  <c r="Q32" i="6"/>
  <c r="U38" i="32"/>
  <c r="U19" i="32"/>
  <c r="U32" i="32"/>
  <c r="U20" i="32"/>
  <c r="P20" i="30"/>
  <c r="P32" i="30"/>
  <c r="P19" i="30"/>
  <c r="X32" i="62"/>
  <c r="X19" i="62"/>
  <c r="X20" i="62"/>
  <c r="S32" i="6"/>
  <c r="S152" i="6"/>
  <c r="S19" i="6"/>
  <c r="S20" i="6"/>
  <c r="Y32" i="20"/>
  <c r="Y20" i="20"/>
  <c r="Y19" i="20"/>
  <c r="V20" i="29"/>
  <c r="V19" i="29"/>
  <c r="V32" i="29"/>
  <c r="O32" i="55"/>
  <c r="O20" i="55"/>
  <c r="O19" i="55"/>
  <c r="U32" i="63"/>
  <c r="U19" i="63"/>
  <c r="U20" i="63"/>
  <c r="O32" i="58"/>
  <c r="O19" i="58"/>
  <c r="O20" i="58"/>
  <c r="X20" i="63"/>
  <c r="X32" i="63"/>
  <c r="X19" i="63"/>
  <c r="Y32" i="63"/>
  <c r="Y19" i="63"/>
  <c r="Y20" i="63"/>
  <c r="P20" i="62"/>
  <c r="P32" i="62"/>
  <c r="P19" i="62"/>
  <c r="Y22" i="7"/>
  <c r="Y20" i="7"/>
  <c r="Y32" i="7"/>
  <c r="Y19" i="7"/>
  <c r="Z20" i="4"/>
  <c r="Z32" i="4"/>
  <c r="Z19" i="4"/>
  <c r="O19" i="16"/>
  <c r="O20" i="16"/>
  <c r="O32" i="16"/>
  <c r="W19" i="16"/>
  <c r="W32" i="16"/>
  <c r="W20" i="16"/>
  <c r="N19" i="37"/>
  <c r="N32" i="37"/>
  <c r="O19" i="51"/>
  <c r="O32" i="51"/>
  <c r="O20" i="51"/>
  <c r="W32" i="27"/>
  <c r="W20" i="27"/>
  <c r="W19" i="27"/>
  <c r="U32" i="26"/>
  <c r="U20" i="26"/>
  <c r="U19" i="26"/>
  <c r="Y32" i="52"/>
  <c r="Y19" i="52"/>
  <c r="Y20" i="52"/>
  <c r="V32" i="59"/>
  <c r="V19" i="59"/>
  <c r="V20" i="59"/>
  <c r="Z32" i="61"/>
  <c r="Z19" i="61"/>
  <c r="Z20" i="61"/>
  <c r="X19" i="61"/>
  <c r="X20" i="61"/>
  <c r="X32" i="61"/>
  <c r="P32" i="15"/>
  <c r="P20" i="15"/>
  <c r="P19" i="15"/>
  <c r="W32" i="7"/>
  <c r="W19" i="7"/>
  <c r="W22" i="7"/>
  <c r="W20" i="7"/>
  <c r="Q32" i="26"/>
  <c r="Q20" i="26"/>
  <c r="Q19" i="26"/>
  <c r="U20" i="51"/>
  <c r="U32" i="51"/>
  <c r="U19" i="51"/>
  <c r="O32" i="26"/>
  <c r="O19" i="26"/>
  <c r="O20" i="26"/>
  <c r="Y19" i="11"/>
  <c r="Y32" i="11"/>
  <c r="Y20" i="11"/>
  <c r="P20" i="19"/>
  <c r="P32" i="19"/>
  <c r="P19" i="19"/>
  <c r="V63" i="34"/>
  <c r="V32" i="34"/>
  <c r="V20" i="34"/>
  <c r="V19" i="34"/>
  <c r="P20" i="54"/>
  <c r="P19" i="54"/>
  <c r="P32" i="54"/>
  <c r="T32" i="20"/>
  <c r="T19" i="20"/>
  <c r="T20" i="20"/>
  <c r="S20" i="20"/>
  <c r="S19" i="20"/>
  <c r="S32" i="20"/>
  <c r="U32" i="55"/>
  <c r="U20" i="55"/>
  <c r="U19" i="55"/>
  <c r="Y19" i="15"/>
  <c r="Y20" i="15"/>
  <c r="Y32" i="15"/>
  <c r="Z32" i="55"/>
  <c r="Z19" i="55"/>
  <c r="Z20" i="55"/>
  <c r="Q20" i="27"/>
  <c r="Q32" i="27"/>
  <c r="Q19" i="27"/>
  <c r="T19" i="26"/>
  <c r="T20" i="26"/>
  <c r="T32" i="26"/>
  <c r="V19" i="52"/>
  <c r="V32" i="52"/>
  <c r="V20" i="52"/>
  <c r="V32" i="15"/>
  <c r="V19" i="15"/>
  <c r="V20" i="15"/>
  <c r="U32" i="20"/>
  <c r="U19" i="20"/>
  <c r="U20" i="20"/>
  <c r="R32" i="23"/>
  <c r="R19" i="23"/>
  <c r="R20" i="23"/>
  <c r="Z19" i="56"/>
  <c r="Z32" i="56"/>
  <c r="Z20" i="56"/>
  <c r="U19" i="19"/>
  <c r="U32" i="19"/>
  <c r="U20" i="19"/>
  <c r="Q19" i="23"/>
  <c r="Q32" i="23"/>
  <c r="Q20" i="23"/>
  <c r="X32" i="36"/>
  <c r="X20" i="36"/>
  <c r="X19" i="36"/>
  <c r="W32" i="59"/>
  <c r="W19" i="59"/>
  <c r="W20" i="59"/>
  <c r="P19" i="58"/>
  <c r="P32" i="58"/>
  <c r="P20" i="58"/>
  <c r="X19" i="52"/>
  <c r="X32" i="52"/>
  <c r="X20" i="52"/>
  <c r="W19" i="35"/>
  <c r="W20" i="35"/>
  <c r="W32" i="35"/>
  <c r="W50" i="35"/>
  <c r="W62" i="35"/>
  <c r="U152" i="6"/>
  <c r="U19" i="6"/>
  <c r="U20" i="6"/>
  <c r="U32" i="6"/>
  <c r="S19" i="31"/>
  <c r="S32" i="31"/>
  <c r="S39" i="31"/>
  <c r="S20" i="31"/>
  <c r="T32" i="58"/>
  <c r="T20" i="58"/>
  <c r="T19" i="58"/>
  <c r="Z19" i="7"/>
  <c r="Z22" i="7"/>
  <c r="Z20" i="7"/>
  <c r="Z32" i="7"/>
  <c r="Q20" i="17"/>
  <c r="Q32" i="17"/>
  <c r="Q19" i="17"/>
  <c r="S19" i="59"/>
  <c r="S32" i="59"/>
  <c r="S20" i="59"/>
  <c r="O19" i="21"/>
  <c r="O32" i="21"/>
  <c r="O20" i="21"/>
  <c r="Y20" i="51"/>
  <c r="Y19" i="51"/>
  <c r="Y32" i="51"/>
  <c r="Z32" i="9"/>
  <c r="Z20" i="9"/>
  <c r="Z19" i="9"/>
  <c r="X32" i="16"/>
  <c r="X20" i="16"/>
  <c r="X19" i="16"/>
  <c r="R20" i="36"/>
  <c r="R32" i="36"/>
  <c r="R19" i="36"/>
  <c r="V32" i="7"/>
  <c r="V22" i="7"/>
  <c r="V20" i="7"/>
  <c r="V19" i="7"/>
  <c r="Z19" i="6"/>
  <c r="Z152" i="6"/>
  <c r="Z20" i="6"/>
  <c r="Z32" i="6"/>
  <c r="P32" i="20"/>
  <c r="P20" i="20"/>
  <c r="P19" i="20"/>
  <c r="X32" i="18"/>
  <c r="X19" i="18"/>
  <c r="O19" i="64"/>
  <c r="O20" i="64"/>
  <c r="O32" i="64"/>
  <c r="U32" i="64"/>
  <c r="U20" i="64"/>
  <c r="U19" i="64"/>
  <c r="Q19" i="28"/>
  <c r="Q32" i="28"/>
  <c r="Q20" i="28"/>
  <c r="R20" i="59"/>
  <c r="R19" i="59"/>
  <c r="R32" i="59"/>
  <c r="Y32" i="21"/>
  <c r="Y19" i="21"/>
  <c r="Y20" i="21"/>
  <c r="U32" i="28"/>
  <c r="U19" i="28"/>
  <c r="U20" i="28"/>
  <c r="W32" i="15"/>
  <c r="W20" i="15"/>
  <c r="W19" i="15"/>
  <c r="S19" i="55"/>
  <c r="S20" i="55"/>
  <c r="S32" i="55"/>
  <c r="Q32" i="32"/>
  <c r="Q20" i="32"/>
  <c r="Q19" i="32"/>
  <c r="Q38" i="32"/>
  <c r="Y19" i="62"/>
  <c r="Y20" i="62"/>
  <c r="Y32" i="62"/>
  <c r="U32" i="18"/>
  <c r="U19" i="18"/>
  <c r="Y20" i="55"/>
  <c r="Y19" i="55"/>
  <c r="Y32" i="55"/>
  <c r="T20" i="19"/>
  <c r="T32" i="19"/>
  <c r="T19" i="19"/>
  <c r="Z19" i="18"/>
  <c r="Z32" i="18"/>
  <c r="P19" i="63"/>
  <c r="P20" i="63"/>
  <c r="P32" i="63"/>
  <c r="S19" i="63"/>
  <c r="S20" i="63"/>
  <c r="S32" i="63"/>
  <c r="Z20" i="62"/>
  <c r="Z19" i="62"/>
  <c r="Z32" i="62"/>
  <c r="A14" i="37"/>
  <c r="A44" i="37"/>
  <c r="Z94" i="37" l="1"/>
  <c r="AE94" i="37" s="1"/>
  <c r="N95" i="37"/>
  <c r="Q95" i="37"/>
  <c r="Q71" i="37" s="1"/>
  <c r="Q72" i="37" s="1"/>
  <c r="Q74" i="37" s="1"/>
  <c r="X95" i="37"/>
  <c r="X71" i="37" s="1"/>
  <c r="X72" i="37" s="1"/>
  <c r="X74" i="37" s="1"/>
  <c r="S95" i="37"/>
  <c r="S71" i="37" s="1"/>
  <c r="S72" i="37" s="1"/>
  <c r="S74" i="37" s="1"/>
  <c r="P95" i="37"/>
  <c r="P71" i="37" s="1"/>
  <c r="P72" i="37" s="1"/>
  <c r="P74" i="37" s="1"/>
  <c r="W95" i="37"/>
  <c r="W71" i="37" s="1"/>
  <c r="W72" i="37" s="1"/>
  <c r="W74" i="37" s="1"/>
  <c r="R95" i="37"/>
  <c r="R71" i="37" s="1"/>
  <c r="R72" i="37" s="1"/>
  <c r="R74" i="37" s="1"/>
  <c r="U95" i="37"/>
  <c r="U71" i="37" s="1"/>
  <c r="U72" i="37" s="1"/>
  <c r="U74" i="37" s="1"/>
  <c r="Y95" i="37"/>
  <c r="Y71" i="37" s="1"/>
  <c r="Y72" i="37" s="1"/>
  <c r="Y74" i="37" s="1"/>
  <c r="T95" i="37"/>
  <c r="T71" i="37" s="1"/>
  <c r="T72" i="37" s="1"/>
  <c r="T74" i="37" s="1"/>
  <c r="O95" i="37"/>
  <c r="O71" i="37" s="1"/>
  <c r="O72" i="37" s="1"/>
  <c r="O74" i="37" s="1"/>
  <c r="V95" i="37"/>
  <c r="V71" i="37" s="1"/>
  <c r="V72" i="37" s="1"/>
  <c r="V74" i="37" s="1"/>
  <c r="AN74" i="23"/>
  <c r="AM74" i="23"/>
  <c r="AN58" i="23"/>
  <c r="AM58" i="23"/>
  <c r="AM56" i="23"/>
  <c r="AN56" i="23"/>
  <c r="AB96" i="65"/>
  <c r="AB79" i="65"/>
  <c r="AB80" i="65"/>
  <c r="AB82" i="65"/>
  <c r="AB92" i="65"/>
  <c r="AB90" i="65"/>
  <c r="AB78" i="65"/>
  <c r="AB91" i="65"/>
  <c r="AB86" i="65"/>
  <c r="AB93" i="65"/>
  <c r="AB81" i="65"/>
  <c r="AB55" i="65"/>
  <c r="AB39" i="65"/>
  <c r="AB52" i="65"/>
  <c r="AB44" i="65"/>
  <c r="AB36" i="65"/>
  <c r="AB53" i="65"/>
  <c r="AB45" i="65"/>
  <c r="AB37" i="65"/>
  <c r="AB51" i="65"/>
  <c r="AB38" i="65"/>
  <c r="AB46" i="65"/>
  <c r="AB43" i="65"/>
  <c r="AB49" i="65"/>
  <c r="AB41" i="65"/>
  <c r="AB50" i="65"/>
  <c r="AB42" i="65"/>
  <c r="AB56" i="65"/>
  <c r="AB48" i="65"/>
  <c r="AB40" i="65"/>
  <c r="AB97" i="65"/>
  <c r="AB100" i="65"/>
  <c r="AB89" i="65"/>
  <c r="AB35" i="65"/>
  <c r="AB99" i="65"/>
  <c r="AA115" i="68"/>
  <c r="AB56" i="68"/>
  <c r="AB58" i="68"/>
  <c r="AB75" i="68"/>
  <c r="AB35" i="68"/>
  <c r="AB39" i="68"/>
  <c r="AB57" i="68"/>
  <c r="AB74" i="68"/>
  <c r="AB55" i="68"/>
  <c r="AB36" i="68"/>
  <c r="AB38" i="68"/>
  <c r="AB59" i="68"/>
  <c r="AB105" i="68"/>
  <c r="AB88" i="68"/>
  <c r="AB98" i="68"/>
  <c r="AB97" i="68"/>
  <c r="AB92" i="68"/>
  <c r="AB68" i="68"/>
  <c r="AB65" i="68"/>
  <c r="AB103" i="68"/>
  <c r="AB45" i="68"/>
  <c r="AB91" i="68"/>
  <c r="AB69" i="68"/>
  <c r="AB49" i="68"/>
  <c r="AB96" i="68"/>
  <c r="AB82" i="68"/>
  <c r="AB104" i="68"/>
  <c r="AB89" i="68"/>
  <c r="AB66" i="68"/>
  <c r="AB106" i="68"/>
  <c r="AB48" i="68"/>
  <c r="AB90" i="68"/>
  <c r="AB102" i="68"/>
  <c r="AB67" i="68"/>
  <c r="AB47" i="68"/>
  <c r="AB46" i="68"/>
  <c r="AB99" i="68"/>
  <c r="AB108" i="68"/>
  <c r="AB109" i="68"/>
  <c r="AB111" i="68"/>
  <c r="AB112" i="68"/>
  <c r="AB110" i="68"/>
  <c r="AN70" i="65"/>
  <c r="AM70" i="65"/>
  <c r="AB66" i="70"/>
  <c r="AB91" i="70"/>
  <c r="AB97" i="70"/>
  <c r="AB99" i="70"/>
  <c r="AB69" i="70"/>
  <c r="AB92" i="70"/>
  <c r="AB90" i="70"/>
  <c r="AB65" i="70"/>
  <c r="AB104" i="70"/>
  <c r="AB106" i="70"/>
  <c r="AB82" i="70"/>
  <c r="AB58" i="70"/>
  <c r="AB35" i="70"/>
  <c r="AB57" i="70"/>
  <c r="AB56" i="70"/>
  <c r="AB55" i="70"/>
  <c r="AB59" i="70"/>
  <c r="AB39" i="70"/>
  <c r="AB111" i="70"/>
  <c r="AB112" i="70"/>
  <c r="AB110" i="70"/>
  <c r="AB39" i="67"/>
  <c r="AB44" i="67"/>
  <c r="AB56" i="67"/>
  <c r="AB37" i="67"/>
  <c r="AB55" i="67"/>
  <c r="AB38" i="67"/>
  <c r="AB42" i="67"/>
  <c r="AB41" i="67"/>
  <c r="AB45" i="67"/>
  <c r="AB43" i="67"/>
  <c r="AB46" i="67"/>
  <c r="AB52" i="67"/>
  <c r="AB53" i="67"/>
  <c r="AB51" i="67"/>
  <c r="AB49" i="67"/>
  <c r="AB36" i="67"/>
  <c r="AB48" i="67"/>
  <c r="AB40" i="67"/>
  <c r="AB50" i="67"/>
  <c r="AB35" i="67"/>
  <c r="AD20" i="68"/>
  <c r="AB83" i="68"/>
  <c r="AB66" i="66"/>
  <c r="AB68" i="66"/>
  <c r="AB45" i="66"/>
  <c r="AB47" i="66"/>
  <c r="AB67" i="66"/>
  <c r="AB100" i="66"/>
  <c r="AB108" i="66"/>
  <c r="AB65" i="66"/>
  <c r="AB114" i="66"/>
  <c r="AB46" i="66"/>
  <c r="AB48" i="66"/>
  <c r="AB98" i="66"/>
  <c r="AB116" i="66"/>
  <c r="AB106" i="66"/>
  <c r="AB112" i="66"/>
  <c r="AB69" i="66"/>
  <c r="AB102" i="66"/>
  <c r="AB99" i="66"/>
  <c r="AB55" i="66"/>
  <c r="AB39" i="66"/>
  <c r="AB115" i="66"/>
  <c r="AB35" i="66"/>
  <c r="AB121" i="66"/>
  <c r="AB36" i="66"/>
  <c r="AB107" i="66"/>
  <c r="AB75" i="66"/>
  <c r="AB109" i="66"/>
  <c r="AB82" i="66"/>
  <c r="AB38" i="66"/>
  <c r="AB119" i="66"/>
  <c r="AB101" i="66"/>
  <c r="AB74" i="66"/>
  <c r="AB56" i="66"/>
  <c r="AB59" i="66"/>
  <c r="AB58" i="66"/>
  <c r="AB113" i="66"/>
  <c r="AB120" i="66"/>
  <c r="AB49" i="66"/>
  <c r="AB57" i="66"/>
  <c r="AB122" i="66"/>
  <c r="AB118" i="66"/>
  <c r="AB52" i="69"/>
  <c r="AB46" i="69"/>
  <c r="AB48" i="69"/>
  <c r="AB50" i="69"/>
  <c r="AB49" i="69"/>
  <c r="AB51" i="69"/>
  <c r="AB55" i="69"/>
  <c r="AB40" i="69"/>
  <c r="AB39" i="69"/>
  <c r="AB53" i="69"/>
  <c r="AB41" i="69"/>
  <c r="AB37" i="69"/>
  <c r="AB45" i="69"/>
  <c r="AB56" i="69"/>
  <c r="AB44" i="69"/>
  <c r="AB35" i="69"/>
  <c r="AJ43" i="69"/>
  <c r="AJ44" i="69"/>
  <c r="AJ51" i="69"/>
  <c r="AJ52" i="69"/>
  <c r="AJ36" i="69"/>
  <c r="AJ42" i="69"/>
  <c r="AJ40" i="69"/>
  <c r="AJ49" i="69"/>
  <c r="AJ50" i="69"/>
  <c r="AJ55" i="69"/>
  <c r="AJ56" i="69"/>
  <c r="AJ39" i="69"/>
  <c r="AJ53" i="69"/>
  <c r="AJ46" i="69"/>
  <c r="AJ48" i="69"/>
  <c r="AJ54" i="69"/>
  <c r="AJ45" i="69"/>
  <c r="AJ41" i="69"/>
  <c r="AJ37" i="69"/>
  <c r="AJ38" i="69"/>
  <c r="AJ47" i="69"/>
  <c r="AJ56" i="67"/>
  <c r="AJ55" i="67"/>
  <c r="AJ48" i="67"/>
  <c r="AJ41" i="67"/>
  <c r="AJ47" i="67"/>
  <c r="AJ37" i="67"/>
  <c r="AJ38" i="67"/>
  <c r="AJ52" i="67"/>
  <c r="AJ43" i="67"/>
  <c r="AJ45" i="67"/>
  <c r="AJ39" i="67"/>
  <c r="AJ53" i="67"/>
  <c r="AJ40" i="67"/>
  <c r="AJ46" i="67"/>
  <c r="AJ42" i="67"/>
  <c r="AJ44" i="67"/>
  <c r="AJ49" i="67"/>
  <c r="AJ54" i="67"/>
  <c r="AJ50" i="67"/>
  <c r="AJ51" i="67"/>
  <c r="AJ36" i="67"/>
  <c r="AJ82" i="65"/>
  <c r="AJ85" i="65"/>
  <c r="AJ93" i="65"/>
  <c r="AJ83" i="65"/>
  <c r="AJ92" i="65"/>
  <c r="AJ91" i="65"/>
  <c r="AJ90" i="65"/>
  <c r="AJ75" i="65"/>
  <c r="AJ94" i="65"/>
  <c r="AJ80" i="65"/>
  <c r="AJ81" i="65"/>
  <c r="AJ86" i="65"/>
  <c r="AJ78" i="65"/>
  <c r="AJ84" i="65"/>
  <c r="AJ79" i="65"/>
  <c r="AJ95" i="65"/>
  <c r="AJ96" i="65"/>
  <c r="AJ62" i="65"/>
  <c r="AJ36" i="65"/>
  <c r="AJ50" i="65"/>
  <c r="AJ66" i="65"/>
  <c r="AJ48" i="65"/>
  <c r="AJ37" i="65"/>
  <c r="AJ67" i="65"/>
  <c r="AJ61" i="65"/>
  <c r="AJ46" i="65"/>
  <c r="AJ52" i="65"/>
  <c r="AJ42" i="65"/>
  <c r="AJ45" i="65"/>
  <c r="AJ68" i="65"/>
  <c r="AJ64" i="65"/>
  <c r="AJ44" i="65"/>
  <c r="AJ51" i="65"/>
  <c r="AJ47" i="65"/>
  <c r="AJ40" i="65"/>
  <c r="AJ53" i="65"/>
  <c r="AJ39" i="65"/>
  <c r="AJ41" i="65"/>
  <c r="AJ54" i="65"/>
  <c r="AJ49" i="65"/>
  <c r="AJ55" i="65"/>
  <c r="AJ63" i="65"/>
  <c r="AJ43" i="65"/>
  <c r="AJ65" i="65"/>
  <c r="AJ56" i="65"/>
  <c r="AJ38" i="65"/>
  <c r="AA20" i="64"/>
  <c r="AA19" i="64"/>
  <c r="AJ32" i="9"/>
  <c r="AA20" i="21"/>
  <c r="AA19" i="21"/>
  <c r="AJ32" i="7"/>
  <c r="W52" i="35"/>
  <c r="W59" i="35" s="1"/>
  <c r="AA20" i="26"/>
  <c r="AA19" i="26"/>
  <c r="AJ32" i="61"/>
  <c r="AA20" i="51"/>
  <c r="AA19" i="51"/>
  <c r="Z19" i="37"/>
  <c r="AA20" i="16"/>
  <c r="AA19" i="16"/>
  <c r="AJ32" i="4"/>
  <c r="AA20" i="58"/>
  <c r="AB87" i="58" s="1"/>
  <c r="AA19" i="58"/>
  <c r="AA19" i="55"/>
  <c r="AA20" i="55"/>
  <c r="AB87" i="55" s="1"/>
  <c r="AA19" i="18"/>
  <c r="S52" i="35"/>
  <c r="S59" i="35" s="1"/>
  <c r="R66" i="33"/>
  <c r="AA20" i="15"/>
  <c r="AA19" i="15"/>
  <c r="AJ32" i="16"/>
  <c r="P66" i="33"/>
  <c r="AA19" i="36"/>
  <c r="AA20" i="36"/>
  <c r="Q52" i="35"/>
  <c r="Q59" i="35" s="1"/>
  <c r="X54" i="25"/>
  <c r="AJ32" i="34"/>
  <c r="AJ32" i="32"/>
  <c r="T62" i="24"/>
  <c r="AA19" i="27"/>
  <c r="AA20" i="27"/>
  <c r="AA19" i="32"/>
  <c r="AA20" i="32"/>
  <c r="AJ35" i="32" s="1"/>
  <c r="AA38" i="32"/>
  <c r="AJ32" i="26"/>
  <c r="AA20" i="9"/>
  <c r="AA19" i="9"/>
  <c r="Z20" i="24"/>
  <c r="Z60" i="24"/>
  <c r="N62" i="24"/>
  <c r="Z19" i="24"/>
  <c r="P54" i="25"/>
  <c r="AA19" i="19"/>
  <c r="AB57" i="19" s="1"/>
  <c r="AA20" i="19"/>
  <c r="Q62" i="24"/>
  <c r="U62" i="24"/>
  <c r="AI32" i="24"/>
  <c r="Y62" i="24"/>
  <c r="AJ32" i="20"/>
  <c r="AA19" i="20"/>
  <c r="AB50" i="20" s="1"/>
  <c r="AA20" i="20"/>
  <c r="AJ32" i="52"/>
  <c r="P62" i="24"/>
  <c r="AJ32" i="15"/>
  <c r="Z54" i="25"/>
  <c r="AJ32" i="25"/>
  <c r="R52" i="35"/>
  <c r="R59" i="35" s="1"/>
  <c r="Y52" i="35"/>
  <c r="Y59" i="35" s="1"/>
  <c r="R54" i="25"/>
  <c r="Y54" i="25"/>
  <c r="AJ32" i="21"/>
  <c r="AA20" i="53"/>
  <c r="AA19" i="53"/>
  <c r="S54" i="25"/>
  <c r="S62" i="24"/>
  <c r="AJ32" i="23"/>
  <c r="AA19" i="29"/>
  <c r="AA20" i="29"/>
  <c r="Q66" i="33"/>
  <c r="AA20" i="6"/>
  <c r="AA19" i="6"/>
  <c r="AA63" i="34"/>
  <c r="AA19" i="34"/>
  <c r="AB37" i="34" s="1"/>
  <c r="AA20" i="34"/>
  <c r="T52" i="35"/>
  <c r="T59" i="35" s="1"/>
  <c r="AA20" i="17"/>
  <c r="AB104" i="17" s="1"/>
  <c r="AA19" i="17"/>
  <c r="P52" i="35"/>
  <c r="P59" i="35" s="1"/>
  <c r="U66" i="33"/>
  <c r="V66" i="33"/>
  <c r="AA19" i="54"/>
  <c r="AA20" i="54"/>
  <c r="S66" i="33"/>
  <c r="AJ32" i="36"/>
  <c r="AA20" i="59"/>
  <c r="AA19" i="59"/>
  <c r="AJ32" i="31"/>
  <c r="AA20" i="56"/>
  <c r="AA19" i="56"/>
  <c r="Z66" i="33"/>
  <c r="AJ32" i="33"/>
  <c r="AA19" i="61"/>
  <c r="AA20" i="61"/>
  <c r="AA20" i="4"/>
  <c r="AA19" i="4"/>
  <c r="Q54" i="25"/>
  <c r="AJ32" i="30"/>
  <c r="AA19" i="30"/>
  <c r="AA20" i="30"/>
  <c r="AJ32" i="27"/>
  <c r="AA20" i="57"/>
  <c r="AA19" i="57"/>
  <c r="O66" i="33"/>
  <c r="AA20" i="33"/>
  <c r="AA19" i="33"/>
  <c r="AA21" i="33"/>
  <c r="W66" i="33"/>
  <c r="AA20" i="39"/>
  <c r="AB87" i="39" s="1"/>
  <c r="AA19" i="39"/>
  <c r="AA19" i="28"/>
  <c r="AA20" i="28"/>
  <c r="AA20" i="52"/>
  <c r="AA19" i="52"/>
  <c r="V54" i="25"/>
  <c r="V52" i="35"/>
  <c r="V59" i="35" s="1"/>
  <c r="AJ32" i="11"/>
  <c r="U52" i="35"/>
  <c r="U59" i="35" s="1"/>
  <c r="AJ32" i="35"/>
  <c r="Z52" i="35"/>
  <c r="Z59" i="35" s="1"/>
  <c r="AJ32" i="63"/>
  <c r="AA19" i="63"/>
  <c r="AA20" i="63"/>
  <c r="AA19" i="62"/>
  <c r="AA20" i="62"/>
  <c r="R62" i="24"/>
  <c r="Y66" i="33"/>
  <c r="AJ32" i="51"/>
  <c r="X66" i="33"/>
  <c r="V62" i="24"/>
  <c r="AA20" i="7"/>
  <c r="AA22" i="7"/>
  <c r="AA19" i="7"/>
  <c r="W62" i="24"/>
  <c r="T66" i="33"/>
  <c r="AA20" i="11"/>
  <c r="AA19" i="11"/>
  <c r="AJ32" i="53"/>
  <c r="AA19" i="23"/>
  <c r="AA20" i="23"/>
  <c r="O62" i="24"/>
  <c r="AA39" i="31"/>
  <c r="AA20" i="31"/>
  <c r="AA19" i="31"/>
  <c r="AJ32" i="19"/>
  <c r="X52" i="35"/>
  <c r="X59" i="35" s="1"/>
  <c r="AA50" i="35"/>
  <c r="O52" i="35"/>
  <c r="AA62" i="35"/>
  <c r="AA19" i="35"/>
  <c r="AA20" i="35"/>
  <c r="T54" i="25"/>
  <c r="AJ32" i="29"/>
  <c r="AJ32" i="22"/>
  <c r="U54" i="25"/>
  <c r="AJ32" i="28"/>
  <c r="W54" i="25"/>
  <c r="AJ32" i="54"/>
  <c r="AA19" i="22"/>
  <c r="AB62" i="22" s="1"/>
  <c r="AA20" i="22"/>
  <c r="X62" i="24"/>
  <c r="AA20" i="25"/>
  <c r="AA19" i="25"/>
  <c r="O54" i="25"/>
  <c r="AA52" i="25"/>
  <c r="AA17" i="62"/>
  <c r="AA11" i="62" s="1"/>
  <c r="AA18" i="62" s="1"/>
  <c r="AA17" i="6"/>
  <c r="AA17" i="56"/>
  <c r="AA11" i="56" s="1"/>
  <c r="AA18" i="56" s="1"/>
  <c r="AA17" i="55"/>
  <c r="AA17" i="58"/>
  <c r="AA17" i="64"/>
  <c r="AA11" i="64" s="1"/>
  <c r="AA18" i="64" s="1"/>
  <c r="P63" i="7"/>
  <c r="P67" i="7" s="1"/>
  <c r="W63" i="7"/>
  <c r="W67" i="7" s="1"/>
  <c r="Y63" i="7"/>
  <c r="Y67" i="7" s="1"/>
  <c r="Z63" i="7"/>
  <c r="Z67" i="7" s="1"/>
  <c r="AA21" i="7"/>
  <c r="AA63" i="7" s="1"/>
  <c r="AA67" i="7" s="1"/>
  <c r="O63" i="7"/>
  <c r="O67" i="7" s="1"/>
  <c r="R63" i="7"/>
  <c r="R67" i="7" s="1"/>
  <c r="S63" i="7"/>
  <c r="S67" i="7" s="1"/>
  <c r="T63" i="7"/>
  <c r="T67" i="7" s="1"/>
  <c r="U63" i="7"/>
  <c r="U67" i="7" s="1"/>
  <c r="Q63" i="7"/>
  <c r="Q67" i="7" s="1"/>
  <c r="X63" i="7"/>
  <c r="X67" i="7" s="1"/>
  <c r="V63" i="7"/>
  <c r="V67" i="7" s="1"/>
  <c r="AA17" i="39"/>
  <c r="AA17" i="17"/>
  <c r="AA17" i="57"/>
  <c r="AA11" i="57" s="1"/>
  <c r="AA18" i="57" s="1"/>
  <c r="AA17" i="59"/>
  <c r="AA11" i="59" s="1"/>
  <c r="AA18" i="59" s="1"/>
  <c r="AB76" i="65"/>
  <c r="AJ89" i="65"/>
  <c r="AJ99" i="65"/>
  <c r="AJ100" i="65"/>
  <c r="AJ97" i="65"/>
  <c r="AJ76" i="65"/>
  <c r="AJ74" i="65"/>
  <c r="AJ69" i="65"/>
  <c r="AJ77" i="65"/>
  <c r="AJ60" i="65"/>
  <c r="AJ35" i="65"/>
  <c r="AJ70" i="65"/>
  <c r="AG59" i="35"/>
  <c r="AH59" i="35" s="1"/>
  <c r="AH52" i="35"/>
  <c r="AL52" i="35"/>
  <c r="AJ35" i="67"/>
  <c r="AK52" i="35"/>
  <c r="AE52" i="35"/>
  <c r="AD59" i="35"/>
  <c r="AE59" i="35" s="1"/>
  <c r="AJ35" i="69"/>
  <c r="AD68" i="33"/>
  <c r="AD67" i="33"/>
  <c r="AE66" i="33"/>
  <c r="AK66" i="33"/>
  <c r="AG68" i="33"/>
  <c r="AL66" i="33"/>
  <c r="AH66" i="33"/>
  <c r="AG67" i="33"/>
  <c r="A111" i="54"/>
  <c r="A14" i="64"/>
  <c r="A111" i="63"/>
  <c r="A14" i="62"/>
  <c r="A111" i="61"/>
  <c r="A14" i="57"/>
  <c r="A111" i="53"/>
  <c r="A14" i="56"/>
  <c r="A111" i="52"/>
  <c r="A111" i="51"/>
  <c r="A111" i="9"/>
  <c r="A103" i="18"/>
  <c r="A101" i="21"/>
  <c r="A102" i="20"/>
  <c r="A65" i="23"/>
  <c r="A109" i="15"/>
  <c r="A14" i="59"/>
  <c r="A111" i="11"/>
  <c r="A102" i="19"/>
  <c r="A102" i="22"/>
  <c r="A14" i="16"/>
  <c r="A100" i="16"/>
  <c r="AB35" i="39" l="1"/>
  <c r="AB37" i="39"/>
  <c r="AB39" i="39"/>
  <c r="AB55" i="39"/>
  <c r="AB57" i="39"/>
  <c r="AB59" i="39"/>
  <c r="AB111" i="39"/>
  <c r="AB119" i="39"/>
  <c r="AB103" i="39"/>
  <c r="AB114" i="39"/>
  <c r="AB116" i="39"/>
  <c r="AB56" i="39"/>
  <c r="AB108" i="39"/>
  <c r="AB58" i="39"/>
  <c r="AB36" i="39"/>
  <c r="AB98" i="39"/>
  <c r="AB85" i="39"/>
  <c r="AB121" i="39"/>
  <c r="AB83" i="39"/>
  <c r="AB100" i="39"/>
  <c r="AB38" i="39"/>
  <c r="AB106" i="39"/>
  <c r="AB123" i="39"/>
  <c r="AB126" i="39"/>
  <c r="AB64" i="17"/>
  <c r="AB62" i="17"/>
  <c r="AB54" i="17"/>
  <c r="AB96" i="17"/>
  <c r="AB65" i="17"/>
  <c r="AB63" i="17"/>
  <c r="AB80" i="17"/>
  <c r="AB82" i="17"/>
  <c r="AB84" i="17"/>
  <c r="AB56" i="17"/>
  <c r="AB66" i="17"/>
  <c r="AB95" i="17"/>
  <c r="AB115" i="17"/>
  <c r="AB102" i="17"/>
  <c r="AB139" i="17"/>
  <c r="AB121" i="17"/>
  <c r="AB127" i="17"/>
  <c r="AB135" i="17"/>
  <c r="AB117" i="17"/>
  <c r="AB133" i="17"/>
  <c r="AB129" i="17"/>
  <c r="AB97" i="17"/>
  <c r="AB125" i="17"/>
  <c r="AB46" i="17"/>
  <c r="AB45" i="17"/>
  <c r="AB126" i="17"/>
  <c r="AB138" i="17"/>
  <c r="AB83" i="17"/>
  <c r="AB136" i="17"/>
  <c r="AB38" i="17"/>
  <c r="AB81" i="17"/>
  <c r="AB99" i="17"/>
  <c r="AB116" i="17"/>
  <c r="AB130" i="17"/>
  <c r="AB35" i="17"/>
  <c r="AB39" i="17"/>
  <c r="AB134" i="17"/>
  <c r="AB120" i="17"/>
  <c r="AB89" i="17"/>
  <c r="AB118" i="17"/>
  <c r="AB90" i="17"/>
  <c r="AB36" i="17"/>
  <c r="AB47" i="17"/>
  <c r="AB48" i="17"/>
  <c r="AB147" i="17"/>
  <c r="AB44" i="17"/>
  <c r="AB57" i="17"/>
  <c r="AB53" i="17"/>
  <c r="AB143" i="17"/>
  <c r="AB37" i="17"/>
  <c r="AB124" i="17"/>
  <c r="AB55" i="17"/>
  <c r="AB146" i="17"/>
  <c r="AB141" i="17"/>
  <c r="AB144" i="17"/>
  <c r="AB148" i="17"/>
  <c r="AB142" i="17"/>
  <c r="AB101" i="9"/>
  <c r="AB111" i="9"/>
  <c r="AB103" i="9"/>
  <c r="AB95" i="9"/>
  <c r="AB112" i="9"/>
  <c r="AB98" i="9"/>
  <c r="AB80" i="9"/>
  <c r="AB83" i="9"/>
  <c r="AB90" i="9"/>
  <c r="AB82" i="9"/>
  <c r="AB107" i="9"/>
  <c r="AB118" i="9"/>
  <c r="AB110" i="9"/>
  <c r="AB84" i="9"/>
  <c r="AB104" i="9"/>
  <c r="AB87" i="9"/>
  <c r="AB88" i="9"/>
  <c r="AB116" i="9"/>
  <c r="AB108" i="9"/>
  <c r="AB100" i="9"/>
  <c r="AB89" i="9"/>
  <c r="AB114" i="9"/>
  <c r="AB81" i="9"/>
  <c r="AB102" i="9"/>
  <c r="AB117" i="9"/>
  <c r="AB96" i="9"/>
  <c r="AB77" i="9"/>
  <c r="AB99" i="9"/>
  <c r="AB113" i="9"/>
  <c r="AB97" i="9"/>
  <c r="AB86" i="9"/>
  <c r="AB106" i="9"/>
  <c r="AB115" i="9"/>
  <c r="AB94" i="9"/>
  <c r="AB109" i="9"/>
  <c r="AB85" i="9"/>
  <c r="AB37" i="9"/>
  <c r="AB58" i="9"/>
  <c r="AB50" i="9"/>
  <c r="AB42" i="9"/>
  <c r="AB49" i="9"/>
  <c r="AB41" i="9"/>
  <c r="AB57" i="9"/>
  <c r="AB48" i="9"/>
  <c r="AB40" i="9"/>
  <c r="AB55" i="9"/>
  <c r="AB44" i="9"/>
  <c r="AB47" i="9"/>
  <c r="AB54" i="9"/>
  <c r="AB93" i="9"/>
  <c r="AB121" i="9"/>
  <c r="AB79" i="9"/>
  <c r="AB35" i="9"/>
  <c r="AB119" i="9"/>
  <c r="AB76" i="9"/>
  <c r="AB122" i="9"/>
  <c r="AB72" i="9"/>
  <c r="AB35" i="58"/>
  <c r="AB39" i="58"/>
  <c r="AB65" i="58"/>
  <c r="AB67" i="58"/>
  <c r="AB69" i="58"/>
  <c r="AB101" i="58"/>
  <c r="AB103" i="58"/>
  <c r="AB107" i="58"/>
  <c r="AB109" i="58"/>
  <c r="AB111" i="58"/>
  <c r="AB115" i="58"/>
  <c r="AB117" i="58"/>
  <c r="AB119" i="58"/>
  <c r="AB48" i="58"/>
  <c r="AB83" i="58"/>
  <c r="AB49" i="58"/>
  <c r="AB68" i="58"/>
  <c r="AB47" i="58"/>
  <c r="AB85" i="58"/>
  <c r="AB66" i="58"/>
  <c r="AB124" i="58"/>
  <c r="AB122" i="58"/>
  <c r="AB126" i="58"/>
  <c r="AN53" i="69"/>
  <c r="AM53" i="69"/>
  <c r="AN46" i="69"/>
  <c r="AM46" i="69"/>
  <c r="AM48" i="67"/>
  <c r="AN48" i="67"/>
  <c r="AN45" i="67"/>
  <c r="AM45" i="67"/>
  <c r="AN39" i="67"/>
  <c r="AM39" i="67"/>
  <c r="AM48" i="65"/>
  <c r="AN48" i="65"/>
  <c r="AN38" i="65"/>
  <c r="AM38" i="65"/>
  <c r="AN39" i="65"/>
  <c r="AM39" i="65"/>
  <c r="AN92" i="65"/>
  <c r="AM92" i="65"/>
  <c r="R75" i="37"/>
  <c r="R82" i="37"/>
  <c r="R84" i="37" s="1"/>
  <c r="R85" i="37" s="1"/>
  <c r="R86" i="37"/>
  <c r="AB38" i="7"/>
  <c r="AB45" i="7"/>
  <c r="AB41" i="7"/>
  <c r="AB48" i="7"/>
  <c r="AB47" i="7"/>
  <c r="AB50" i="61"/>
  <c r="AB41" i="61"/>
  <c r="AB57" i="15"/>
  <c r="AN57" i="15" s="1"/>
  <c r="AB37" i="15"/>
  <c r="AB38" i="15"/>
  <c r="AB36" i="15"/>
  <c r="AB41" i="15"/>
  <c r="AB39" i="15"/>
  <c r="AB66" i="15"/>
  <c r="AB64" i="15"/>
  <c r="AB67" i="15"/>
  <c r="AB62" i="15"/>
  <c r="AB35" i="15"/>
  <c r="AB51" i="15"/>
  <c r="AB58" i="26"/>
  <c r="AB64" i="26"/>
  <c r="AB41" i="26"/>
  <c r="AB42" i="26"/>
  <c r="AB57" i="26"/>
  <c r="AB46" i="26"/>
  <c r="AB56" i="26"/>
  <c r="AB62" i="26"/>
  <c r="AB54" i="26"/>
  <c r="AB43" i="26"/>
  <c r="AB60" i="26"/>
  <c r="AB63" i="26"/>
  <c r="AB55" i="26"/>
  <c r="AB44" i="26"/>
  <c r="AB47" i="26"/>
  <c r="AB45" i="26"/>
  <c r="AB66" i="26"/>
  <c r="AB52" i="26"/>
  <c r="AB53" i="26"/>
  <c r="AB59" i="26"/>
  <c r="AB51" i="26"/>
  <c r="AB40" i="26"/>
  <c r="AB38" i="26"/>
  <c r="AB71" i="26"/>
  <c r="AB35" i="26"/>
  <c r="AB67" i="26"/>
  <c r="AB68" i="26"/>
  <c r="AB70" i="26"/>
  <c r="AB50" i="26"/>
  <c r="AN39" i="69"/>
  <c r="AM39" i="69"/>
  <c r="AN52" i="69"/>
  <c r="AM52" i="69"/>
  <c r="AN36" i="67"/>
  <c r="AM36" i="67"/>
  <c r="AN56" i="65"/>
  <c r="AM56" i="65"/>
  <c r="AN51" i="65"/>
  <c r="AM51" i="65"/>
  <c r="AN55" i="65"/>
  <c r="AM55" i="65"/>
  <c r="AN82" i="65"/>
  <c r="AM82" i="65"/>
  <c r="W75" i="37"/>
  <c r="W82" i="37"/>
  <c r="W84" i="37" s="1"/>
  <c r="W85" i="37" s="1"/>
  <c r="W86" i="37"/>
  <c r="AB37" i="29"/>
  <c r="AN37" i="29" s="1"/>
  <c r="AB42" i="29"/>
  <c r="AB70" i="29"/>
  <c r="AB71" i="29"/>
  <c r="AB46" i="29"/>
  <c r="AB69" i="29"/>
  <c r="AB66" i="29"/>
  <c r="AB45" i="29"/>
  <c r="AB59" i="29"/>
  <c r="AB62" i="29"/>
  <c r="AB63" i="29"/>
  <c r="AB72" i="29"/>
  <c r="AB52" i="29"/>
  <c r="AB61" i="29"/>
  <c r="AB47" i="29"/>
  <c r="AB67" i="29"/>
  <c r="AB54" i="29"/>
  <c r="AB55" i="29"/>
  <c r="AB64" i="29"/>
  <c r="AB41" i="29"/>
  <c r="AB53" i="29"/>
  <c r="AB39" i="29"/>
  <c r="AB58" i="29"/>
  <c r="AB57" i="29"/>
  <c r="AB68" i="29"/>
  <c r="AB43" i="29"/>
  <c r="AB44" i="29"/>
  <c r="AB56" i="29"/>
  <c r="AB40" i="29"/>
  <c r="AB35" i="29"/>
  <c r="AB38" i="29"/>
  <c r="AB73" i="29"/>
  <c r="AB50" i="29"/>
  <c r="AB75" i="29"/>
  <c r="AB76" i="29"/>
  <c r="AN35" i="69"/>
  <c r="AM35" i="69"/>
  <c r="AN40" i="69"/>
  <c r="AM40" i="69"/>
  <c r="AN42" i="67"/>
  <c r="AM42" i="67"/>
  <c r="AM99" i="65"/>
  <c r="AN99" i="65"/>
  <c r="AN42" i="65"/>
  <c r="AM42" i="65"/>
  <c r="AM37" i="65"/>
  <c r="AN37" i="65"/>
  <c r="AN81" i="65"/>
  <c r="AM81" i="65"/>
  <c r="AN80" i="65"/>
  <c r="AM80" i="65"/>
  <c r="P82" i="37"/>
  <c r="P84" i="37" s="1"/>
  <c r="P85" i="37" s="1"/>
  <c r="P86" i="37"/>
  <c r="P75" i="37"/>
  <c r="AB46" i="25"/>
  <c r="AB37" i="25"/>
  <c r="AB35" i="25"/>
  <c r="AB50" i="25"/>
  <c r="AB38" i="25"/>
  <c r="AB36" i="25"/>
  <c r="AB38" i="23"/>
  <c r="AB53" i="23"/>
  <c r="AB36" i="23"/>
  <c r="AB96" i="23"/>
  <c r="AB98" i="23"/>
  <c r="AB34" i="23"/>
  <c r="AB55" i="7"/>
  <c r="AB61" i="7"/>
  <c r="AB58" i="7"/>
  <c r="AB37" i="30"/>
  <c r="AB47" i="30"/>
  <c r="AB45" i="30"/>
  <c r="AB71" i="30"/>
  <c r="AB63" i="30"/>
  <c r="AB55" i="30"/>
  <c r="AB44" i="30"/>
  <c r="AB70" i="30"/>
  <c r="AB62" i="30"/>
  <c r="AB43" i="30"/>
  <c r="AB60" i="30"/>
  <c r="AB69" i="30"/>
  <c r="AB61" i="30"/>
  <c r="AB53" i="30"/>
  <c r="AB52" i="30"/>
  <c r="AB68" i="30"/>
  <c r="AB54" i="30"/>
  <c r="AB67" i="30"/>
  <c r="AB59" i="30"/>
  <c r="AB51" i="30"/>
  <c r="AB66" i="30"/>
  <c r="AB40" i="30"/>
  <c r="AB58" i="30"/>
  <c r="AB39" i="30"/>
  <c r="AB42" i="30"/>
  <c r="AB41" i="30"/>
  <c r="AB65" i="30"/>
  <c r="AB57" i="30"/>
  <c r="AB64" i="30"/>
  <c r="AB46" i="30"/>
  <c r="AB72" i="30"/>
  <c r="AB75" i="30"/>
  <c r="AB35" i="30"/>
  <c r="AB50" i="30"/>
  <c r="AB74" i="30"/>
  <c r="AB38" i="30"/>
  <c r="AB76" i="16"/>
  <c r="AB46" i="16"/>
  <c r="AB99" i="16"/>
  <c r="AB113" i="16"/>
  <c r="AB96" i="16"/>
  <c r="AB100" i="16"/>
  <c r="AB93" i="16"/>
  <c r="AB106" i="16"/>
  <c r="AB78" i="16"/>
  <c r="AB103" i="16"/>
  <c r="AB107" i="16"/>
  <c r="AB82" i="16"/>
  <c r="AB118" i="16"/>
  <c r="AB104" i="16"/>
  <c r="AB108" i="16"/>
  <c r="AB83" i="16"/>
  <c r="AB114" i="16"/>
  <c r="AB86" i="16"/>
  <c r="AB111" i="16"/>
  <c r="AB115" i="16"/>
  <c r="AB117" i="16"/>
  <c r="AB79" i="16"/>
  <c r="AB112" i="16"/>
  <c r="AB116" i="16"/>
  <c r="AB110" i="16"/>
  <c r="AB80" i="16"/>
  <c r="AB97" i="16"/>
  <c r="AB75" i="16"/>
  <c r="AB81" i="16"/>
  <c r="AB109" i="16"/>
  <c r="AB87" i="16"/>
  <c r="AB94" i="16"/>
  <c r="AB84" i="16"/>
  <c r="AB88" i="16"/>
  <c r="AB85" i="16"/>
  <c r="AB89" i="16"/>
  <c r="AB101" i="16"/>
  <c r="AB98" i="16"/>
  <c r="AB102" i="16"/>
  <c r="AB95" i="16"/>
  <c r="AB44" i="16"/>
  <c r="AB49" i="16"/>
  <c r="AB38" i="16"/>
  <c r="AB119" i="16"/>
  <c r="AB37" i="16"/>
  <c r="AB56" i="16"/>
  <c r="AB53" i="16"/>
  <c r="AB47" i="16"/>
  <c r="AB52" i="16"/>
  <c r="AB74" i="16"/>
  <c r="AB92" i="16"/>
  <c r="AB50" i="16"/>
  <c r="AB54" i="16"/>
  <c r="AB43" i="16"/>
  <c r="AB122" i="16"/>
  <c r="AB39" i="16"/>
  <c r="AB41" i="16"/>
  <c r="AB45" i="16"/>
  <c r="AB35" i="16"/>
  <c r="AB121" i="16"/>
  <c r="AB70" i="16"/>
  <c r="AN44" i="69"/>
  <c r="AM44" i="69"/>
  <c r="AN55" i="69"/>
  <c r="AM55" i="69"/>
  <c r="AN51" i="67"/>
  <c r="AM51" i="67"/>
  <c r="AM38" i="67"/>
  <c r="AN38" i="67"/>
  <c r="AM35" i="65"/>
  <c r="AN35" i="65"/>
  <c r="AM50" i="65"/>
  <c r="AN50" i="65"/>
  <c r="AN45" i="65"/>
  <c r="AM45" i="65"/>
  <c r="AN93" i="65"/>
  <c r="AM93" i="65"/>
  <c r="AN79" i="65"/>
  <c r="AM79" i="65"/>
  <c r="V82" i="37"/>
  <c r="V84" i="37" s="1"/>
  <c r="V85" i="37" s="1"/>
  <c r="V86" i="37"/>
  <c r="V75" i="37"/>
  <c r="S75" i="37"/>
  <c r="S82" i="37"/>
  <c r="S84" i="37" s="1"/>
  <c r="S85" i="37" s="1"/>
  <c r="S86" i="37"/>
  <c r="AA11" i="17"/>
  <c r="AA11" i="58"/>
  <c r="AB50" i="63"/>
  <c r="AB41" i="63"/>
  <c r="AB50" i="52"/>
  <c r="AB41" i="52"/>
  <c r="AB44" i="33"/>
  <c r="AB51" i="33"/>
  <c r="AB43" i="33"/>
  <c r="AB35" i="33"/>
  <c r="AB48" i="33"/>
  <c r="AB40" i="33"/>
  <c r="AB42" i="33"/>
  <c r="AB56" i="33"/>
  <c r="AB49" i="33"/>
  <c r="AB41" i="33"/>
  <c r="AB55" i="33"/>
  <c r="AB54" i="33"/>
  <c r="AB38" i="33"/>
  <c r="AB53" i="33"/>
  <c r="AB45" i="33"/>
  <c r="AB37" i="33"/>
  <c r="AB52" i="33"/>
  <c r="AB98" i="54"/>
  <c r="AB87" i="54"/>
  <c r="AB81" i="54"/>
  <c r="AB92" i="54"/>
  <c r="AB85" i="54"/>
  <c r="AB86" i="54"/>
  <c r="AB96" i="54"/>
  <c r="AB93" i="54"/>
  <c r="AB82" i="54"/>
  <c r="AB101" i="54"/>
  <c r="AB94" i="54"/>
  <c r="AB80" i="54"/>
  <c r="AB91" i="54"/>
  <c r="AB95" i="54"/>
  <c r="AB47" i="54"/>
  <c r="AB43" i="54"/>
  <c r="AB49" i="54"/>
  <c r="AB38" i="54"/>
  <c r="AB58" i="54"/>
  <c r="AB57" i="54"/>
  <c r="AB41" i="54"/>
  <c r="AB54" i="54"/>
  <c r="AB48" i="54"/>
  <c r="AB55" i="54"/>
  <c r="AB50" i="54"/>
  <c r="AB45" i="54"/>
  <c r="AB40" i="54"/>
  <c r="AB105" i="54"/>
  <c r="AB104" i="54"/>
  <c r="AB102" i="54"/>
  <c r="AB35" i="54"/>
  <c r="AB79" i="54"/>
  <c r="AB90" i="54"/>
  <c r="AB72" i="54"/>
  <c r="AA39" i="24"/>
  <c r="AA37" i="24"/>
  <c r="AA40" i="24"/>
  <c r="AN56" i="69"/>
  <c r="AM56" i="69"/>
  <c r="AN51" i="69"/>
  <c r="AM51" i="69"/>
  <c r="AG20" i="68"/>
  <c r="AH83" i="68" s="1"/>
  <c r="AE83" i="68"/>
  <c r="AN53" i="67"/>
  <c r="AM53" i="67"/>
  <c r="AN55" i="67"/>
  <c r="AM55" i="67"/>
  <c r="AM89" i="65"/>
  <c r="AN89" i="65"/>
  <c r="AN53" i="65"/>
  <c r="AM53" i="65"/>
  <c r="AN86" i="65"/>
  <c r="AM86" i="65"/>
  <c r="AN96" i="65"/>
  <c r="AM96" i="65"/>
  <c r="O75" i="37"/>
  <c r="O82" i="37"/>
  <c r="O84" i="37" s="1"/>
  <c r="O85" i="37" s="1"/>
  <c r="O86" i="37"/>
  <c r="X82" i="37"/>
  <c r="X84" i="37" s="1"/>
  <c r="X85" i="37" s="1"/>
  <c r="X86" i="37"/>
  <c r="X75" i="37"/>
  <c r="AA11" i="39"/>
  <c r="AA11" i="55"/>
  <c r="AB39" i="11"/>
  <c r="AB46" i="11"/>
  <c r="AB34" i="32"/>
  <c r="AB36" i="32"/>
  <c r="AA39" i="37"/>
  <c r="AA41" i="37"/>
  <c r="AA43" i="37"/>
  <c r="AA42" i="37"/>
  <c r="AA40" i="37"/>
  <c r="AB64" i="21"/>
  <c r="AB35" i="21"/>
  <c r="AB44" i="21"/>
  <c r="AB74" i="21"/>
  <c r="AB58" i="21"/>
  <c r="AN45" i="69"/>
  <c r="AM45" i="69"/>
  <c r="AM35" i="67"/>
  <c r="AN35" i="67"/>
  <c r="AN52" i="67"/>
  <c r="AM52" i="67"/>
  <c r="AN37" i="67"/>
  <c r="AM37" i="67"/>
  <c r="AN100" i="65"/>
  <c r="AM100" i="65"/>
  <c r="AN36" i="65"/>
  <c r="AM36" i="65"/>
  <c r="AN91" i="65"/>
  <c r="AM91" i="65"/>
  <c r="T86" i="37"/>
  <c r="T75" i="37"/>
  <c r="T82" i="37"/>
  <c r="T84" i="37" s="1"/>
  <c r="T85" i="37" s="1"/>
  <c r="Q75" i="37"/>
  <c r="Q82" i="37"/>
  <c r="Q84" i="37" s="1"/>
  <c r="Q85" i="37" s="1"/>
  <c r="Q86" i="37"/>
  <c r="AB36" i="31"/>
  <c r="AB35" i="31"/>
  <c r="AB34" i="31"/>
  <c r="AB37" i="31"/>
  <c r="AB89" i="4"/>
  <c r="AB81" i="4"/>
  <c r="AB73" i="4"/>
  <c r="AB83" i="4"/>
  <c r="AB88" i="4"/>
  <c r="AB80" i="4"/>
  <c r="AB72" i="4"/>
  <c r="AB62" i="4"/>
  <c r="AB61" i="4"/>
  <c r="AB75" i="4"/>
  <c r="AB87" i="4"/>
  <c r="AB79" i="4"/>
  <c r="AB86" i="4"/>
  <c r="AB78" i="4"/>
  <c r="AB68" i="4"/>
  <c r="AB60" i="4"/>
  <c r="AB67" i="4"/>
  <c r="AB59" i="4"/>
  <c r="AB93" i="4"/>
  <c r="AB85" i="4"/>
  <c r="AB77" i="4"/>
  <c r="AB84" i="4"/>
  <c r="AB66" i="4"/>
  <c r="AB92" i="4"/>
  <c r="AB76" i="4"/>
  <c r="AB65" i="4"/>
  <c r="AB82" i="4"/>
  <c r="AB74" i="4"/>
  <c r="AB63" i="4"/>
  <c r="AB64" i="4"/>
  <c r="AB46" i="4"/>
  <c r="AB42" i="4"/>
  <c r="AB37" i="4"/>
  <c r="AB51" i="4"/>
  <c r="AB49" i="4"/>
  <c r="AB50" i="4"/>
  <c r="AB40" i="4"/>
  <c r="AB36" i="4"/>
  <c r="AB41" i="4"/>
  <c r="AB47" i="4"/>
  <c r="AB39" i="4"/>
  <c r="AB43" i="4"/>
  <c r="AB38" i="4"/>
  <c r="AB58" i="4"/>
  <c r="AB55" i="4"/>
  <c r="AB94" i="4"/>
  <c r="AB35" i="4"/>
  <c r="AB71" i="4"/>
  <c r="AB97" i="4"/>
  <c r="AB96" i="4"/>
  <c r="AB37" i="6"/>
  <c r="AB50" i="6"/>
  <c r="AB40" i="6"/>
  <c r="AB45" i="6"/>
  <c r="AB35" i="6"/>
  <c r="AB48" i="6"/>
  <c r="AB38" i="6"/>
  <c r="AB51" i="6"/>
  <c r="AB41" i="6"/>
  <c r="AB46" i="6"/>
  <c r="AB36" i="6"/>
  <c r="AB49" i="6"/>
  <c r="AB39" i="6"/>
  <c r="AB44" i="6"/>
  <c r="AB34" i="6"/>
  <c r="AB42" i="6"/>
  <c r="AB47" i="6"/>
  <c r="AB52" i="6"/>
  <c r="AB58" i="6"/>
  <c r="AB67" i="6"/>
  <c r="AB57" i="6"/>
  <c r="AB69" i="6"/>
  <c r="AB54" i="6"/>
  <c r="AB68" i="6"/>
  <c r="AB55" i="6"/>
  <c r="AB56" i="6"/>
  <c r="AB59" i="6"/>
  <c r="AB65" i="6"/>
  <c r="AB64" i="6"/>
  <c r="AB41" i="53"/>
  <c r="AB50" i="53"/>
  <c r="AB46" i="36"/>
  <c r="AB56" i="36"/>
  <c r="AB45" i="36"/>
  <c r="AB55" i="36"/>
  <c r="AB44" i="36"/>
  <c r="AB59" i="36"/>
  <c r="AB54" i="36"/>
  <c r="AB40" i="36"/>
  <c r="AB61" i="36"/>
  <c r="AB53" i="36"/>
  <c r="AB39" i="36"/>
  <c r="AB48" i="36"/>
  <c r="AB37" i="36"/>
  <c r="AB60" i="36"/>
  <c r="AB38" i="36"/>
  <c r="AB49" i="36"/>
  <c r="AB58" i="36"/>
  <c r="AB47" i="36"/>
  <c r="AB36" i="36"/>
  <c r="AB57" i="36"/>
  <c r="AB43" i="36"/>
  <c r="AB63" i="36"/>
  <c r="AB52" i="36"/>
  <c r="AB35" i="36"/>
  <c r="AB85" i="51"/>
  <c r="AB91" i="51"/>
  <c r="AB90" i="51"/>
  <c r="AB89" i="51"/>
  <c r="AB95" i="51"/>
  <c r="AB82" i="51"/>
  <c r="AB81" i="51"/>
  <c r="AB80" i="51"/>
  <c r="AB93" i="51"/>
  <c r="AB94" i="51"/>
  <c r="AB92" i="51"/>
  <c r="AB55" i="51"/>
  <c r="AB36" i="51"/>
  <c r="AB54" i="51"/>
  <c r="AB40" i="51"/>
  <c r="AB57" i="51"/>
  <c r="AB43" i="51"/>
  <c r="AB47" i="51"/>
  <c r="AB49" i="51"/>
  <c r="AB58" i="51"/>
  <c r="AB50" i="51"/>
  <c r="AB42" i="51"/>
  <c r="AB44" i="51"/>
  <c r="AB37" i="51"/>
  <c r="AB41" i="51"/>
  <c r="AB48" i="51"/>
  <c r="AB88" i="51"/>
  <c r="AB96" i="51"/>
  <c r="AB98" i="51"/>
  <c r="AB79" i="51"/>
  <c r="AB99" i="51"/>
  <c r="AB35" i="51"/>
  <c r="AB72" i="51"/>
  <c r="AM37" i="69"/>
  <c r="AN37" i="69"/>
  <c r="AM50" i="69"/>
  <c r="AN50" i="69"/>
  <c r="AN50" i="67"/>
  <c r="AM50" i="67"/>
  <c r="AM46" i="67"/>
  <c r="AN46" i="67"/>
  <c r="AM56" i="67"/>
  <c r="AN56" i="67"/>
  <c r="AM97" i="65"/>
  <c r="AN97" i="65"/>
  <c r="AN43" i="65"/>
  <c r="AM43" i="65"/>
  <c r="AN44" i="65"/>
  <c r="AM44" i="65"/>
  <c r="AN78" i="65"/>
  <c r="AM78" i="65"/>
  <c r="Y82" i="37"/>
  <c r="Y84" i="37" s="1"/>
  <c r="Y85" i="37" s="1"/>
  <c r="Y86" i="37"/>
  <c r="Y75" i="37"/>
  <c r="Z95" i="37"/>
  <c r="AE95" i="37" s="1"/>
  <c r="N71" i="37"/>
  <c r="AB51" i="28"/>
  <c r="AB58" i="28"/>
  <c r="AB57" i="28"/>
  <c r="AB52" i="28"/>
  <c r="AB49" i="28"/>
  <c r="AB50" i="28"/>
  <c r="AB48" i="28"/>
  <c r="AB40" i="28"/>
  <c r="AB43" i="28"/>
  <c r="AB56" i="28"/>
  <c r="AB39" i="28"/>
  <c r="AB61" i="28"/>
  <c r="AB47" i="28"/>
  <c r="AB35" i="28"/>
  <c r="AN35" i="28" s="1"/>
  <c r="AB62" i="28"/>
  <c r="AB44" i="28"/>
  <c r="AB53" i="28"/>
  <c r="AB59" i="28"/>
  <c r="AB84" i="6"/>
  <c r="AB73" i="6"/>
  <c r="AB80" i="6"/>
  <c r="AB82" i="6"/>
  <c r="AB93" i="6"/>
  <c r="AB95" i="6"/>
  <c r="AB97" i="6"/>
  <c r="AB103" i="6"/>
  <c r="AB105" i="6"/>
  <c r="AB107" i="6"/>
  <c r="AB109" i="6"/>
  <c r="AB111" i="6"/>
  <c r="AB113" i="6"/>
  <c r="AB115" i="6"/>
  <c r="AB78" i="6"/>
  <c r="AB76" i="6"/>
  <c r="AB87" i="6"/>
  <c r="AB74" i="6"/>
  <c r="AB88" i="6"/>
  <c r="AB94" i="6"/>
  <c r="AB72" i="6"/>
  <c r="AB86" i="6"/>
  <c r="AB102" i="6"/>
  <c r="AB83" i="6"/>
  <c r="AB92" i="6"/>
  <c r="AB116" i="6"/>
  <c r="AB90" i="6"/>
  <c r="AB106" i="6"/>
  <c r="AB77" i="6"/>
  <c r="AB96" i="6"/>
  <c r="AB114" i="6"/>
  <c r="AB89" i="6"/>
  <c r="AB85" i="6"/>
  <c r="AB75" i="6"/>
  <c r="AB79" i="6"/>
  <c r="AB37" i="27"/>
  <c r="AB38" i="27"/>
  <c r="AB43" i="27"/>
  <c r="AB35" i="27"/>
  <c r="AB36" i="27"/>
  <c r="AB42" i="27"/>
  <c r="AB40" i="27"/>
  <c r="AB41" i="27"/>
  <c r="AB39" i="27"/>
  <c r="AB34" i="27"/>
  <c r="AB44" i="27"/>
  <c r="AB45" i="55"/>
  <c r="AB47" i="55"/>
  <c r="AB46" i="55"/>
  <c r="AB48" i="55"/>
  <c r="AB99" i="55"/>
  <c r="AB103" i="55"/>
  <c r="AB107" i="55"/>
  <c r="AB111" i="55"/>
  <c r="AB115" i="55"/>
  <c r="AB119" i="55"/>
  <c r="AB83" i="55"/>
  <c r="AB56" i="55"/>
  <c r="AB55" i="55"/>
  <c r="AB49" i="55"/>
  <c r="AB57" i="55"/>
  <c r="AB123" i="55"/>
  <c r="AB121" i="55"/>
  <c r="AB58" i="55"/>
  <c r="AB35" i="55"/>
  <c r="AB100" i="55"/>
  <c r="AB39" i="55"/>
  <c r="AB85" i="55"/>
  <c r="AB122" i="55"/>
  <c r="AB116" i="55"/>
  <c r="AB108" i="55"/>
  <c r="AB59" i="55"/>
  <c r="AB98" i="55"/>
  <c r="AB36" i="55"/>
  <c r="AB126" i="55"/>
  <c r="AN48" i="69"/>
  <c r="AM48" i="69"/>
  <c r="AM40" i="67"/>
  <c r="AN40" i="67"/>
  <c r="AN43" i="67"/>
  <c r="AM43" i="67"/>
  <c r="AN44" i="67"/>
  <c r="AM44" i="67"/>
  <c r="AN40" i="65"/>
  <c r="AM40" i="65"/>
  <c r="AN46" i="65"/>
  <c r="AM46" i="65"/>
  <c r="AN52" i="65"/>
  <c r="AM52" i="65"/>
  <c r="AM90" i="65"/>
  <c r="AN90" i="65"/>
  <c r="U82" i="37"/>
  <c r="U84" i="37" s="1"/>
  <c r="U85" i="37" s="1"/>
  <c r="U86" i="37"/>
  <c r="U75" i="37"/>
  <c r="AJ87" i="54"/>
  <c r="AJ77" i="54"/>
  <c r="AJ91" i="54"/>
  <c r="AJ94" i="54"/>
  <c r="AJ82" i="54"/>
  <c r="AJ81" i="54"/>
  <c r="AJ99" i="54"/>
  <c r="AJ86" i="54"/>
  <c r="AJ96" i="54"/>
  <c r="AJ97" i="54"/>
  <c r="AJ85" i="54"/>
  <c r="AJ98" i="54"/>
  <c r="AJ80" i="54"/>
  <c r="AJ100" i="54"/>
  <c r="AJ92" i="54"/>
  <c r="AJ101" i="54"/>
  <c r="AJ95" i="54"/>
  <c r="AJ84" i="54"/>
  <c r="AJ93" i="54"/>
  <c r="AJ83" i="54"/>
  <c r="AJ55" i="54"/>
  <c r="AJ45" i="54"/>
  <c r="AJ41" i="54"/>
  <c r="AJ50" i="54"/>
  <c r="AJ37" i="54"/>
  <c r="AJ54" i="54"/>
  <c r="AJ57" i="54"/>
  <c r="AJ70" i="54"/>
  <c r="AJ66" i="54"/>
  <c r="AJ49" i="54"/>
  <c r="AJ40" i="54"/>
  <c r="AJ43" i="54"/>
  <c r="AJ48" i="54"/>
  <c r="AJ58" i="54"/>
  <c r="AJ56" i="54"/>
  <c r="AJ63" i="54"/>
  <c r="AJ53" i="54"/>
  <c r="AJ69" i="54"/>
  <c r="AJ39" i="54"/>
  <c r="AJ36" i="54"/>
  <c r="AJ65" i="54"/>
  <c r="AJ67" i="54"/>
  <c r="AJ47" i="54"/>
  <c r="AJ64" i="54"/>
  <c r="AJ42" i="54"/>
  <c r="AJ68" i="54"/>
  <c r="AJ44" i="54"/>
  <c r="AJ46" i="54"/>
  <c r="AJ51" i="54"/>
  <c r="AJ38" i="54"/>
  <c r="AJ52" i="54"/>
  <c r="AJ80" i="63"/>
  <c r="AJ77" i="63"/>
  <c r="AJ84" i="63"/>
  <c r="AJ63" i="63"/>
  <c r="AJ36" i="63"/>
  <c r="AJ51" i="63"/>
  <c r="AJ52" i="63"/>
  <c r="AJ54" i="63"/>
  <c r="AJ67" i="63"/>
  <c r="AJ49" i="63"/>
  <c r="AJ56" i="63"/>
  <c r="AJ38" i="63"/>
  <c r="AJ41" i="63"/>
  <c r="AJ66" i="63"/>
  <c r="AJ64" i="63"/>
  <c r="AJ58" i="63"/>
  <c r="AJ50" i="63"/>
  <c r="AJ44" i="63"/>
  <c r="AJ70" i="63"/>
  <c r="AJ55" i="63"/>
  <c r="AJ53" i="63"/>
  <c r="AJ65" i="63"/>
  <c r="AJ40" i="63"/>
  <c r="AJ57" i="63"/>
  <c r="AJ39" i="63"/>
  <c r="AJ45" i="63"/>
  <c r="AJ46" i="63"/>
  <c r="AJ69" i="63"/>
  <c r="AJ48" i="63"/>
  <c r="AJ37" i="63"/>
  <c r="AJ47" i="63"/>
  <c r="AJ43" i="63"/>
  <c r="AJ68" i="63"/>
  <c r="AJ42" i="63"/>
  <c r="AJ84" i="61"/>
  <c r="AJ77" i="61"/>
  <c r="AJ80" i="61"/>
  <c r="AJ58" i="61"/>
  <c r="AJ67" i="61"/>
  <c r="AJ40" i="61"/>
  <c r="AJ49" i="61"/>
  <c r="AJ54" i="61"/>
  <c r="AJ65" i="61"/>
  <c r="AJ41" i="61"/>
  <c r="AJ66" i="61"/>
  <c r="AJ47" i="61"/>
  <c r="AJ48" i="61"/>
  <c r="AJ64" i="61"/>
  <c r="AJ63" i="61"/>
  <c r="AJ44" i="61"/>
  <c r="AJ36" i="61"/>
  <c r="AJ70" i="61"/>
  <c r="AJ45" i="61"/>
  <c r="AJ50" i="61"/>
  <c r="AJ68" i="61"/>
  <c r="AJ39" i="61"/>
  <c r="AJ51" i="61"/>
  <c r="AJ43" i="61"/>
  <c r="AJ56" i="61"/>
  <c r="AJ53" i="61"/>
  <c r="AJ55" i="61"/>
  <c r="AJ52" i="61"/>
  <c r="AJ57" i="61"/>
  <c r="AJ37" i="61"/>
  <c r="AJ38" i="61"/>
  <c r="AJ46" i="61"/>
  <c r="AJ69" i="61"/>
  <c r="AJ42" i="61"/>
  <c r="AJ84" i="53"/>
  <c r="AJ80" i="53"/>
  <c r="AJ77" i="53"/>
  <c r="AJ46" i="53"/>
  <c r="AJ40" i="53"/>
  <c r="AJ41" i="53"/>
  <c r="AJ36" i="53"/>
  <c r="AJ56" i="53"/>
  <c r="AJ39" i="53"/>
  <c r="AJ65" i="53"/>
  <c r="AJ44" i="53"/>
  <c r="AJ67" i="53"/>
  <c r="AJ54" i="53"/>
  <c r="AJ70" i="53"/>
  <c r="AJ64" i="53"/>
  <c r="AJ42" i="53"/>
  <c r="AJ52" i="53"/>
  <c r="AJ58" i="53"/>
  <c r="AJ68" i="53"/>
  <c r="AJ43" i="53"/>
  <c r="AJ63" i="53"/>
  <c r="AJ49" i="53"/>
  <c r="AJ66" i="53"/>
  <c r="AJ69" i="53"/>
  <c r="AJ50" i="53"/>
  <c r="AJ38" i="53"/>
  <c r="AJ48" i="53"/>
  <c r="AJ51" i="53"/>
  <c r="AJ37" i="53"/>
  <c r="AJ55" i="53"/>
  <c r="AJ45" i="53"/>
  <c r="AJ53" i="53"/>
  <c r="AJ47" i="53"/>
  <c r="AJ57" i="53"/>
  <c r="AJ84" i="52"/>
  <c r="AJ80" i="52"/>
  <c r="AJ77" i="52"/>
  <c r="AJ54" i="52"/>
  <c r="AJ46" i="52"/>
  <c r="AJ57" i="52"/>
  <c r="AJ37" i="52"/>
  <c r="AJ67" i="52"/>
  <c r="AJ47" i="52"/>
  <c r="AJ50" i="52"/>
  <c r="AJ44" i="52"/>
  <c r="AJ70" i="52"/>
  <c r="AJ43" i="52"/>
  <c r="AJ45" i="52"/>
  <c r="AJ55" i="52"/>
  <c r="AJ42" i="52"/>
  <c r="AJ38" i="52"/>
  <c r="AJ41" i="52"/>
  <c r="AJ66" i="52"/>
  <c r="AJ49" i="52"/>
  <c r="AJ40" i="52"/>
  <c r="AJ52" i="52"/>
  <c r="AJ53" i="52"/>
  <c r="AJ65" i="52"/>
  <c r="AJ64" i="52"/>
  <c r="AJ51" i="52"/>
  <c r="AJ36" i="52"/>
  <c r="AJ63" i="52"/>
  <c r="AJ39" i="52"/>
  <c r="AJ58" i="52"/>
  <c r="AJ48" i="52"/>
  <c r="AJ69" i="52"/>
  <c r="AJ68" i="52"/>
  <c r="AJ56" i="52"/>
  <c r="AJ85" i="51"/>
  <c r="AJ84" i="51"/>
  <c r="AJ94" i="51"/>
  <c r="AJ77" i="51"/>
  <c r="AJ80" i="51"/>
  <c r="AJ91" i="51"/>
  <c r="AJ92" i="51"/>
  <c r="AJ89" i="51"/>
  <c r="AJ90" i="51"/>
  <c r="AJ81" i="51"/>
  <c r="AJ95" i="51"/>
  <c r="AJ83" i="51"/>
  <c r="AJ93" i="51"/>
  <c r="AJ82" i="51"/>
  <c r="AJ43" i="51"/>
  <c r="AJ51" i="51"/>
  <c r="AJ64" i="51"/>
  <c r="AJ47" i="51"/>
  <c r="AJ45" i="51"/>
  <c r="AJ70" i="51"/>
  <c r="AJ38" i="51"/>
  <c r="AJ50" i="51"/>
  <c r="AJ40" i="51"/>
  <c r="AJ39" i="51"/>
  <c r="AJ58" i="51"/>
  <c r="AJ57" i="51"/>
  <c r="AJ48" i="51"/>
  <c r="AJ68" i="51"/>
  <c r="AJ46" i="51"/>
  <c r="AJ37" i="51"/>
  <c r="AJ52" i="51"/>
  <c r="AJ63" i="51"/>
  <c r="AJ53" i="51"/>
  <c r="AJ49" i="51"/>
  <c r="AJ36" i="51"/>
  <c r="AJ44" i="51"/>
  <c r="AJ69" i="51"/>
  <c r="AJ67" i="51"/>
  <c r="AJ41" i="51"/>
  <c r="AJ54" i="51"/>
  <c r="AJ65" i="51"/>
  <c r="AJ55" i="51"/>
  <c r="AJ42" i="51"/>
  <c r="AJ66" i="51"/>
  <c r="AJ56" i="51"/>
  <c r="AJ95" i="9"/>
  <c r="AJ111" i="9"/>
  <c r="AJ112" i="9"/>
  <c r="AJ84" i="9"/>
  <c r="AJ103" i="9"/>
  <c r="AJ101" i="9"/>
  <c r="AJ108" i="9"/>
  <c r="AJ102" i="9"/>
  <c r="AJ118" i="9"/>
  <c r="AJ117" i="9"/>
  <c r="AJ116" i="9"/>
  <c r="AJ107" i="9"/>
  <c r="AJ115" i="9"/>
  <c r="AJ105" i="9"/>
  <c r="AJ77" i="9"/>
  <c r="AJ83" i="9"/>
  <c r="AJ85" i="9"/>
  <c r="AJ82" i="9"/>
  <c r="AJ109" i="9"/>
  <c r="AJ89" i="9"/>
  <c r="AJ80" i="9"/>
  <c r="AJ98" i="9"/>
  <c r="AJ86" i="9"/>
  <c r="AJ96" i="9"/>
  <c r="AJ87" i="9"/>
  <c r="AJ110" i="9"/>
  <c r="AJ94" i="9"/>
  <c r="AJ100" i="9"/>
  <c r="AJ106" i="9"/>
  <c r="AJ90" i="9"/>
  <c r="AJ99" i="9"/>
  <c r="AJ81" i="9"/>
  <c r="AJ88" i="9"/>
  <c r="AJ104" i="9"/>
  <c r="AJ97" i="9"/>
  <c r="AJ113" i="9"/>
  <c r="AJ114" i="9"/>
  <c r="AJ64" i="9"/>
  <c r="AJ49" i="9"/>
  <c r="AJ56" i="9"/>
  <c r="AJ70" i="9"/>
  <c r="AJ65" i="9"/>
  <c r="AJ40" i="9"/>
  <c r="AJ51" i="9"/>
  <c r="AJ50" i="9"/>
  <c r="AJ67" i="9"/>
  <c r="AJ39" i="9"/>
  <c r="AJ46" i="9"/>
  <c r="AJ63" i="9"/>
  <c r="AJ66" i="9"/>
  <c r="AJ69" i="9"/>
  <c r="AJ58" i="9"/>
  <c r="AJ54" i="9"/>
  <c r="AJ55" i="9"/>
  <c r="AJ52" i="9"/>
  <c r="AJ48" i="9"/>
  <c r="AJ44" i="9"/>
  <c r="AJ37" i="9"/>
  <c r="AJ41" i="9"/>
  <c r="AJ57" i="9"/>
  <c r="AJ43" i="9"/>
  <c r="AJ38" i="9"/>
  <c r="AJ47" i="9"/>
  <c r="AJ36" i="9"/>
  <c r="AJ45" i="9"/>
  <c r="AJ53" i="9"/>
  <c r="AJ42" i="9"/>
  <c r="AJ68" i="9"/>
  <c r="AJ41" i="29"/>
  <c r="AJ51" i="29"/>
  <c r="AJ59" i="29"/>
  <c r="AJ42" i="29"/>
  <c r="AJ60" i="29"/>
  <c r="AJ69" i="29"/>
  <c r="AJ64" i="29"/>
  <c r="AJ45" i="29"/>
  <c r="AJ72" i="29"/>
  <c r="AJ63" i="29"/>
  <c r="AJ46" i="29"/>
  <c r="AJ36" i="29"/>
  <c r="AJ66" i="29"/>
  <c r="AJ70" i="29"/>
  <c r="AJ57" i="29"/>
  <c r="AJ47" i="29"/>
  <c r="AJ67" i="29"/>
  <c r="AJ53" i="29"/>
  <c r="AJ71" i="29"/>
  <c r="AJ56" i="29"/>
  <c r="AJ58" i="29"/>
  <c r="AJ43" i="29"/>
  <c r="AJ62" i="29"/>
  <c r="AJ54" i="29"/>
  <c r="AJ44" i="29"/>
  <c r="AJ52" i="29"/>
  <c r="AJ61" i="29"/>
  <c r="AJ39" i="29"/>
  <c r="AJ55" i="29"/>
  <c r="AJ68" i="29"/>
  <c r="AJ65" i="29"/>
  <c r="AJ40" i="29"/>
  <c r="AJ66" i="4"/>
  <c r="AJ56" i="4"/>
  <c r="AJ92" i="4"/>
  <c r="AJ65" i="4"/>
  <c r="AJ77" i="4"/>
  <c r="AJ83" i="4"/>
  <c r="AJ67" i="4"/>
  <c r="AJ61" i="4"/>
  <c r="AJ59" i="4"/>
  <c r="AJ89" i="4"/>
  <c r="AJ62" i="4"/>
  <c r="AJ76" i="4"/>
  <c r="AJ74" i="4"/>
  <c r="AJ73" i="4"/>
  <c r="AJ82" i="4"/>
  <c r="AJ86" i="4"/>
  <c r="AJ80" i="4"/>
  <c r="AJ78" i="4"/>
  <c r="AJ64" i="4"/>
  <c r="AJ91" i="4"/>
  <c r="AJ85" i="4"/>
  <c r="AJ75" i="4"/>
  <c r="AJ84" i="4"/>
  <c r="AJ93" i="4"/>
  <c r="AJ60" i="4"/>
  <c r="AJ81" i="4"/>
  <c r="AJ87" i="4"/>
  <c r="AJ72" i="4"/>
  <c r="AJ88" i="4"/>
  <c r="AJ79" i="4"/>
  <c r="AJ90" i="4"/>
  <c r="AJ68" i="4"/>
  <c r="AJ63" i="4"/>
  <c r="AJ51" i="4"/>
  <c r="AJ46" i="4"/>
  <c r="AJ43" i="4"/>
  <c r="AJ45" i="4"/>
  <c r="AJ41" i="4"/>
  <c r="AJ36" i="4"/>
  <c r="AJ44" i="4"/>
  <c r="AJ48" i="4"/>
  <c r="AJ40" i="4"/>
  <c r="AJ39" i="4"/>
  <c r="AJ50" i="4"/>
  <c r="AJ49" i="4"/>
  <c r="AJ42" i="4"/>
  <c r="AJ38" i="4"/>
  <c r="AJ37" i="4"/>
  <c r="AJ47" i="4"/>
  <c r="AJ70" i="21"/>
  <c r="AJ63" i="21"/>
  <c r="AJ66" i="21"/>
  <c r="AJ50" i="21"/>
  <c r="AJ39" i="21"/>
  <c r="AJ35" i="21"/>
  <c r="AJ51" i="21"/>
  <c r="AJ54" i="21"/>
  <c r="AJ53" i="21"/>
  <c r="AJ36" i="21"/>
  <c r="AJ42" i="21"/>
  <c r="AJ55" i="21"/>
  <c r="AJ49" i="21"/>
  <c r="AJ38" i="21"/>
  <c r="AJ56" i="21"/>
  <c r="AJ48" i="21"/>
  <c r="AJ44" i="21"/>
  <c r="AJ52" i="21"/>
  <c r="AJ41" i="21"/>
  <c r="AJ40" i="21"/>
  <c r="AJ43" i="21"/>
  <c r="AJ37" i="21"/>
  <c r="AJ40" i="7"/>
  <c r="AJ41" i="7"/>
  <c r="AJ42" i="7"/>
  <c r="AJ45" i="7"/>
  <c r="AJ39" i="7"/>
  <c r="AJ37" i="7"/>
  <c r="AJ38" i="7"/>
  <c r="AJ36" i="7"/>
  <c r="AJ44" i="7"/>
  <c r="AJ35" i="7"/>
  <c r="AJ43" i="7"/>
  <c r="AJ53" i="36"/>
  <c r="AJ61" i="36"/>
  <c r="AJ54" i="36"/>
  <c r="AJ38" i="36"/>
  <c r="AJ55" i="36"/>
  <c r="AJ64" i="36"/>
  <c r="AJ59" i="36"/>
  <c r="AJ46" i="36"/>
  <c r="AJ47" i="36"/>
  <c r="AJ57" i="36"/>
  <c r="AJ58" i="36"/>
  <c r="AJ56" i="36"/>
  <c r="AJ45" i="36"/>
  <c r="AJ48" i="36"/>
  <c r="AJ60" i="36"/>
  <c r="AJ49" i="36"/>
  <c r="AJ40" i="36"/>
  <c r="AJ39" i="36"/>
  <c r="AJ37" i="36"/>
  <c r="AJ36" i="36"/>
  <c r="AJ44" i="36"/>
  <c r="AJ55" i="30"/>
  <c r="AJ43" i="30"/>
  <c r="AJ62" i="30"/>
  <c r="AJ36" i="30"/>
  <c r="AJ68" i="30"/>
  <c r="AJ40" i="30"/>
  <c r="AJ57" i="30"/>
  <c r="AJ69" i="30"/>
  <c r="AJ67" i="30"/>
  <c r="AJ58" i="30"/>
  <c r="AJ61" i="30"/>
  <c r="AJ52" i="30"/>
  <c r="AJ71" i="30"/>
  <c r="AJ65" i="30"/>
  <c r="AJ51" i="30"/>
  <c r="AJ39" i="30"/>
  <c r="AJ66" i="30"/>
  <c r="AJ47" i="30"/>
  <c r="AJ64" i="30"/>
  <c r="AJ42" i="30"/>
  <c r="AJ44" i="30"/>
  <c r="AJ59" i="30"/>
  <c r="AJ45" i="30"/>
  <c r="AJ56" i="30"/>
  <c r="AJ46" i="30"/>
  <c r="AJ41" i="30"/>
  <c r="AJ63" i="30"/>
  <c r="AJ54" i="30"/>
  <c r="AJ70" i="30"/>
  <c r="AJ53" i="30"/>
  <c r="AJ60" i="30"/>
  <c r="AJ56" i="20"/>
  <c r="AJ49" i="20"/>
  <c r="AJ52" i="20"/>
  <c r="AJ38" i="20"/>
  <c r="AJ42" i="20"/>
  <c r="AJ37" i="20"/>
  <c r="AJ35" i="20"/>
  <c r="AJ36" i="20"/>
  <c r="AI39" i="24"/>
  <c r="AI47" i="24"/>
  <c r="AI48" i="24"/>
  <c r="AI56" i="24"/>
  <c r="AI54" i="24"/>
  <c r="AI45" i="24"/>
  <c r="AI35" i="24"/>
  <c r="AI44" i="24"/>
  <c r="AI37" i="24"/>
  <c r="AI53" i="24"/>
  <c r="AI46" i="24"/>
  <c r="AI38" i="24"/>
  <c r="AI55" i="24"/>
  <c r="AI57" i="24"/>
  <c r="AI36" i="24"/>
  <c r="AJ56" i="33"/>
  <c r="AJ63" i="33"/>
  <c r="AJ47" i="33"/>
  <c r="AJ64" i="33"/>
  <c r="AJ62" i="33"/>
  <c r="AJ44" i="33"/>
  <c r="AJ54" i="33"/>
  <c r="AJ38" i="33"/>
  <c r="AJ60" i="33"/>
  <c r="AJ51" i="33"/>
  <c r="AJ52" i="33"/>
  <c r="AJ42" i="33"/>
  <c r="AJ57" i="33"/>
  <c r="AJ58" i="33"/>
  <c r="AJ43" i="33"/>
  <c r="AJ50" i="33"/>
  <c r="AJ45" i="33"/>
  <c r="AJ49" i="33"/>
  <c r="AJ65" i="33"/>
  <c r="AJ55" i="33"/>
  <c r="AJ40" i="33"/>
  <c r="AJ41" i="33"/>
  <c r="AJ48" i="33"/>
  <c r="AJ39" i="33"/>
  <c r="AJ46" i="33"/>
  <c r="AJ37" i="33"/>
  <c r="AJ35" i="33"/>
  <c r="AJ36" i="33"/>
  <c r="AJ53" i="33"/>
  <c r="AJ61" i="33"/>
  <c r="AJ59" i="33"/>
  <c r="AJ42" i="25"/>
  <c r="AJ38" i="25"/>
  <c r="AJ37" i="25"/>
  <c r="AJ44" i="25"/>
  <c r="AJ43" i="25"/>
  <c r="AJ35" i="25"/>
  <c r="AJ40" i="25"/>
  <c r="AJ49" i="25"/>
  <c r="AJ46" i="25"/>
  <c r="AJ50" i="25"/>
  <c r="AJ48" i="25"/>
  <c r="AJ36" i="25"/>
  <c r="AJ47" i="25"/>
  <c r="AJ45" i="25"/>
  <c r="AJ41" i="25"/>
  <c r="AJ39" i="25"/>
  <c r="AJ79" i="23"/>
  <c r="AJ93" i="23"/>
  <c r="AJ91" i="23"/>
  <c r="AJ87" i="23"/>
  <c r="AJ89" i="23"/>
  <c r="AJ78" i="23"/>
  <c r="AJ84" i="23"/>
  <c r="AJ86" i="23"/>
  <c r="AJ82" i="23"/>
  <c r="AJ90" i="23"/>
  <c r="AJ80" i="23"/>
  <c r="AJ85" i="23"/>
  <c r="AJ92" i="23"/>
  <c r="AJ94" i="23"/>
  <c r="AJ88" i="23"/>
  <c r="AJ81" i="23"/>
  <c r="AJ83" i="23"/>
  <c r="AJ68" i="23"/>
  <c r="AJ48" i="23"/>
  <c r="AJ57" i="23"/>
  <c r="AJ60" i="23"/>
  <c r="AJ38" i="23"/>
  <c r="AJ37" i="23"/>
  <c r="AJ53" i="23"/>
  <c r="AJ62" i="23"/>
  <c r="AJ39" i="23"/>
  <c r="AJ71" i="23"/>
  <c r="AJ42" i="23"/>
  <c r="AJ49" i="23"/>
  <c r="AJ47" i="23"/>
  <c r="AJ41" i="23"/>
  <c r="AJ66" i="23"/>
  <c r="AJ61" i="23"/>
  <c r="AJ70" i="23"/>
  <c r="AJ65" i="23"/>
  <c r="AJ44" i="23"/>
  <c r="AJ35" i="23"/>
  <c r="AJ43" i="23"/>
  <c r="AJ69" i="23"/>
  <c r="AJ51" i="23"/>
  <c r="AJ74" i="23"/>
  <c r="AJ46" i="23"/>
  <c r="AJ67" i="23"/>
  <c r="AJ63" i="23"/>
  <c r="AJ73" i="23"/>
  <c r="AJ52" i="23"/>
  <c r="AJ50" i="23"/>
  <c r="AJ45" i="23"/>
  <c r="AJ36" i="23"/>
  <c r="AJ58" i="23"/>
  <c r="AJ40" i="23"/>
  <c r="AJ59" i="23"/>
  <c r="AJ72" i="23"/>
  <c r="AJ64" i="23"/>
  <c r="AJ59" i="15"/>
  <c r="AJ63" i="15"/>
  <c r="AJ56" i="15"/>
  <c r="AJ37" i="15"/>
  <c r="AJ41" i="15"/>
  <c r="AJ47" i="15"/>
  <c r="AJ38" i="15"/>
  <c r="AJ40" i="15"/>
  <c r="AJ39" i="15"/>
  <c r="AJ46" i="15"/>
  <c r="AJ36" i="15"/>
  <c r="AJ49" i="15"/>
  <c r="AJ48" i="15"/>
  <c r="AJ57" i="34"/>
  <c r="AJ43" i="34"/>
  <c r="AJ36" i="34"/>
  <c r="AJ39" i="34"/>
  <c r="AJ58" i="28"/>
  <c r="AJ52" i="28"/>
  <c r="AJ57" i="28"/>
  <c r="AJ51" i="28"/>
  <c r="AJ48" i="28"/>
  <c r="AJ50" i="28"/>
  <c r="AJ49" i="28"/>
  <c r="AJ40" i="28"/>
  <c r="AJ43" i="28"/>
  <c r="AJ41" i="28"/>
  <c r="AJ36" i="28"/>
  <c r="AJ42" i="28"/>
  <c r="AJ71" i="11"/>
  <c r="AJ68" i="11"/>
  <c r="AJ75" i="11"/>
  <c r="AJ43" i="11"/>
  <c r="AJ42" i="11"/>
  <c r="AJ45" i="11"/>
  <c r="AJ50" i="11"/>
  <c r="AJ60" i="11"/>
  <c r="AJ59" i="11"/>
  <c r="AJ37" i="11"/>
  <c r="AJ46" i="11"/>
  <c r="AJ57" i="11"/>
  <c r="AJ39" i="11"/>
  <c r="AJ61" i="11"/>
  <c r="AJ40" i="11"/>
  <c r="AJ44" i="11"/>
  <c r="AJ41" i="11"/>
  <c r="AJ48" i="11"/>
  <c r="AJ47" i="11"/>
  <c r="AJ51" i="11"/>
  <c r="AJ49" i="11"/>
  <c r="AJ38" i="11"/>
  <c r="AJ58" i="11"/>
  <c r="AJ36" i="11"/>
  <c r="AJ56" i="11"/>
  <c r="AJ40" i="27"/>
  <c r="AJ38" i="27"/>
  <c r="AJ39" i="27"/>
  <c r="AJ35" i="27"/>
  <c r="AJ41" i="27"/>
  <c r="AJ36" i="27"/>
  <c r="AJ42" i="27"/>
  <c r="AJ37" i="27"/>
  <c r="AJ43" i="27"/>
  <c r="AJ63" i="19"/>
  <c r="AJ56" i="19"/>
  <c r="AJ59" i="19"/>
  <c r="AJ48" i="19"/>
  <c r="AJ35" i="19"/>
  <c r="AJ49" i="19"/>
  <c r="AJ38" i="19"/>
  <c r="AJ40" i="19"/>
  <c r="AJ36" i="19"/>
  <c r="AJ43" i="19"/>
  <c r="AJ44" i="19"/>
  <c r="AJ37" i="19"/>
  <c r="AJ42" i="19"/>
  <c r="AJ39" i="19"/>
  <c r="AJ41" i="19"/>
  <c r="AJ68" i="22"/>
  <c r="AJ64" i="22"/>
  <c r="AJ61" i="22"/>
  <c r="AJ41" i="22"/>
  <c r="AJ51" i="22"/>
  <c r="AJ35" i="22"/>
  <c r="AJ47" i="22"/>
  <c r="AJ37" i="22"/>
  <c r="AJ38" i="22"/>
  <c r="AJ53" i="22"/>
  <c r="AJ36" i="22"/>
  <c r="AJ39" i="22"/>
  <c r="AJ42" i="22"/>
  <c r="AJ49" i="22"/>
  <c r="AJ50" i="22"/>
  <c r="AJ52" i="22"/>
  <c r="AJ54" i="22"/>
  <c r="AJ48" i="22"/>
  <c r="AJ40" i="22"/>
  <c r="AJ43" i="22"/>
  <c r="AJ84" i="16"/>
  <c r="AJ104" i="16"/>
  <c r="AJ95" i="16"/>
  <c r="AJ118" i="16"/>
  <c r="AJ94" i="16"/>
  <c r="AJ93" i="16"/>
  <c r="AJ98" i="16"/>
  <c r="AJ80" i="16"/>
  <c r="AJ81" i="16"/>
  <c r="AJ117" i="16"/>
  <c r="AJ116" i="16"/>
  <c r="AJ79" i="16"/>
  <c r="AJ108" i="16"/>
  <c r="AJ114" i="16"/>
  <c r="AJ101" i="16"/>
  <c r="AJ82" i="16"/>
  <c r="AJ78" i="16"/>
  <c r="AJ97" i="16"/>
  <c r="AJ115" i="16"/>
  <c r="AJ113" i="16"/>
  <c r="AJ88" i="16"/>
  <c r="AJ96" i="16"/>
  <c r="AJ89" i="16"/>
  <c r="AJ112" i="16"/>
  <c r="AJ83" i="16"/>
  <c r="AJ87" i="16"/>
  <c r="AJ102" i="16"/>
  <c r="AJ75" i="16"/>
  <c r="AJ110" i="16"/>
  <c r="AJ85" i="16"/>
  <c r="AJ103" i="16"/>
  <c r="AJ111" i="16"/>
  <c r="AJ109" i="16"/>
  <c r="AJ107" i="16"/>
  <c r="AJ106" i="16"/>
  <c r="AJ100" i="16"/>
  <c r="AJ86" i="16"/>
  <c r="AJ99" i="16"/>
  <c r="AJ105" i="16"/>
  <c r="AJ68" i="16"/>
  <c r="AJ65" i="16"/>
  <c r="AJ66" i="16"/>
  <c r="AJ67" i="16"/>
  <c r="AJ64" i="16"/>
  <c r="AJ61" i="16"/>
  <c r="AJ62" i="16"/>
  <c r="AJ63" i="16"/>
  <c r="AJ35" i="31"/>
  <c r="AJ36" i="31"/>
  <c r="AJ56" i="35"/>
  <c r="AJ35" i="35"/>
  <c r="AJ39" i="35"/>
  <c r="AJ41" i="35"/>
  <c r="AJ45" i="35"/>
  <c r="AM49" i="69"/>
  <c r="AN49" i="69"/>
  <c r="AM41" i="69"/>
  <c r="AN41" i="69"/>
  <c r="AN41" i="67"/>
  <c r="AM41" i="67"/>
  <c r="AN49" i="67"/>
  <c r="AM49" i="67"/>
  <c r="AM49" i="65"/>
  <c r="AN49" i="65"/>
  <c r="AM41" i="65"/>
  <c r="AN41" i="65"/>
  <c r="AJ56" i="26"/>
  <c r="AJ55" i="26"/>
  <c r="AJ64" i="26"/>
  <c r="AJ44" i="26"/>
  <c r="AJ63" i="26"/>
  <c r="AJ61" i="26"/>
  <c r="AJ46" i="26"/>
  <c r="AJ59" i="26"/>
  <c r="AJ40" i="26"/>
  <c r="AJ51" i="26"/>
  <c r="AJ47" i="26"/>
  <c r="AJ66" i="26"/>
  <c r="AJ39" i="26"/>
  <c r="AJ58" i="26"/>
  <c r="AJ62" i="26"/>
  <c r="AJ45" i="26"/>
  <c r="AJ43" i="26"/>
  <c r="AJ36" i="26"/>
  <c r="AJ57" i="26"/>
  <c r="AJ53" i="26"/>
  <c r="AJ41" i="26"/>
  <c r="AJ42" i="26"/>
  <c r="AJ60" i="26"/>
  <c r="AJ54" i="26"/>
  <c r="AJ65" i="26"/>
  <c r="AJ52" i="26"/>
  <c r="AA11" i="18"/>
  <c r="AA11" i="21"/>
  <c r="AA11" i="20"/>
  <c r="AA11" i="15"/>
  <c r="AA11" i="19"/>
  <c r="AA11" i="22"/>
  <c r="AL67" i="33"/>
  <c r="AH67" i="33"/>
  <c r="AA11" i="61"/>
  <c r="O59" i="35"/>
  <c r="AA59" i="35" s="1"/>
  <c r="AA52" i="35"/>
  <c r="AJ98" i="23"/>
  <c r="AJ77" i="23"/>
  <c r="AJ96" i="23"/>
  <c r="AJ95" i="23"/>
  <c r="AJ56" i="23"/>
  <c r="AJ34" i="23"/>
  <c r="AJ48" i="7"/>
  <c r="AJ51" i="7"/>
  <c r="AJ50" i="7"/>
  <c r="AJ47" i="7"/>
  <c r="AJ34" i="7"/>
  <c r="W68" i="33"/>
  <c r="W67" i="33"/>
  <c r="AJ75" i="30"/>
  <c r="AJ50" i="30"/>
  <c r="AJ72" i="30"/>
  <c r="AJ38" i="30"/>
  <c r="AJ37" i="30"/>
  <c r="AJ74" i="30"/>
  <c r="AJ35" i="30"/>
  <c r="S68" i="33"/>
  <c r="S67" i="33"/>
  <c r="AJ55" i="20"/>
  <c r="AJ60" i="20"/>
  <c r="AJ50" i="20"/>
  <c r="AJ48" i="20"/>
  <c r="AJ34" i="20"/>
  <c r="AJ51" i="20"/>
  <c r="AJ44" i="20"/>
  <c r="AJ57" i="20"/>
  <c r="AJ59" i="20"/>
  <c r="AJ43" i="20"/>
  <c r="AJ41" i="20"/>
  <c r="AM57" i="19"/>
  <c r="AN57" i="19"/>
  <c r="AJ45" i="15"/>
  <c r="AJ66" i="15"/>
  <c r="AJ50" i="15"/>
  <c r="AJ62" i="15"/>
  <c r="AJ58" i="15"/>
  <c r="AJ35" i="15"/>
  <c r="AJ64" i="15"/>
  <c r="AJ51" i="15"/>
  <c r="AJ55" i="15"/>
  <c r="AJ67" i="15"/>
  <c r="AJ57" i="15"/>
  <c r="AJ67" i="26"/>
  <c r="AJ71" i="26"/>
  <c r="AJ38" i="26"/>
  <c r="AJ50" i="26"/>
  <c r="AJ35" i="26"/>
  <c r="AJ68" i="26"/>
  <c r="AJ70" i="26"/>
  <c r="AJ37" i="26"/>
  <c r="AM76" i="65"/>
  <c r="AN76" i="65"/>
  <c r="AJ50" i="35"/>
  <c r="AF50" i="35"/>
  <c r="AB50" i="35"/>
  <c r="AI50" i="35"/>
  <c r="AJ72" i="63"/>
  <c r="AJ78" i="63"/>
  <c r="AJ85" i="63"/>
  <c r="AJ62" i="63"/>
  <c r="AJ83" i="63"/>
  <c r="AJ35" i="63"/>
  <c r="AJ79" i="63"/>
  <c r="AJ76" i="63"/>
  <c r="AJ87" i="63"/>
  <c r="AJ88" i="63"/>
  <c r="AJ34" i="33"/>
  <c r="AM37" i="30"/>
  <c r="AN37" i="30"/>
  <c r="Z68" i="33"/>
  <c r="Z67" i="33"/>
  <c r="AJ79" i="54"/>
  <c r="AJ90" i="54"/>
  <c r="AJ78" i="54"/>
  <c r="AJ35" i="54"/>
  <c r="AJ71" i="54"/>
  <c r="AJ76" i="54"/>
  <c r="AJ62" i="54"/>
  <c r="AJ104" i="54"/>
  <c r="AJ102" i="54"/>
  <c r="AJ72" i="54"/>
  <c r="AJ105" i="54"/>
  <c r="AJ49" i="34"/>
  <c r="AJ44" i="34"/>
  <c r="AJ56" i="34"/>
  <c r="AJ50" i="34"/>
  <c r="AJ38" i="34"/>
  <c r="AJ51" i="34"/>
  <c r="AJ42" i="34"/>
  <c r="AJ35" i="34"/>
  <c r="AJ53" i="34"/>
  <c r="AJ58" i="34"/>
  <c r="AJ37" i="34"/>
  <c r="AJ46" i="34"/>
  <c r="AN50" i="20"/>
  <c r="AM50" i="20"/>
  <c r="R68" i="33"/>
  <c r="R67" i="33"/>
  <c r="AM76" i="16"/>
  <c r="AN76" i="16"/>
  <c r="AI67" i="7"/>
  <c r="AF67" i="7"/>
  <c r="AA11" i="52"/>
  <c r="AJ34" i="25"/>
  <c r="AB78" i="63"/>
  <c r="AB78" i="52"/>
  <c r="AB78" i="54"/>
  <c r="AM37" i="34"/>
  <c r="AN37" i="34"/>
  <c r="AJ36" i="32"/>
  <c r="AJ34" i="32"/>
  <c r="AJ37" i="16"/>
  <c r="AJ48" i="16"/>
  <c r="AJ74" i="16"/>
  <c r="AJ45" i="16"/>
  <c r="AJ53" i="16"/>
  <c r="AJ119" i="16"/>
  <c r="AJ56" i="16"/>
  <c r="AJ51" i="16"/>
  <c r="AJ47" i="16"/>
  <c r="AJ77" i="16"/>
  <c r="AJ44" i="16"/>
  <c r="AJ70" i="16"/>
  <c r="AJ49" i="16"/>
  <c r="AJ41" i="16"/>
  <c r="AJ40" i="16"/>
  <c r="AJ54" i="16"/>
  <c r="AJ36" i="16"/>
  <c r="AJ46" i="16"/>
  <c r="AJ39" i="16"/>
  <c r="AJ122" i="16"/>
  <c r="AJ55" i="16"/>
  <c r="AJ35" i="16"/>
  <c r="AJ76" i="16"/>
  <c r="AJ43" i="16"/>
  <c r="AJ50" i="16"/>
  <c r="AJ52" i="16"/>
  <c r="AJ60" i="16"/>
  <c r="AJ92" i="16"/>
  <c r="AJ42" i="16"/>
  <c r="AJ121" i="16"/>
  <c r="AJ38" i="16"/>
  <c r="AA11" i="9"/>
  <c r="AB69" i="11"/>
  <c r="X68" i="33"/>
  <c r="X67" i="33"/>
  <c r="AJ72" i="52"/>
  <c r="AJ78" i="52"/>
  <c r="AJ87" i="52"/>
  <c r="AJ76" i="52"/>
  <c r="AJ79" i="52"/>
  <c r="AJ88" i="52"/>
  <c r="AJ35" i="52"/>
  <c r="AJ62" i="52"/>
  <c r="AJ85" i="52"/>
  <c r="AJ83" i="52"/>
  <c r="V68" i="33"/>
  <c r="V67" i="33"/>
  <c r="AJ43" i="36"/>
  <c r="AJ52" i="36"/>
  <c r="AJ63" i="36"/>
  <c r="AJ35" i="36"/>
  <c r="AN64" i="21"/>
  <c r="AM64" i="21"/>
  <c r="AA18" i="6"/>
  <c r="AJ71" i="22"/>
  <c r="AJ67" i="22"/>
  <c r="AJ60" i="22"/>
  <c r="AJ34" i="22"/>
  <c r="AJ46" i="22"/>
  <c r="AJ62" i="22"/>
  <c r="AJ69" i="22"/>
  <c r="AJ72" i="22"/>
  <c r="AJ63" i="22"/>
  <c r="AJ55" i="22"/>
  <c r="AJ56" i="22"/>
  <c r="AJ74" i="11"/>
  <c r="AJ67" i="11"/>
  <c r="AJ55" i="11"/>
  <c r="AJ78" i="11"/>
  <c r="AJ79" i="11"/>
  <c r="AJ35" i="11"/>
  <c r="AJ63" i="11"/>
  <c r="AJ62" i="11"/>
  <c r="AJ76" i="11"/>
  <c r="AJ70" i="11"/>
  <c r="AJ69" i="11"/>
  <c r="AJ62" i="28"/>
  <c r="AJ39" i="28"/>
  <c r="AJ56" i="28"/>
  <c r="AJ53" i="28"/>
  <c r="AJ61" i="28"/>
  <c r="AJ59" i="28"/>
  <c r="AJ44" i="28"/>
  <c r="AJ47" i="28"/>
  <c r="AJ35" i="28"/>
  <c r="O68" i="33"/>
  <c r="O67" i="33"/>
  <c r="AA66" i="33"/>
  <c r="U68" i="33"/>
  <c r="U67" i="33"/>
  <c r="AB78" i="53"/>
  <c r="Z62" i="24"/>
  <c r="AE60" i="24"/>
  <c r="AH60" i="24"/>
  <c r="AA60" i="24"/>
  <c r="AI60" i="24"/>
  <c r="AJ34" i="27"/>
  <c r="AJ44" i="27"/>
  <c r="AB78" i="51"/>
  <c r="AJ69" i="21"/>
  <c r="AJ34" i="21"/>
  <c r="AJ62" i="21"/>
  <c r="AJ64" i="21"/>
  <c r="AJ65" i="21"/>
  <c r="AJ74" i="21"/>
  <c r="AJ58" i="21"/>
  <c r="AJ73" i="21"/>
  <c r="AJ71" i="21"/>
  <c r="AJ47" i="21"/>
  <c r="AH68" i="33"/>
  <c r="AL68" i="33"/>
  <c r="AA11" i="51"/>
  <c r="AM62" i="22"/>
  <c r="AN62" i="22"/>
  <c r="AJ46" i="35"/>
  <c r="AJ40" i="35"/>
  <c r="AJ38" i="35"/>
  <c r="AJ57" i="35"/>
  <c r="AJ44" i="35"/>
  <c r="AJ48" i="35"/>
  <c r="AJ34" i="35"/>
  <c r="AJ55" i="35"/>
  <c r="AJ37" i="31"/>
  <c r="AJ34" i="31"/>
  <c r="T68" i="33"/>
  <c r="T67" i="33"/>
  <c r="Y68" i="33"/>
  <c r="Y67" i="33"/>
  <c r="AJ57" i="4"/>
  <c r="AJ58" i="4"/>
  <c r="AJ96" i="4"/>
  <c r="AJ71" i="4"/>
  <c r="AJ94" i="4"/>
  <c r="AJ35" i="4"/>
  <c r="AJ97" i="4"/>
  <c r="AJ55" i="4"/>
  <c r="AJ35" i="53"/>
  <c r="AJ85" i="53"/>
  <c r="AJ78" i="53"/>
  <c r="AJ88" i="53"/>
  <c r="AJ79" i="53"/>
  <c r="AJ76" i="53"/>
  <c r="AJ62" i="53"/>
  <c r="AJ87" i="53"/>
  <c r="AJ83" i="53"/>
  <c r="AJ72" i="53"/>
  <c r="AI58" i="24"/>
  <c r="AI34" i="24"/>
  <c r="AI52" i="24"/>
  <c r="AI49" i="24"/>
  <c r="AI43" i="24"/>
  <c r="AI40" i="24"/>
  <c r="P68" i="33"/>
  <c r="P67" i="33"/>
  <c r="AJ78" i="51"/>
  <c r="AJ99" i="51"/>
  <c r="AJ76" i="51"/>
  <c r="AJ96" i="51"/>
  <c r="AJ98" i="51"/>
  <c r="AJ62" i="51"/>
  <c r="AJ35" i="51"/>
  <c r="AJ79" i="51"/>
  <c r="AJ72" i="51"/>
  <c r="AJ88" i="51"/>
  <c r="AE67" i="33"/>
  <c r="AK67" i="33"/>
  <c r="AA11" i="54"/>
  <c r="AA11" i="63"/>
  <c r="AA11" i="16"/>
  <c r="AJ72" i="61"/>
  <c r="AJ83" i="61"/>
  <c r="AJ87" i="61"/>
  <c r="AJ85" i="61"/>
  <c r="AJ62" i="61"/>
  <c r="AJ79" i="61"/>
  <c r="AJ76" i="61"/>
  <c r="AJ35" i="61"/>
  <c r="AJ78" i="61"/>
  <c r="AJ88" i="61"/>
  <c r="Q68" i="33"/>
  <c r="Q67" i="33"/>
  <c r="AB78" i="9"/>
  <c r="AA11" i="53"/>
  <c r="AE68" i="33"/>
  <c r="AK68" i="33"/>
  <c r="AA11" i="11"/>
  <c r="AB52" i="25"/>
  <c r="AI52" i="25"/>
  <c r="AF52" i="25"/>
  <c r="AA54" i="25"/>
  <c r="AJ52" i="25"/>
  <c r="AB78" i="61"/>
  <c r="AJ75" i="29"/>
  <c r="AJ73" i="29"/>
  <c r="AJ38" i="29"/>
  <c r="AJ76" i="29"/>
  <c r="AJ35" i="29"/>
  <c r="AJ37" i="29"/>
  <c r="AJ50" i="29"/>
  <c r="AJ66" i="19"/>
  <c r="AJ57" i="19"/>
  <c r="AJ64" i="19"/>
  <c r="AJ62" i="19"/>
  <c r="AJ47" i="19"/>
  <c r="AJ58" i="19"/>
  <c r="AJ51" i="19"/>
  <c r="AJ55" i="19"/>
  <c r="AJ34" i="19"/>
  <c r="AJ67" i="19"/>
  <c r="AJ50" i="19"/>
  <c r="AJ62" i="9"/>
  <c r="AJ121" i="9"/>
  <c r="AJ93" i="9"/>
  <c r="AJ76" i="9"/>
  <c r="AJ122" i="9"/>
  <c r="AJ78" i="9"/>
  <c r="AJ35" i="9"/>
  <c r="AJ72" i="9"/>
  <c r="AJ119" i="9"/>
  <c r="AJ79" i="9"/>
  <c r="AB60" i="16"/>
  <c r="AB62" i="16"/>
  <c r="AB61" i="16"/>
  <c r="AB63" i="16"/>
  <c r="AB68" i="16"/>
  <c r="AB67" i="16"/>
  <c r="AB66" i="16"/>
  <c r="AB130" i="39"/>
  <c r="AB134" i="39"/>
  <c r="AB136" i="39"/>
  <c r="AB132" i="39"/>
  <c r="AB138" i="39"/>
  <c r="AB140" i="39"/>
  <c r="AB45" i="15"/>
  <c r="AB48" i="15"/>
  <c r="AB47" i="15"/>
  <c r="AB49" i="15"/>
  <c r="AB46" i="15"/>
  <c r="AB134" i="55"/>
  <c r="AB138" i="55"/>
  <c r="AB130" i="55"/>
  <c r="AB136" i="55"/>
  <c r="AB132" i="55"/>
  <c r="AB140" i="55"/>
  <c r="AB134" i="6"/>
  <c r="AB126" i="6"/>
  <c r="AB144" i="6"/>
  <c r="AB142" i="6"/>
  <c r="AB150" i="6"/>
  <c r="AB136" i="6"/>
  <c r="AB128" i="6"/>
  <c r="AB120" i="6"/>
  <c r="AB146" i="6"/>
  <c r="AB138" i="6"/>
  <c r="AB130" i="6"/>
  <c r="AB122" i="6"/>
  <c r="AB151" i="6"/>
  <c r="AB148" i="6"/>
  <c r="AB140" i="6"/>
  <c r="AB132" i="6"/>
  <c r="AB124" i="6"/>
  <c r="AB149" i="6"/>
  <c r="AB147" i="6"/>
  <c r="AB145" i="6"/>
  <c r="AB143" i="6"/>
  <c r="AB141" i="6"/>
  <c r="AB139" i="6"/>
  <c r="AB137" i="6"/>
  <c r="AB135" i="6"/>
  <c r="AB133" i="6"/>
  <c r="AB131" i="6"/>
  <c r="AB129" i="6"/>
  <c r="AB127" i="6"/>
  <c r="AB125" i="6"/>
  <c r="AB123" i="6"/>
  <c r="AB121" i="6"/>
  <c r="AB119" i="6"/>
  <c r="AB154" i="17"/>
  <c r="AB167" i="17"/>
  <c r="AB170" i="17"/>
  <c r="AB163" i="17"/>
  <c r="AB156" i="17"/>
  <c r="AB161" i="17"/>
  <c r="AB165" i="17"/>
  <c r="AB159" i="17"/>
  <c r="AB152" i="17"/>
  <c r="AB65" i="52"/>
  <c r="AB62" i="9"/>
  <c r="AB65" i="9"/>
  <c r="AB64" i="9"/>
  <c r="AB70" i="9"/>
  <c r="AB63" i="9"/>
  <c r="AB62" i="51"/>
  <c r="AB65" i="51"/>
  <c r="AB70" i="51"/>
  <c r="AB64" i="51"/>
  <c r="AB63" i="51"/>
  <c r="AB136" i="58"/>
  <c r="AB138" i="58"/>
  <c r="AB132" i="58"/>
  <c r="AB134" i="58"/>
  <c r="AB140" i="58"/>
  <c r="AB130" i="58"/>
  <c r="AB65" i="61"/>
  <c r="AB62" i="54"/>
  <c r="AB64" i="54"/>
  <c r="AB70" i="54"/>
  <c r="AB63" i="54"/>
  <c r="AB65" i="54"/>
  <c r="AB65" i="53"/>
  <c r="AB58" i="11"/>
  <c r="AB65" i="63"/>
  <c r="A14" i="6"/>
  <c r="AB152" i="6"/>
  <c r="AA152" i="6"/>
  <c r="AM37" i="29" l="1"/>
  <c r="AM35" i="28"/>
  <c r="AM57" i="15"/>
  <c r="AA67" i="33"/>
  <c r="AA68" i="33"/>
  <c r="AM63" i="54"/>
  <c r="AN63" i="54"/>
  <c r="AN70" i="54"/>
  <c r="AM70" i="54"/>
  <c r="AN64" i="54"/>
  <c r="AM64" i="54"/>
  <c r="AN62" i="54"/>
  <c r="AM62" i="54"/>
  <c r="AN63" i="51"/>
  <c r="AM63" i="51"/>
  <c r="AM64" i="51"/>
  <c r="AN64" i="51"/>
  <c r="AM70" i="51"/>
  <c r="AN70" i="51"/>
  <c r="AM62" i="51"/>
  <c r="AN62" i="51"/>
  <c r="AN63" i="9"/>
  <c r="AM63" i="9"/>
  <c r="AN70" i="9"/>
  <c r="AM70" i="9"/>
  <c r="AN64" i="9"/>
  <c r="AM64" i="9"/>
  <c r="AN62" i="9"/>
  <c r="AM62" i="9"/>
  <c r="AN46" i="15"/>
  <c r="AM46" i="15"/>
  <c r="AM49" i="15"/>
  <c r="AN49" i="15"/>
  <c r="AN47" i="15"/>
  <c r="AM47" i="15"/>
  <c r="AN48" i="15"/>
  <c r="AM48" i="15"/>
  <c r="AM45" i="15"/>
  <c r="AN45" i="15"/>
  <c r="AN66" i="16"/>
  <c r="AM66" i="16"/>
  <c r="AN67" i="16"/>
  <c r="AM67" i="16"/>
  <c r="AN68" i="16"/>
  <c r="AM68" i="16"/>
  <c r="AM61" i="16"/>
  <c r="AN61" i="16"/>
  <c r="AN62" i="16"/>
  <c r="AM62" i="16"/>
  <c r="AN60" i="16"/>
  <c r="AM60" i="16"/>
  <c r="AM39" i="27"/>
  <c r="AN39" i="27"/>
  <c r="AN37" i="27"/>
  <c r="AM37" i="27"/>
  <c r="AN50" i="28"/>
  <c r="AM50" i="28"/>
  <c r="AM79" i="51"/>
  <c r="AN79" i="51"/>
  <c r="AM42" i="51"/>
  <c r="AN42" i="51"/>
  <c r="AN54" i="51"/>
  <c r="AM54" i="51"/>
  <c r="AN82" i="51"/>
  <c r="AM82" i="51"/>
  <c r="AM63" i="36"/>
  <c r="AN63" i="36"/>
  <c r="AN60" i="36"/>
  <c r="AM60" i="36"/>
  <c r="AM59" i="36"/>
  <c r="AN59" i="36"/>
  <c r="AN34" i="31"/>
  <c r="AM34" i="31"/>
  <c r="AN74" i="21"/>
  <c r="AM74" i="21"/>
  <c r="AM37" i="24"/>
  <c r="AL37" i="24"/>
  <c r="AM105" i="54"/>
  <c r="AN105" i="54"/>
  <c r="AN57" i="54"/>
  <c r="AM57" i="54"/>
  <c r="AN80" i="54"/>
  <c r="AM80" i="54"/>
  <c r="AN92" i="54"/>
  <c r="AM92" i="54"/>
  <c r="AN48" i="33"/>
  <c r="AM48" i="33"/>
  <c r="AN39" i="16"/>
  <c r="AM39" i="16"/>
  <c r="AM47" i="16"/>
  <c r="AN47" i="16"/>
  <c r="AM95" i="16"/>
  <c r="AN95" i="16"/>
  <c r="AN94" i="16"/>
  <c r="AM94" i="16"/>
  <c r="AM116" i="16"/>
  <c r="AN116" i="16"/>
  <c r="AN83" i="16"/>
  <c r="AM83" i="16"/>
  <c r="AN106" i="16"/>
  <c r="AM106" i="16"/>
  <c r="AM38" i="30"/>
  <c r="AN38" i="30"/>
  <c r="AN57" i="30"/>
  <c r="AM57" i="30"/>
  <c r="AN51" i="30"/>
  <c r="AM51" i="30"/>
  <c r="AM69" i="30"/>
  <c r="AN69" i="30"/>
  <c r="AM71" i="30"/>
  <c r="AN71" i="30"/>
  <c r="AM98" i="23"/>
  <c r="AN98" i="23"/>
  <c r="AM35" i="25"/>
  <c r="AN35" i="25"/>
  <c r="AN50" i="29"/>
  <c r="AM50" i="29"/>
  <c r="AN68" i="29"/>
  <c r="AM68" i="29"/>
  <c r="AN54" i="29"/>
  <c r="AM54" i="29"/>
  <c r="AN59" i="29"/>
  <c r="AM59" i="29"/>
  <c r="AM38" i="26"/>
  <c r="AN38" i="26"/>
  <c r="AN47" i="26"/>
  <c r="AM47" i="26"/>
  <c r="AN56" i="26"/>
  <c r="AM56" i="26"/>
  <c r="AN35" i="15"/>
  <c r="AM35" i="15"/>
  <c r="AN38" i="15"/>
  <c r="AM38" i="15"/>
  <c r="AM76" i="9"/>
  <c r="AN76" i="9"/>
  <c r="AN44" i="9"/>
  <c r="AM44" i="9"/>
  <c r="AN86" i="9"/>
  <c r="AM86" i="9"/>
  <c r="AM81" i="9"/>
  <c r="AN81" i="9"/>
  <c r="AN104" i="9"/>
  <c r="AM104" i="9"/>
  <c r="AM80" i="9"/>
  <c r="AN80" i="9"/>
  <c r="AM41" i="27"/>
  <c r="AN41" i="27"/>
  <c r="AN47" i="28"/>
  <c r="AM47" i="28"/>
  <c r="AN49" i="28"/>
  <c r="AM49" i="28"/>
  <c r="AM98" i="51"/>
  <c r="AN98" i="51"/>
  <c r="AM36" i="51"/>
  <c r="AN36" i="51"/>
  <c r="AM95" i="51"/>
  <c r="AN95" i="51"/>
  <c r="AM43" i="36"/>
  <c r="AN43" i="36"/>
  <c r="AM37" i="36"/>
  <c r="AN37" i="36"/>
  <c r="AN44" i="36"/>
  <c r="AM44" i="36"/>
  <c r="AN35" i="31"/>
  <c r="AM35" i="31"/>
  <c r="AM44" i="21"/>
  <c r="AN44" i="21"/>
  <c r="AN36" i="32"/>
  <c r="AM36" i="32"/>
  <c r="AM39" i="24"/>
  <c r="AL39" i="24"/>
  <c r="AM40" i="54"/>
  <c r="AN40" i="54"/>
  <c r="AN58" i="54"/>
  <c r="AM58" i="54"/>
  <c r="AM94" i="54"/>
  <c r="AN94" i="54"/>
  <c r="AM81" i="54"/>
  <c r="AN81" i="54"/>
  <c r="AM54" i="33"/>
  <c r="AN54" i="33"/>
  <c r="AN35" i="33"/>
  <c r="AM35" i="33"/>
  <c r="AA18" i="58"/>
  <c r="AM122" i="16"/>
  <c r="AN122" i="16"/>
  <c r="AN53" i="16"/>
  <c r="AM53" i="16"/>
  <c r="AN102" i="16"/>
  <c r="AM102" i="16"/>
  <c r="AN87" i="16"/>
  <c r="AM87" i="16"/>
  <c r="AN112" i="16"/>
  <c r="AM112" i="16"/>
  <c r="AM108" i="16"/>
  <c r="AN108" i="16"/>
  <c r="AN93" i="16"/>
  <c r="AM93" i="16"/>
  <c r="AM74" i="30"/>
  <c r="AN74" i="30"/>
  <c r="AN65" i="30"/>
  <c r="AM65" i="30"/>
  <c r="AN59" i="30"/>
  <c r="AM59" i="30"/>
  <c r="AN60" i="30"/>
  <c r="AM60" i="30"/>
  <c r="AN45" i="30"/>
  <c r="AM45" i="30"/>
  <c r="AN96" i="23"/>
  <c r="AM96" i="23"/>
  <c r="AN37" i="25"/>
  <c r="AM37" i="25"/>
  <c r="AM73" i="29"/>
  <c r="AN73" i="29"/>
  <c r="AN57" i="29"/>
  <c r="AM57" i="29"/>
  <c r="AM67" i="29"/>
  <c r="AN67" i="29"/>
  <c r="AN45" i="29"/>
  <c r="AM45" i="29"/>
  <c r="AN40" i="26"/>
  <c r="AM40" i="26"/>
  <c r="AM44" i="26"/>
  <c r="AN44" i="26"/>
  <c r="AN46" i="26"/>
  <c r="AM46" i="26"/>
  <c r="AN62" i="15"/>
  <c r="AM62" i="15"/>
  <c r="AN37" i="15"/>
  <c r="AM37" i="15"/>
  <c r="AN119" i="9"/>
  <c r="AM119" i="9"/>
  <c r="AM55" i="9"/>
  <c r="AN55" i="9"/>
  <c r="AN58" i="9"/>
  <c r="AM58" i="9"/>
  <c r="AN97" i="9"/>
  <c r="AM97" i="9"/>
  <c r="AM114" i="9"/>
  <c r="AN114" i="9"/>
  <c r="AN84" i="9"/>
  <c r="AM84" i="9"/>
  <c r="AM98" i="9"/>
  <c r="AN98" i="9"/>
  <c r="AN40" i="27"/>
  <c r="AM40" i="27"/>
  <c r="AN61" i="28"/>
  <c r="AM61" i="28"/>
  <c r="AN52" i="28"/>
  <c r="AM52" i="28"/>
  <c r="AM96" i="51"/>
  <c r="AN96" i="51"/>
  <c r="AM58" i="51"/>
  <c r="AN58" i="51"/>
  <c r="AN55" i="51"/>
  <c r="AM55" i="51"/>
  <c r="AN89" i="51"/>
  <c r="AM89" i="51"/>
  <c r="AN57" i="36"/>
  <c r="AM57" i="36"/>
  <c r="AM48" i="36"/>
  <c r="AN48" i="36"/>
  <c r="AN55" i="36"/>
  <c r="AM55" i="36"/>
  <c r="AN36" i="31"/>
  <c r="AM36" i="31"/>
  <c r="AN35" i="21"/>
  <c r="AM35" i="21"/>
  <c r="AM34" i="32"/>
  <c r="AN34" i="32"/>
  <c r="AN72" i="54"/>
  <c r="AM72" i="54"/>
  <c r="AM45" i="54"/>
  <c r="AN45" i="54"/>
  <c r="AM38" i="54"/>
  <c r="AN38" i="54"/>
  <c r="AM101" i="54"/>
  <c r="AN101" i="54"/>
  <c r="AN87" i="54"/>
  <c r="AM87" i="54"/>
  <c r="AM55" i="33"/>
  <c r="AN55" i="33"/>
  <c r="AN43" i="33"/>
  <c r="AM43" i="33"/>
  <c r="AA18" i="17"/>
  <c r="AM43" i="16"/>
  <c r="AN43" i="16"/>
  <c r="AM56" i="16"/>
  <c r="AN56" i="16"/>
  <c r="AN98" i="16"/>
  <c r="AM98" i="16"/>
  <c r="AM109" i="16"/>
  <c r="AN109" i="16"/>
  <c r="AN79" i="16"/>
  <c r="AM79" i="16"/>
  <c r="AN104" i="16"/>
  <c r="AM104" i="16"/>
  <c r="AN100" i="16"/>
  <c r="AM100" i="16"/>
  <c r="AN50" i="30"/>
  <c r="AM50" i="30"/>
  <c r="AM41" i="30"/>
  <c r="AN41" i="30"/>
  <c r="AM67" i="30"/>
  <c r="AN67" i="30"/>
  <c r="AN43" i="30"/>
  <c r="AM43" i="30"/>
  <c r="AN47" i="30"/>
  <c r="AM47" i="30"/>
  <c r="AN36" i="23"/>
  <c r="AM36" i="23"/>
  <c r="AN46" i="25"/>
  <c r="AM46" i="25"/>
  <c r="AM38" i="29"/>
  <c r="AN38" i="29"/>
  <c r="AM58" i="29"/>
  <c r="AN58" i="29"/>
  <c r="AM47" i="29"/>
  <c r="AN47" i="29"/>
  <c r="AM66" i="29"/>
  <c r="AN66" i="29"/>
  <c r="AN50" i="26"/>
  <c r="AM50" i="26"/>
  <c r="AM51" i="26"/>
  <c r="AN51" i="26"/>
  <c r="AN55" i="26"/>
  <c r="AM55" i="26"/>
  <c r="AM57" i="26"/>
  <c r="AN57" i="26"/>
  <c r="AM67" i="15"/>
  <c r="AN67" i="15"/>
  <c r="AM35" i="9"/>
  <c r="AN35" i="9"/>
  <c r="AN40" i="9"/>
  <c r="AM40" i="9"/>
  <c r="AN37" i="9"/>
  <c r="AM37" i="9"/>
  <c r="AN113" i="9"/>
  <c r="AM113" i="9"/>
  <c r="AN89" i="9"/>
  <c r="AM89" i="9"/>
  <c r="AM110" i="9"/>
  <c r="AN110" i="9"/>
  <c r="AN112" i="9"/>
  <c r="AM112" i="9"/>
  <c r="AN42" i="27"/>
  <c r="AM42" i="27"/>
  <c r="AM39" i="28"/>
  <c r="AN39" i="28"/>
  <c r="AM57" i="28"/>
  <c r="AN57" i="28"/>
  <c r="AN88" i="51"/>
  <c r="AM88" i="51"/>
  <c r="AN49" i="51"/>
  <c r="AM49" i="51"/>
  <c r="AM92" i="51"/>
  <c r="AN92" i="51"/>
  <c r="AN90" i="51"/>
  <c r="AM90" i="51"/>
  <c r="AN36" i="36"/>
  <c r="AM36" i="36"/>
  <c r="AN39" i="36"/>
  <c r="AM39" i="36"/>
  <c r="AN45" i="36"/>
  <c r="AM45" i="36"/>
  <c r="AM90" i="54"/>
  <c r="AN90" i="54"/>
  <c r="AM49" i="54"/>
  <c r="AN49" i="54"/>
  <c r="AN82" i="54"/>
  <c r="AM82" i="54"/>
  <c r="AM98" i="54"/>
  <c r="AN98" i="54"/>
  <c r="AN41" i="33"/>
  <c r="AM41" i="33"/>
  <c r="AN51" i="33"/>
  <c r="AM51" i="33"/>
  <c r="AM70" i="16"/>
  <c r="AN70" i="16"/>
  <c r="AM54" i="16"/>
  <c r="AN54" i="16"/>
  <c r="AM37" i="16"/>
  <c r="AN37" i="16"/>
  <c r="AM101" i="16"/>
  <c r="AN101" i="16"/>
  <c r="AN81" i="16"/>
  <c r="AM81" i="16"/>
  <c r="AM117" i="16"/>
  <c r="AN117" i="16"/>
  <c r="AN118" i="16"/>
  <c r="AM118" i="16"/>
  <c r="AN96" i="16"/>
  <c r="AM96" i="16"/>
  <c r="AM35" i="30"/>
  <c r="AN35" i="30"/>
  <c r="AM42" i="30"/>
  <c r="AN42" i="30"/>
  <c r="AN54" i="30"/>
  <c r="AM54" i="30"/>
  <c r="AM62" i="30"/>
  <c r="AN62" i="30"/>
  <c r="AN53" i="23"/>
  <c r="AM53" i="23"/>
  <c r="AN35" i="29"/>
  <c r="AM35" i="29"/>
  <c r="AM39" i="29"/>
  <c r="AN39" i="29"/>
  <c r="AN61" i="29"/>
  <c r="AM61" i="29"/>
  <c r="AN69" i="29"/>
  <c r="AM69" i="29"/>
  <c r="AN70" i="26"/>
  <c r="AM70" i="26"/>
  <c r="AN59" i="26"/>
  <c r="AM59" i="26"/>
  <c r="AM63" i="26"/>
  <c r="AN63" i="26"/>
  <c r="AN42" i="26"/>
  <c r="AM42" i="26"/>
  <c r="AN64" i="15"/>
  <c r="AM64" i="15"/>
  <c r="AM79" i="9"/>
  <c r="AN79" i="9"/>
  <c r="AN48" i="9"/>
  <c r="AM48" i="9"/>
  <c r="AN85" i="9"/>
  <c r="AM85" i="9"/>
  <c r="AN99" i="9"/>
  <c r="AM99" i="9"/>
  <c r="AN100" i="9"/>
  <c r="AM100" i="9"/>
  <c r="AN118" i="9"/>
  <c r="AM118" i="9"/>
  <c r="AN95" i="9"/>
  <c r="AM95" i="9"/>
  <c r="AN36" i="27"/>
  <c r="AM36" i="27"/>
  <c r="AN59" i="28"/>
  <c r="AM59" i="28"/>
  <c r="AM56" i="28"/>
  <c r="AN56" i="28"/>
  <c r="AM58" i="28"/>
  <c r="AN58" i="28"/>
  <c r="AM48" i="51"/>
  <c r="AN48" i="51"/>
  <c r="AN47" i="51"/>
  <c r="AM47" i="51"/>
  <c r="AM94" i="51"/>
  <c r="AN94" i="51"/>
  <c r="AM91" i="51"/>
  <c r="AN91" i="51"/>
  <c r="AN47" i="36"/>
  <c r="AM47" i="36"/>
  <c r="AN53" i="36"/>
  <c r="AM53" i="36"/>
  <c r="AN56" i="36"/>
  <c r="AM56" i="36"/>
  <c r="AM79" i="54"/>
  <c r="AN79" i="54"/>
  <c r="AN55" i="54"/>
  <c r="AM55" i="54"/>
  <c r="AN43" i="54"/>
  <c r="AM43" i="54"/>
  <c r="AN93" i="54"/>
  <c r="AM93" i="54"/>
  <c r="AN52" i="33"/>
  <c r="AM52" i="33"/>
  <c r="AN44" i="33"/>
  <c r="AM44" i="33"/>
  <c r="AM121" i="16"/>
  <c r="AN121" i="16"/>
  <c r="AN50" i="16"/>
  <c r="AM50" i="16"/>
  <c r="AM119" i="16"/>
  <c r="AN119" i="16"/>
  <c r="AN89" i="16"/>
  <c r="AM89" i="16"/>
  <c r="AN75" i="16"/>
  <c r="AM75" i="16"/>
  <c r="AN115" i="16"/>
  <c r="AM115" i="16"/>
  <c r="AM82" i="16"/>
  <c r="AN82" i="16"/>
  <c r="AM113" i="16"/>
  <c r="AN113" i="16"/>
  <c r="AM75" i="30"/>
  <c r="AN75" i="30"/>
  <c r="AN39" i="30"/>
  <c r="AM39" i="30"/>
  <c r="AM68" i="30"/>
  <c r="AN68" i="30"/>
  <c r="AM70" i="30"/>
  <c r="AN70" i="30"/>
  <c r="AM38" i="23"/>
  <c r="AN38" i="23"/>
  <c r="AM40" i="29"/>
  <c r="AN40" i="29"/>
  <c r="AN53" i="29"/>
  <c r="AM53" i="29"/>
  <c r="AM52" i="29"/>
  <c r="AN52" i="29"/>
  <c r="AN46" i="29"/>
  <c r="AM46" i="29"/>
  <c r="AN68" i="26"/>
  <c r="AM68" i="26"/>
  <c r="AM53" i="26"/>
  <c r="AN53" i="26"/>
  <c r="AN60" i="26"/>
  <c r="AM60" i="26"/>
  <c r="AN41" i="26"/>
  <c r="AM41" i="26"/>
  <c r="AN66" i="15"/>
  <c r="AM66" i="15"/>
  <c r="AN121" i="9"/>
  <c r="AM121" i="9"/>
  <c r="AN57" i="9"/>
  <c r="AM57" i="9"/>
  <c r="AN109" i="9"/>
  <c r="AM109" i="9"/>
  <c r="AN77" i="9"/>
  <c r="AM77" i="9"/>
  <c r="AM108" i="9"/>
  <c r="AN108" i="9"/>
  <c r="AM107" i="9"/>
  <c r="AN107" i="9"/>
  <c r="AN103" i="9"/>
  <c r="AM103" i="9"/>
  <c r="AM35" i="27"/>
  <c r="AN35" i="27"/>
  <c r="AN53" i="28"/>
  <c r="AM53" i="28"/>
  <c r="AM43" i="28"/>
  <c r="AN43" i="28"/>
  <c r="AM51" i="28"/>
  <c r="AN51" i="28"/>
  <c r="AN72" i="51"/>
  <c r="AM72" i="51"/>
  <c r="AN43" i="51"/>
  <c r="AM43" i="51"/>
  <c r="AN93" i="51"/>
  <c r="AM93" i="51"/>
  <c r="AM85" i="51"/>
  <c r="AN85" i="51"/>
  <c r="AN58" i="36"/>
  <c r="AM58" i="36"/>
  <c r="AN61" i="36"/>
  <c r="AM61" i="36"/>
  <c r="AN46" i="36"/>
  <c r="AM46" i="36"/>
  <c r="AA18" i="55"/>
  <c r="AN35" i="54"/>
  <c r="AM35" i="54"/>
  <c r="AN48" i="54"/>
  <c r="AM48" i="54"/>
  <c r="AN47" i="54"/>
  <c r="AM47" i="54"/>
  <c r="AN96" i="54"/>
  <c r="AM96" i="54"/>
  <c r="AN37" i="33"/>
  <c r="AM37" i="33"/>
  <c r="AN35" i="16"/>
  <c r="AM35" i="16"/>
  <c r="AM92" i="16"/>
  <c r="AN92" i="16"/>
  <c r="AM38" i="16"/>
  <c r="AN38" i="16"/>
  <c r="AN85" i="16"/>
  <c r="AM85" i="16"/>
  <c r="AN97" i="16"/>
  <c r="AM97" i="16"/>
  <c r="AN111" i="16"/>
  <c r="AM111" i="16"/>
  <c r="AN107" i="16"/>
  <c r="AM107" i="16"/>
  <c r="AN99" i="16"/>
  <c r="AM99" i="16"/>
  <c r="AM72" i="30"/>
  <c r="AN72" i="30"/>
  <c r="AN58" i="30"/>
  <c r="AM58" i="30"/>
  <c r="AN52" i="30"/>
  <c r="AM52" i="30"/>
  <c r="AM44" i="30"/>
  <c r="AN44" i="30"/>
  <c r="AN36" i="25"/>
  <c r="AM36" i="25"/>
  <c r="AN56" i="29"/>
  <c r="AM56" i="29"/>
  <c r="AN41" i="29"/>
  <c r="AM41" i="29"/>
  <c r="AN72" i="29"/>
  <c r="AM72" i="29"/>
  <c r="AN71" i="29"/>
  <c r="AM71" i="29"/>
  <c r="AM67" i="26"/>
  <c r="AN67" i="26"/>
  <c r="AN52" i="26"/>
  <c r="AM52" i="26"/>
  <c r="AM43" i="26"/>
  <c r="AN43" i="26"/>
  <c r="AN64" i="26"/>
  <c r="AM64" i="26"/>
  <c r="AM39" i="15"/>
  <c r="AN39" i="15"/>
  <c r="AM93" i="9"/>
  <c r="AN93" i="9"/>
  <c r="AM94" i="9"/>
  <c r="AN94" i="9"/>
  <c r="AN96" i="9"/>
  <c r="AM96" i="9"/>
  <c r="AN116" i="9"/>
  <c r="AM116" i="9"/>
  <c r="AN82" i="9"/>
  <c r="AM82" i="9"/>
  <c r="AN111" i="9"/>
  <c r="AM111" i="9"/>
  <c r="AN44" i="27"/>
  <c r="AM44" i="27"/>
  <c r="AN43" i="27"/>
  <c r="AM43" i="27"/>
  <c r="AM44" i="28"/>
  <c r="AN44" i="28"/>
  <c r="AN40" i="28"/>
  <c r="AM40" i="28"/>
  <c r="N72" i="37"/>
  <c r="Z71" i="37"/>
  <c r="AM35" i="51"/>
  <c r="AN35" i="51"/>
  <c r="AN37" i="51"/>
  <c r="AM37" i="51"/>
  <c r="AN57" i="51"/>
  <c r="AM57" i="51"/>
  <c r="AM80" i="51"/>
  <c r="AN80" i="51"/>
  <c r="AN35" i="36"/>
  <c r="AM35" i="36"/>
  <c r="AM49" i="36"/>
  <c r="AN49" i="36"/>
  <c r="AN40" i="36"/>
  <c r="AM40" i="36"/>
  <c r="AA18" i="39"/>
  <c r="AM102" i="54"/>
  <c r="AN102" i="54"/>
  <c r="AM54" i="54"/>
  <c r="AN54" i="54"/>
  <c r="AN95" i="54"/>
  <c r="AM95" i="54"/>
  <c r="AN86" i="54"/>
  <c r="AM86" i="54"/>
  <c r="AN45" i="33"/>
  <c r="AM45" i="33"/>
  <c r="AM45" i="16"/>
  <c r="AN45" i="16"/>
  <c r="AM74" i="16"/>
  <c r="AN74" i="16"/>
  <c r="AM49" i="16"/>
  <c r="AN49" i="16"/>
  <c r="AN88" i="16"/>
  <c r="AM88" i="16"/>
  <c r="AN80" i="16"/>
  <c r="AM80" i="16"/>
  <c r="AM86" i="16"/>
  <c r="AN86" i="16"/>
  <c r="AN103" i="16"/>
  <c r="AM103" i="16"/>
  <c r="AN46" i="16"/>
  <c r="AM46" i="16"/>
  <c r="AN46" i="30"/>
  <c r="AM46" i="30"/>
  <c r="AN40" i="30"/>
  <c r="AM40" i="30"/>
  <c r="AN53" i="30"/>
  <c r="AM53" i="30"/>
  <c r="AM55" i="30"/>
  <c r="AN55" i="30"/>
  <c r="AM38" i="25"/>
  <c r="AN38" i="25"/>
  <c r="AM76" i="29"/>
  <c r="AN76" i="29"/>
  <c r="AN44" i="29"/>
  <c r="AM44" i="29"/>
  <c r="AN64" i="29"/>
  <c r="AM64" i="29"/>
  <c r="AN63" i="29"/>
  <c r="AM63" i="29"/>
  <c r="AN70" i="29"/>
  <c r="AM70" i="29"/>
  <c r="AM35" i="26"/>
  <c r="AN35" i="26"/>
  <c r="AN66" i="26"/>
  <c r="AM66" i="26"/>
  <c r="AM54" i="26"/>
  <c r="AN54" i="26"/>
  <c r="AN58" i="26"/>
  <c r="AM58" i="26"/>
  <c r="AN41" i="15"/>
  <c r="AM41" i="15"/>
  <c r="AM72" i="9"/>
  <c r="AN72" i="9"/>
  <c r="AN54" i="9"/>
  <c r="AM54" i="9"/>
  <c r="AN49" i="9"/>
  <c r="AM49" i="9"/>
  <c r="AM115" i="9"/>
  <c r="AN115" i="9"/>
  <c r="AN117" i="9"/>
  <c r="AM117" i="9"/>
  <c r="AM88" i="9"/>
  <c r="AN88" i="9"/>
  <c r="AM90" i="9"/>
  <c r="AN90" i="9"/>
  <c r="AN101" i="9"/>
  <c r="AM101" i="9"/>
  <c r="AN34" i="27"/>
  <c r="AM34" i="27"/>
  <c r="AN38" i="27"/>
  <c r="AM38" i="27"/>
  <c r="AN62" i="28"/>
  <c r="AM62" i="28"/>
  <c r="AM48" i="28"/>
  <c r="AN48" i="28"/>
  <c r="AN99" i="51"/>
  <c r="AM99" i="51"/>
  <c r="AM44" i="51"/>
  <c r="AN44" i="51"/>
  <c r="AN40" i="51"/>
  <c r="AM40" i="51"/>
  <c r="AM81" i="51"/>
  <c r="AN81" i="51"/>
  <c r="AN52" i="36"/>
  <c r="AM52" i="36"/>
  <c r="AM38" i="36"/>
  <c r="AN38" i="36"/>
  <c r="AN54" i="36"/>
  <c r="AM54" i="36"/>
  <c r="AN37" i="31"/>
  <c r="AM37" i="31"/>
  <c r="AN58" i="21"/>
  <c r="AM58" i="21"/>
  <c r="AM40" i="24"/>
  <c r="AL40" i="24"/>
  <c r="AM104" i="54"/>
  <c r="AN104" i="54"/>
  <c r="AN91" i="54"/>
  <c r="AM91" i="54"/>
  <c r="AN85" i="54"/>
  <c r="AM85" i="54"/>
  <c r="AN53" i="33"/>
  <c r="AM53" i="33"/>
  <c r="AN40" i="33"/>
  <c r="AM40" i="33"/>
  <c r="AM41" i="16"/>
  <c r="AN41" i="16"/>
  <c r="AM52" i="16"/>
  <c r="AN52" i="16"/>
  <c r="AM44" i="16"/>
  <c r="AN44" i="16"/>
  <c r="AN84" i="16"/>
  <c r="AM84" i="16"/>
  <c r="AN110" i="16"/>
  <c r="AM110" i="16"/>
  <c r="AN114" i="16"/>
  <c r="AM114" i="16"/>
  <c r="AN78" i="16"/>
  <c r="AM78" i="16"/>
  <c r="AN64" i="30"/>
  <c r="AM64" i="30"/>
  <c r="AM66" i="30"/>
  <c r="AN66" i="30"/>
  <c r="AN61" i="30"/>
  <c r="AM61" i="30"/>
  <c r="AM63" i="30"/>
  <c r="AN63" i="30"/>
  <c r="AN34" i="23"/>
  <c r="AM34" i="23"/>
  <c r="AM50" i="25"/>
  <c r="AN50" i="25"/>
  <c r="AN75" i="29"/>
  <c r="AM75" i="29"/>
  <c r="AN43" i="29"/>
  <c r="AM43" i="29"/>
  <c r="AN55" i="29"/>
  <c r="AM55" i="29"/>
  <c r="AN62" i="29"/>
  <c r="AM62" i="29"/>
  <c r="AN42" i="29"/>
  <c r="AM42" i="29"/>
  <c r="AN71" i="26"/>
  <c r="AM71" i="26"/>
  <c r="AN45" i="26"/>
  <c r="AM45" i="26"/>
  <c r="AN62" i="26"/>
  <c r="AM62" i="26"/>
  <c r="AM51" i="15"/>
  <c r="AN51" i="15"/>
  <c r="AN36" i="15"/>
  <c r="AM36" i="15"/>
  <c r="AM122" i="9"/>
  <c r="AN122" i="9"/>
  <c r="AM47" i="9"/>
  <c r="AN47" i="9"/>
  <c r="AN42" i="9"/>
  <c r="AM42" i="9"/>
  <c r="AM106" i="9"/>
  <c r="AN106" i="9"/>
  <c r="AM102" i="9"/>
  <c r="AN102" i="9"/>
  <c r="AN87" i="9"/>
  <c r="AM87" i="9"/>
  <c r="AM83" i="9"/>
  <c r="AN83" i="9"/>
  <c r="AN65" i="54"/>
  <c r="AM65" i="54"/>
  <c r="AN50" i="54"/>
  <c r="AM50" i="54"/>
  <c r="AN41" i="54"/>
  <c r="AM41" i="54"/>
  <c r="AN65" i="63"/>
  <c r="AM65" i="63"/>
  <c r="AM41" i="63"/>
  <c r="AN41" i="63"/>
  <c r="AN50" i="63"/>
  <c r="AM50" i="63"/>
  <c r="AN65" i="61"/>
  <c r="AM65" i="61"/>
  <c r="AM50" i="61"/>
  <c r="AN50" i="61"/>
  <c r="AM41" i="61"/>
  <c r="AN41" i="61"/>
  <c r="AN65" i="53"/>
  <c r="AM65" i="53"/>
  <c r="AM41" i="53"/>
  <c r="AN41" i="53"/>
  <c r="AN50" i="53"/>
  <c r="AM50" i="53"/>
  <c r="AN65" i="52"/>
  <c r="AM65" i="52"/>
  <c r="AM41" i="52"/>
  <c r="AN41" i="52"/>
  <c r="AN50" i="52"/>
  <c r="AM50" i="52"/>
  <c r="AN65" i="51"/>
  <c r="AM65" i="51"/>
  <c r="AN41" i="51"/>
  <c r="AM41" i="51"/>
  <c r="AM50" i="51"/>
  <c r="AN50" i="51"/>
  <c r="AM65" i="9"/>
  <c r="AN65" i="9"/>
  <c r="AN41" i="9"/>
  <c r="AM41" i="9"/>
  <c r="AN50" i="9"/>
  <c r="AM50" i="9"/>
  <c r="AN47" i="4"/>
  <c r="AL47" i="4"/>
  <c r="AN48" i="4"/>
  <c r="AL48" i="4"/>
  <c r="AL63" i="4"/>
  <c r="AN63" i="4"/>
  <c r="AL60" i="4"/>
  <c r="AN60" i="4"/>
  <c r="AN80" i="4"/>
  <c r="AL80" i="4"/>
  <c r="AL59" i="4"/>
  <c r="AN59" i="4"/>
  <c r="AL66" i="4"/>
  <c r="AN66" i="4"/>
  <c r="AN37" i="4"/>
  <c r="AL37" i="4"/>
  <c r="AL44" i="4"/>
  <c r="AN44" i="4"/>
  <c r="AN68" i="4"/>
  <c r="AL68" i="4"/>
  <c r="AL93" i="4"/>
  <c r="AN93" i="4"/>
  <c r="AN86" i="4"/>
  <c r="AL86" i="4"/>
  <c r="AN61" i="4"/>
  <c r="AL61" i="4"/>
  <c r="AN38" i="4"/>
  <c r="AL38" i="4"/>
  <c r="AL36" i="4"/>
  <c r="AN36" i="4"/>
  <c r="AL90" i="4"/>
  <c r="AN90" i="4"/>
  <c r="AN84" i="4"/>
  <c r="AL84" i="4"/>
  <c r="AL82" i="4"/>
  <c r="AN82" i="4"/>
  <c r="AN67" i="4"/>
  <c r="AL67" i="4"/>
  <c r="AL42" i="4"/>
  <c r="AN42" i="4"/>
  <c r="AN41" i="4"/>
  <c r="AL41" i="4"/>
  <c r="AN79" i="4"/>
  <c r="AL79" i="4"/>
  <c r="AL75" i="4"/>
  <c r="AN75" i="4"/>
  <c r="AN73" i="4"/>
  <c r="AL73" i="4"/>
  <c r="AL83" i="4"/>
  <c r="AN83" i="4"/>
  <c r="AN49" i="4"/>
  <c r="AL49" i="4"/>
  <c r="AN45" i="4"/>
  <c r="AL45" i="4"/>
  <c r="AN88" i="4"/>
  <c r="AL88" i="4"/>
  <c r="AN85" i="4"/>
  <c r="AL85" i="4"/>
  <c r="AL74" i="4"/>
  <c r="AN74" i="4"/>
  <c r="AL77" i="4"/>
  <c r="AN77" i="4"/>
  <c r="AL50" i="4"/>
  <c r="AN50" i="4"/>
  <c r="AL43" i="4"/>
  <c r="AN43" i="4"/>
  <c r="AN72" i="4"/>
  <c r="AL72" i="4"/>
  <c r="AL91" i="4"/>
  <c r="AN91" i="4"/>
  <c r="AN76" i="4"/>
  <c r="AL76" i="4"/>
  <c r="AN65" i="4"/>
  <c r="AL65" i="4"/>
  <c r="AN39" i="4"/>
  <c r="AL39" i="4"/>
  <c r="AN46" i="4"/>
  <c r="AL46" i="4"/>
  <c r="AN87" i="4"/>
  <c r="AL87" i="4"/>
  <c r="AL64" i="4"/>
  <c r="AN64" i="4"/>
  <c r="AN62" i="4"/>
  <c r="AL62" i="4"/>
  <c r="AN92" i="4"/>
  <c r="AL92" i="4"/>
  <c r="AN40" i="4"/>
  <c r="AL40" i="4"/>
  <c r="AL51" i="4"/>
  <c r="AN51" i="4"/>
  <c r="AN81" i="4"/>
  <c r="AL81" i="4"/>
  <c r="AN78" i="4"/>
  <c r="AL78" i="4"/>
  <c r="AN89" i="4"/>
  <c r="AL89" i="4"/>
  <c r="AN56" i="4"/>
  <c r="AL56" i="4"/>
  <c r="AN36" i="7"/>
  <c r="AL36" i="7"/>
  <c r="AN38" i="7"/>
  <c r="AL38" i="7"/>
  <c r="AN37" i="7"/>
  <c r="AL37" i="7"/>
  <c r="AL39" i="7"/>
  <c r="AN39" i="7"/>
  <c r="AN45" i="7"/>
  <c r="AL45" i="7"/>
  <c r="AL43" i="7"/>
  <c r="AN43" i="7"/>
  <c r="AN42" i="7"/>
  <c r="AL42" i="7"/>
  <c r="AL35" i="7"/>
  <c r="AN35" i="7"/>
  <c r="AN41" i="7"/>
  <c r="AL41" i="7"/>
  <c r="AN44" i="7"/>
  <c r="AL44" i="7"/>
  <c r="AL40" i="7"/>
  <c r="AN40" i="7"/>
  <c r="AM38" i="33"/>
  <c r="AN38" i="33"/>
  <c r="AM49" i="33"/>
  <c r="AN49" i="33"/>
  <c r="AN42" i="33"/>
  <c r="AM42" i="33"/>
  <c r="AN56" i="33"/>
  <c r="AM56" i="33"/>
  <c r="AN58" i="11"/>
  <c r="AM58" i="11"/>
  <c r="AN39" i="11"/>
  <c r="AM39" i="11"/>
  <c r="AN46" i="11"/>
  <c r="AM46" i="11"/>
  <c r="AM63" i="16"/>
  <c r="AN63" i="16"/>
  <c r="AI152" i="6"/>
  <c r="AF152" i="6"/>
  <c r="AM52" i="25"/>
  <c r="AN52" i="25"/>
  <c r="AN71" i="4"/>
  <c r="AL71" i="4"/>
  <c r="AJ52" i="35"/>
  <c r="AB52" i="35"/>
  <c r="AI52" i="35"/>
  <c r="AF52" i="35"/>
  <c r="Q88" i="37"/>
  <c r="AN78" i="9"/>
  <c r="AM78" i="9"/>
  <c r="AN96" i="4"/>
  <c r="AL96" i="4"/>
  <c r="AM69" i="11"/>
  <c r="AN69" i="11"/>
  <c r="AN50" i="7"/>
  <c r="AL50" i="7"/>
  <c r="AB59" i="35"/>
  <c r="AI59" i="35"/>
  <c r="AF59" i="35"/>
  <c r="R88" i="37"/>
  <c r="AL58" i="4"/>
  <c r="AN58" i="4"/>
  <c r="AM78" i="54"/>
  <c r="AN78" i="54"/>
  <c r="AN78" i="52"/>
  <c r="AM78" i="52"/>
  <c r="V88" i="37"/>
  <c r="AN57" i="4"/>
  <c r="AL57" i="4"/>
  <c r="AM60" i="24"/>
  <c r="AL60" i="24"/>
  <c r="AN51" i="7"/>
  <c r="AL51" i="7"/>
  <c r="AN48" i="7"/>
  <c r="AL48" i="7"/>
  <c r="AH94" i="37"/>
  <c r="X88" i="37"/>
  <c r="AN55" i="4"/>
  <c r="AL55" i="4"/>
  <c r="AN78" i="51"/>
  <c r="AM78" i="51"/>
  <c r="AI66" i="33"/>
  <c r="AF66" i="33"/>
  <c r="AB66" i="33"/>
  <c r="AJ66" i="33"/>
  <c r="AM78" i="63"/>
  <c r="AN78" i="63"/>
  <c r="AL34" i="7"/>
  <c r="AN34" i="7"/>
  <c r="U88" i="37"/>
  <c r="AN97" i="4"/>
  <c r="AL97" i="4"/>
  <c r="AJ67" i="33"/>
  <c r="AF67" i="33"/>
  <c r="AI67" i="33"/>
  <c r="AB67" i="33"/>
  <c r="AL47" i="7"/>
  <c r="AN47" i="7"/>
  <c r="P88" i="37"/>
  <c r="Y88" i="37"/>
  <c r="AL35" i="4"/>
  <c r="AN35" i="4"/>
  <c r="AI68" i="33"/>
  <c r="AF68" i="33"/>
  <c r="AJ68" i="33"/>
  <c r="AB68" i="33"/>
  <c r="O88" i="37"/>
  <c r="S88" i="37"/>
  <c r="AN78" i="61"/>
  <c r="AM78" i="61"/>
  <c r="AL94" i="4"/>
  <c r="AN94" i="4"/>
  <c r="AM78" i="53"/>
  <c r="AN78" i="53"/>
  <c r="AM50" i="35"/>
  <c r="AN50" i="35"/>
  <c r="W88" i="37"/>
  <c r="T88" i="37"/>
  <c r="A14" i="55"/>
  <c r="A14" i="58"/>
  <c r="A14" i="39"/>
  <c r="A14" i="17"/>
  <c r="AE71" i="37" l="1"/>
  <c r="AA71" i="37"/>
  <c r="N74" i="37"/>
  <c r="Z72" i="37"/>
  <c r="AN67" i="33"/>
  <c r="AM67" i="33"/>
  <c r="AN68" i="33"/>
  <c r="AM68" i="33"/>
  <c r="AH95" i="37"/>
  <c r="AN66" i="33"/>
  <c r="AM66" i="33"/>
  <c r="AN52" i="35"/>
  <c r="AM52" i="35"/>
  <c r="AA72" i="37" l="1"/>
  <c r="AE72" i="37"/>
  <c r="Z74" i="37"/>
  <c r="N82" i="37"/>
  <c r="N86" i="37"/>
  <c r="Z86" i="37" s="1"/>
  <c r="N75" i="37"/>
  <c r="AH71" i="37"/>
  <c r="Z82" i="37" l="1"/>
  <c r="N84" i="37"/>
  <c r="AE86" i="37"/>
  <c r="AA86" i="37"/>
  <c r="AA74" i="37"/>
  <c r="AE74" i="37"/>
  <c r="Z75" i="37"/>
  <c r="AA75" i="37" s="1"/>
  <c r="AI71" i="37"/>
  <c r="AK71" i="37"/>
  <c r="AH72" i="37"/>
  <c r="N85" i="37" l="1"/>
  <c r="Z84" i="37"/>
  <c r="AE82" i="37"/>
  <c r="AA82" i="37"/>
  <c r="N88" i="37"/>
  <c r="Z88" i="37" s="1"/>
  <c r="AK72" i="37"/>
  <c r="AI72" i="37"/>
  <c r="AH74" i="37"/>
  <c r="AA84" i="37" l="1"/>
  <c r="Z85" i="37"/>
  <c r="AA85" i="37" s="1"/>
  <c r="AE84" i="37"/>
  <c r="AH86" i="37"/>
  <c r="AA88" i="37"/>
  <c r="AE88" i="37"/>
  <c r="AH88" i="37"/>
  <c r="L75" i="37"/>
  <c r="M75" i="37" s="1"/>
  <c r="AI74" i="37"/>
  <c r="AK74" i="37"/>
  <c r="AH82" i="37"/>
  <c r="AH84" i="37" l="1"/>
  <c r="AK82" i="37"/>
  <c r="AI82" i="37"/>
  <c r="L85" i="37"/>
  <c r="M85" i="37" s="1"/>
  <c r="AK84" i="37" l="1"/>
  <c r="AI8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1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3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300-000002000000}">
      <text>
        <r>
          <rPr>
            <sz val="9"/>
            <color indexed="81"/>
            <rFont val="Tahoma"/>
            <family val="2"/>
          </rPr>
          <t>Right-click to build filter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4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K32" authorId="1" shapeId="0" xr:uid="{00000000-0006-0000-05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500-000004000000}">
      <text>
        <r>
          <rPr>
            <sz val="9"/>
            <color indexed="81"/>
            <rFont val="Tahoma"/>
            <family val="2"/>
          </rPr>
          <t>Right-click to build filter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8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800-000002000000}">
      <text>
        <r>
          <rPr>
            <sz val="9"/>
            <color indexed="81"/>
            <rFont val="Tahoma"/>
            <family val="2"/>
          </rPr>
          <t>Right-click to build filter</t>
        </r>
      </text>
    </comment>
    <comment ref="K32" authorId="1" shapeId="0" xr:uid="{00000000-0006-0000-08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800-000004000000}">
      <text>
        <r>
          <rPr>
            <sz val="9"/>
            <color indexed="81"/>
            <rFont val="Tahoma"/>
            <family val="2"/>
          </rPr>
          <t>Right-click to build filter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9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900-000002000000}">
      <text>
        <r>
          <rPr>
            <sz val="9"/>
            <color indexed="81"/>
            <rFont val="Tahoma"/>
            <family val="2"/>
          </rPr>
          <t>Right-click to build filter</t>
        </r>
      </text>
    </comment>
    <comment ref="K32" authorId="1" shapeId="0" xr:uid="{00000000-0006-0000-09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900-000004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A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A00-000002000000}">
      <text>
        <r>
          <rPr>
            <sz val="9"/>
            <color indexed="81"/>
            <rFont val="Tahoma"/>
            <family val="2"/>
          </rPr>
          <t>Right-click to build filter</t>
        </r>
      </text>
    </comment>
    <comment ref="C29" authorId="1" shapeId="0" xr:uid="{00000000-0006-0000-0A00-000003000000}">
      <text>
        <r>
          <rPr>
            <sz val="9"/>
            <color indexed="81"/>
            <rFont val="Tahoma"/>
            <family val="2"/>
          </rPr>
          <t>Right-click to build filter</t>
        </r>
      </text>
    </comment>
    <comment ref="K32" authorId="1" shapeId="0" xr:uid="{00000000-0006-0000-0A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A00-000005000000}">
      <text>
        <r>
          <rPr>
            <sz val="9"/>
            <color indexed="81"/>
            <rFont val="Tahoma"/>
            <family val="2"/>
          </rPr>
          <t>Right-click to build filter</t>
        </r>
      </text>
    </comment>
    <comment ref="B84" authorId="1" shapeId="0" xr:uid="{00000000-0006-0000-0A00-000006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B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B00-000002000000}">
      <text>
        <r>
          <rPr>
            <sz val="9"/>
            <color indexed="81"/>
            <rFont val="Tahoma"/>
            <family val="2"/>
          </rPr>
          <t>Right-click to build filter</t>
        </r>
      </text>
    </comment>
    <comment ref="C29" authorId="1" shapeId="0" xr:uid="{00000000-0006-0000-0B00-000003000000}">
      <text>
        <r>
          <rPr>
            <sz val="9"/>
            <color indexed="81"/>
            <rFont val="Tahoma"/>
            <family val="2"/>
          </rPr>
          <t>Right-click to build filter</t>
        </r>
      </text>
    </comment>
    <comment ref="K32" authorId="1" shapeId="0" xr:uid="{00000000-0006-0000-0B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B00-000005000000}">
      <text>
        <r>
          <rPr>
            <sz val="9"/>
            <color indexed="81"/>
            <rFont val="Tahoma"/>
            <family val="2"/>
          </rPr>
          <t>Right-click to build filter</t>
        </r>
      </text>
    </comment>
    <comment ref="B84" authorId="1" shapeId="0" xr:uid="{00000000-0006-0000-0B00-000006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C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C00-000002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D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D00-000002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E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E00-000002000000}">
      <text>
        <r>
          <rPr>
            <sz val="9"/>
            <color indexed="81"/>
            <rFont val="Tahoma"/>
            <family val="2"/>
          </rPr>
          <t>Right-click to build filter</t>
        </r>
      </text>
    </comment>
    <comment ref="K32" authorId="1" shapeId="0" xr:uid="{00000000-0006-0000-0E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E00-000004000000}">
      <text>
        <r>
          <rPr>
            <sz val="9"/>
            <color indexed="81"/>
            <rFont val="Tahoma"/>
            <family val="2"/>
          </rPr>
          <t>Right-click to build filter</t>
        </r>
      </text>
    </comment>
    <comment ref="B95" authorId="1" shapeId="0" xr:uid="{00000000-0006-0000-0E00-000005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F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F00-000002000000}">
      <text>
        <r>
          <rPr>
            <sz val="9"/>
            <color indexed="81"/>
            <rFont val="Tahoma"/>
            <family val="2"/>
          </rPr>
          <t>Right-click to build filter</t>
        </r>
      </text>
    </comment>
    <comment ref="K32" authorId="1" shapeId="0" xr:uid="{00000000-0006-0000-0F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F00-000004000000}">
      <text>
        <r>
          <rPr>
            <sz val="9"/>
            <color indexed="81"/>
            <rFont val="Tahoma"/>
            <family val="2"/>
          </rPr>
          <t>Right-click to build filter</t>
        </r>
      </text>
    </comment>
    <comment ref="B95" authorId="1" shapeId="0" xr:uid="{00000000-0006-0000-0F00-000005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100-000001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 ref="K32" authorId="0" shapeId="0" xr:uid="{00000000-0006-0000-1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200-000003000000}">
      <text>
        <r>
          <rPr>
            <sz val="9"/>
            <color indexed="81"/>
            <rFont val="Tahoma"/>
            <family val="2"/>
          </rPr>
          <t>Right-click to build filter</t>
        </r>
      </text>
    </comment>
    <comment ref="B95" authorId="0" shapeId="0" xr:uid="{00000000-0006-0000-1200-000004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300-000001000000}">
      <text>
        <r>
          <rPr>
            <sz val="9"/>
            <color indexed="81"/>
            <rFont val="Tahoma"/>
            <family val="2"/>
          </rPr>
          <t>Right-click to build filter</t>
        </r>
      </text>
    </comment>
    <comment ref="K32" authorId="0" shapeId="0" xr:uid="{00000000-0006-0000-1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300-000003000000}">
      <text>
        <r>
          <rPr>
            <sz val="9"/>
            <color indexed="81"/>
            <rFont val="Tahoma"/>
            <family val="2"/>
          </rPr>
          <t>Right-click to build filter</t>
        </r>
      </text>
    </comment>
    <comment ref="B95" authorId="0" shapeId="0" xr:uid="{00000000-0006-0000-1300-000004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500-000001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 ref="K32" authorId="0" shapeId="0" xr:uid="{00000000-0006-0000-1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600-000003000000}">
      <text>
        <r>
          <rPr>
            <sz val="9"/>
            <color indexed="81"/>
            <rFont val="Tahoma"/>
            <family val="2"/>
          </rPr>
          <t>Right-click to build filter</t>
        </r>
      </text>
    </comment>
    <comment ref="B95" authorId="0" shapeId="0" xr:uid="{00000000-0006-0000-1600-000004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700-000001000000}">
      <text>
        <r>
          <rPr>
            <sz val="9"/>
            <color indexed="81"/>
            <rFont val="Tahoma"/>
            <family val="2"/>
          </rPr>
          <t>Right-click to build filter</t>
        </r>
      </text>
    </comment>
    <comment ref="K32" authorId="0" shapeId="0" xr:uid="{00000000-0006-0000-1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700-000003000000}">
      <text>
        <r>
          <rPr>
            <sz val="9"/>
            <color indexed="81"/>
            <rFont val="Tahoma"/>
            <family val="2"/>
          </rPr>
          <t>Right-click to build filter</t>
        </r>
      </text>
    </comment>
    <comment ref="B95" authorId="0" shapeId="0" xr:uid="{00000000-0006-0000-1700-000004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900-000001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 ref="K32" authorId="0" shapeId="0" xr:uid="{00000000-0006-0000-1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A00-000003000000}">
      <text>
        <r>
          <rPr>
            <sz val="9"/>
            <color indexed="81"/>
            <rFont val="Tahoma"/>
            <family val="2"/>
          </rPr>
          <t>Right-click to build filter</t>
        </r>
      </text>
    </comment>
    <comment ref="B95" authorId="0" shapeId="0" xr:uid="{00000000-0006-0000-1A00-000004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B00-000001000000}">
      <text>
        <r>
          <rPr>
            <sz val="9"/>
            <color indexed="81"/>
            <rFont val="Tahoma"/>
            <family val="2"/>
          </rPr>
          <t>Right-click to build filter</t>
        </r>
      </text>
    </comment>
    <comment ref="K32" authorId="0" shapeId="0" xr:uid="{00000000-0006-0000-1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B00-000003000000}">
      <text>
        <r>
          <rPr>
            <sz val="9"/>
            <color indexed="81"/>
            <rFont val="Tahoma"/>
            <family val="2"/>
          </rPr>
          <t>Right-click to build filter</t>
        </r>
      </text>
    </comment>
    <comment ref="B95" authorId="0" shapeId="0" xr:uid="{00000000-0006-0000-1B00-000004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D00-000001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K32" authorId="0" shapeId="0" xr:uid="{00000000-0006-0000-1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E00-000003000000}">
      <text>
        <r>
          <rPr>
            <sz val="9"/>
            <color indexed="81"/>
            <rFont val="Tahoma"/>
            <family val="2"/>
          </rPr>
          <t>Right-click to build filter</t>
        </r>
      </text>
    </comment>
    <comment ref="B95" authorId="0" shapeId="0" xr:uid="{00000000-0006-0000-1E00-000004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F00-000001000000}">
      <text>
        <r>
          <rPr>
            <sz val="9"/>
            <color indexed="81"/>
            <rFont val="Tahoma"/>
            <family val="2"/>
          </rPr>
          <t>Right-click to build filter</t>
        </r>
      </text>
    </comment>
    <comment ref="K32" authorId="0" shapeId="0" xr:uid="{00000000-0006-0000-1F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F00-000003000000}">
      <text>
        <r>
          <rPr>
            <sz val="9"/>
            <color indexed="81"/>
            <rFont val="Tahoma"/>
            <family val="2"/>
          </rPr>
          <t>Right-click to build filter</t>
        </r>
      </text>
    </comment>
    <comment ref="B95" authorId="0" shapeId="0" xr:uid="{00000000-0006-0000-1F00-000004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100-000001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200-000003000000}">
      <text>
        <r>
          <rPr>
            <sz val="9"/>
            <color indexed="81"/>
            <rFont val="Tahoma"/>
            <family val="2"/>
          </rPr>
          <t>Right-click to build filter</t>
        </r>
      </text>
    </comment>
    <comment ref="B95" authorId="0" shapeId="0" xr:uid="{00000000-0006-0000-2200-000004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300-000001000000}">
      <text>
        <r>
          <rPr>
            <sz val="9"/>
            <color indexed="81"/>
            <rFont val="Tahoma"/>
            <family val="2"/>
          </rPr>
          <t>Right-click to build filter</t>
        </r>
      </text>
    </comment>
    <comment ref="K32" authorId="0" shapeId="0" xr:uid="{00000000-0006-0000-2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300-000003000000}">
      <text>
        <r>
          <rPr>
            <sz val="9"/>
            <color indexed="81"/>
            <rFont val="Tahoma"/>
            <family val="2"/>
          </rPr>
          <t>Right-click to build filter</t>
        </r>
      </text>
    </comment>
    <comment ref="B95" authorId="0" shapeId="0" xr:uid="{00000000-0006-0000-2300-000004000000}">
      <text>
        <r>
          <rPr>
            <sz val="9"/>
            <color indexed="81"/>
            <rFont val="Tahoma"/>
            <family val="2"/>
          </rPr>
          <t>Right-click to build filter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500-000001000000}">
      <text>
        <r>
          <rPr>
            <sz val="9"/>
            <color indexed="81"/>
            <rFont val="Tahoma"/>
            <family val="2"/>
          </rPr>
          <t>Right-click to build filter</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K32" authorId="0" shapeId="0" xr:uid="{00000000-0006-0000-2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600-000003000000}">
      <text>
        <r>
          <rPr>
            <sz val="9"/>
            <color indexed="81"/>
            <rFont val="Tahoma"/>
            <family val="2"/>
          </rPr>
          <t>Right-click to build filter</t>
        </r>
      </text>
    </comment>
    <comment ref="B95" authorId="0" shapeId="0" xr:uid="{00000000-0006-0000-2600-000004000000}">
      <text>
        <r>
          <rPr>
            <sz val="9"/>
            <color indexed="81"/>
            <rFont val="Tahoma"/>
            <family val="2"/>
          </rPr>
          <t>Right-click to build filter</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700-000001000000}">
      <text>
        <r>
          <rPr>
            <sz val="9"/>
            <color indexed="81"/>
            <rFont val="Tahoma"/>
            <family val="2"/>
          </rPr>
          <t>Right-click to build filter</t>
        </r>
      </text>
    </comment>
    <comment ref="K32" authorId="0" shapeId="0" xr:uid="{00000000-0006-0000-2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700-000003000000}">
      <text>
        <r>
          <rPr>
            <sz val="9"/>
            <color indexed="81"/>
            <rFont val="Tahoma"/>
            <family val="2"/>
          </rPr>
          <t>Right-click to build filter</t>
        </r>
      </text>
    </comment>
    <comment ref="B95" authorId="0" shapeId="0" xr:uid="{00000000-0006-0000-2700-000004000000}">
      <text>
        <r>
          <rPr>
            <sz val="9"/>
            <color indexed="81"/>
            <rFont val="Tahoma"/>
            <family val="2"/>
          </rPr>
          <t>Right-click to build filter</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900-000001000000}">
      <text>
        <r>
          <rPr>
            <sz val="9"/>
            <color indexed="81"/>
            <rFont val="Tahoma"/>
            <family val="2"/>
          </rPr>
          <t>Right-click to build filter</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A00-000003000000}">
      <text>
        <r>
          <rPr>
            <sz val="9"/>
            <color indexed="81"/>
            <rFont val="Tahoma"/>
            <family val="2"/>
          </rPr>
          <t>Right-click to build filter</t>
        </r>
      </text>
    </comment>
    <comment ref="B95" authorId="0" shapeId="0" xr:uid="{00000000-0006-0000-2A00-000004000000}">
      <text>
        <r>
          <rPr>
            <sz val="9"/>
            <color indexed="81"/>
            <rFont val="Tahoma"/>
            <family val="2"/>
          </rPr>
          <t>Right-click to build filter</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B00-000001000000}">
      <text>
        <r>
          <rPr>
            <sz val="9"/>
            <color indexed="81"/>
            <rFont val="Tahoma"/>
            <family val="2"/>
          </rPr>
          <t>Right-click to build filter</t>
        </r>
      </text>
    </comment>
    <comment ref="K32" authorId="0" shapeId="0" xr:uid="{00000000-0006-0000-2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B00-000003000000}">
      <text>
        <r>
          <rPr>
            <sz val="9"/>
            <color indexed="81"/>
            <rFont val="Tahoma"/>
            <family val="2"/>
          </rPr>
          <t>Right-click to build filter</t>
        </r>
      </text>
    </comment>
    <comment ref="B95" authorId="0" shapeId="0" xr:uid="{00000000-0006-0000-2B00-000004000000}">
      <text>
        <r>
          <rPr>
            <sz val="9"/>
            <color indexed="81"/>
            <rFont val="Tahoma"/>
            <family val="2"/>
          </rPr>
          <t>Right-click to build filter</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D00-000001000000}">
      <text>
        <r>
          <rPr>
            <sz val="9"/>
            <color indexed="81"/>
            <rFont val="Tahoma"/>
            <family val="2"/>
          </rPr>
          <t>Right-click to build filter</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E00-000003000000}">
      <text>
        <r>
          <rPr>
            <sz val="9"/>
            <color indexed="81"/>
            <rFont val="Tahoma"/>
            <family val="2"/>
          </rPr>
          <t>Right-click to build filter</t>
        </r>
      </text>
    </comment>
    <comment ref="B95" authorId="0" shapeId="0" xr:uid="{00000000-0006-0000-2E00-000004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F00-000001000000}">
      <text>
        <r>
          <rPr>
            <sz val="9"/>
            <color indexed="81"/>
            <rFont val="Tahoma"/>
            <family val="2"/>
          </rPr>
          <t>Right-click to build filter</t>
        </r>
      </text>
    </comment>
    <comment ref="K32" authorId="0" shapeId="0" xr:uid="{00000000-0006-0000-2F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F00-000003000000}">
      <text>
        <r>
          <rPr>
            <sz val="9"/>
            <color indexed="81"/>
            <rFont val="Tahoma"/>
            <family val="2"/>
          </rPr>
          <t>Right-click to build filter</t>
        </r>
      </text>
    </comment>
    <comment ref="B95" authorId="0" shapeId="0" xr:uid="{00000000-0006-0000-2F00-000004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100-000001000000}">
      <text>
        <r>
          <rPr>
            <sz val="9"/>
            <color indexed="81"/>
            <rFont val="Tahoma"/>
            <family val="2"/>
          </rPr>
          <t>Right-click to build filter</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200-000001000000}">
      <text>
        <r>
          <rPr>
            <sz val="9"/>
            <color indexed="81"/>
            <rFont val="Tahoma"/>
            <family val="2"/>
          </rPr>
          <t>Right-click to build filter</t>
        </r>
      </text>
    </comment>
    <comment ref="K32" authorId="0" shapeId="0" xr:uid="{00000000-0006-0000-3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200-000003000000}">
      <text>
        <r>
          <rPr>
            <sz val="9"/>
            <color indexed="81"/>
            <rFont val="Tahoma"/>
            <family val="2"/>
          </rPr>
          <t>Right-click to build filter</t>
        </r>
      </text>
    </comment>
    <comment ref="B95" authorId="0" shapeId="0" xr:uid="{00000000-0006-0000-3200-000004000000}">
      <text>
        <r>
          <rPr>
            <sz val="9"/>
            <color indexed="81"/>
            <rFont val="Tahoma"/>
            <family val="2"/>
          </rPr>
          <t>Right-click to build filter</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300-000001000000}">
      <text>
        <r>
          <rPr>
            <sz val="9"/>
            <color indexed="81"/>
            <rFont val="Tahoma"/>
            <family val="2"/>
          </rPr>
          <t>Right-click to build filter</t>
        </r>
      </text>
    </comment>
    <comment ref="K32" authorId="0" shapeId="0" xr:uid="{00000000-0006-0000-3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300-000003000000}">
      <text>
        <r>
          <rPr>
            <sz val="9"/>
            <color indexed="81"/>
            <rFont val="Tahoma"/>
            <family val="2"/>
          </rPr>
          <t>Right-click to build filter</t>
        </r>
      </text>
    </comment>
    <comment ref="B95" authorId="0" shapeId="0" xr:uid="{00000000-0006-0000-3300-000004000000}">
      <text>
        <r>
          <rPr>
            <sz val="9"/>
            <color indexed="81"/>
            <rFont val="Tahoma"/>
            <family val="2"/>
          </rPr>
          <t>Right-click to build filter</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400-000001000000}">
      <text>
        <r>
          <rPr>
            <sz val="9"/>
            <color indexed="81"/>
            <rFont val="Tahoma"/>
            <family val="2"/>
          </rPr>
          <t>Right-click to build filter</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500-000001000000}">
      <text>
        <r>
          <rPr>
            <sz val="9"/>
            <color indexed="81"/>
            <rFont val="Tahoma"/>
            <family val="2"/>
          </rPr>
          <t>Right-click to build filter</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600-000001000000}">
      <text>
        <r>
          <rPr>
            <sz val="9"/>
            <color indexed="81"/>
            <rFont val="Tahoma"/>
            <family val="2"/>
          </rPr>
          <t>Right-click to build filter</t>
        </r>
      </text>
    </comment>
    <comment ref="K32" authorId="0" shapeId="0" xr:uid="{00000000-0006-0000-3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600-000003000000}">
      <text>
        <r>
          <rPr>
            <sz val="9"/>
            <color indexed="81"/>
            <rFont val="Tahoma"/>
            <family val="2"/>
          </rPr>
          <t>Right-click to build filter</t>
        </r>
      </text>
    </comment>
    <comment ref="B95" authorId="0" shapeId="0" xr:uid="{00000000-0006-0000-3600-000004000000}">
      <text>
        <r>
          <rPr>
            <sz val="9"/>
            <color indexed="81"/>
            <rFont val="Tahoma"/>
            <family val="2"/>
          </rPr>
          <t>Right-click to build filter</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700-000001000000}">
      <text>
        <r>
          <rPr>
            <sz val="9"/>
            <color indexed="81"/>
            <rFont val="Tahoma"/>
            <family val="2"/>
          </rPr>
          <t>Right-click to build filter</t>
        </r>
      </text>
    </comment>
    <comment ref="K32" authorId="0" shapeId="0" xr:uid="{00000000-0006-0000-3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700-000003000000}">
      <text>
        <r>
          <rPr>
            <sz val="9"/>
            <color indexed="81"/>
            <rFont val="Tahoma"/>
            <family val="2"/>
          </rPr>
          <t>Right-click to build filter</t>
        </r>
      </text>
    </comment>
    <comment ref="B95" authorId="0" shapeId="0" xr:uid="{00000000-0006-0000-3700-000004000000}">
      <text>
        <r>
          <rPr>
            <sz val="9"/>
            <color indexed="81"/>
            <rFont val="Tahoma"/>
            <family val="2"/>
          </rPr>
          <t>Right-click to build filter</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800-000001000000}">
      <text>
        <r>
          <rPr>
            <sz val="9"/>
            <color indexed="81"/>
            <rFont val="Tahoma"/>
            <family val="2"/>
          </rPr>
          <t>Right-click to build filter</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900-000001000000}">
      <text>
        <r>
          <rPr>
            <sz val="9"/>
            <color indexed="81"/>
            <rFont val="Tahoma"/>
            <family val="2"/>
          </rPr>
          <t>Right-click to build filter</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A00-000001000000}">
      <text>
        <r>
          <rPr>
            <sz val="9"/>
            <color indexed="81"/>
            <rFont val="Tahoma"/>
            <family val="2"/>
          </rPr>
          <t>Right-click to build filter</t>
        </r>
      </text>
    </comment>
    <comment ref="K32" authorId="0" shapeId="0" xr:uid="{00000000-0006-0000-3A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3A00-000003000000}">
      <text>
        <r>
          <rPr>
            <sz val="9"/>
            <color indexed="81"/>
            <rFont val="Tahoma"/>
            <family val="2"/>
          </rPr>
          <t>Right-click to build filter</t>
        </r>
      </text>
    </comment>
    <comment ref="B93" authorId="0" shapeId="0" xr:uid="{00000000-0006-0000-3A00-000004000000}">
      <text>
        <r>
          <rPr>
            <sz val="9"/>
            <color indexed="81"/>
            <rFont val="Tahoma"/>
            <family val="2"/>
          </rPr>
          <t>Right-click to build filter</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B00-000001000000}">
      <text>
        <r>
          <rPr>
            <sz val="9"/>
            <color indexed="81"/>
            <rFont val="Tahoma"/>
            <family val="2"/>
          </rPr>
          <t>Right-click to build filter</t>
        </r>
      </text>
    </comment>
    <comment ref="K32" authorId="0" shapeId="0" xr:uid="{00000000-0006-0000-3B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3B00-000003000000}">
      <text>
        <r>
          <rPr>
            <sz val="9"/>
            <color indexed="81"/>
            <rFont val="Tahoma"/>
            <family val="2"/>
          </rPr>
          <t>Right-click to build filter</t>
        </r>
      </text>
    </comment>
    <comment ref="B93" authorId="0" shapeId="0" xr:uid="{00000000-0006-0000-3B00-000004000000}">
      <text>
        <r>
          <rPr>
            <sz val="9"/>
            <color indexed="81"/>
            <rFont val="Tahoma"/>
            <family val="2"/>
          </rPr>
          <t>Right-click to build filter</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C00-000001000000}">
      <text>
        <r>
          <rPr>
            <sz val="9"/>
            <color indexed="81"/>
            <rFont val="Tahoma"/>
            <family val="2"/>
          </rPr>
          <t>Right-click to build filter</t>
        </r>
      </text>
    </comment>
    <comment ref="C29" authorId="0" shapeId="0" xr:uid="{00000000-0006-0000-3C00-000002000000}">
      <text>
        <r>
          <rPr>
            <sz val="9"/>
            <color indexed="81"/>
            <rFont val="Tahoma"/>
            <family val="2"/>
          </rPr>
          <t>Right-click to build filter</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D00-000001000000}">
      <text>
        <r>
          <rPr>
            <sz val="9"/>
            <color indexed="81"/>
            <rFont val="Tahoma"/>
            <family val="2"/>
          </rPr>
          <t>Right-click to build filter</t>
        </r>
      </text>
    </comment>
    <comment ref="C29" authorId="0" shapeId="0" xr:uid="{00000000-0006-0000-3D00-000002000000}">
      <text>
        <r>
          <rPr>
            <sz val="9"/>
            <color indexed="81"/>
            <rFont val="Tahoma"/>
            <family val="2"/>
          </rPr>
          <t>Right-click to build filter</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E00-000001000000}">
      <text>
        <r>
          <rPr>
            <sz val="9"/>
            <color indexed="81"/>
            <rFont val="Tahoma"/>
            <family val="2"/>
          </rPr>
          <t>Right-click to build filter</t>
        </r>
      </text>
    </comment>
    <comment ref="K32" authorId="0" shapeId="0" xr:uid="{00000000-0006-0000-3E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E00-000003000000}">
      <text>
        <r>
          <rPr>
            <sz val="9"/>
            <color indexed="81"/>
            <rFont val="Tahoma"/>
            <family val="2"/>
          </rPr>
          <t>Right-click to build filter</t>
        </r>
      </text>
    </comment>
    <comment ref="B87" authorId="0" shapeId="0" xr:uid="{00000000-0006-0000-3E00-000004000000}">
      <text>
        <r>
          <rPr>
            <sz val="9"/>
            <color indexed="81"/>
            <rFont val="Tahoma"/>
            <family val="2"/>
          </rPr>
          <t>Right-click to build filter</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F00-000001000000}">
      <text>
        <r>
          <rPr>
            <sz val="9"/>
            <color indexed="81"/>
            <rFont val="Tahoma"/>
            <family val="2"/>
          </rPr>
          <t>Right-click to build filter</t>
        </r>
      </text>
    </comment>
    <comment ref="K32" authorId="0" shapeId="0" xr:uid="{00000000-0006-0000-3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F00-000003000000}">
      <text>
        <r>
          <rPr>
            <sz val="9"/>
            <color indexed="81"/>
            <rFont val="Tahoma"/>
            <family val="2"/>
          </rPr>
          <t>Right-click to build filter</t>
        </r>
      </text>
    </comment>
    <comment ref="B87" authorId="0" shapeId="0" xr:uid="{00000000-0006-0000-3F00-000004000000}">
      <text>
        <r>
          <rPr>
            <sz val="9"/>
            <color indexed="81"/>
            <rFont val="Tahoma"/>
            <family val="2"/>
          </rPr>
          <t>Right-click to build filter</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000-000001000000}">
      <text>
        <r>
          <rPr>
            <sz val="9"/>
            <color indexed="81"/>
            <rFont val="Tahoma"/>
            <family val="2"/>
          </rPr>
          <t>Right-click to build filter</t>
        </r>
      </text>
    </comment>
    <comment ref="K32" authorId="0" shapeId="0" xr:uid="{00000000-0006-0000-4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000-000003000000}">
      <text>
        <r>
          <rPr>
            <sz val="9"/>
            <color indexed="81"/>
            <rFont val="Tahoma"/>
            <family val="2"/>
          </rPr>
          <t>Right-click to build filter</t>
        </r>
      </text>
    </comment>
    <comment ref="B86" authorId="0" shapeId="0" xr:uid="{00000000-0006-0000-4000-000004000000}">
      <text>
        <r>
          <rPr>
            <sz val="9"/>
            <color indexed="81"/>
            <rFont val="Tahoma"/>
            <family val="2"/>
          </rPr>
          <t>Right-click to build filter</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100-000001000000}">
      <text>
        <r>
          <rPr>
            <sz val="9"/>
            <color indexed="81"/>
            <rFont val="Tahoma"/>
            <family val="2"/>
          </rPr>
          <t>Right-click to build filter</t>
        </r>
      </text>
    </comment>
    <comment ref="K32" authorId="0" shapeId="0" xr:uid="{00000000-0006-0000-4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100-000003000000}">
      <text>
        <r>
          <rPr>
            <sz val="9"/>
            <color indexed="81"/>
            <rFont val="Tahoma"/>
            <family val="2"/>
          </rPr>
          <t>Right-click to build filter</t>
        </r>
      </text>
    </comment>
    <comment ref="B86" authorId="0" shapeId="0" xr:uid="{00000000-0006-0000-4100-000004000000}">
      <text>
        <r>
          <rPr>
            <sz val="9"/>
            <color indexed="81"/>
            <rFont val="Tahoma"/>
            <family val="2"/>
          </rPr>
          <t>Right-click to build filter</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200-000001000000}">
      <text>
        <r>
          <rPr>
            <sz val="9"/>
            <color indexed="81"/>
            <rFont val="Tahoma"/>
            <family val="2"/>
          </rPr>
          <t>Right-click to build filter</t>
        </r>
      </text>
    </comment>
    <comment ref="K32" authorId="0" shapeId="0" xr:uid="{00000000-0006-0000-42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200-000003000000}">
      <text>
        <r>
          <rPr>
            <sz val="9"/>
            <color indexed="81"/>
            <rFont val="Tahoma"/>
            <family val="2"/>
          </rPr>
          <t>Right-click to build filter</t>
        </r>
      </text>
    </comment>
    <comment ref="B86" authorId="0" shapeId="0" xr:uid="{00000000-0006-0000-4200-000004000000}">
      <text>
        <r>
          <rPr>
            <sz val="9"/>
            <color indexed="81"/>
            <rFont val="Tahoma"/>
            <family val="2"/>
          </rPr>
          <t>Right-click to build filter</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300-000001000000}">
      <text>
        <r>
          <rPr>
            <sz val="9"/>
            <color indexed="81"/>
            <rFont val="Tahoma"/>
            <family val="2"/>
          </rPr>
          <t>Right-click to build filter</t>
        </r>
      </text>
    </comment>
    <comment ref="K32" authorId="0" shapeId="0" xr:uid="{00000000-0006-0000-4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300-000003000000}">
      <text>
        <r>
          <rPr>
            <sz val="9"/>
            <color indexed="81"/>
            <rFont val="Tahoma"/>
            <family val="2"/>
          </rPr>
          <t>Right-click to build filter</t>
        </r>
      </text>
    </comment>
    <comment ref="B86" authorId="0" shapeId="0" xr:uid="{00000000-0006-0000-4300-000004000000}">
      <text>
        <r>
          <rPr>
            <sz val="9"/>
            <color indexed="81"/>
            <rFont val="Tahoma"/>
            <family val="2"/>
          </rPr>
          <t>Right-click to build filter</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400-000001000000}">
      <text>
        <r>
          <rPr>
            <sz val="9"/>
            <color indexed="81"/>
            <rFont val="Tahoma"/>
            <family val="2"/>
          </rPr>
          <t>Right-click to build filter</t>
        </r>
      </text>
    </comment>
    <comment ref="K32" authorId="0" shapeId="0" xr:uid="{00000000-0006-0000-44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400-000003000000}">
      <text>
        <r>
          <rPr>
            <sz val="9"/>
            <color indexed="81"/>
            <rFont val="Tahoma"/>
            <family val="2"/>
          </rPr>
          <t>Right-click to build filter</t>
        </r>
      </text>
    </comment>
    <comment ref="B85" authorId="0" shapeId="0" xr:uid="{00000000-0006-0000-4400-000004000000}">
      <text>
        <r>
          <rPr>
            <sz val="9"/>
            <color indexed="81"/>
            <rFont val="Tahoma"/>
            <family val="2"/>
          </rPr>
          <t>Right-click to build filter</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500-000001000000}">
      <text>
        <r>
          <rPr>
            <sz val="9"/>
            <color indexed="81"/>
            <rFont val="Tahoma"/>
            <family val="2"/>
          </rPr>
          <t>Right-click to build filter</t>
        </r>
      </text>
    </comment>
    <comment ref="K32" authorId="0" shapeId="0" xr:uid="{00000000-0006-0000-45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500-000003000000}">
      <text>
        <r>
          <rPr>
            <sz val="9"/>
            <color indexed="81"/>
            <rFont val="Tahoma"/>
            <family val="2"/>
          </rPr>
          <t>Right-click to build filter</t>
        </r>
      </text>
    </comment>
    <comment ref="B85" authorId="0" shapeId="0" xr:uid="{00000000-0006-0000-4500-000004000000}">
      <text>
        <r>
          <rPr>
            <sz val="9"/>
            <color indexed="81"/>
            <rFont val="Tahoma"/>
            <family val="2"/>
          </rPr>
          <t>Right-click to build filter</t>
        </r>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600-000001000000}">
      <text>
        <r>
          <rPr>
            <sz val="9"/>
            <color indexed="81"/>
            <rFont val="Tahoma"/>
            <family val="2"/>
          </rPr>
          <t>Right-click to build filter</t>
        </r>
      </text>
    </comment>
    <comment ref="K32" authorId="0" shapeId="0" xr:uid="{00000000-0006-0000-46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600-000003000000}">
      <text>
        <r>
          <rPr>
            <sz val="9"/>
            <color indexed="81"/>
            <rFont val="Tahoma"/>
            <family val="2"/>
          </rPr>
          <t>Right-click to build filter</t>
        </r>
      </text>
    </comment>
    <comment ref="B86" authorId="0" shapeId="0" xr:uid="{00000000-0006-0000-4600-000004000000}">
      <text>
        <r>
          <rPr>
            <sz val="9"/>
            <color indexed="81"/>
            <rFont val="Tahoma"/>
            <family val="2"/>
          </rPr>
          <t>Right-click to build filter</t>
        </r>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700-000001000000}">
      <text>
        <r>
          <rPr>
            <sz val="9"/>
            <color indexed="81"/>
            <rFont val="Tahoma"/>
            <family val="2"/>
          </rPr>
          <t>Right-click to build filter</t>
        </r>
      </text>
    </comment>
    <comment ref="K32" authorId="0" shapeId="0" xr:uid="{00000000-0006-0000-47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700-000003000000}">
      <text>
        <r>
          <rPr>
            <sz val="9"/>
            <color indexed="81"/>
            <rFont val="Tahoma"/>
            <family val="2"/>
          </rPr>
          <t>Right-click to build filter</t>
        </r>
      </text>
    </comment>
    <comment ref="B86" authorId="0" shapeId="0" xr:uid="{00000000-0006-0000-4700-000004000000}">
      <text>
        <r>
          <rPr>
            <sz val="9"/>
            <color indexed="81"/>
            <rFont val="Tahoma"/>
            <family val="2"/>
          </rPr>
          <t>Right-click to build filter</t>
        </r>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800-000001000000}">
      <text>
        <r>
          <rPr>
            <sz val="9"/>
            <color indexed="81"/>
            <rFont val="Tahoma"/>
            <family val="2"/>
          </rPr>
          <t>Right-click to build filter</t>
        </r>
      </text>
    </comment>
    <comment ref="K32" authorId="0" shapeId="0" xr:uid="{00000000-0006-0000-48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800-000003000000}">
      <text>
        <r>
          <rPr>
            <sz val="9"/>
            <color indexed="81"/>
            <rFont val="Tahoma"/>
            <family val="2"/>
          </rPr>
          <t>Right-click to build filter</t>
        </r>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900-000001000000}">
      <text>
        <r>
          <rPr>
            <sz val="9"/>
            <color indexed="81"/>
            <rFont val="Tahoma"/>
            <family val="2"/>
          </rPr>
          <t>Right-click to build filter</t>
        </r>
      </text>
    </comment>
    <comment ref="K32" authorId="0" shapeId="0" xr:uid="{00000000-0006-0000-49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900-000003000000}">
      <text>
        <r>
          <rPr>
            <sz val="9"/>
            <color indexed="81"/>
            <rFont val="Tahoma"/>
            <family val="2"/>
          </rPr>
          <t>Right-click to build filter</t>
        </r>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A00-000001000000}">
      <text>
        <r>
          <rPr>
            <sz val="9"/>
            <color indexed="81"/>
            <rFont val="Tahoma"/>
            <family val="2"/>
          </rPr>
          <t>Right-click to build filter</t>
        </r>
      </text>
    </comment>
    <comment ref="K32" authorId="0" shapeId="0" xr:uid="{00000000-0006-0000-4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B00-000001000000}">
      <text>
        <r>
          <rPr>
            <sz val="9"/>
            <color indexed="81"/>
            <rFont val="Tahoma"/>
            <family val="2"/>
          </rPr>
          <t>Right-click to build filter</t>
        </r>
      </text>
    </comment>
    <comment ref="K32" authorId="0" shapeId="0" xr:uid="{00000000-0006-0000-4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C00-000001000000}">
      <text>
        <r>
          <rPr>
            <sz val="9"/>
            <color indexed="81"/>
            <rFont val="Tahoma"/>
            <family val="2"/>
          </rPr>
          <t>Right-click to build filter</t>
        </r>
      </text>
    </comment>
    <comment ref="C29" authorId="0" shapeId="0" xr:uid="{00000000-0006-0000-4C00-000002000000}">
      <text>
        <r>
          <rPr>
            <sz val="9"/>
            <color indexed="81"/>
            <rFont val="Tahoma"/>
            <family val="2"/>
          </rPr>
          <t>Right-click to build filter</t>
        </r>
      </text>
    </comment>
    <comment ref="K32" authorId="0" shapeId="0" xr:uid="{00000000-0006-0000-4C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D00-000001000000}">
      <text>
        <r>
          <rPr>
            <sz val="9"/>
            <color indexed="81"/>
            <rFont val="Tahoma"/>
            <family val="2"/>
          </rPr>
          <t>Right-click to build filter</t>
        </r>
      </text>
    </comment>
    <comment ref="C29" authorId="0" shapeId="0" xr:uid="{00000000-0006-0000-4D00-000002000000}">
      <text>
        <r>
          <rPr>
            <sz val="9"/>
            <color indexed="81"/>
            <rFont val="Tahoma"/>
            <family val="2"/>
          </rPr>
          <t>Right-click to build filter</t>
        </r>
      </text>
    </comment>
    <comment ref="K32" authorId="0" shapeId="0" xr:uid="{00000000-0006-0000-4D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E00-000001000000}">
      <text>
        <r>
          <rPr>
            <sz val="9"/>
            <color indexed="81"/>
            <rFont val="Tahoma"/>
            <family val="2"/>
          </rPr>
          <t>Right-click to build filter</t>
        </r>
      </text>
    </comment>
    <comment ref="K32" authorId="0" shapeId="0" xr:uid="{00000000-0006-0000-4E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F00-000001000000}">
      <text>
        <r>
          <rPr>
            <sz val="9"/>
            <color indexed="81"/>
            <rFont val="Tahoma"/>
            <family val="2"/>
          </rPr>
          <t>Right-click to build filter</t>
        </r>
      </text>
    </comment>
    <comment ref="K32" authorId="0" shapeId="0" xr:uid="{00000000-0006-0000-4F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000-000001000000}">
      <text>
        <r>
          <rPr>
            <sz val="9"/>
            <color indexed="81"/>
            <rFont val="Tahoma"/>
            <family val="2"/>
          </rPr>
          <t>Right-click to build filter</t>
        </r>
      </text>
    </comment>
    <comment ref="K32" authorId="0" shapeId="0" xr:uid="{00000000-0006-0000-50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000-000003000000}">
      <text>
        <r>
          <rPr>
            <sz val="9"/>
            <color indexed="81"/>
            <rFont val="Tahoma"/>
            <family val="2"/>
          </rPr>
          <t>Right-click to build filter</t>
        </r>
      </text>
    </comment>
    <comment ref="B83" authorId="0" shapeId="0" xr:uid="{00000000-0006-0000-5000-000004000000}">
      <text>
        <r>
          <rPr>
            <sz val="9"/>
            <color indexed="81"/>
            <rFont val="Tahoma"/>
            <family val="2"/>
          </rPr>
          <t>Right-click to build filter</t>
        </r>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100-000001000000}">
      <text>
        <r>
          <rPr>
            <sz val="9"/>
            <color indexed="81"/>
            <rFont val="Tahoma"/>
            <family val="2"/>
          </rPr>
          <t>Right-click to build filter</t>
        </r>
      </text>
    </comment>
    <comment ref="K32" authorId="0" shapeId="0" xr:uid="{00000000-0006-0000-51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100-000003000000}">
      <text>
        <r>
          <rPr>
            <sz val="9"/>
            <color indexed="81"/>
            <rFont val="Tahoma"/>
            <family val="2"/>
          </rPr>
          <t>Right-click to build filter</t>
        </r>
      </text>
    </comment>
    <comment ref="B83" authorId="0" shapeId="0" xr:uid="{00000000-0006-0000-5100-000004000000}">
      <text>
        <r>
          <rPr>
            <sz val="9"/>
            <color indexed="81"/>
            <rFont val="Tahoma"/>
            <family val="2"/>
          </rPr>
          <t>Right-click to build filter</t>
        </r>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200-000001000000}">
      <text>
        <r>
          <rPr>
            <sz val="9"/>
            <color indexed="81"/>
            <rFont val="Tahoma"/>
            <family val="2"/>
          </rPr>
          <t>Right-click to build filter</t>
        </r>
      </text>
    </comment>
    <comment ref="K32" authorId="0" shapeId="0" xr:uid="{00000000-0006-0000-52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300-000001000000}">
      <text>
        <r>
          <rPr>
            <sz val="9"/>
            <color indexed="81"/>
            <rFont val="Tahoma"/>
            <family val="2"/>
          </rPr>
          <t>Right-click to build filter</t>
        </r>
      </text>
    </comment>
    <comment ref="K32" authorId="0" shapeId="0" xr:uid="{00000000-0006-0000-53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400-000001000000}">
      <text>
        <r>
          <rPr>
            <sz val="9"/>
            <color indexed="81"/>
            <rFont val="Tahoma"/>
            <family val="2"/>
          </rPr>
          <t>Right-click to build filter</t>
        </r>
      </text>
    </comment>
    <comment ref="K32" authorId="0" shapeId="0" xr:uid="{00000000-0006-0000-54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500-000001000000}">
      <text>
        <r>
          <rPr>
            <sz val="9"/>
            <color indexed="81"/>
            <rFont val="Tahoma"/>
            <family val="2"/>
          </rPr>
          <t>Right-click to build filter</t>
        </r>
      </text>
    </comment>
    <comment ref="K32" authorId="0" shapeId="0" xr:uid="{00000000-0006-0000-55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600-000001000000}">
      <text>
        <r>
          <rPr>
            <sz val="9"/>
            <color indexed="81"/>
            <rFont val="Tahoma"/>
            <family val="2"/>
          </rPr>
          <t>Right-click to build filter</t>
        </r>
      </text>
    </comment>
    <comment ref="K32" authorId="0" shapeId="0" xr:uid="{00000000-0006-0000-56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700-000001000000}">
      <text>
        <r>
          <rPr>
            <sz val="9"/>
            <color indexed="81"/>
            <rFont val="Tahoma"/>
            <family val="2"/>
          </rPr>
          <t>Right-click to build filter</t>
        </r>
      </text>
    </comment>
    <comment ref="K32" authorId="0" shapeId="0" xr:uid="{00000000-0006-0000-57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800-000001000000}">
      <text>
        <r>
          <rPr>
            <sz val="9"/>
            <color indexed="81"/>
            <rFont val="Tahoma"/>
            <family val="2"/>
          </rPr>
          <t>Right-click to build filter</t>
        </r>
      </text>
    </comment>
    <comment ref="K32" authorId="0" shapeId="0" xr:uid="{00000000-0006-0000-58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9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900-000001000000}">
      <text>
        <r>
          <rPr>
            <sz val="9"/>
            <color indexed="81"/>
            <rFont val="Tahoma"/>
            <family val="2"/>
          </rPr>
          <t>Right-click to build filter</t>
        </r>
      </text>
    </comment>
    <comment ref="K32" authorId="0" shapeId="0" xr:uid="{00000000-0006-0000-59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9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A00-000001000000}">
      <text>
        <r>
          <rPr>
            <sz val="9"/>
            <color indexed="81"/>
            <rFont val="Tahoma"/>
            <family val="2"/>
          </rPr>
          <t>Right-click to build filter</t>
        </r>
      </text>
    </comment>
    <comment ref="K32" authorId="0" shapeId="0" xr:uid="{00000000-0006-0000-5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9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B00-000001000000}">
      <text>
        <r>
          <rPr>
            <sz val="9"/>
            <color indexed="81"/>
            <rFont val="Tahoma"/>
            <family val="2"/>
          </rPr>
          <t>Right-click to build filter</t>
        </r>
      </text>
    </comment>
    <comment ref="K32" authorId="0" shapeId="0" xr:uid="{00000000-0006-0000-5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9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C00-000001000000}">
      <text>
        <r>
          <rPr>
            <sz val="9"/>
            <color indexed="81"/>
            <rFont val="Tahoma"/>
            <family val="2"/>
          </rPr>
          <t>Right-click to build filter</t>
        </r>
      </text>
    </comment>
    <comment ref="K32" authorId="0" shapeId="0" xr:uid="{00000000-0006-0000-5C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C00-000003000000}">
      <text>
        <r>
          <rPr>
            <sz val="9"/>
            <color indexed="81"/>
            <rFont val="Tahoma"/>
            <family val="2"/>
          </rPr>
          <t>Right-click to build filter</t>
        </r>
      </text>
    </comment>
  </commentList>
</comments>
</file>

<file path=xl/comments9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D00-000001000000}">
      <text>
        <r>
          <rPr>
            <sz val="9"/>
            <color indexed="81"/>
            <rFont val="Tahoma"/>
            <family val="2"/>
          </rPr>
          <t>Right-click to build filter</t>
        </r>
      </text>
    </comment>
    <comment ref="K32" authorId="0" shapeId="0" xr:uid="{00000000-0006-0000-5D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D00-000003000000}">
      <text>
        <r>
          <rPr>
            <sz val="9"/>
            <color indexed="81"/>
            <rFont val="Tahoma"/>
            <family val="2"/>
          </rPr>
          <t>Right-click to build filter</t>
        </r>
      </text>
    </comment>
  </commentList>
</comments>
</file>

<file path=xl/comments9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E00-000001000000}">
      <text>
        <r>
          <rPr>
            <sz val="9"/>
            <color indexed="81"/>
            <rFont val="Tahoma"/>
            <family val="2"/>
          </rPr>
          <t>Right-click to build filter</t>
        </r>
      </text>
    </comment>
    <comment ref="K32" authorId="0" shapeId="0" xr:uid="{00000000-0006-0000-5E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E00-000003000000}">
      <text>
        <r>
          <rPr>
            <sz val="9"/>
            <color indexed="81"/>
            <rFont val="Tahoma"/>
            <family val="2"/>
          </rPr>
          <t>Right-click to build filter</t>
        </r>
      </text>
    </comment>
  </commentList>
</comments>
</file>

<file path=xl/comments9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F00-000001000000}">
      <text>
        <r>
          <rPr>
            <sz val="9"/>
            <color indexed="81"/>
            <rFont val="Tahoma"/>
            <family val="2"/>
          </rPr>
          <t>Right-click to build filter</t>
        </r>
      </text>
    </comment>
    <comment ref="K32" authorId="0" shapeId="0" xr:uid="{00000000-0006-0000-5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F00-000003000000}">
      <text>
        <r>
          <rPr>
            <sz val="9"/>
            <color indexed="81"/>
            <rFont val="Tahoma"/>
            <family val="2"/>
          </rPr>
          <t>Right-click to build filter</t>
        </r>
      </text>
    </comment>
  </commentList>
</comments>
</file>

<file path=xl/comments9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000-000001000000}">
      <text>
        <r>
          <rPr>
            <sz val="9"/>
            <color indexed="81"/>
            <rFont val="Tahoma"/>
            <family val="2"/>
          </rPr>
          <t>Right-click to build filter</t>
        </r>
      </text>
    </comment>
    <comment ref="K32" authorId="0" shapeId="0" xr:uid="{00000000-0006-0000-6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9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100-000001000000}">
      <text>
        <r>
          <rPr>
            <sz val="9"/>
            <color indexed="81"/>
            <rFont val="Tahoma"/>
            <family val="2"/>
          </rPr>
          <t>Right-click to build filter</t>
        </r>
      </text>
    </comment>
    <comment ref="K32" authorId="0" shapeId="0" xr:uid="{00000000-0006-0000-61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<sst xmlns="http://schemas.openxmlformats.org/spreadsheetml/2006/main" count="36680" uniqueCount="1893">
  <si>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</si>
  <si>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</si>
  <si>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</si>
  <si>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</si>
  <si>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</si>
  <si>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</si>
  <si>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</si>
  <si>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</si>
  <si>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</si>
  <si>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</si>
  <si>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</si>
  <si>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</si>
  <si>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</si>
  <si>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</si>
  <si>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</si>
  <si>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</si>
  <si>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</si>
  <si>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</si>
  <si>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</si>
  <si>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</si>
  <si>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</si>
  <si>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</si>
  <si>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</si>
  <si>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</si>
  <si>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</si>
  <si>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</si>
  <si>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</si>
  <si>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</si>
  <si>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</si>
  <si>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</si>
  <si>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</si>
  <si>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</si>
  <si>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</si>
  <si>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</si>
  <si>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</si>
  <si>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</si>
  <si>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</si>
  <si>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</si>
  <si>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</si>
  <si>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</si>
  <si>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</si>
  <si>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</si>
  <si>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</si>
  <si>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</si>
  <si>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</si>
  <si>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</si>
  <si>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</si>
  <si>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</si>
  <si>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</si>
  <si>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</si>
  <si>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</si>
  <si>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</si>
  <si>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</si>
  <si>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</si>
  <si>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</si>
  <si>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</si>
  <si>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</si>
  <si>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</si>
  <si>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</si>
  <si>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</si>
  <si>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</si>
  <si>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</si>
  <si>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</si>
  <si>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</si>
  <si>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</si>
  <si>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</si>
  <si>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</si>
  <si>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</si>
  <si>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</si>
  <si>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</si>
  <si>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</si>
  <si>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</si>
  <si>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</si>
  <si>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</si>
  <si>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</si>
  <si>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</si>
  <si>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</si>
  <si>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</si>
  <si>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</si>
  <si>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</si>
  <si>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</si>
  <si>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</si>
  <si>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</si>
  <si>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</si>
  <si>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</si>
  <si>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</si>
  <si>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</si>
  <si>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</si>
  <si>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</si>
  <si>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</si>
  <si>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</si>
  <si>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</si>
  <si>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</si>
  <si>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</si>
  <si>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</si>
  <si>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</si>
  <si>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</si>
  <si>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</si>
  <si>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</si>
  <si>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</si>
  <si>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</si>
  <si>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</si>
  <si>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</si>
  <si>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</si>
  <si>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</si>
  <si>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</si>
  <si>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</si>
  <si>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</si>
  <si>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</si>
  <si>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</si>
  <si>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</si>
  <si>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</si>
  <si>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</si>
  <si>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</si>
  <si>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</si>
  <si>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</si>
  <si>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</si>
  <si>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</si>
  <si>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</si>
  <si>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</si>
  <si>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</si>
  <si>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</si>
  <si>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</si>
  <si>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</si>
  <si>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</si>
  <si>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</si>
  <si>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</si>
  <si>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</si>
  <si>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</si>
  <si>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</si>
  <si>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</si>
  <si>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</si>
  <si>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</si>
  <si>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</si>
  <si>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</si>
  <si>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</si>
  <si>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</si>
  <si>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</si>
  <si>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</si>
  <si>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</si>
  <si>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</si>
  <si>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</si>
  <si>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</si>
  <si>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</si>
  <si>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</si>
  <si>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</si>
  <si>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</si>
  <si>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</si>
  <si>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</si>
  <si>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</si>
  <si>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</si>
  <si>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</si>
  <si>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</si>
  <si>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</si>
  <si>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</si>
  <si>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</si>
  <si>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</si>
  <si>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</si>
  <si>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</si>
  <si>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</si>
  <si>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</si>
  <si>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</si>
  <si>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</si>
  <si>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</si>
  <si>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</si>
  <si>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</si>
  <si>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</si>
  <si>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</si>
  <si>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</si>
  <si>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</si>
  <si>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</si>
  <si>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</si>
  <si>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</si>
  <si>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</si>
  <si>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</si>
  <si>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</si>
  <si>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</si>
  <si>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</si>
  <si>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</si>
  <si>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</si>
  <si>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</si>
  <si>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</si>
  <si>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</si>
  <si>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</si>
  <si>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</si>
  <si>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</si>
  <si>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</si>
  <si>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</si>
  <si>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</si>
  <si>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</si>
  <si>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</si>
  <si>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</si>
  <si>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</si>
  <si>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</si>
  <si>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</si>
  <si>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</si>
  <si>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</si>
  <si>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</si>
  <si>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</si>
  <si>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</si>
  <si>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</si>
  <si>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</si>
  <si>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</si>
  <si>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</si>
  <si>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</si>
  <si>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</si>
  <si>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</si>
  <si>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</si>
  <si>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</si>
  <si>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</si>
  <si>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</si>
  <si>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</si>
  <si>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</si>
  <si>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</si>
  <si>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</si>
  <si>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</si>
  <si>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</si>
  <si>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</si>
  <si>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</si>
  <si>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</si>
  <si>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</si>
  <si>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</si>
  <si>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</si>
  <si>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</si>
  <si>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</si>
  <si>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</si>
  <si>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</si>
  <si>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</si>
  <si>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</si>
  <si>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</si>
  <si>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</si>
  <si>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</si>
  <si>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</si>
  <si>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</si>
  <si>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</si>
  <si>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</si>
  <si>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</si>
  <si>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</si>
  <si>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</si>
  <si>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</si>
  <si>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</si>
  <si>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</si>
  <si>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</si>
  <si>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</si>
  <si>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</si>
  <si>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</si>
  <si>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</si>
  <si>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</si>
  <si>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</si>
  <si>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</si>
  <si>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</si>
  <si>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</si>
  <si>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</si>
  <si>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</si>
  <si>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</si>
  <si>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</si>
  <si>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</si>
  <si>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</si>
  <si>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</si>
  <si>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</si>
  <si>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</si>
  <si>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</si>
  <si>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</si>
  <si>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</si>
  <si>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</si>
  <si>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</si>
  <si>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</si>
  <si>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</si>
  <si>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</si>
  <si>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</si>
  <si>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</si>
  <si>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</si>
  <si>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</si>
  <si>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</si>
  <si>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</si>
  <si>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</si>
  <si>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</si>
  <si>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</si>
  <si>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</si>
  <si>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</si>
  <si>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</si>
  <si>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</si>
  <si>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</si>
  <si>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</si>
  <si>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</si>
  <si>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</si>
  <si>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</si>
  <si>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</si>
  <si>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</si>
  <si>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</si>
  <si>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</si>
  <si>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</si>
  <si>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</si>
  <si>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</si>
  <si>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</si>
  <si>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</si>
  <si>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</si>
  <si>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</si>
  <si>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</si>
  <si>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</si>
  <si>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</si>
  <si>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</si>
  <si>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</si>
  <si>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</si>
  <si>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</si>
  <si>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</si>
  <si>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</si>
  <si>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</si>
  <si>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</si>
  <si>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</si>
  <si>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</si>
  <si>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</si>
  <si>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</si>
  <si>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</si>
  <si>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</si>
  <si>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</si>
  <si>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</si>
  <si>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</si>
  <si>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</si>
  <si>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</si>
  <si>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</si>
  <si>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</si>
  <si>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</si>
  <si>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</si>
  <si>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</si>
  <si>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</si>
  <si>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</si>
  <si>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</si>
  <si>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</si>
  <si>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</si>
  <si>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</si>
  <si>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</si>
  <si>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</si>
  <si>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</si>
  <si>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</si>
  <si>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</si>
  <si>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</si>
  <si>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</si>
  <si>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</si>
  <si>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</si>
  <si>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</si>
  <si>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</si>
  <si>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</si>
  <si>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</si>
  <si>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</si>
  <si>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</si>
  <si>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</si>
  <si>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</si>
  <si>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</si>
  <si>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</si>
  <si>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</si>
  <si>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</si>
  <si>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</si>
  <si>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</si>
  <si>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</si>
  <si>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</si>
  <si>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</si>
  <si>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</si>
  <si>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</si>
  <si>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</si>
  <si>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</si>
  <si>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</si>
  <si>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</si>
  <si>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</si>
  <si>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</si>
  <si>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</si>
  <si>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</si>
  <si>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</si>
  <si>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</si>
  <si>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</si>
  <si>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</si>
  <si>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</si>
  <si>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</si>
  <si>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</si>
  <si>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</si>
  <si>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</si>
  <si>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</si>
  <si>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</si>
  <si>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</si>
  <si>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</si>
  <si>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</si>
  <si>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</si>
  <si>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</si>
  <si>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</si>
  <si>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</si>
  <si>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</si>
  <si>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</si>
  <si>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</si>
  <si>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</si>
  <si>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</si>
  <si>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</si>
  <si>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</si>
  <si>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</si>
  <si>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</si>
  <si>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</si>
  <si>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</si>
  <si>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</si>
  <si>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</si>
  <si>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</si>
  <si>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</si>
  <si>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</si>
  <si>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</si>
  <si>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</si>
  <si>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</si>
  <si>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</si>
  <si>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</si>
  <si>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</si>
  <si>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</si>
  <si>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</si>
  <si>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</si>
  <si>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</si>
  <si>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</si>
  <si>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</si>
  <si>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</si>
  <si>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</si>
  <si>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</si>
  <si>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</si>
  <si>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</si>
  <si>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</si>
  <si>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</si>
  <si>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</si>
  <si>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</si>
  <si>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</si>
  <si>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</si>
  <si>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</si>
  <si>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</si>
  <si>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</si>
  <si>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</si>
  <si>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</si>
  <si>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</si>
  <si>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</si>
  <si>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</si>
  <si>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</si>
  <si>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</si>
  <si>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</si>
  <si>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</si>
  <si>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</si>
  <si>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</si>
  <si>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</si>
  <si>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</si>
  <si>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</si>
  <si>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</si>
  <si>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</si>
  <si>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</si>
  <si>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</si>
  <si>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</si>
  <si>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</si>
  <si>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</si>
  <si>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</si>
  <si>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</si>
  <si>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</si>
  <si>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</si>
  <si>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</si>
  <si>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</si>
  <si>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</si>
  <si>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</si>
  <si>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</si>
  <si>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</si>
  <si>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</si>
  <si>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</si>
  <si>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</si>
  <si>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</si>
  <si>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</si>
  <si>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</si>
  <si>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</si>
  <si>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</si>
  <si>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</si>
  <si>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</si>
  <si>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</si>
  <si>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</si>
  <si>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</si>
  <si>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</si>
  <si>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</si>
  <si>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</si>
  <si>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</si>
  <si>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</si>
  <si>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</si>
  <si>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</si>
  <si>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</si>
  <si>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</si>
  <si>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</si>
  <si>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</si>
  <si>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</si>
  <si>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</si>
  <si>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</si>
  <si>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</si>
  <si>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</si>
  <si>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</si>
  <si>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</si>
  <si>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</si>
  <si>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</si>
  <si>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</si>
  <si>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</si>
  <si>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</si>
  <si>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</si>
  <si>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</si>
  <si>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</si>
  <si>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</si>
  <si>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</si>
  <si>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</si>
  <si>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</si>
  <si>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</si>
  <si>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</si>
  <si>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</si>
  <si>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</si>
  <si>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</si>
  <si>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</si>
  <si>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</si>
  <si>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</si>
  <si>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</si>
  <si>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</si>
  <si>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</si>
  <si>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</si>
  <si>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</si>
  <si>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</si>
  <si>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</si>
  <si>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</si>
  <si>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</si>
  <si>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</si>
  <si>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</si>
  <si>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</si>
  <si>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</si>
  <si>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</si>
  <si>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</si>
  <si>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</si>
  <si>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</si>
  <si>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</si>
  <si>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</si>
  <si>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</si>
  <si>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</si>
  <si>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</si>
  <si>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</si>
  <si>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</si>
  <si>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</si>
  <si>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</si>
  <si>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</si>
  <si>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</si>
  <si>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</si>
  <si>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</si>
  <si>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</si>
  <si>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</si>
  <si>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</si>
  <si>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</si>
  <si>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</si>
  <si>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</si>
  <si>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</si>
  <si>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</si>
  <si>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</si>
  <si>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</si>
  <si>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</si>
  <si>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</si>
  <si>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</si>
  <si>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</si>
  <si>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</si>
  <si>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</si>
  <si>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</si>
  <si>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</si>
  <si>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</si>
  <si>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</si>
  <si>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</si>
  <si>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</si>
  <si>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</si>
  <si>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</si>
  <si>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</si>
  <si>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</si>
  <si>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</si>
  <si>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</si>
  <si>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</si>
  <si>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</si>
  <si>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</si>
  <si>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</si>
  <si>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</si>
  <si>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</si>
  <si>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</si>
  <si>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</si>
  <si>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</si>
  <si>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</si>
  <si>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</si>
  <si>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</si>
  <si>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</si>
  <si>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</si>
  <si>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</si>
  <si>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</si>
  <si>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</si>
  <si>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</si>
  <si>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</si>
  <si>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</si>
  <si>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</si>
  <si>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</si>
  <si>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</si>
  <si>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</si>
  <si>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</si>
  <si>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</si>
  <si>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</si>
  <si>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</si>
  <si>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</si>
  <si>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</si>
  <si>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</si>
  <si>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</si>
  <si>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</si>
  <si>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</si>
  <si>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</si>
  <si>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</si>
  <si>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</si>
  <si>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</si>
  <si>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</si>
  <si>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</si>
  <si>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</si>
  <si>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</si>
  <si>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</si>
  <si>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</si>
  <si>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</si>
  <si>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</si>
  <si>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</si>
  <si>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</si>
  <si>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</si>
  <si>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</si>
  <si>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</si>
  <si>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</si>
  <si>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</si>
  <si>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</si>
  <si>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</si>
  <si>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</si>
  <si>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</si>
  <si>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</si>
  <si>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</si>
  <si>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</si>
  <si>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</si>
  <si>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</si>
  <si>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</si>
  <si>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</si>
  <si>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</si>
  <si>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</si>
  <si>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</si>
  <si>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</si>
  <si>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</si>
  <si>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</si>
  <si>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</si>
  <si>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</si>
  <si>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</si>
  <si>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</si>
  <si>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</si>
  <si>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</si>
  <si>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</si>
  <si>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</si>
  <si>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</si>
  <si>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</si>
  <si>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</si>
  <si>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</si>
  <si>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</si>
  <si>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</si>
  <si>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</si>
  <si>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</si>
  <si>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</si>
  <si>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</si>
  <si>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</si>
  <si>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</si>
  <si>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</si>
  <si>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</si>
  <si>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</si>
  <si>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</si>
  <si>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</si>
  <si>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</si>
  <si>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</si>
  <si>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</si>
  <si>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</si>
  <si>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</si>
  <si>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</si>
  <si>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</si>
  <si>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</si>
  <si>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</si>
  <si>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</si>
  <si>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</si>
  <si>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</si>
  <si>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</si>
  <si>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</si>
  <si>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</si>
  <si>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</si>
  <si>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</si>
  <si>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</si>
  <si>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</si>
  <si>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</si>
  <si>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</si>
  <si>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</si>
  <si>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</si>
  <si>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</si>
  <si>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</si>
  <si>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</si>
  <si>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</si>
  <si>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</si>
  <si>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</si>
  <si>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</si>
  <si>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</si>
  <si>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</si>
  <si>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</si>
  <si>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</si>
  <si>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</si>
  <si>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</si>
  <si>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</si>
  <si>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</si>
  <si>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</si>
  <si>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</si>
  <si>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</si>
  <si>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</si>
  <si>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</si>
  <si>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</si>
  <si>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</si>
  <si>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</si>
  <si>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</si>
  <si>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</si>
  <si>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</si>
  <si>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</si>
  <si>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</si>
  <si>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</si>
  <si>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</si>
  <si>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</si>
  <si>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</si>
  <si>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</si>
  <si>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</si>
  <si>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</si>
  <si>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</si>
  <si>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</si>
  <si>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</si>
  <si>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</si>
  <si>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</si>
  <si>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</si>
  <si>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</si>
  <si>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</si>
  <si>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</si>
  <si>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</si>
  <si>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</si>
  <si>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</si>
  <si>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</si>
  <si>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</si>
  <si>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</si>
  <si>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</si>
  <si>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</si>
  <si>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</si>
  <si>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</si>
  <si>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</si>
  <si>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</si>
  <si>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</si>
  <si>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</si>
  <si>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</si>
  <si>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</si>
  <si>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</si>
  <si>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</si>
  <si>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</si>
  <si>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</si>
  <si>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</si>
  <si>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</si>
  <si>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</si>
  <si>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</si>
  <si>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</si>
  <si>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</si>
  <si>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</si>
  <si>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</si>
  <si>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</si>
  <si>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</si>
  <si>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</si>
  <si>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</si>
  <si>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</si>
  <si>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</si>
  <si>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</si>
  <si>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</si>
  <si>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</si>
  <si>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</si>
  <si>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</si>
  <si>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</si>
  <si>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</si>
  <si>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</si>
  <si>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</si>
  <si>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</si>
  <si>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</si>
  <si>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</si>
  <si>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</si>
  <si>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</si>
  <si>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</si>
  <si>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</si>
  <si>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</si>
  <si>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</si>
  <si>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</si>
  <si>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</si>
  <si>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</si>
  <si>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</si>
  <si>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</si>
  <si>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</si>
  <si>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</si>
  <si>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</si>
  <si>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</si>
  <si>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</si>
  <si>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</si>
  <si>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</si>
  <si>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</si>
  <si>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</si>
  <si>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</si>
  <si>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</si>
  <si>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</si>
  <si>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</si>
  <si>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</si>
  <si>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</si>
  <si>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</si>
  <si>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</si>
  <si>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</si>
  <si>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</si>
  <si>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</si>
  <si>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</si>
  <si>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</si>
  <si>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</si>
  <si>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</si>
  <si>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</si>
  <si>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</si>
  <si>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</si>
  <si>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</si>
  <si>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</si>
  <si>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</si>
  <si>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</si>
  <si>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</si>
  <si>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</si>
  <si>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</si>
  <si>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</si>
  <si>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</si>
  <si>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</si>
  <si>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</si>
  <si>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t>FCST</t>
  </si>
  <si>
    <t>752500</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</si>
  <si>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Demand in the hospitality industry continues to be negatively affected by the COVID 19 pandemic and national, state and municipal responses thereto (collectively, the “Pandemic”).   The budget and related information and projections are based on uncertain predictions of when and at what rate travel and hotel bookings will stabilize.  The hotel’s market may continue to be negatively affected by the Pandemic in a manner not reflected in the budget and related information. Various data sources used by operator to forecast results continue to be unavailable or unreliable given the increased volatility from the Pandemic. Under these conditions, Kimpton Hotel &amp; Restaurant Group, LLC and its affiliates (“KHRG”) does not have dependable economic data on which to rely and KHRG is not engaged as an economist for Owner. The Pandemic continues to be an event of force majeure that may affect the hotel’s operations in 2022.  Accordingly, Owner acknowledges that the financial projections and conclusions contained in this document are based in whole or in part on estimates and/or assumptions that are inherently uncertain and unreliable.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</si>
  <si>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801314</t>
  </si>
  <si>
    <t>D_AGHotRest</t>
  </si>
  <si>
    <t>701100</t>
  </si>
  <si>
    <t>701200</t>
  </si>
  <si>
    <t>701400</t>
  </si>
  <si>
    <t>701500</t>
  </si>
  <si>
    <t>702600</t>
  </si>
  <si>
    <t>TRVL_OTHR</t>
  </si>
  <si>
    <t>702900</t>
  </si>
  <si>
    <t>704600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</si>
  <si>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</si>
  <si>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</si>
  <si>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</si>
  <si>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</si>
  <si>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</si>
  <si>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</si>
  <si>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</si>
  <si>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</si>
  <si>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</si>
  <si>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</si>
  <si>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</si>
  <si>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</si>
  <si>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</si>
  <si>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</si>
  <si>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</si>
  <si>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</si>
  <si>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</si>
  <si>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</si>
  <si>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</si>
  <si>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701600</t>
  </si>
  <si>
    <t>701900</t>
  </si>
  <si>
    <t>702300</t>
  </si>
  <si>
    <t>703200</t>
  </si>
  <si>
    <t>703400</t>
  </si>
  <si>
    <t>703800</t>
  </si>
  <si>
    <t>HRLY_FBBQT</t>
  </si>
  <si>
    <t>HRLY_FBVEN</t>
  </si>
  <si>
    <t>SVC_DIST</t>
  </si>
  <si>
    <t>CON_LABOR</t>
  </si>
  <si>
    <t>717100</t>
  </si>
  <si>
    <t>717200</t>
  </si>
  <si>
    <t>WS_EXP</t>
  </si>
  <si>
    <t>701300</t>
  </si>
  <si>
    <t>701700</t>
  </si>
  <si>
    <t>701780</t>
  </si>
  <si>
    <t>702000</t>
  </si>
  <si>
    <t>702580</t>
  </si>
  <si>
    <t>703000</t>
  </si>
  <si>
    <t>703100</t>
  </si>
  <si>
    <t>703300</t>
  </si>
  <si>
    <t>703500</t>
  </si>
  <si>
    <t>703510</t>
  </si>
  <si>
    <t>703600</t>
  </si>
  <si>
    <t>703700</t>
  </si>
  <si>
    <t>704100</t>
  </si>
  <si>
    <t>HRLY_FBKIT</t>
  </si>
  <si>
    <t>SALY_FBSVC</t>
  </si>
  <si>
    <t>SALY_FBKIT</t>
  </si>
  <si>
    <t>706700</t>
  </si>
  <si>
    <t>706800</t>
  </si>
  <si>
    <t>706900</t>
  </si>
  <si>
    <t>707010</t>
  </si>
  <si>
    <t>707150</t>
  </si>
  <si>
    <t>707310</t>
  </si>
  <si>
    <t>707450</t>
  </si>
  <si>
    <t>707610</t>
  </si>
  <si>
    <t>707650</t>
  </si>
  <si>
    <t>731010</t>
  </si>
  <si>
    <t>715100</t>
  </si>
  <si>
    <t>715200</t>
  </si>
  <si>
    <t>715300</t>
  </si>
  <si>
    <t>POM_FE</t>
  </si>
  <si>
    <t>715600</t>
  </si>
  <si>
    <t>715700</t>
  </si>
  <si>
    <t>715800</t>
  </si>
  <si>
    <t>715900</t>
  </si>
  <si>
    <t>716000</t>
  </si>
  <si>
    <t>716100</t>
  </si>
  <si>
    <t>716200</t>
  </si>
  <si>
    <t>716300</t>
  </si>
  <si>
    <t>716400</t>
  </si>
  <si>
    <t>716500</t>
  </si>
  <si>
    <t>HRLY_POM</t>
  </si>
  <si>
    <t>693040</t>
  </si>
  <si>
    <t>CONTSP</t>
  </si>
  <si>
    <t>693160</t>
  </si>
  <si>
    <t>693200</t>
  </si>
  <si>
    <t>693280</t>
  </si>
  <si>
    <t>HEAINS</t>
  </si>
  <si>
    <t>MEALS</t>
  </si>
  <si>
    <t>693480</t>
  </si>
  <si>
    <t>WC_EXP</t>
  </si>
  <si>
    <t>692100</t>
  </si>
  <si>
    <t>692200</t>
  </si>
  <si>
    <t>692300</t>
  </si>
  <si>
    <t>WELL_PAY</t>
  </si>
  <si>
    <t>692500</t>
  </si>
  <si>
    <t>VAC_PAY</t>
  </si>
  <si>
    <t>NATLMED</t>
  </si>
  <si>
    <t>NATLRET</t>
  </si>
  <si>
    <t>NATLUNE</t>
  </si>
  <si>
    <t>STATUNE</t>
  </si>
  <si>
    <t>OTHLTAX</t>
  </si>
  <si>
    <t>701800</t>
  </si>
  <si>
    <t>702500</t>
  </si>
  <si>
    <t>703010</t>
  </si>
  <si>
    <t>704000</t>
  </si>
  <si>
    <t>704200</t>
  </si>
  <si>
    <t>704300</t>
  </si>
  <si>
    <t>704400</t>
  </si>
  <si>
    <t>704500</t>
  </si>
  <si>
    <t>HRLY_FRTOF</t>
  </si>
  <si>
    <t>HRLY_HOUSK</t>
  </si>
  <si>
    <t>711100</t>
  </si>
  <si>
    <t>711200</t>
  </si>
  <si>
    <t>711400</t>
  </si>
  <si>
    <t>712100</t>
  </si>
  <si>
    <t>712200</t>
  </si>
  <si>
    <t>712400</t>
  </si>
  <si>
    <t>712600</t>
  </si>
  <si>
    <t>712800</t>
  </si>
  <si>
    <t>712900</t>
  </si>
  <si>
    <t>713000</t>
  </si>
  <si>
    <t>713100</t>
  </si>
  <si>
    <t>HRLY_SALES</t>
  </si>
  <si>
    <t>2023.TOTAL</t>
  </si>
  <si>
    <t>2014.DEC</t>
  </si>
  <si>
    <t>2022.TOTAL</t>
  </si>
  <si>
    <t>Expand All</t>
  </si>
  <si>
    <t>Actual</t>
  </si>
  <si>
    <t>GL History- Pre_Kimpton</t>
  </si>
  <si>
    <t>Budget</t>
  </si>
  <si>
    <t>Forecast</t>
  </si>
  <si>
    <t>Budget Proof</t>
  </si>
  <si>
    <t>JANUARY FORECAST</t>
  </si>
  <si>
    <t>FEBRUARY FORECAST</t>
  </si>
  <si>
    <t>MARCH FORECAST</t>
  </si>
  <si>
    <t>APRIL FORECAST</t>
  </si>
  <si>
    <t>MAY FORECAST</t>
  </si>
  <si>
    <t>JUNE FORECAST</t>
  </si>
  <si>
    <t>JULY FORECAST</t>
  </si>
  <si>
    <t>AUGUST FORECAST</t>
  </si>
  <si>
    <t>SEPTEMBER FORECAST</t>
  </si>
  <si>
    <t>OCTOBER FORECAST</t>
  </si>
  <si>
    <t>NOVEMBER FORECAST</t>
  </si>
  <si>
    <t>DECEMBER FORECAST</t>
  </si>
  <si>
    <t>Forecast Snapshot</t>
  </si>
  <si>
    <t>Scenario 1</t>
  </si>
  <si>
    <t>Scenario 2</t>
  </si>
  <si>
    <t>Scenario 3</t>
  </si>
  <si>
    <t>Scenario 4</t>
  </si>
  <si>
    <t>BU1334</t>
  </si>
  <si>
    <t>Financial Application</t>
  </si>
  <si>
    <t>Gross Operating Income</t>
  </si>
  <si>
    <t>Anglers Boutique Resorts LLC</t>
  </si>
  <si>
    <t>Consolidated Hotel &amp; F&amp;B Departments</t>
  </si>
  <si>
    <t>All Inter-company</t>
  </si>
  <si>
    <t>Year to Date</t>
  </si>
  <si>
    <t>Local Currency</t>
  </si>
  <si>
    <t>2023 TOTAL</t>
  </si>
  <si>
    <t>CY</t>
  </si>
  <si>
    <t>Evdre:Ok</t>
  </si>
  <si>
    <t>2023.JAN</t>
  </si>
  <si>
    <t>2023.FEB</t>
  </si>
  <si>
    <t>2023.MAR</t>
  </si>
  <si>
    <t>2023.APR</t>
  </si>
  <si>
    <t>2023.MAY</t>
  </si>
  <si>
    <t>2023.JUN</t>
  </si>
  <si>
    <t>2023.JUL</t>
  </si>
  <si>
    <t>2023.AUG</t>
  </si>
  <si>
    <t>2023.SEP</t>
  </si>
  <si>
    <t>2023.OCT</t>
  </si>
  <si>
    <t>2023.NOV</t>
  </si>
  <si>
    <t>Summary'!$B$2:$B$10</t>
  </si>
  <si>
    <t>Summary'!$N$16:$AH$18</t>
  </si>
  <si>
    <t>Summary'!$G$33:$H$88</t>
  </si>
  <si>
    <t>Total Revenue</t>
  </si>
  <si>
    <t>Summary'!$A$58:$B$79</t>
  </si>
  <si>
    <t>For the Period ended 2023 TOTAL</t>
  </si>
  <si>
    <t>2022 TOTAL</t>
  </si>
  <si>
    <t>2023 vs 2023</t>
  </si>
  <si>
    <t>2023 vs 2022</t>
  </si>
  <si>
    <t>N</t>
  </si>
  <si>
    <t>T2</t>
  </si>
  <si>
    <t>B1</t>
  </si>
  <si>
    <t>T3</t>
  </si>
  <si>
    <t>Summary'!$G$93:$H$105</t>
  </si>
  <si>
    <t>Available rooms</t>
  </si>
  <si>
    <t>Total Rooms Sold</t>
  </si>
  <si>
    <t>Total Occupancy</t>
  </si>
  <si>
    <t>Average Daily Rate</t>
  </si>
  <si>
    <t>Revenue Per Available Room</t>
  </si>
  <si>
    <t>Revenues</t>
  </si>
  <si>
    <t>Rooms</t>
  </si>
  <si>
    <t>Other Operated Departments</t>
  </si>
  <si>
    <t>Miscellaneous Income</t>
  </si>
  <si>
    <t>Departmental Expense</t>
  </si>
  <si>
    <t>Undistributed Expenses</t>
  </si>
  <si>
    <t>Administrative &amp; General</t>
  </si>
  <si>
    <t>Information &amp; Telecom Systems</t>
  </si>
  <si>
    <t>Sales &amp; Marketing</t>
  </si>
  <si>
    <t>Property Operation &amp; Maintenance</t>
  </si>
  <si>
    <t>Utilities</t>
  </si>
  <si>
    <t>Gross Operating Profit</t>
  </si>
  <si>
    <t>Management Fees</t>
  </si>
  <si>
    <t>Income Before Non-Operataing Inc. &amp; Exp.</t>
  </si>
  <si>
    <t>Non-Operating Income &amp; Expenses</t>
  </si>
  <si>
    <t xml:space="preserve">Income </t>
  </si>
  <si>
    <t>Rent</t>
  </si>
  <si>
    <t>Property &amp; Other Taxes</t>
  </si>
  <si>
    <t>Insurance</t>
  </si>
  <si>
    <t>Interest, Depreciation &amp; Amortization</t>
  </si>
  <si>
    <t>Total Interest Expense</t>
  </si>
  <si>
    <t>Depreciation</t>
  </si>
  <si>
    <t>Amortization</t>
  </si>
  <si>
    <t>Income Before Income Taxes</t>
  </si>
  <si>
    <t>Total Income Taxes</t>
  </si>
  <si>
    <t>Net Income</t>
  </si>
  <si>
    <t>FF&amp;E ProForma Calculation</t>
  </si>
  <si>
    <t>T1</t>
  </si>
  <si>
    <t>Total Other</t>
  </si>
  <si>
    <t>Net Income-Development &amp; Renovation Projects</t>
  </si>
  <si>
    <t>Departmental Expenses (Incl COS)</t>
  </si>
  <si>
    <t>Rooms'!$B$2:$B$10</t>
  </si>
  <si>
    <t>Rooms'!$O$16:$AN$18</t>
  </si>
  <si>
    <t>Rooms'!$H$35:$H$51</t>
  </si>
  <si>
    <t>Total Rooms Occupied</t>
  </si>
  <si>
    <t>Rooms'!$A$36:$F$41</t>
  </si>
  <si>
    <t>Rooms'!$A$89:$B$110</t>
  </si>
  <si>
    <t>Rooms Department</t>
  </si>
  <si>
    <t>Transient Rooms Revenue</t>
  </si>
  <si>
    <t>T5</t>
  </si>
  <si>
    <t>Retail</t>
  </si>
  <si>
    <t>Discount</t>
  </si>
  <si>
    <t>Negotiated</t>
  </si>
  <si>
    <t>Qualified</t>
  </si>
  <si>
    <t>Wholesale</t>
  </si>
  <si>
    <t>T4</t>
  </si>
  <si>
    <t>Total Transient Room Rev</t>
  </si>
  <si>
    <t>Group Rooms Revenue</t>
  </si>
  <si>
    <t>Corporate</t>
  </si>
  <si>
    <t>Association/Convention</t>
  </si>
  <si>
    <t>Government</t>
  </si>
  <si>
    <t>Tour/Wholesalers</t>
  </si>
  <si>
    <t>SMERF</t>
  </si>
  <si>
    <t>Total Group Room Rev</t>
  </si>
  <si>
    <t>Contract Rooms Revenue</t>
  </si>
  <si>
    <t>Other Rooms Revenue</t>
  </si>
  <si>
    <t>Rooms: Allowances</t>
  </si>
  <si>
    <t>Total Rooms Revenue</t>
  </si>
  <si>
    <t>Rooms'!$H$55:$H$56,'Rooms'!$H$58:$H$68,'Rooms'!$H$71:$H$93</t>
  </si>
  <si>
    <t>Rooms'!$A$66:$F$72</t>
  </si>
  <si>
    <t>Labor &amp; Related Expenses</t>
  </si>
  <si>
    <t>Salaries &amp; Wages</t>
  </si>
  <si>
    <t>Management</t>
  </si>
  <si>
    <t>Non-Management</t>
  </si>
  <si>
    <t>Front Office</t>
  </si>
  <si>
    <t>Housekeeping</t>
  </si>
  <si>
    <t>Total Salaries and Wages</t>
  </si>
  <si>
    <t>Contracted &amp; Leased Labor</t>
  </si>
  <si>
    <t>Bonuses &amp; Incentives</t>
  </si>
  <si>
    <t>Total Labor Expense</t>
  </si>
  <si>
    <t>Total Payroll Related</t>
  </si>
  <si>
    <t>Total Labor &amp; Related Exp</t>
  </si>
  <si>
    <t>Rooms'!$H$94:$H$97</t>
  </si>
  <si>
    <t>Other Expenses</t>
  </si>
  <si>
    <t>Printing &amp; Stationery</t>
  </si>
  <si>
    <t>Operating Supplies</t>
  </si>
  <si>
    <t>Cleaning Supplies</t>
  </si>
  <si>
    <t>Guest Supplies</t>
  </si>
  <si>
    <t>Decorations</t>
  </si>
  <si>
    <t>Laundry &amp; Dry Cleaning</t>
  </si>
  <si>
    <t>Contract Services</t>
  </si>
  <si>
    <t>Travel - Other</t>
  </si>
  <si>
    <t>Travel - Meals &amp; Entertainment</t>
  </si>
  <si>
    <t>Complimentary Food &amp; Beverage</t>
  </si>
  <si>
    <t>Complimentary Services &amp; Gifts</t>
  </si>
  <si>
    <t>Training</t>
  </si>
  <si>
    <t>Uniform Costs</t>
  </si>
  <si>
    <t>Uniforms Laundry</t>
  </si>
  <si>
    <t>Linen</t>
  </si>
  <si>
    <t>Complimentary In Room Media Ent.</t>
  </si>
  <si>
    <t>Commissions</t>
  </si>
  <si>
    <t>Commissions &amp; Fees - Group</t>
  </si>
  <si>
    <t>Guest Relocation</t>
  </si>
  <si>
    <t>Guest Transportation</t>
  </si>
  <si>
    <t>Licenses &amp; Permits</t>
  </si>
  <si>
    <t>Corporate Office Reimbursement</t>
  </si>
  <si>
    <t>Total Reservations Fees &amp; Other Exp</t>
  </si>
  <si>
    <t>Total Operations Expense</t>
  </si>
  <si>
    <t>Total Expenses</t>
  </si>
  <si>
    <t>Department Profit (Loss)</t>
  </si>
  <si>
    <t>MMA'!$B$2:$B$10</t>
  </si>
  <si>
    <t>MMA'!$O$16:$AI$18</t>
  </si>
  <si>
    <t>MMA'!$H$34:$H$69,'MMA'!$H$72:$H$116,'MMA'!$H$119:$H$152</t>
  </si>
  <si>
    <t>MMA'!$A$28:$B$49</t>
  </si>
  <si>
    <t>T6</t>
  </si>
  <si>
    <t>Room Only</t>
  </si>
  <si>
    <t>Retail Web</t>
  </si>
  <si>
    <t>Package</t>
  </si>
  <si>
    <t>OTA Opaque</t>
  </si>
  <si>
    <t>Brand/Media Promotions</t>
  </si>
  <si>
    <t>Advance Purchases</t>
  </si>
  <si>
    <t>Local Discounts</t>
  </si>
  <si>
    <t>Package &amp; Promo (Legacy)</t>
  </si>
  <si>
    <t>Consortia</t>
  </si>
  <si>
    <t>National Negotiated</t>
  </si>
  <si>
    <t>Local Negotiated</t>
  </si>
  <si>
    <t>Entertainment/Sports</t>
  </si>
  <si>
    <t>Association</t>
  </si>
  <si>
    <t>Convention</t>
  </si>
  <si>
    <t>Tour/Wholesale</t>
  </si>
  <si>
    <t>MICE</t>
  </si>
  <si>
    <t>Contract</t>
  </si>
  <si>
    <t>Rooms Statistics</t>
  </si>
  <si>
    <t>Total Transient Rooms Occupied</t>
  </si>
  <si>
    <t>Entertainment/ Sports</t>
  </si>
  <si>
    <t>Association/ Convention</t>
  </si>
  <si>
    <t>Tour/ Wholesalers</t>
  </si>
  <si>
    <t>Tour/ Wholesale</t>
  </si>
  <si>
    <t>Total Group Rooms Occupied</t>
  </si>
  <si>
    <t>Comp Rooms</t>
  </si>
  <si>
    <t>Seasonally Closed Rooms</t>
  </si>
  <si>
    <t>Extended Closed Rooms</t>
  </si>
  <si>
    <t>Rooms for Permanent House Use</t>
  </si>
  <si>
    <t>Number of Arrivals</t>
  </si>
  <si>
    <t>Rooms Cleaned</t>
  </si>
  <si>
    <t>KIT Rooms Occupied</t>
  </si>
  <si>
    <t>Number of Guests</t>
  </si>
  <si>
    <t>ADR &amp; OCC% Calculations</t>
  </si>
  <si>
    <t>Total Transient ADR</t>
  </si>
  <si>
    <t>Total Group ADR</t>
  </si>
  <si>
    <t>D1122</t>
  </si>
  <si>
    <t>Reservations</t>
  </si>
  <si>
    <t>Resv'!$B$2:$B$10</t>
  </si>
  <si>
    <t>Resv'!$O$16:$AN$18</t>
  </si>
  <si>
    <t>Resv'!$H$34:$H$45</t>
  </si>
  <si>
    <t>Total # of Net Reservation Taken</t>
  </si>
  <si>
    <t>Number of Rooms on Property</t>
  </si>
  <si>
    <t>Resv'!$A$36:$F$41</t>
  </si>
  <si>
    <t>Resv'!$A$87:$B$108</t>
  </si>
  <si>
    <t>Reservations Department</t>
  </si>
  <si>
    <t>Reservations Expenses</t>
  </si>
  <si>
    <t>CRS Call Fee</t>
  </si>
  <si>
    <t>Net Booking Fee</t>
  </si>
  <si>
    <t>Net Booking Fee - Rooming List</t>
  </si>
  <si>
    <t>Res Cost - Kimpton Fees</t>
  </si>
  <si>
    <t>Res Cost - GDS Fees</t>
  </si>
  <si>
    <t>Res Cost - Hotel Website</t>
  </si>
  <si>
    <t>E-Channel Fees</t>
  </si>
  <si>
    <t>Total Reservations Fees</t>
  </si>
  <si>
    <t xml:space="preserve">Total Telephone Cost    </t>
  </si>
  <si>
    <t>Other Reservations Expenses</t>
  </si>
  <si>
    <t>Total Other Reservation Expenses</t>
  </si>
  <si>
    <t>Resv'!$H$47:$H$51</t>
  </si>
  <si>
    <t>Reservations Statistics</t>
  </si>
  <si>
    <t># of CRS Calls Answered</t>
  </si>
  <si>
    <t>Total # of Resv. Taken at Hotel</t>
  </si>
  <si>
    <t># of Resv. Taken at CRO</t>
  </si>
  <si>
    <t># of GDS Reservations</t>
  </si>
  <si>
    <t># of Hotel Website Reservations Processed</t>
  </si>
  <si>
    <t># of E-Channel Reservations</t>
  </si>
  <si>
    <t>Resv'!$O$16:$AI$18</t>
  </si>
  <si>
    <t>Resv'!$H$54:$H$61</t>
  </si>
  <si>
    <t>Resv'!$A$79:$F$83</t>
  </si>
  <si>
    <t>D_FB</t>
  </si>
  <si>
    <t>FB_Cons'!$B$2:$B$10</t>
  </si>
  <si>
    <t>FB_Cons'!$O$16:$AN$18</t>
  </si>
  <si>
    <t>FB_Cons'!$G$35:$H$56</t>
  </si>
  <si>
    <t>Total Customers</t>
  </si>
  <si>
    <t>FB_Cons'!$A$114:$B$135</t>
  </si>
  <si>
    <t>Food &amp; Beverage Department</t>
  </si>
  <si>
    <t>FB_Cons'!$H$60:$H$68</t>
  </si>
  <si>
    <t>FB_Cons'!$A$58:$F$66</t>
  </si>
  <si>
    <t>Food Revenue</t>
  </si>
  <si>
    <t>Venues  Food Rev</t>
  </si>
  <si>
    <t>In Room Dining Food Rev</t>
  </si>
  <si>
    <t>Banquet-Catering &amp; CS Food Rev</t>
  </si>
  <si>
    <t>Mini Bar Food Rev</t>
  </si>
  <si>
    <t>Total Food Revenue</t>
  </si>
  <si>
    <t>Beverage Revenue</t>
  </si>
  <si>
    <t>Venues  Beverage Rev</t>
  </si>
  <si>
    <t>In Room Dining Beverage Rev</t>
  </si>
  <si>
    <t>Banquet-Catering &amp; CS Beverage Rev</t>
  </si>
  <si>
    <t>Mini Bar Beverage Rev</t>
  </si>
  <si>
    <t>Total Beverage Revenue</t>
  </si>
  <si>
    <t>Food &amp; Beverage: Allowances</t>
  </si>
  <si>
    <t>Total Food &amp; Beverage Revenue</t>
  </si>
  <si>
    <t>Other Revenue</t>
  </si>
  <si>
    <t>Audio/Visual Rentals</t>
  </si>
  <si>
    <t>Public Room Rental</t>
  </si>
  <si>
    <t>Cover Charge</t>
  </si>
  <si>
    <t>Surcharges &amp; Services Charges</t>
  </si>
  <si>
    <t>Miscellaneous Other Revenue</t>
  </si>
  <si>
    <t>Total Other Revenue</t>
  </si>
  <si>
    <t>Other Revenue: Allowances</t>
  </si>
  <si>
    <t>Cost of Sales</t>
  </si>
  <si>
    <t>Cost of Food &amp; Beverage Sales</t>
  </si>
  <si>
    <t>Cost of Food Sales</t>
  </si>
  <si>
    <t>Cost of Beverage Sales</t>
  </si>
  <si>
    <t>Total Cost of Food &amp; Beverage Sales</t>
  </si>
  <si>
    <t>Cost of Other Revenue</t>
  </si>
  <si>
    <t>A/V Cost of Sales</t>
  </si>
  <si>
    <t>Miscellaneous Cost</t>
  </si>
  <si>
    <t>Total Cost of Other Revenue</t>
  </si>
  <si>
    <t>Total Cost of Sales</t>
  </si>
  <si>
    <t>Gross Profit</t>
  </si>
  <si>
    <t>FB_Cons'!$H$74:$H$75,'FB_Cons'!$H$77:$H$89,'FB_Cons'!$H$92:$H$118</t>
  </si>
  <si>
    <t>Management - F&amp;B Service</t>
  </si>
  <si>
    <t>Management - F&amp;B Kitchen</t>
  </si>
  <si>
    <t>Banquet &amp; Conf/Catering Service</t>
  </si>
  <si>
    <t>Service Charge Distribution</t>
  </si>
  <si>
    <t>FB_Cons'!$A$91:$F$97</t>
  </si>
  <si>
    <t>FB_Cons'!$H$119:$H$122</t>
  </si>
  <si>
    <t>Dues and Subscriptions</t>
  </si>
  <si>
    <t>Postage and Overnight Delivery</t>
  </si>
  <si>
    <t>Dishwashing Supplies</t>
  </si>
  <si>
    <t>Kitchen Smallwares</t>
  </si>
  <si>
    <t>Banquet Expense</t>
  </si>
  <si>
    <t>Paper and Plastics</t>
  </si>
  <si>
    <t>China</t>
  </si>
  <si>
    <t>Glassware</t>
  </si>
  <si>
    <t>Utensils</t>
  </si>
  <si>
    <t>Menus and Beverage Lists</t>
  </si>
  <si>
    <t>Equipment Rental</t>
  </si>
  <si>
    <t>Music and Entertainment</t>
  </si>
  <si>
    <t>Miscellaneous</t>
  </si>
  <si>
    <t>FB_KPI'!$B$2:$B$10</t>
  </si>
  <si>
    <t>FB_KPI'!$O$16:$AI$18</t>
  </si>
  <si>
    <t>FB_KPI'!$H$35:$H$175</t>
  </si>
  <si>
    <t>FB_KPI'!$A$37:$B$58</t>
  </si>
  <si>
    <t>Breakfast Food</t>
  </si>
  <si>
    <t>Breakfast Liquor</t>
  </si>
  <si>
    <t>Breakfast Beer</t>
  </si>
  <si>
    <t>Breakfast Wine</t>
  </si>
  <si>
    <t>Breakfast Revenue</t>
  </si>
  <si>
    <t>Breakfast Customers</t>
  </si>
  <si>
    <t>Breakfast - Average Check</t>
  </si>
  <si>
    <t>Lunch Food</t>
  </si>
  <si>
    <t>Lunch Liquor</t>
  </si>
  <si>
    <t>Lunch Beer</t>
  </si>
  <si>
    <t>Lunch Wine</t>
  </si>
  <si>
    <t>Lunch Revenue</t>
  </si>
  <si>
    <t>Lunch Customers</t>
  </si>
  <si>
    <t>Lunch - Average Check</t>
  </si>
  <si>
    <t>Dinner Food</t>
  </si>
  <si>
    <t>Dinner Liquor</t>
  </si>
  <si>
    <t>Dinner Beer</t>
  </si>
  <si>
    <t>Dinner Wine</t>
  </si>
  <si>
    <t>Dinner Revenue</t>
  </si>
  <si>
    <t>Dinner Customers</t>
  </si>
  <si>
    <t>Dinner - Average Check</t>
  </si>
  <si>
    <t>Bar Food</t>
  </si>
  <si>
    <t>Bar Liquor</t>
  </si>
  <si>
    <t>Bar Beer</t>
  </si>
  <si>
    <t>Bar Wine</t>
  </si>
  <si>
    <t>Bar Revenue</t>
  </si>
  <si>
    <t>Bar Customers</t>
  </si>
  <si>
    <t>Bar- Average Check</t>
  </si>
  <si>
    <t>Private Dining Food</t>
  </si>
  <si>
    <t>Private Dining Liquor</t>
  </si>
  <si>
    <t>Private Dining Beer</t>
  </si>
  <si>
    <t>Private Dining Wine</t>
  </si>
  <si>
    <t>Private Dining Revenue</t>
  </si>
  <si>
    <t>Private Dining Customers</t>
  </si>
  <si>
    <t>Private Dining - Average Check</t>
  </si>
  <si>
    <t>Reception Food</t>
  </si>
  <si>
    <t>NA</t>
  </si>
  <si>
    <t>Reception Liquor</t>
  </si>
  <si>
    <t>Reception Beer</t>
  </si>
  <si>
    <t>Reception Wine</t>
  </si>
  <si>
    <t>Reception Revenue</t>
  </si>
  <si>
    <t>Reception Customers</t>
  </si>
  <si>
    <t>Reception Average Check</t>
  </si>
  <si>
    <t>Break Food</t>
  </si>
  <si>
    <t>Break Revenue</t>
  </si>
  <si>
    <t>Break Customers</t>
  </si>
  <si>
    <t>Break Average Check</t>
  </si>
  <si>
    <t>Mini Bar Food</t>
  </si>
  <si>
    <t>Mini Bar Beverage</t>
  </si>
  <si>
    <t>Mini Bar F&amp;B Revenue</t>
  </si>
  <si>
    <t># of Seats in Outlet</t>
  </si>
  <si>
    <t>Total Customers (excl Mini Bar)</t>
  </si>
  <si>
    <t>Total Average Check (excl Mini Bar)</t>
  </si>
  <si>
    <t>F&amp;B Kitchen - THW</t>
  </si>
  <si>
    <t>F&amp;B Venues - THW</t>
  </si>
  <si>
    <t xml:space="preserve">Liquor Revenue </t>
  </si>
  <si>
    <t>Beer Revenue</t>
  </si>
  <si>
    <t>Wine Revenue</t>
  </si>
  <si>
    <t>Breakfast  Beverage Revenue</t>
  </si>
  <si>
    <t>Lunch Beverage Revenue</t>
  </si>
  <si>
    <t>Dinner Beverage Revenue</t>
  </si>
  <si>
    <t>Bar Beverage Revenue</t>
  </si>
  <si>
    <t>Private Dining Beverage Revenue</t>
  </si>
  <si>
    <t>Food Cost %</t>
  </si>
  <si>
    <t>Cost of Food (Excl Minibar)</t>
  </si>
  <si>
    <t>Cost of Food % (Excl Minibar)</t>
  </si>
  <si>
    <t>Mini Bar Cost of Food</t>
  </si>
  <si>
    <t>Minibar Food Cost %</t>
  </si>
  <si>
    <t>Beverage Cost %</t>
  </si>
  <si>
    <t>Liquor Cost of Sales</t>
  </si>
  <si>
    <t>Liquor Cost %</t>
  </si>
  <si>
    <t>Beer Cost of Sales</t>
  </si>
  <si>
    <t>Beer Cost %</t>
  </si>
  <si>
    <t>Wine Cost of Sales</t>
  </si>
  <si>
    <t>Wine Cost %</t>
  </si>
  <si>
    <t>Mini Bar Cost of Beverage</t>
  </si>
  <si>
    <t>Seawell Restaurant</t>
  </si>
  <si>
    <t>D_VENUES</t>
  </si>
  <si>
    <t>Venue 1</t>
  </si>
  <si>
    <t>Venue1'!$B$2:$B$10</t>
  </si>
  <si>
    <t>Venue1'!$O$16:$AN$18</t>
  </si>
  <si>
    <t>Venue1'!$H$35:$H$58</t>
  </si>
  <si>
    <t>Venue1'!$A$36:$F$44</t>
  </si>
  <si>
    <t>Venue1'!$A$125:$B$146</t>
  </si>
  <si>
    <t>Venue1'!$H$62:$H$70</t>
  </si>
  <si>
    <t>Venue1'!$A$69:$F$77</t>
  </si>
  <si>
    <t>Venue1'!$H$76:$H$77,'Venue1'!$H$79:$H$90,'Venue1'!$H$93:$H$118</t>
  </si>
  <si>
    <t>Venue1'!$A$102:$F$108</t>
  </si>
  <si>
    <t>Venue1'!$H$119:$H$122</t>
  </si>
  <si>
    <t>Venue1_KPI'!$B$2:$B$10</t>
  </si>
  <si>
    <t>Venue1_KPI'!$O$16:$AI$18</t>
  </si>
  <si>
    <t>Venue1_KPI'!$H$35:$H$146</t>
  </si>
  <si>
    <t>Venue1_KPI'!$A$37:$B$58</t>
  </si>
  <si>
    <t># of Operating Days - Breakfast</t>
  </si>
  <si>
    <t># of Operating Days - Lunch</t>
  </si>
  <si>
    <t># of Operating Days - Dinner</t>
  </si>
  <si>
    <t># of Operating Days - Bar</t>
  </si>
  <si>
    <t>Total Average Check</t>
  </si>
  <si>
    <t>Pool Bar</t>
  </si>
  <si>
    <t>Venue 2</t>
  </si>
  <si>
    <t>Venue2'!$B$2:$B$10</t>
  </si>
  <si>
    <t>Venue2'!$O$16:$AN$18</t>
  </si>
  <si>
    <t>Venue2'!$H$35:$H$58</t>
  </si>
  <si>
    <t>Venue2'!$A$36:$F$44</t>
  </si>
  <si>
    <t>Venue2'!$A$125:$B$146</t>
  </si>
  <si>
    <t>Venue2'!$H$62:$H$70</t>
  </si>
  <si>
    <t>Venue2'!$A$69:$F$77</t>
  </si>
  <si>
    <t>Venue2'!$H$76:$H$77,'Venue2'!$H$79:$H$85,'Venue2'!$H$88:$H$95</t>
  </si>
  <si>
    <t>Venue2'!$A$102:$F$108</t>
  </si>
  <si>
    <t>Venue2'!$H$96:$H$99</t>
  </si>
  <si>
    <t>Venue2_KPI'!$B$2:$B$10</t>
  </si>
  <si>
    <t>Venue2_KPI'!$O$16:$AI$18</t>
  </si>
  <si>
    <t>Venue2_KPI'!$H$35:$H$146</t>
  </si>
  <si>
    <t>Venue2_KPI'!$A$37:$B$58</t>
  </si>
  <si>
    <t>Venue 3</t>
  </si>
  <si>
    <t>Venue3'!$B$2:$B$10</t>
  </si>
  <si>
    <t>Venue3'!$O$16:$AN$18</t>
  </si>
  <si>
    <t>Venue3'!$H$35:$H$58</t>
  </si>
  <si>
    <t>Venue3'!$A$36:$F$44</t>
  </si>
  <si>
    <t>Venue3'!$A$125:$B$146</t>
  </si>
  <si>
    <t>Venue 3 Department</t>
  </si>
  <si>
    <t>Venue3'!$H$62:$H$70</t>
  </si>
  <si>
    <t>Venue3'!$A$69:$F$77</t>
  </si>
  <si>
    <t>Venue3'!$H$76:$H$77,'Venue3'!$H$79:$H$80,'Venue3'!$H$83:$H$84</t>
  </si>
  <si>
    <t>Venue3'!$A$102:$F$108</t>
  </si>
  <si>
    <t>Venue3'!$H$85:$H$88</t>
  </si>
  <si>
    <t>Venue3_KPI'!$B$2:$B$10</t>
  </si>
  <si>
    <t>Venue3_KPI'!$O$16:$AI$18</t>
  </si>
  <si>
    <t>Venue3_KPI'!$H$35:$H$146</t>
  </si>
  <si>
    <t>Venue3_KPI'!$A$37:$B$58</t>
  </si>
  <si>
    <t>Venue 4</t>
  </si>
  <si>
    <t>Venue4'!$B$2:$B$10</t>
  </si>
  <si>
    <t>Venue4'!$O$16:$AN$18</t>
  </si>
  <si>
    <t>Venue4'!$H$35:$H$58</t>
  </si>
  <si>
    <t>Venue4'!$A$36:$F$44</t>
  </si>
  <si>
    <t>Venue4'!$A$125:$B$146</t>
  </si>
  <si>
    <t>Venue 4 Department</t>
  </si>
  <si>
    <t>Venue4'!$H$62:$H$70</t>
  </si>
  <si>
    <t>Venue4'!$A$69:$F$77</t>
  </si>
  <si>
    <t>Venue4'!$H$76:$H$77,'Venue4'!$H$79:$H$80,'Venue4'!$H$83:$H$84</t>
  </si>
  <si>
    <t>Venue4'!$A$102:$F$108</t>
  </si>
  <si>
    <t>Venue4'!$H$85:$H$88</t>
  </si>
  <si>
    <t>Venue4_KPI'!$B$2:$B$10</t>
  </si>
  <si>
    <t>Venue4_KPI'!$O$16:$AI$18</t>
  </si>
  <si>
    <t>Venue4_KPI'!$H$35:$H$146</t>
  </si>
  <si>
    <t>Venue4_KPI'!$A$37:$B$58</t>
  </si>
  <si>
    <t>Venue 5</t>
  </si>
  <si>
    <t>Venue5'!$B$2:$B$10</t>
  </si>
  <si>
    <t>Venue5'!$O$16:$AN$18</t>
  </si>
  <si>
    <t>Venue5'!$H$35:$H$58</t>
  </si>
  <si>
    <t>Venue5'!$A$36:$F$44</t>
  </si>
  <si>
    <t>Venue5'!$A$125:$B$146</t>
  </si>
  <si>
    <t>Venue 5 Department</t>
  </si>
  <si>
    <t>Venue5'!$H$62:$H$70</t>
  </si>
  <si>
    <t>Venue5'!$A$69:$F$77</t>
  </si>
  <si>
    <t>Venue5'!$H$76:$H$77,'Venue5'!$H$79:$H$80,'Venue5'!$H$83:$H$84</t>
  </si>
  <si>
    <t>Venue5'!$A$102:$F$108</t>
  </si>
  <si>
    <t>Venue5'!$H$85:$H$88</t>
  </si>
  <si>
    <t>Venue5_KPI'!$B$2:$B$10</t>
  </si>
  <si>
    <t>Venue5_KPI'!$O$16:$AI$18</t>
  </si>
  <si>
    <t>Venue5_KPI'!$H$35:$H$146</t>
  </si>
  <si>
    <t>Venue5_KPI'!$A$37:$B$58</t>
  </si>
  <si>
    <t>Venue 6</t>
  </si>
  <si>
    <t>Venue6'!$B$2:$B$10</t>
  </si>
  <si>
    <t>Venue6'!$O$16:$AN$18</t>
  </si>
  <si>
    <t>Venue6'!$H$35:$H$58</t>
  </si>
  <si>
    <t>Venue6'!$A$36:$F$44</t>
  </si>
  <si>
    <t>Venue6'!$A$125:$B$146</t>
  </si>
  <si>
    <t>Venue 6 Department</t>
  </si>
  <si>
    <t>Venue6'!$H$62:$H$70</t>
  </si>
  <si>
    <t>Venue6'!$A$69:$F$77</t>
  </si>
  <si>
    <t>Venue6'!$H$76:$H$77,'Venue6'!$H$79:$H$80,'Venue6'!$H$83:$H$84</t>
  </si>
  <si>
    <t>Venue6'!$A$102:$F$108</t>
  </si>
  <si>
    <t>Venue6'!$H$85:$H$88</t>
  </si>
  <si>
    <t>Venue6_KPI'!$B$2:$B$10</t>
  </si>
  <si>
    <t>Venue6_KPI'!$O$16:$AI$18</t>
  </si>
  <si>
    <t>Venue6_KPI'!$H$35:$H$146</t>
  </si>
  <si>
    <t>Venue6_KPI'!$A$37:$B$58</t>
  </si>
  <si>
    <t>Minnow Bar</t>
  </si>
  <si>
    <t>Venue (Bar)</t>
  </si>
  <si>
    <t>VenueBar'!$B$2:$B$10</t>
  </si>
  <si>
    <t>VenueBar'!$O$16:$AN$18</t>
  </si>
  <si>
    <t>VenueBar'!$H$35:$H$58</t>
  </si>
  <si>
    <t>VenueBar'!$A$36:$F$44</t>
  </si>
  <si>
    <t>VenueBar'!$A$125:$B$146</t>
  </si>
  <si>
    <t>VenueBar'!$H$62:$H$70</t>
  </si>
  <si>
    <t>VenueBar'!$A$69:$F$77</t>
  </si>
  <si>
    <t>VenueBar'!$H$76:$H$77,'VenueBar'!$H$79:$H$87,'VenueBar'!$H$90:$H$101</t>
  </si>
  <si>
    <t>VenueBar'!$A$102:$F$108</t>
  </si>
  <si>
    <t>VenueBar'!$H$102:$H$105</t>
  </si>
  <si>
    <t>VenueBar_KPI'!$B$2:$B$10</t>
  </si>
  <si>
    <t>VenueBar_KPI'!$O$16:$AI$18</t>
  </si>
  <si>
    <t>VenueBar_KPI'!$H$35:$H$146</t>
  </si>
  <si>
    <t>VenueBar_KPI'!$A$37:$B$58</t>
  </si>
  <si>
    <t>D2147</t>
  </si>
  <si>
    <t>In Room Dining</t>
  </si>
  <si>
    <t>IRD'!$B$2:$B$10</t>
  </si>
  <si>
    <t>IRD'!$O$16:$AN$18</t>
  </si>
  <si>
    <t>IRD'!$H$35:$H$51</t>
  </si>
  <si>
    <t>IRD'!$A$36:$F$44</t>
  </si>
  <si>
    <t>IRD'!$A$125:$B$146</t>
  </si>
  <si>
    <t>In Room Dining Department</t>
  </si>
  <si>
    <t>IRD'!$H$55:$H$61</t>
  </si>
  <si>
    <t>IRD'!$A$69:$F$77</t>
  </si>
  <si>
    <t>IRD'!$H$67:$H$68,'IRD'!$H$70:$H$71,'IRD'!$H$74:$H$75</t>
  </si>
  <si>
    <t>IRD'!$A$102:$F$108</t>
  </si>
  <si>
    <t>IRD'!$H$76:$H$79</t>
  </si>
  <si>
    <t>IRD_KPI'!$B$2:$B$10</t>
  </si>
  <si>
    <t>IRD_KPI'!$O$16:$AI$18</t>
  </si>
  <si>
    <t>IRD_KPI'!$H$35:$H$146</t>
  </si>
  <si>
    <t>IRD_KPI'!$A$37:$B$58</t>
  </si>
  <si>
    <t>D2148</t>
  </si>
  <si>
    <t>Banquet-Catering &amp; CS</t>
  </si>
  <si>
    <t>BCC_CONS'!$B$2:$B$10</t>
  </si>
  <si>
    <t>BCC_CONS'!$O$16:$AN$18</t>
  </si>
  <si>
    <t>BCC_CONS'!$H$35:$H$56</t>
  </si>
  <si>
    <t>BCC_CONS'!$A$36:$F$44</t>
  </si>
  <si>
    <t>BCC_CONS'!$A$125:$B$130</t>
  </si>
  <si>
    <t>Banquet-Catering &amp; CS Department</t>
  </si>
  <si>
    <t>Reception Beverage Revenue</t>
  </si>
  <si>
    <t>BCC_CONS'!$H$60:$H$68</t>
  </si>
  <si>
    <t>BCC_CONS'!$A$69:$F$77</t>
  </si>
  <si>
    <t>BCC_CONS'!$H$74:$H$75,'BCC_CONS'!$H$77:$H$86,'BCC_CONS'!$H$89:$H$96</t>
  </si>
  <si>
    <t>BCC_CONS'!$A$102:$F$108</t>
  </si>
  <si>
    <t>BCC_CONS'!$H$97:$H$100</t>
  </si>
  <si>
    <t>BCC_CONS_KPI'!$B$2:$B$10</t>
  </si>
  <si>
    <t>BCC_CONS_KPI'!$O$16:$AI$18</t>
  </si>
  <si>
    <t>BCC_CONS_KPI'!$H$35:$H$142</t>
  </si>
  <si>
    <t>BCC_CONS_KPI'!$A$37:$B$58</t>
  </si>
  <si>
    <t>Banquet Space Square Footage</t>
  </si>
  <si>
    <t>Revenue per Square Foot</t>
  </si>
  <si>
    <t>Banquet &amp; Conf/Catering Service - THW</t>
  </si>
  <si>
    <t>Banquet CS Group</t>
  </si>
  <si>
    <t>BCC_Group'!$B$2:$B$10</t>
  </si>
  <si>
    <t>BCC_Group'!$O$16:$AN$18</t>
  </si>
  <si>
    <t>BCC_Group'!$H$35:$H$56</t>
  </si>
  <si>
    <t>BCC_Group'!$A$36:$F$44</t>
  </si>
  <si>
    <t>BCC_Group'!$A$125:$B$146</t>
  </si>
  <si>
    <t>Banquet CS Group Department</t>
  </si>
  <si>
    <t>BCC_Group'!$A$69:$F$77</t>
  </si>
  <si>
    <t>BCC_Group'!$A$102:$F$108</t>
  </si>
  <si>
    <t>BCC_KPI_Group'!$B$2:$B$10</t>
  </si>
  <si>
    <t>BCC_KPI_Group'!$O$16:$AI$18</t>
  </si>
  <si>
    <t>BCC_KPI_Group'!$H$35:$H$112</t>
  </si>
  <si>
    <t>BCC_KPI_Group'!$A$37:$B$58</t>
  </si>
  <si>
    <t>Banquet CS Local</t>
  </si>
  <si>
    <t>BCC_Local'!$B$2:$B$10</t>
  </si>
  <si>
    <t>BCC_Local'!$O$16:$AN$18</t>
  </si>
  <si>
    <t>BCC_Local'!$H$35:$H$56</t>
  </si>
  <si>
    <t>BCC_Local'!$A$36:$F$44</t>
  </si>
  <si>
    <t>BCC_Local'!$A$125:$B$146</t>
  </si>
  <si>
    <t>Banquet CS Local Department</t>
  </si>
  <si>
    <t>BCC_Local'!$A$69:$F$77</t>
  </si>
  <si>
    <t>BCC_Local'!$A$102:$F$108</t>
  </si>
  <si>
    <t>BCC_KPI_Local'!$B$2:$B$10</t>
  </si>
  <si>
    <t>BCC_KPI_Local'!$O$16:$AI$18</t>
  </si>
  <si>
    <t>BCC_KPI_Local'!$H$35:$H$118</t>
  </si>
  <si>
    <t>BCC_KPI_Local'!$A$37:$B$58</t>
  </si>
  <si>
    <t>Mini_Bar'!$B$2:$B$10</t>
  </si>
  <si>
    <t>Mini_Bar'!$O$16:$AN$18</t>
  </si>
  <si>
    <t>Mini_Bar'!$H$35:$H$41</t>
  </si>
  <si>
    <t>Mini_Bar'!$A$36:$F$43</t>
  </si>
  <si>
    <t>Mini_Bar'!$A$123:$B$144</t>
  </si>
  <si>
    <t>Mini Bar Department</t>
  </si>
  <si>
    <t>Mini Bar Merchandise</t>
  </si>
  <si>
    <t>Mini Bar Cost of Merchandise</t>
  </si>
  <si>
    <t>Mini_Bar'!$H$45:$H$49</t>
  </si>
  <si>
    <t>Mini_Bar'!$A$68:$F$75</t>
  </si>
  <si>
    <t>Mini_Bar'!$H$55:$H$56,'Mini_Bar'!$H$58:$H$59,'Mini_Bar'!$H$62:$H$63</t>
  </si>
  <si>
    <t>Mini_Bar'!$A$100:$F$106</t>
  </si>
  <si>
    <t>Mini_Bar'!$H$64:$H$67</t>
  </si>
  <si>
    <t>OTH_OP'!$B$2:$B$10</t>
  </si>
  <si>
    <t>OTH_OP'!$N$16:$AM$18</t>
  </si>
  <si>
    <t>OTH_OP'!$G$34:$H$39,'OTH_OP'!$G$43:$H$48,'OTH_OP'!$G$52:$H$57</t>
  </si>
  <si>
    <t>OTH_OP'!$A$36:$F$38</t>
  </si>
  <si>
    <t>OTH_OP'!$A$44:$B$65</t>
  </si>
  <si>
    <t>Guest Communications</t>
  </si>
  <si>
    <t>Health Club/Spa</t>
  </si>
  <si>
    <t>Parking</t>
  </si>
  <si>
    <t>Retail Shop</t>
  </si>
  <si>
    <t>Food &amp; Beverage Retail Shop</t>
  </si>
  <si>
    <t>Minor Operated Departments</t>
  </si>
  <si>
    <t>D1131</t>
  </si>
  <si>
    <t>Telcom_Legacy'!$B$2:$B$10</t>
  </si>
  <si>
    <t>Telcom_Legacy'!$O$16:$AI$18</t>
  </si>
  <si>
    <t>Telcom_Legacy'!$H$34:$H$39</t>
  </si>
  <si>
    <t>Telcom_Legacy'!$A$36:$F$40</t>
  </si>
  <si>
    <t>Telcom_Legacy'!$A$117:$B$138</t>
  </si>
  <si>
    <t>Guest Communications Department</t>
  </si>
  <si>
    <t>Local Call Revenue</t>
  </si>
  <si>
    <t>Long Distance Revenue</t>
  </si>
  <si>
    <t>Internet Revenue</t>
  </si>
  <si>
    <t>Guest Comm: Allowances</t>
  </si>
  <si>
    <t>Cost of Local Calls</t>
  </si>
  <si>
    <t>Cost of Long Distance Calls</t>
  </si>
  <si>
    <t>Cost of Internet Service</t>
  </si>
  <si>
    <t>Other Cost of Sales</t>
  </si>
  <si>
    <t>Telcom_Legacy'!$H$42:$H$46</t>
  </si>
  <si>
    <t>Telcom_Legacy'!$A$65:$F$69</t>
  </si>
  <si>
    <t>Telcom_Legacy'!$H$52:$H$53,'Telcom_Legacy'!$H$55:$H$56,'Telcom_Legacy'!$H$59:$H$60</t>
  </si>
  <si>
    <t>Telcom_Legacy'!$A$94:$F$100</t>
  </si>
  <si>
    <t>Telcom_Legacy'!$H$61:$H$64</t>
  </si>
  <si>
    <t>HC_SPA'!$B$2:$B$10</t>
  </si>
  <si>
    <t>HC_SPA'!$O$16:$AN$18</t>
  </si>
  <si>
    <t>HC_SPA'!$H$34:$H$44</t>
  </si>
  <si>
    <t>HC_SPA'!$A$36:$F$40</t>
  </si>
  <si>
    <t>HC_SPA'!$A$116:$B$137</t>
  </si>
  <si>
    <t>Health Club/Spa Department</t>
  </si>
  <si>
    <t>Massage &amp; Body Treatment Rev</t>
  </si>
  <si>
    <t>Skin Care Revenue</t>
  </si>
  <si>
    <t>Hair Care Revenue</t>
  </si>
  <si>
    <t>Nail Care Revenue</t>
  </si>
  <si>
    <t>Fitness Revenue</t>
  </si>
  <si>
    <t>Health &amp; Wellness Revenue</t>
  </si>
  <si>
    <t>Membership Fee Revenue</t>
  </si>
  <si>
    <t>Retail Revenue</t>
  </si>
  <si>
    <t>Spa: Allowances</t>
  </si>
  <si>
    <t>HC_SPA'!$H$47:$H$49</t>
  </si>
  <si>
    <t>Merchandise Cost Of Sales</t>
  </si>
  <si>
    <t>Clothing Cost Of Sales</t>
  </si>
  <si>
    <t>Total Retail HC/ Spa Cost of Sales</t>
  </si>
  <si>
    <t>HC_SPA'!$A$65:$F$68</t>
  </si>
  <si>
    <t>HC_SPA'!$H$55:$H$56,'HC_SPA'!$H$58:$H$59,'HC_SPA'!$H$62:$H$63</t>
  </si>
  <si>
    <t>HC_SPA'!$A$93:$F$99</t>
  </si>
  <si>
    <t>HC_SPA'!$H$64:$H$67</t>
  </si>
  <si>
    <t>Parking'!$B$2:$B$10</t>
  </si>
  <si>
    <t>Parking'!$O$16:$AN$18</t>
  </si>
  <si>
    <t>Parking'!$H$34:$H$38</t>
  </si>
  <si>
    <t>Parking'!$A$36:$F$40</t>
  </si>
  <si>
    <t>Parking'!$A$116:$B$137</t>
  </si>
  <si>
    <t>Parking Department</t>
  </si>
  <si>
    <t>Self-Parking Revenue</t>
  </si>
  <si>
    <t>Valet Parking Revenue</t>
  </si>
  <si>
    <t>Parking: Allowances</t>
  </si>
  <si>
    <t>Parking Cost of Sales</t>
  </si>
  <si>
    <t>Parking'!$H$41:$H$42</t>
  </si>
  <si>
    <t>Parking'!$A$65:$F$68</t>
  </si>
  <si>
    <t>Parking'!$H$48:$H$49,'Parking'!$H$51:$H$52,'Parking'!$H$55:$H$56</t>
  </si>
  <si>
    <t>Parking'!$A$93:$F$99</t>
  </si>
  <si>
    <t>Parking'!$H$57:$H$60</t>
  </si>
  <si>
    <t>Retail'!$B$2:$B$10</t>
  </si>
  <si>
    <t>Retail'!$O$16:$AN$18</t>
  </si>
  <si>
    <t>Retail'!$H$34:$H$44</t>
  </si>
  <si>
    <t>Retail'!$A$36:$F$39</t>
  </si>
  <si>
    <t>Retail'!$A$115:$B$136</t>
  </si>
  <si>
    <t>Retail Shop Department</t>
  </si>
  <si>
    <t>Accessories</t>
  </si>
  <si>
    <t>Apparel</t>
  </si>
  <si>
    <t>Sundries</t>
  </si>
  <si>
    <t>Souvenir &amp; Gifts</t>
  </si>
  <si>
    <t>Stationary &amp; Books</t>
  </si>
  <si>
    <t>Newspaper &amp; Magazines</t>
  </si>
  <si>
    <t>Youth Revenue</t>
  </si>
  <si>
    <t>Food/Candy</t>
  </si>
  <si>
    <t>Tobacco</t>
  </si>
  <si>
    <t>Gift Shop: Allowances</t>
  </si>
  <si>
    <t>Retail'!$H$47:$H$56</t>
  </si>
  <si>
    <t>Retail'!$A$64:$F$67</t>
  </si>
  <si>
    <t>Accessories COS</t>
  </si>
  <si>
    <t>Apparel COS</t>
  </si>
  <si>
    <t>Sundries COS</t>
  </si>
  <si>
    <t>Souvenir &amp; Gifts COS</t>
  </si>
  <si>
    <t>Stationary &amp; Books COS</t>
  </si>
  <si>
    <t>Newspaper &amp; Magazines COS</t>
  </si>
  <si>
    <t>Youth Revenue COS</t>
  </si>
  <si>
    <t>Food/Candy Revenue COS</t>
  </si>
  <si>
    <t>Tobacco Revenue COS</t>
  </si>
  <si>
    <t>Retail'!$H$62:$H$63,'Retail'!$H$65:$H$66,'Retail'!$H$69:$H$70</t>
  </si>
  <si>
    <t>Retail'!$A$92:$F$98</t>
  </si>
  <si>
    <t>Retail'!$H$71:$H$74</t>
  </si>
  <si>
    <t>FB_Retail'!$B$2:$B$10</t>
  </si>
  <si>
    <t>FB_Retail'!$O$16:$AN$18</t>
  </si>
  <si>
    <t>FB_Retail'!$H$34:$H$43</t>
  </si>
  <si>
    <t>FB_Retail'!$A$36:$F$40</t>
  </si>
  <si>
    <t>FB_Retail'!$A$116:$B$137</t>
  </si>
  <si>
    <t>Food &amp; Beverage Retail Shop Department</t>
  </si>
  <si>
    <t>Food Revenue - Retail</t>
  </si>
  <si>
    <t>Liquor Revenue - Retail</t>
  </si>
  <si>
    <t>Beer Revenue - Retail</t>
  </si>
  <si>
    <t>Wine Revenue - Retail</t>
  </si>
  <si>
    <t>Giftware Revenue - Retail</t>
  </si>
  <si>
    <t>Books Revenue - Retail</t>
  </si>
  <si>
    <t>Glassware Revenue - Retail</t>
  </si>
  <si>
    <t>F&amp;B Retail: Allowances</t>
  </si>
  <si>
    <t>FB_Retail'!$H$46:$H$54</t>
  </si>
  <si>
    <t>FB_Retail'!$A$65:$F$68</t>
  </si>
  <si>
    <t>Food COS</t>
  </si>
  <si>
    <t>Food Retail COS</t>
  </si>
  <si>
    <t>Liquor Retail COS</t>
  </si>
  <si>
    <t>Beer Retail COS</t>
  </si>
  <si>
    <t>Wine Retail COS</t>
  </si>
  <si>
    <t>Giftware Retail COS</t>
  </si>
  <si>
    <t>Books Retail COS</t>
  </si>
  <si>
    <t>Glassware Retail COS</t>
  </si>
  <si>
    <t>FB_Retail'!$H$60:$H$61,'FB_Retail'!$H$63:$H$64,'FB_Retail'!$H$67:$H$68</t>
  </si>
  <si>
    <t>FB_Retail'!$A$93:$F$99</t>
  </si>
  <si>
    <t>FB_Retail'!$H$69:$H$72</t>
  </si>
  <si>
    <t>Minor_Op'!$B$2:$B$10</t>
  </si>
  <si>
    <t>Minor_Op'!$O$16:$AN$18</t>
  </si>
  <si>
    <t>Minor_Op'!$H$34:$H$53,'Minor_Op'!$H$56:$H$74</t>
  </si>
  <si>
    <t>Minor_Op'!$A$58:$F$62</t>
  </si>
  <si>
    <t>Minor_Op'!$A$79:$B$100</t>
  </si>
  <si>
    <t>Total Guest Communication Rev</t>
  </si>
  <si>
    <t>In Room Movies</t>
  </si>
  <si>
    <t>Guest Laundry &amp; Dry Cleaning</t>
  </si>
  <si>
    <t>Massage Services</t>
  </si>
  <si>
    <t>Gym Passes</t>
  </si>
  <si>
    <t>Shared Facilities &amp; Services Revenue</t>
  </si>
  <si>
    <t>Minor Operated: Allowances</t>
  </si>
  <si>
    <t>Minor_Op'!$H$77:$H$94</t>
  </si>
  <si>
    <t>Total Guest Communication COS</t>
  </si>
  <si>
    <t>In Room Movie Cost of Sales</t>
  </si>
  <si>
    <t>Guest Laundry Cost of Sales</t>
  </si>
  <si>
    <t>In Room Fax Cost of Sales</t>
  </si>
  <si>
    <t>In Room Item Cost of Sales</t>
  </si>
  <si>
    <t>Massage Cost of Sales</t>
  </si>
  <si>
    <t>Gym Pass Cost of Sales</t>
  </si>
  <si>
    <t>Shared Facilities &amp; Services Expense</t>
  </si>
  <si>
    <t>Retail Kiosk Cost of Sales</t>
  </si>
  <si>
    <t>Vending Machines Cost of Sales</t>
  </si>
  <si>
    <t>Laundry Machines Cost of Sales</t>
  </si>
  <si>
    <t>Occasional F&amp;B Cost of Sales</t>
  </si>
  <si>
    <t>Other 1 Cost of Sales</t>
  </si>
  <si>
    <t>Other 2 Cost of Sales</t>
  </si>
  <si>
    <t>Other 3 Cost of Sales</t>
  </si>
  <si>
    <t>Other 4 Cost of Sales</t>
  </si>
  <si>
    <t>Other 5 Cost of Sales</t>
  </si>
  <si>
    <t>Other 6 Cost of Sales</t>
  </si>
  <si>
    <t>Minor_Op'!$H$95:$H$98</t>
  </si>
  <si>
    <t>D1139</t>
  </si>
  <si>
    <t>MISC_INC'!$B$2:$B$10</t>
  </si>
  <si>
    <t>MISC_INC'!$O$16:$AN$18</t>
  </si>
  <si>
    <t>MISC_INC'!$H$34:$H$50</t>
  </si>
  <si>
    <t>MISC_INC'!$A$36:$F$41</t>
  </si>
  <si>
    <t>MISC_INC'!$A$45:$B$66</t>
  </si>
  <si>
    <t>Space Rent &amp; Concessions</t>
  </si>
  <si>
    <t>Cash Discounts Earned</t>
  </si>
  <si>
    <t>Attrition Penalties</t>
  </si>
  <si>
    <t>Cancellation Penalties</t>
  </si>
  <si>
    <t>Guest Foreign Currency Trans. (Gain/Loss)</t>
  </si>
  <si>
    <t>Interest Income (Unrestricted Accounts)</t>
  </si>
  <si>
    <t>Net Rev: Renting Mixed Ownership Units</t>
  </si>
  <si>
    <t>Other Breakage</t>
  </si>
  <si>
    <t>Interest Income - FF&amp;E Reserves</t>
  </si>
  <si>
    <t>Package Breakage</t>
  </si>
  <si>
    <t>Resort Fees</t>
  </si>
  <si>
    <t>Proceeds from Business Interruption</t>
  </si>
  <si>
    <t>D_AG</t>
  </si>
  <si>
    <t>AG'!$B$2:$B$10</t>
  </si>
  <si>
    <t>AG'!$O$16:$AN$18</t>
  </si>
  <si>
    <t>AG'!$G$35:$H$36,'AG'!$G$38:$H$47,'AG'!$G$50:$H$66</t>
  </si>
  <si>
    <t>AG'!$A$36:$F$42</t>
  </si>
  <si>
    <t>AG'!$A$59:$B$80</t>
  </si>
  <si>
    <t>Administrative &amp; General Department</t>
  </si>
  <si>
    <t>Accounting</t>
  </si>
  <si>
    <t>Human Resources</t>
  </si>
  <si>
    <t>AG'!$G$67:$H$71</t>
  </si>
  <si>
    <t>Professional Fees</t>
  </si>
  <si>
    <t>Credit Card Commissions</t>
  </si>
  <si>
    <t>Provision for Doubtful Accounts</t>
  </si>
  <si>
    <t>Bank Charges</t>
  </si>
  <si>
    <t>Payroll Processing</t>
  </si>
  <si>
    <t>Legal Services</t>
  </si>
  <si>
    <t>Donations</t>
  </si>
  <si>
    <t>Security</t>
  </si>
  <si>
    <t>Human Resources (Consolidated)</t>
  </si>
  <si>
    <t>D1154</t>
  </si>
  <si>
    <t>HR_Detail'!$B$2:$B$10</t>
  </si>
  <si>
    <t>HR_Detail'!$O$16:$AN$18</t>
  </si>
  <si>
    <t>HR_Detail'!$H$34:$H$43</t>
  </si>
  <si>
    <t>HR_Detail'!$A$37:$B$58</t>
  </si>
  <si>
    <t>Human Resources (Consolidated) Department</t>
  </si>
  <si>
    <t>Employee Relations</t>
  </si>
  <si>
    <t>Recruiting</t>
  </si>
  <si>
    <t>Relocation</t>
  </si>
  <si>
    <t>D1157</t>
  </si>
  <si>
    <t>IT'!$B$2:$B$10</t>
  </si>
  <si>
    <t>IT'!$O$16:$AN$18</t>
  </si>
  <si>
    <t>IT'!$H$35:$H$36</t>
  </si>
  <si>
    <t>IT'!$A$36:$F$42</t>
  </si>
  <si>
    <t>IT'!$A$105:$B$126</t>
  </si>
  <si>
    <t>Information &amp; Telecom Systems Department</t>
  </si>
  <si>
    <t>Cost of Services</t>
  </si>
  <si>
    <t>Cost of Cell Phones</t>
  </si>
  <si>
    <t>Cost of Internet Services</t>
  </si>
  <si>
    <t>Other Cost of Services</t>
  </si>
  <si>
    <t>Total Cost of Services</t>
  </si>
  <si>
    <t>System Expenses</t>
  </si>
  <si>
    <t>Administrative and General</t>
  </si>
  <si>
    <t>Food and Beverage</t>
  </si>
  <si>
    <t>Sales and Marketing</t>
  </si>
  <si>
    <t>IT'!$H$39:$H$43</t>
  </si>
  <si>
    <t>Total System Expenses</t>
  </si>
  <si>
    <t>IT'!$H$47:$H$52,'IT'!$H$56:$H$58</t>
  </si>
  <si>
    <t>IT'!$H$61:$H$62</t>
  </si>
  <si>
    <t>D_SM</t>
  </si>
  <si>
    <t>SM'!$B$2:$B$10</t>
  </si>
  <si>
    <t>SM'!$O$16:$AN$18</t>
  </si>
  <si>
    <t>SM'!$H$35:$H$36,'SM'!$H$38:$H$47,'SM'!$H$50:$H$72</t>
  </si>
  <si>
    <t>SM'!$A$36:$F$42</t>
  </si>
  <si>
    <t>SM'!$A$59:$B$80</t>
  </si>
  <si>
    <t>Sales &amp; Marketing Department</t>
  </si>
  <si>
    <t>Non-Mgmt. (Sales &amp; Marketing)</t>
  </si>
  <si>
    <t>SM'!$H$73:$H$76</t>
  </si>
  <si>
    <t>Promotion</t>
  </si>
  <si>
    <t>Fam Trips</t>
  </si>
  <si>
    <t>Trade Shows</t>
  </si>
  <si>
    <t>Collateral Materials</t>
  </si>
  <si>
    <t>Direct Mail</t>
  </si>
  <si>
    <t>Website</t>
  </si>
  <si>
    <t>Media</t>
  </si>
  <si>
    <t>Outside Services Market Research</t>
  </si>
  <si>
    <t>Photography</t>
  </si>
  <si>
    <t>Loyalty Programs</t>
  </si>
  <si>
    <t>Agency Fees</t>
  </si>
  <si>
    <t>D_PM</t>
  </si>
  <si>
    <t>POM'!$B$2:$B$10</t>
  </si>
  <si>
    <t>POM'!$O$16:$AN$18</t>
  </si>
  <si>
    <t>POM'!$H$35:$H$36,'POM'!$H$38:$H$47,'POM'!$H$50:$H$71</t>
  </si>
  <si>
    <t>POM'!$A$36:$F$42</t>
  </si>
  <si>
    <t>POM'!$A$59:$B$80</t>
  </si>
  <si>
    <t>Property Operation &amp; Maintenance Department</t>
  </si>
  <si>
    <t>Non-Mgmt. (PO &amp; M)</t>
  </si>
  <si>
    <t>POM'!$H$72:$H$75</t>
  </si>
  <si>
    <t>Life/Safety</t>
  </si>
  <si>
    <t>Electrical &amp; Mechanical Equipment</t>
  </si>
  <si>
    <t>HVAC Equipment</t>
  </si>
  <si>
    <t>Furniture &amp; Equipment</t>
  </si>
  <si>
    <t>Building</t>
  </si>
  <si>
    <t>Plumbing</t>
  </si>
  <si>
    <t>Floor Covering</t>
  </si>
  <si>
    <t>Painting &amp; Wallcovering</t>
  </si>
  <si>
    <t>Elevators &amp; Escalators</t>
  </si>
  <si>
    <t>Swimming Pool</t>
  </si>
  <si>
    <t>Grounds Maint &amp; Landscaping</t>
  </si>
  <si>
    <t>Light Bulbs</t>
  </si>
  <si>
    <t>Engineering Supplies</t>
  </si>
  <si>
    <t>Waste Removal</t>
  </si>
  <si>
    <t>D_EC</t>
  </si>
  <si>
    <t>EC'!$B$2:$B$10</t>
  </si>
  <si>
    <t>EC'!$O$16:$AN$18</t>
  </si>
  <si>
    <t>EC'!$H$34:$H$36</t>
  </si>
  <si>
    <t>EC'!$A$37:$B$58</t>
  </si>
  <si>
    <t>Utilities Department</t>
  </si>
  <si>
    <t>Electricity</t>
  </si>
  <si>
    <t>Gas</t>
  </si>
  <si>
    <t>Water / Sewer</t>
  </si>
  <si>
    <t>D1179</t>
  </si>
  <si>
    <t>Mgt_Fees'!$B$2:$B$10</t>
  </si>
  <si>
    <t>Mgt_Fees'!$O$16:$AN$18</t>
  </si>
  <si>
    <t>Mgt_Fees'!$H$34:$H$35</t>
  </si>
  <si>
    <t>Mgt_Fees'!$A$37:$B$58</t>
  </si>
  <si>
    <t>Management Fees Department</t>
  </si>
  <si>
    <t>Base Management Fees</t>
  </si>
  <si>
    <t>Non_Op'!$B$2:$B$10</t>
  </si>
  <si>
    <t>Non_Op'!$O$16:$AN$18</t>
  </si>
  <si>
    <t>Non_Op'!$H$34:$H$65</t>
  </si>
  <si>
    <t>Non_Op'!$A$36:$F$41</t>
  </si>
  <si>
    <t>Non_Op'!$A$45:$B$66</t>
  </si>
  <si>
    <t>Non-Operating Income &amp; Expenses Department</t>
  </si>
  <si>
    <t>Income</t>
  </si>
  <si>
    <t>Cost Recovery Income (CAM)</t>
  </si>
  <si>
    <t>Interest Income (Restricted &amp; FF&amp;E Accts)</t>
  </si>
  <si>
    <t>Other Income</t>
  </si>
  <si>
    <t xml:space="preserve">Total Income </t>
  </si>
  <si>
    <t>Land &amp; Buildings</t>
  </si>
  <si>
    <t>Other Property &amp; Equipment</t>
  </si>
  <si>
    <t>Total Rent</t>
  </si>
  <si>
    <t>Real Estate Taxes</t>
  </si>
  <si>
    <t>Personal Property Taxes</t>
  </si>
  <si>
    <t>Business &amp; Occupation Taxes</t>
  </si>
  <si>
    <t>Other Taxes &amp; Assesments</t>
  </si>
  <si>
    <t>Tax Penalties</t>
  </si>
  <si>
    <t>Total Property &amp; Other Taxes</t>
  </si>
  <si>
    <t>Earthquake - Insurance</t>
  </si>
  <si>
    <t>Property Insurance</t>
  </si>
  <si>
    <t>Liability Insurance</t>
  </si>
  <si>
    <t>Flood Insurance</t>
  </si>
  <si>
    <t>Other Insurance</t>
  </si>
  <si>
    <t>Total Insurance</t>
  </si>
  <si>
    <t>Cost Recovery Expense (CAM)</t>
  </si>
  <si>
    <t>Gain/Loss on Fixed Assets</t>
  </si>
  <si>
    <t>Lease Asset Impairment</t>
  </si>
  <si>
    <t>Gain/Loss Disposal - Property Lease</t>
  </si>
  <si>
    <t>Gain/Loss Disposal - Other Lease</t>
  </si>
  <si>
    <t>Owner's Expense</t>
  </si>
  <si>
    <t>Unrealized Foreign Exchange Gain/Loss</t>
  </si>
  <si>
    <t>Miscellaneous Other</t>
  </si>
  <si>
    <t>Total Non-Operating Income &amp; Expense</t>
  </si>
  <si>
    <t>POD Allocation Out Account</t>
  </si>
  <si>
    <t>House Laundry</t>
  </si>
  <si>
    <t>Laundry'!$B$2:$B$10</t>
  </si>
  <si>
    <t>Laundry'!$O$16:$AN$18</t>
  </si>
  <si>
    <t>Laundry'!$H$35:$H$36,'Laundry'!$H$38:$H$39,'Laundry'!$H$42:$H$43</t>
  </si>
  <si>
    <t>Laundry'!$A$36:$F$42</t>
  </si>
  <si>
    <t>Laundry'!$A$81:$B$102</t>
  </si>
  <si>
    <t>House Laundry Department</t>
  </si>
  <si>
    <t>Cost of Guest &amp; Outside Laundry</t>
  </si>
  <si>
    <t>Concessionaires Laundry</t>
  </si>
  <si>
    <t>Laundry'!$H$49:$H$50</t>
  </si>
  <si>
    <t>Laundry'!$H$56:$H$57</t>
  </si>
  <si>
    <t>Staff Dining</t>
  </si>
  <si>
    <t>Dining'!$B$2:$B$10</t>
  </si>
  <si>
    <t>Dining'!$O$16:$AN$18</t>
  </si>
  <si>
    <t>Dining'!$H$34:$H$35,'Dining'!$H$38:$H$39,'Dining'!$H$40:$H$41,'Dining'!$H$44:$H$45</t>
  </si>
  <si>
    <t>Dining'!$A$36:$F$42</t>
  </si>
  <si>
    <t>Dining'!$A$68:$B$89</t>
  </si>
  <si>
    <t>Staff Dining Department</t>
  </si>
  <si>
    <t>Dining'!$H$55:$H$56</t>
  </si>
  <si>
    <t>PR_Related'!$B$2:$B$10</t>
  </si>
  <si>
    <t>PR_Related'!$O$16:$AN$18</t>
  </si>
  <si>
    <t>PR_Related'!$H$35:$H$40,'PR_Related'!$H$43:$H$49,'PR_Related'!$H$52:$H$61,'PR_Related'!$H$63:$H$64</t>
  </si>
  <si>
    <t>PR_Related'!$A$36:$F$40</t>
  </si>
  <si>
    <t>PR_Related'!$A$44:$B$65</t>
  </si>
  <si>
    <t>Payroll Related Expenses</t>
  </si>
  <si>
    <t>National Medical Insurance</t>
  </si>
  <si>
    <t>National Retirement Insurance</t>
  </si>
  <si>
    <t>National Unemployment Insurance</t>
  </si>
  <si>
    <t>State Unemployment Insurance</t>
  </si>
  <si>
    <t>Other/ Local Payroll Tax</t>
  </si>
  <si>
    <t>Other Pay</t>
  </si>
  <si>
    <t>Personal Days</t>
  </si>
  <si>
    <t>Severance Pay</t>
  </si>
  <si>
    <t>Wellness Pay</t>
  </si>
  <si>
    <t>Holiday Pay</t>
  </si>
  <si>
    <t>Vacation Pay</t>
  </si>
  <si>
    <t>Automobile Allowance</t>
  </si>
  <si>
    <t>Contributory Savings Plan</t>
  </si>
  <si>
    <t>Dental Insurance</t>
  </si>
  <si>
    <t>Disability Insurance</t>
  </si>
  <si>
    <t>Group Life Insurance</t>
  </si>
  <si>
    <t>Health Insurance</t>
  </si>
  <si>
    <t>Meals</t>
  </si>
  <si>
    <t>Nonunion Insurance</t>
  </si>
  <si>
    <t>Workers Comp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</si>
</sst>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0.0000_);\(#,##0.0000\)"/>
  </numFmts>
  <fonts count="3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s>
  <fills count="2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s>
  <borders count="92">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541">
    <xf numFmtId="0" fontId="0" fillId="0" borderId="0" xfId="0"/>
    <xf numFmtId="0" fontId="0" fillId="2" borderId="0" xfId="0" applyFill="1"/>
    <xf numFmtId="0" fontId="0" fillId="3" borderId="0" xfId="0" applyFill="1"/>
    <xf numFmtId="0" fontId="1" fillId="3" borderId="1" xfId="0" applyFont="1" applyFill="1" applyBorder="1"/>
    <xf numFmtId="0" fontId="1" fillId="3" borderId="2" xfId="0" applyFont="1" applyFill="1" applyBorder="1"/>
    <xf numFmtId="0" fontId="1" fillId="3" borderId="3" xfId="0" applyFont="1" applyFill="1" applyBorder="1"/>
    <xf numFmtId="0" fontId="1" fillId="4" borderId="2" xfId="0" applyFont="1" applyFill="1" applyBorder="1"/>
    <xf numFmtId="0" fontId="0" fillId="2" borderId="2" xfId="0" applyFill="1" applyBorder="1"/>
    <xf numFmtId="0" fontId="1" fillId="2" borderId="0" xfId="0" applyFont="1" applyFill="1"/>
    <xf numFmtId="0" fontId="0" fillId="5" borderId="0" xfId="0" applyFill="1"/>
    <xf numFmtId="49" fontId="0" fillId="3" borderId="0" xfId="0" applyNumberFormat="1" applyFill="1"/>
    <xf numFmtId="0" fontId="0" fillId="2" borderId="0" xfId="0" applyFill="1" applyAlignment="1">
      <alignment horizontal="center"/>
    </xf>
    <xf numFmtId="0" fontId="0" fillId="6" borderId="0" xfId="0" applyFill="1"/>
    <xf numFmtId="0" fontId="0" fillId="3" borderId="0" xfId="0" applyNumberFormat="1" applyFill="1"/>
    <xf numFmtId="0" fontId="0" fillId="2" borderId="0" xfId="0" applyFill="1" applyAlignment="1">
      <alignment horizontal="right"/>
    </xf>
    <xf numFmtId="49" fontId="0" fillId="3" borderId="0" xfId="0" applyNumberFormat="1" applyFill="1" applyAlignment="1"/>
    <xf numFmtId="0" fontId="0" fillId="2" borderId="2" xfId="0" quotePrefix="1" applyFill="1" applyBorder="1"/>
    <xf numFmtId="164" fontId="0" fillId="0" borderId="4" xfId="1" applyNumberFormat="1" applyFont="1" applyFill="1" applyBorder="1"/>
    <xf numFmtId="0" fontId="0" fillId="7" borderId="0" xfId="0" applyFill="1"/>
    <xf numFmtId="0" fontId="0" fillId="7" borderId="0" xfId="0" applyFill="1" applyAlignment="1">
      <alignment horizontal="center"/>
    </xf>
    <xf numFmtId="37" fontId="0" fillId="7" borderId="0" xfId="0" applyNumberFormat="1" applyFill="1"/>
    <xf numFmtId="37" fontId="0" fillId="0" borderId="4" xfId="0" applyNumberForma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2" borderId="0" xfId="0" applyFont="1" applyFill="1" applyAlignment="1">
      <alignment horizontal="left"/>
    </xf>
    <xf numFmtId="0" fontId="0" fillId="2" borderId="0" xfId="0" applyFill="1" applyAlignment="1">
      <alignment horizontal="left" indent="1"/>
    </xf>
    <xf numFmtId="0" fontId="0" fillId="3" borderId="0" xfId="0" applyNumberFormat="1" applyFill="1" applyAlignment="1">
      <alignment horizontal="left" indent="1"/>
    </xf>
    <xf numFmtId="0" fontId="1" fillId="3" borderId="0" xfId="0" applyNumberFormat="1" applyFont="1" applyFill="1" applyAlignment="1">
      <alignment horizontal="left"/>
    </xf>
    <xf numFmtId="0" fontId="1" fillId="2" borderId="8" xfId="0" applyFont="1" applyFill="1" applyBorder="1" applyAlignment="1">
      <alignment horizontal="left"/>
    </xf>
    <xf numFmtId="37" fontId="0" fillId="0" borderId="9" xfId="0" applyNumberFormat="1" applyFill="1" applyBorder="1"/>
    <xf numFmtId="164" fontId="0" fillId="0" borderId="9" xfId="1" applyNumberFormat="1" applyFont="1" applyFill="1" applyBorder="1"/>
    <xf numFmtId="0" fontId="1" fillId="2" borderId="0" xfId="0" applyFont="1" applyFill="1" applyBorder="1" applyAlignment="1">
      <alignment horizontal="left"/>
    </xf>
    <xf numFmtId="37" fontId="1" fillId="0" borderId="11" xfId="0" applyNumberFormat="1" applyFont="1" applyFill="1" applyBorder="1"/>
    <xf numFmtId="164" fontId="1" fillId="0" borderId="11" xfId="1" applyNumberFormat="1" applyFont="1" applyFill="1" applyBorder="1"/>
    <xf numFmtId="0" fontId="1" fillId="2" borderId="10" xfId="0" applyFont="1" applyFill="1" applyBorder="1"/>
    <xf numFmtId="37" fontId="1" fillId="0" borderId="12" xfId="0" applyNumberFormat="1" applyFont="1" applyFill="1" applyBorder="1"/>
    <xf numFmtId="164" fontId="1" fillId="0" borderId="12" xfId="1" applyNumberFormat="1" applyFont="1" applyFill="1" applyBorder="1"/>
    <xf numFmtId="37" fontId="0" fillId="0" borderId="13" xfId="0" applyNumberFormat="1" applyFill="1" applyBorder="1"/>
    <xf numFmtId="164" fontId="0" fillId="0" borderId="13" xfId="1" applyNumberFormat="1" applyFont="1" applyFill="1" applyBorder="1"/>
    <xf numFmtId="0" fontId="4" fillId="2" borderId="0" xfId="0" applyFont="1" applyFill="1" applyAlignment="1">
      <alignment horizontal="left"/>
    </xf>
    <xf numFmtId="0" fontId="0" fillId="2" borderId="15" xfId="0" applyFill="1" applyBorder="1"/>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37" fontId="0" fillId="0" borderId="14" xfId="0" applyNumberFormat="1" applyFill="1" applyBorder="1"/>
    <xf numFmtId="164" fontId="0" fillId="0" borderId="14" xfId="1" applyNumberFormat="1" applyFont="1" applyFill="1" applyBorder="1"/>
    <xf numFmtId="0" fontId="0" fillId="10" borderId="2" xfId="0" applyFill="1" applyBorder="1"/>
    <xf numFmtId="37" fontId="0" fillId="11" borderId="4" xfId="0" applyNumberFormat="1" applyFill="1" applyBorder="1"/>
    <xf numFmtId="37" fontId="0" fillId="11" borderId="9" xfId="0" applyNumberFormat="1" applyFill="1" applyBorder="1"/>
    <xf numFmtId="37" fontId="1" fillId="11" borderId="11" xfId="0" applyNumberFormat="1" applyFont="1" applyFill="1" applyBorder="1"/>
    <xf numFmtId="0" fontId="0" fillId="2" borderId="21" xfId="0" applyFill="1" applyBorder="1"/>
    <xf numFmtId="0" fontId="0" fillId="2" borderId="0" xfId="0" applyFill="1" applyBorder="1"/>
    <xf numFmtId="0" fontId="0" fillId="2" borderId="22" xfId="0" applyFill="1" applyBorder="1"/>
    <xf numFmtId="0" fontId="9" fillId="0" borderId="0" xfId="0" applyFont="1" applyFill="1"/>
    <xf numFmtId="0" fontId="7" fillId="2" borderId="0" xfId="0" applyFont="1" applyFill="1"/>
    <xf numFmtId="37" fontId="1" fillId="11" borderId="12" xfId="0" applyNumberFormat="1" applyFont="1" applyFill="1" applyBorder="1"/>
    <xf numFmtId="37" fontId="1" fillId="11" borderId="24" xfId="0" applyNumberFormat="1" applyFont="1" applyFill="1" applyBorder="1"/>
    <xf numFmtId="37" fontId="1" fillId="0" borderId="24" xfId="0" applyNumberFormat="1" applyFont="1" applyFill="1" applyBorder="1"/>
    <xf numFmtId="164" fontId="1" fillId="0" borderId="24" xfId="1" applyNumberFormat="1" applyFont="1" applyFill="1" applyBorder="1"/>
    <xf numFmtId="37" fontId="1" fillId="0" borderId="23" xfId="0" applyNumberFormat="1" applyFont="1" applyFill="1" applyBorder="1"/>
    <xf numFmtId="164" fontId="1" fillId="0" borderId="23" xfId="1" applyNumberFormat="1" applyFont="1" applyFill="1" applyBorder="1"/>
    <xf numFmtId="37" fontId="1" fillId="11" borderId="23" xfId="0" applyNumberFormat="1" applyFont="1" applyFill="1" applyBorder="1"/>
    <xf numFmtId="0" fontId="14" fillId="2" borderId="0" xfId="0" applyFont="1" applyFill="1" applyAlignment="1">
      <alignment horizontal="left"/>
    </xf>
    <xf numFmtId="0" fontId="15" fillId="2" borderId="0" xfId="0" applyFont="1" applyFill="1"/>
    <xf numFmtId="0" fontId="15" fillId="2" borderId="0" xfId="0" applyFont="1" applyFill="1" applyAlignment="1">
      <alignment horizontal="center"/>
    </xf>
    <xf numFmtId="0" fontId="15" fillId="2" borderId="0" xfId="0" applyFont="1" applyFill="1" applyAlignment="1">
      <alignment horizontal="left" indent="1"/>
    </xf>
    <xf numFmtId="0" fontId="16" fillId="2" borderId="0" xfId="0" applyFont="1" applyFill="1" applyAlignment="1">
      <alignment horizontal="left"/>
    </xf>
    <xf numFmtId="0" fontId="17" fillId="2" borderId="0" xfId="0" applyFont="1" applyFill="1" applyAlignment="1">
      <alignment horizontal="left"/>
    </xf>
    <xf numFmtId="0" fontId="18" fillId="2" borderId="0" xfId="0" applyFont="1" applyFill="1" applyAlignment="1">
      <alignment horizontal="left"/>
    </xf>
    <xf numFmtId="0" fontId="13" fillId="13" borderId="4" xfId="0" applyNumberFormat="1" applyFont="1" applyFill="1" applyBorder="1" applyAlignment="1">
      <alignment horizontal="centerContinuous"/>
    </xf>
    <xf numFmtId="0" fontId="9" fillId="2" borderId="0" xfId="0" applyFont="1" applyFill="1"/>
    <xf numFmtId="37" fontId="0" fillId="15" borderId="4" xfId="0" applyNumberFormat="1" applyFont="1" applyFill="1" applyBorder="1" applyAlignment="1"/>
    <xf numFmtId="37" fontId="0" fillId="15" borderId="13" xfId="0" applyNumberFormat="1" applyFont="1" applyFill="1" applyBorder="1" applyAlignment="1"/>
    <xf numFmtId="0" fontId="0" fillId="2" borderId="0" xfId="0" applyFill="1" applyAlignment="1">
      <alignment horizontal="left"/>
    </xf>
    <xf numFmtId="37" fontId="1" fillId="14" borderId="25" xfId="0" applyNumberFormat="1" applyFont="1" applyFill="1" applyBorder="1" applyAlignment="1"/>
    <xf numFmtId="37" fontId="1" fillId="14" borderId="26" xfId="0" applyNumberFormat="1" applyFont="1" applyFill="1" applyBorder="1" applyAlignment="1"/>
    <xf numFmtId="164" fontId="1" fillId="14" borderId="26" xfId="1" applyNumberFormat="1" applyFont="1" applyFill="1" applyBorder="1"/>
    <xf numFmtId="37" fontId="1" fillId="14" borderId="26" xfId="0" applyNumberFormat="1" applyFont="1" applyFill="1" applyBorder="1"/>
    <xf numFmtId="37" fontId="1" fillId="15" borderId="29" xfId="0" applyNumberFormat="1" applyFont="1" applyFill="1" applyBorder="1" applyAlignment="1"/>
    <xf numFmtId="37" fontId="1" fillId="15" borderId="13" xfId="0" applyNumberFormat="1" applyFont="1" applyFill="1" applyBorder="1" applyAlignment="1"/>
    <xf numFmtId="164" fontId="1" fillId="15" borderId="13" xfId="1" applyNumberFormat="1" applyFont="1" applyFill="1" applyBorder="1"/>
    <xf numFmtId="37" fontId="1" fillId="15" borderId="13" xfId="0" applyNumberFormat="1" applyFont="1" applyFill="1" applyBorder="1"/>
    <xf numFmtId="37" fontId="1" fillId="14" borderId="27" xfId="0" applyNumberFormat="1" applyFont="1" applyFill="1" applyBorder="1" applyAlignment="1"/>
    <xf numFmtId="37" fontId="1" fillId="14" borderId="28" xfId="0" applyNumberFormat="1" applyFont="1" applyFill="1" applyBorder="1" applyAlignment="1"/>
    <xf numFmtId="164" fontId="1" fillId="14" borderId="28" xfId="1" applyNumberFormat="1" applyFont="1" applyFill="1" applyBorder="1"/>
    <xf numFmtId="37" fontId="1" fillId="14" borderId="28" xfId="0" applyNumberFormat="1" applyFont="1" applyFill="1" applyBorder="1"/>
    <xf numFmtId="37" fontId="0" fillId="15" borderId="25" xfId="0" applyNumberFormat="1" applyFont="1" applyFill="1" applyBorder="1" applyAlignment="1"/>
    <xf numFmtId="37" fontId="0" fillId="15" borderId="26" xfId="0" applyNumberFormat="1" applyFont="1" applyFill="1" applyBorder="1" applyAlignment="1"/>
    <xf numFmtId="164" fontId="3" fillId="15" borderId="26" xfId="1" applyNumberFormat="1" applyFont="1" applyFill="1" applyBorder="1"/>
    <xf numFmtId="37" fontId="0" fillId="15" borderId="26" xfId="0" applyNumberFormat="1" applyFont="1" applyFill="1" applyBorder="1"/>
    <xf numFmtId="37" fontId="0" fillId="15" borderId="29" xfId="0" applyNumberFormat="1" applyFont="1" applyFill="1" applyBorder="1" applyAlignment="1"/>
    <xf numFmtId="164" fontId="3" fillId="15" borderId="13" xfId="1" applyNumberFormat="1" applyFont="1" applyFill="1" applyBorder="1"/>
    <xf numFmtId="37" fontId="0" fillId="15" borderId="13" xfId="0" applyNumberFormat="1" applyFont="1" applyFill="1" applyBorder="1"/>
    <xf numFmtId="37" fontId="0" fillId="15" borderId="27" xfId="0" applyNumberFormat="1" applyFont="1" applyFill="1" applyBorder="1" applyAlignment="1"/>
    <xf numFmtId="37" fontId="0" fillId="15" borderId="28" xfId="0" applyNumberFormat="1" applyFont="1" applyFill="1" applyBorder="1" applyAlignment="1"/>
    <xf numFmtId="37" fontId="0" fillId="15" borderId="28" xfId="0" applyNumberFormat="1" applyFont="1" applyFill="1" applyBorder="1"/>
    <xf numFmtId="0" fontId="0" fillId="2" borderId="16" xfId="0" applyFill="1" applyBorder="1" applyAlignment="1">
      <alignment horizontal="center"/>
    </xf>
    <xf numFmtId="44" fontId="1" fillId="14" borderId="25" xfId="0" applyNumberFormat="1" applyFont="1" applyFill="1" applyBorder="1" applyAlignment="1"/>
    <xf numFmtId="44" fontId="1" fillId="14" borderId="26" xfId="0" applyNumberFormat="1" applyFont="1" applyFill="1" applyBorder="1"/>
    <xf numFmtId="0" fontId="8" fillId="2" borderId="0" xfId="0" applyFont="1" applyFill="1"/>
    <xf numFmtId="44" fontId="1" fillId="15" borderId="29" xfId="0" applyNumberFormat="1" applyFont="1" applyFill="1" applyBorder="1" applyAlignment="1"/>
    <xf numFmtId="44" fontId="1" fillId="15" borderId="13" xfId="0" applyNumberFormat="1" applyFont="1" applyFill="1" applyBorder="1"/>
    <xf numFmtId="44" fontId="1" fillId="14" borderId="27" xfId="0" applyNumberFormat="1" applyFont="1" applyFill="1" applyBorder="1" applyAlignment="1"/>
    <xf numFmtId="44" fontId="1" fillId="14" borderId="28" xfId="0" applyNumberFormat="1" applyFont="1" applyFill="1" applyBorder="1"/>
    <xf numFmtId="44" fontId="0" fillId="15" borderId="25" xfId="0" applyNumberFormat="1" applyFont="1" applyFill="1" applyBorder="1" applyAlignment="1"/>
    <xf numFmtId="44" fontId="0" fillId="15" borderId="26" xfId="0" applyNumberFormat="1" applyFont="1" applyFill="1" applyBorder="1"/>
    <xf numFmtId="37" fontId="0" fillId="15" borderId="31" xfId="0" applyNumberFormat="1" applyFont="1" applyFill="1" applyBorder="1" applyAlignment="1"/>
    <xf numFmtId="37" fontId="0" fillId="15" borderId="32" xfId="0" applyNumberFormat="1" applyFont="1" applyFill="1" applyBorder="1" applyAlignment="1"/>
    <xf numFmtId="37" fontId="0" fillId="15" borderId="32" xfId="0" applyNumberFormat="1" applyFont="1" applyFill="1" applyBorder="1"/>
    <xf numFmtId="164" fontId="3" fillId="15" borderId="28" xfId="1" applyNumberFormat="1" applyFont="1" applyFill="1" applyBorder="1"/>
    <xf numFmtId="164" fontId="3" fillId="15" borderId="32" xfId="1" applyNumberFormat="1" applyFont="1" applyFill="1" applyBorder="1" applyAlignment="1">
      <alignment horizontal="right"/>
    </xf>
    <xf numFmtId="164" fontId="1" fillId="14" borderId="26" xfId="1" applyNumberFormat="1" applyFont="1" applyFill="1" applyBorder="1" applyAlignment="1">
      <alignment horizontal="right"/>
    </xf>
    <xf numFmtId="164" fontId="3" fillId="15" borderId="26" xfId="1" applyNumberFormat="1" applyFont="1" applyFill="1" applyBorder="1" applyAlignment="1">
      <alignment horizontal="right"/>
    </xf>
    <xf numFmtId="164" fontId="1" fillId="14" borderId="28" xfId="1" applyNumberFormat="1" applyFont="1" applyFill="1" applyBorder="1" applyAlignment="1">
      <alignment horizontal="right"/>
    </xf>
    <xf numFmtId="164" fontId="1" fillId="15" borderId="13" xfId="1" applyNumberFormat="1" applyFont="1" applyFill="1" applyBorder="1" applyAlignment="1">
      <alignment horizontal="right"/>
    </xf>
    <xf numFmtId="44" fontId="0" fillId="0" borderId="4" xfId="7" applyFont="1" applyFill="1" applyBorder="1"/>
    <xf numFmtId="0" fontId="1" fillId="2" borderId="0" xfId="0" applyFont="1" applyFill="1" applyAlignment="1"/>
    <xf numFmtId="0" fontId="0" fillId="8" borderId="0" xfId="0" applyFill="1" applyProtection="1">
      <protection locked="0"/>
    </xf>
    <xf numFmtId="0" fontId="5" fillId="8" borderId="0" xfId="2" applyFont="1" applyFill="1" applyBorder="1" applyAlignment="1" applyProtection="1">
      <alignment horizontal="centerContinuous"/>
      <protection locked="0"/>
    </xf>
    <xf numFmtId="0" fontId="6" fillId="8" borderId="0" xfId="2" applyFont="1" applyFill="1" applyBorder="1" applyAlignment="1" applyProtection="1">
      <protection locked="0"/>
    </xf>
    <xf numFmtId="0" fontId="0" fillId="8" borderId="0" xfId="0" applyFill="1" applyBorder="1" applyProtection="1">
      <protection locked="0"/>
    </xf>
    <xf numFmtId="0" fontId="0" fillId="9" borderId="5" xfId="0" applyFill="1" applyBorder="1" applyAlignment="1" applyProtection="1">
      <alignment horizontal="centerContinuous"/>
      <protection locked="0"/>
    </xf>
    <xf numFmtId="0" fontId="0" fillId="9" borderId="7" xfId="0" applyFill="1" applyBorder="1" applyAlignment="1" applyProtection="1">
      <alignment horizontal="centerContinuous"/>
      <protection locked="0"/>
    </xf>
    <xf numFmtId="0" fontId="0" fillId="2" borderId="0" xfId="0" applyFill="1" applyAlignment="1"/>
    <xf numFmtId="37" fontId="1" fillId="0" borderId="13" xfId="0" applyNumberFormat="1" applyFont="1" applyFill="1" applyBorder="1"/>
    <xf numFmtId="164" fontId="1" fillId="0" borderId="13" xfId="1" applyNumberFormat="1" applyFont="1" applyFill="1" applyBorder="1"/>
    <xf numFmtId="37" fontId="1" fillId="0" borderId="33" xfId="0" applyNumberFormat="1" applyFont="1" applyFill="1" applyBorder="1"/>
    <xf numFmtId="164" fontId="1" fillId="0" borderId="33" xfId="1" applyNumberFormat="1" applyFont="1" applyFill="1" applyBorder="1"/>
    <xf numFmtId="37" fontId="1" fillId="11" borderId="33" xfId="0" applyNumberFormat="1" applyFont="1" applyFill="1" applyBorder="1"/>
    <xf numFmtId="37" fontId="0" fillId="11" borderId="13" xfId="0" applyNumberFormat="1" applyFill="1" applyBorder="1"/>
    <xf numFmtId="37" fontId="1" fillId="11" borderId="13" xfId="0" applyNumberFormat="1" applyFont="1" applyFill="1" applyBorder="1"/>
    <xf numFmtId="37" fontId="1" fillId="0" borderId="34" xfId="0" applyNumberFormat="1" applyFont="1" applyFill="1" applyBorder="1"/>
    <xf numFmtId="164" fontId="1" fillId="0" borderId="34" xfId="1" applyNumberFormat="1" applyFont="1" applyFill="1" applyBorder="1"/>
    <xf numFmtId="37" fontId="1" fillId="11" borderId="34" xfId="0" applyNumberFormat="1" applyFont="1" applyFill="1" applyBorder="1"/>
    <xf numFmtId="0" fontId="1" fillId="2" borderId="35" xfId="0" applyFont="1" applyFill="1" applyBorder="1"/>
    <xf numFmtId="0" fontId="0" fillId="7" borderId="0" xfId="0" applyFill="1" applyAlignment="1"/>
    <xf numFmtId="39" fontId="0" fillId="0" borderId="4" xfId="1" applyNumberFormat="1" applyFont="1" applyFill="1" applyBorder="1"/>
    <xf numFmtId="39" fontId="0" fillId="11" borderId="4" xfId="0" applyNumberFormat="1" applyFill="1" applyBorder="1"/>
    <xf numFmtId="39" fontId="0" fillId="11" borderId="9" xfId="0" applyNumberFormat="1" applyFill="1" applyBorder="1"/>
    <xf numFmtId="39" fontId="1" fillId="0" borderId="36" xfId="0" applyNumberFormat="1" applyFont="1" applyFill="1" applyBorder="1"/>
    <xf numFmtId="164" fontId="1" fillId="0" borderId="36" xfId="1" applyNumberFormat="1" applyFont="1" applyFill="1" applyBorder="1"/>
    <xf numFmtId="39" fontId="1" fillId="11" borderId="37" xfId="0" applyNumberFormat="1" applyFont="1" applyFill="1" applyBorder="1"/>
    <xf numFmtId="37" fontId="0" fillId="15" borderId="30" xfId="0" applyNumberFormat="1" applyFont="1" applyFill="1" applyBorder="1" applyAlignment="1"/>
    <xf numFmtId="164" fontId="3" fillId="15" borderId="14" xfId="1" applyNumberFormat="1" applyFont="1" applyFill="1" applyBorder="1" applyAlignment="1">
      <alignment horizontal="right"/>
    </xf>
    <xf numFmtId="37" fontId="0" fillId="15" borderId="14" xfId="0" applyNumberFormat="1" applyFont="1" applyFill="1" applyBorder="1" applyAlignment="1"/>
    <xf numFmtId="37" fontId="0" fillId="15" borderId="14" xfId="0" applyNumberFormat="1" applyFont="1" applyFill="1" applyBorder="1"/>
    <xf numFmtId="49" fontId="0" fillId="3" borderId="0" xfId="0" applyNumberFormat="1" applyFill="1" applyAlignment="1">
      <alignment horizontal="left"/>
    </xf>
    <xf numFmtId="37" fontId="0" fillId="11" borderId="14" xfId="0" applyNumberFormat="1" applyFill="1" applyBorder="1"/>
    <xf numFmtId="0" fontId="1" fillId="2" borderId="6" xfId="0" applyFont="1" applyFill="1" applyBorder="1" applyAlignment="1">
      <alignment horizontal="left"/>
    </xf>
    <xf numFmtId="164" fontId="0" fillId="2" borderId="0" xfId="1" applyNumberFormat="1" applyFont="1" applyFill="1"/>
    <xf numFmtId="37" fontId="1" fillId="15" borderId="38" xfId="0" applyNumberFormat="1" applyFont="1" applyFill="1" applyBorder="1" applyAlignment="1"/>
    <xf numFmtId="164" fontId="1" fillId="15" borderId="34" xfId="1" applyNumberFormat="1" applyFont="1" applyFill="1" applyBorder="1"/>
    <xf numFmtId="37" fontId="1" fillId="15" borderId="34" xfId="0" applyNumberFormat="1" applyFont="1" applyFill="1" applyBorder="1" applyAlignment="1"/>
    <xf numFmtId="37" fontId="1" fillId="15" borderId="34" xfId="0" applyNumberFormat="1" applyFont="1" applyFill="1" applyBorder="1"/>
    <xf numFmtId="164" fontId="1" fillId="15" borderId="34" xfId="1" applyNumberFormat="1" applyFont="1" applyFill="1" applyBorder="1" applyAlignment="1">
      <alignment horizontal="right"/>
    </xf>
    <xf numFmtId="44" fontId="1" fillId="15" borderId="38" xfId="0" applyNumberFormat="1" applyFont="1" applyFill="1" applyBorder="1" applyAlignment="1"/>
    <xf numFmtId="44" fontId="1" fillId="15" borderId="34" xfId="0" applyNumberFormat="1" applyFont="1" applyFill="1" applyBorder="1"/>
    <xf numFmtId="37" fontId="0" fillId="2" borderId="0" xfId="0" applyNumberFormat="1" applyFill="1" applyAlignment="1">
      <alignment horizontal="right"/>
    </xf>
    <xf numFmtId="0" fontId="0" fillId="3" borderId="0" xfId="0" applyNumberFormat="1" applyFont="1" applyFill="1" applyAlignment="1">
      <alignment horizontal="left" indent="1"/>
    </xf>
    <xf numFmtId="0" fontId="0" fillId="2" borderId="0" xfId="0" applyFont="1" applyFill="1" applyAlignment="1">
      <alignment horizontal="left" indent="1"/>
    </xf>
    <xf numFmtId="37" fontId="0" fillId="2" borderId="21" xfId="0" applyNumberFormat="1" applyFill="1" applyBorder="1"/>
    <xf numFmtId="37" fontId="1" fillId="0" borderId="37" xfId="0" applyNumberFormat="1" applyFont="1" applyFill="1" applyBorder="1"/>
    <xf numFmtId="37" fontId="1" fillId="11" borderId="37" xfId="0" applyNumberFormat="1" applyFont="1" applyFill="1" applyBorder="1"/>
    <xf numFmtId="37" fontId="0" fillId="2" borderId="0" xfId="0" applyNumberFormat="1" applyFill="1"/>
    <xf numFmtId="10" fontId="0" fillId="2" borderId="21" xfId="1" applyNumberFormat="1" applyFont="1" applyFill="1" applyBorder="1"/>
    <xf numFmtId="10" fontId="0" fillId="2" borderId="22" xfId="1" applyNumberFormat="1" applyFont="1" applyFill="1" applyBorder="1"/>
    <xf numFmtId="10" fontId="0" fillId="2" borderId="0" xfId="1" applyNumberFormat="1" applyFont="1" applyFill="1" applyBorder="1"/>
    <xf numFmtId="0" fontId="1" fillId="2" borderId="0" xfId="0" applyFont="1" applyFill="1" applyAlignment="1">
      <alignment horizontal="left" indent="1"/>
    </xf>
    <xf numFmtId="37" fontId="1" fillId="0" borderId="4" xfId="0" applyNumberFormat="1" applyFont="1" applyFill="1" applyBorder="1"/>
    <xf numFmtId="164" fontId="1" fillId="0" borderId="4" xfId="1" applyNumberFormat="1" applyFont="1" applyFill="1" applyBorder="1"/>
    <xf numFmtId="37" fontId="1" fillId="11" borderId="4" xfId="0" applyNumberFormat="1" applyFont="1" applyFill="1" applyBorder="1"/>
    <xf numFmtId="0" fontId="20" fillId="2" borderId="0" xfId="0" applyFont="1" applyFill="1"/>
    <xf numFmtId="164" fontId="1" fillId="0" borderId="37" xfId="1" applyNumberFormat="1" applyFont="1" applyFill="1" applyBorder="1"/>
    <xf numFmtId="44" fontId="1" fillId="0" borderId="4" xfId="7" applyFont="1" applyFill="1" applyBorder="1"/>
    <xf numFmtId="44" fontId="1" fillId="11" borderId="4" xfId="7" applyFont="1" applyFill="1" applyBorder="1"/>
    <xf numFmtId="39" fontId="0" fillId="0" borderId="4" xfId="0" applyNumberFormat="1" applyFill="1" applyBorder="1"/>
    <xf numFmtId="44" fontId="19" fillId="2" borderId="15" xfId="7" applyFont="1" applyFill="1" applyBorder="1"/>
    <xf numFmtId="0" fontId="19" fillId="2" borderId="16" xfId="0" applyFont="1" applyFill="1" applyBorder="1"/>
    <xf numFmtId="0" fontId="0" fillId="10" borderId="0" xfId="0" applyFill="1"/>
    <xf numFmtId="0" fontId="19" fillId="2" borderId="0" xfId="0" applyFont="1" applyFill="1" applyAlignment="1">
      <alignment horizontal="left" indent="1"/>
    </xf>
    <xf numFmtId="44" fontId="19" fillId="2" borderId="16" xfId="7" applyFont="1" applyFill="1" applyBorder="1"/>
    <xf numFmtId="44" fontId="19" fillId="2" borderId="19" xfId="7" applyFont="1" applyFill="1" applyBorder="1"/>
    <xf numFmtId="37" fontId="1" fillId="0" borderId="21" xfId="0" applyNumberFormat="1" applyFont="1" applyFill="1" applyBorder="1"/>
    <xf numFmtId="164" fontId="1" fillId="0" borderId="22" xfId="1" applyNumberFormat="1" applyFont="1" applyFill="1" applyBorder="1"/>
    <xf numFmtId="164" fontId="1" fillId="0" borderId="0" xfId="1" applyNumberFormat="1" applyFont="1" applyFill="1" applyBorder="1"/>
    <xf numFmtId="37" fontId="1" fillId="11" borderId="22" xfId="0" applyNumberFormat="1" applyFont="1" applyFill="1" applyBorder="1"/>
    <xf numFmtId="49" fontId="0" fillId="3" borderId="0" xfId="0" applyNumberFormat="1" applyFont="1" applyFill="1" applyAlignment="1">
      <alignment horizontal="left"/>
    </xf>
    <xf numFmtId="44" fontId="19" fillId="2" borderId="21" xfId="7" applyFont="1" applyFill="1" applyBorder="1"/>
    <xf numFmtId="44" fontId="19" fillId="2" borderId="22" xfId="7" applyFont="1" applyFill="1" applyBorder="1"/>
    <xf numFmtId="44" fontId="19" fillId="2" borderId="0" xfId="7" applyFont="1" applyFill="1" applyBorder="1"/>
    <xf numFmtId="0" fontId="19" fillId="2" borderId="22" xfId="0" applyFont="1" applyFill="1" applyBorder="1"/>
    <xf numFmtId="37" fontId="0" fillId="2" borderId="15" xfId="0" applyNumberFormat="1" applyFill="1" applyBorder="1"/>
    <xf numFmtId="0" fontId="0" fillId="2" borderId="0" xfId="0" applyFont="1" applyFill="1" applyAlignment="1">
      <alignment horizontal="left"/>
    </xf>
    <xf numFmtId="0" fontId="1" fillId="2" borderId="0" xfId="0" applyFont="1" applyFill="1" applyAlignment="1">
      <alignment horizontal="center"/>
    </xf>
    <xf numFmtId="164" fontId="1" fillId="14" borderId="26" xfId="1" applyNumberFormat="1" applyFont="1" applyFill="1" applyBorder="1" applyAlignment="1"/>
    <xf numFmtId="164" fontId="1" fillId="15" borderId="13" xfId="1" applyNumberFormat="1" applyFont="1" applyFill="1" applyBorder="1" applyAlignment="1"/>
    <xf numFmtId="164" fontId="1" fillId="15" borderId="34" xfId="1" applyNumberFormat="1" applyFont="1" applyFill="1" applyBorder="1" applyAlignment="1"/>
    <xf numFmtId="164" fontId="1" fillId="14" borderId="28" xfId="1" applyNumberFormat="1" applyFont="1" applyFill="1" applyBorder="1" applyAlignment="1"/>
    <xf numFmtId="164" fontId="3" fillId="15" borderId="26" xfId="1" applyNumberFormat="1" applyFont="1" applyFill="1" applyBorder="1" applyAlignment="1"/>
    <xf numFmtId="0" fontId="1" fillId="2" borderId="9" xfId="0" applyFont="1" applyFill="1" applyBorder="1" applyAlignment="1">
      <alignment horizontal="center"/>
    </xf>
    <xf numFmtId="164" fontId="3" fillId="15" borderId="4" xfId="1" applyNumberFormat="1" applyFont="1" applyFill="1" applyBorder="1" applyAlignment="1"/>
    <xf numFmtId="44" fontId="1" fillId="15" borderId="40" xfId="0" applyNumberFormat="1" applyFont="1" applyFill="1" applyBorder="1" applyAlignment="1"/>
    <xf numFmtId="164" fontId="1" fillId="15" borderId="39" xfId="1" applyNumberFormat="1" applyFont="1" applyFill="1" applyBorder="1" applyAlignment="1"/>
    <xf numFmtId="44" fontId="1" fillId="15" borderId="39" xfId="0" applyNumberFormat="1" applyFont="1" applyFill="1" applyBorder="1"/>
    <xf numFmtId="44" fontId="0" fillId="15" borderId="41" xfId="0" applyNumberFormat="1" applyFont="1" applyFill="1" applyBorder="1" applyAlignment="1"/>
    <xf numFmtId="164" fontId="3" fillId="15" borderId="42" xfId="1" applyNumberFormat="1" applyFont="1" applyFill="1" applyBorder="1" applyAlignment="1"/>
    <xf numFmtId="44" fontId="0" fillId="15" borderId="42" xfId="0" applyNumberFormat="1" applyFont="1" applyFill="1" applyBorder="1"/>
    <xf numFmtId="3" fontId="0" fillId="2" borderId="0" xfId="0" applyNumberFormat="1" applyFill="1" applyAlignment="1"/>
    <xf numFmtId="0" fontId="0" fillId="13" borderId="21" xfId="0" applyFill="1" applyBorder="1"/>
    <xf numFmtId="0" fontId="0" fillId="13" borderId="22" xfId="0" applyFill="1" applyBorder="1"/>
    <xf numFmtId="0" fontId="0" fillId="13" borderId="0" xfId="0" applyFill="1" applyBorder="1"/>
    <xf numFmtId="164" fontId="0" fillId="13" borderId="4" xfId="1" applyNumberFormat="1" applyFont="1" applyFill="1" applyBorder="1"/>
    <xf numFmtId="10" fontId="0" fillId="11" borderId="4" xfId="1" applyNumberFormat="1" applyFont="1" applyFill="1" applyBorder="1"/>
    <xf numFmtId="44" fontId="0" fillId="11" borderId="4" xfId="7" applyFont="1" applyFill="1" applyBorder="1"/>
    <xf numFmtId="44" fontId="0" fillId="11" borderId="4" xfId="7" applyNumberFormat="1" applyFont="1" applyFill="1" applyBorder="1"/>
    <xf numFmtId="0" fontId="0" fillId="16" borderId="0" xfId="0" applyFill="1"/>
    <xf numFmtId="37" fontId="0" fillId="17" borderId="4" xfId="0" applyNumberFormat="1" applyFill="1" applyBorder="1"/>
    <xf numFmtId="164" fontId="0" fillId="17" borderId="4" xfId="1" applyNumberFormat="1" applyFont="1" applyFill="1" applyBorder="1"/>
    <xf numFmtId="0" fontId="9" fillId="16" borderId="0" xfId="0" applyFont="1" applyFill="1"/>
    <xf numFmtId="37" fontId="0" fillId="17" borderId="13" xfId="0" applyNumberFormat="1" applyFill="1" applyBorder="1"/>
    <xf numFmtId="164" fontId="0" fillId="17" borderId="13" xfId="1" applyNumberFormat="1" applyFont="1" applyFill="1" applyBorder="1"/>
    <xf numFmtId="37" fontId="1" fillId="0" borderId="38" xfId="0" applyNumberFormat="1" applyFont="1" applyFill="1" applyBorder="1"/>
    <xf numFmtId="37" fontId="1" fillId="0" borderId="43" xfId="0" applyNumberFormat="1" applyFont="1" applyFill="1" applyBorder="1"/>
    <xf numFmtId="0" fontId="15" fillId="2" borderId="0" xfId="0" applyFont="1" applyFill="1" applyAlignment="1">
      <alignment horizontal="left"/>
    </xf>
    <xf numFmtId="165" fontId="15" fillId="2" borderId="15" xfId="9" applyNumberFormat="1" applyFont="1" applyFill="1" applyBorder="1"/>
    <xf numFmtId="0" fontId="19" fillId="2" borderId="0" xfId="0" applyFont="1" applyFill="1" applyBorder="1"/>
    <xf numFmtId="0" fontId="13" fillId="13" borderId="4" xfId="0" applyNumberFormat="1" applyFont="1" applyFill="1" applyBorder="1" applyAlignment="1"/>
    <xf numFmtId="0" fontId="11" fillId="12" borderId="44" xfId="0" applyNumberFormat="1" applyFont="1" applyFill="1" applyBorder="1" applyAlignment="1">
      <alignment horizontal="centerContinuous"/>
    </xf>
    <xf numFmtId="0" fontId="11" fillId="12" borderId="45" xfId="0" applyNumberFormat="1" applyFont="1" applyFill="1" applyBorder="1" applyAlignment="1">
      <alignment horizontal="centerContinuous"/>
    </xf>
    <xf numFmtId="0" fontId="11" fillId="12" borderId="46" xfId="0" applyNumberFormat="1" applyFont="1" applyFill="1" applyBorder="1" applyAlignment="1">
      <alignment horizontal="centerContinuous"/>
    </xf>
    <xf numFmtId="0" fontId="13" fillId="13" borderId="4" xfId="0" applyNumberFormat="1" applyFont="1" applyFill="1" applyBorder="1" applyAlignment="1">
      <alignment horizontal="center"/>
    </xf>
    <xf numFmtId="0" fontId="0" fillId="10" borderId="2" xfId="0" applyFill="1" applyBorder="1" applyAlignment="1">
      <alignment horizontal="center"/>
    </xf>
    <xf numFmtId="0" fontId="7" fillId="9" borderId="0" xfId="0" applyFont="1" applyFill="1" applyProtection="1"/>
    <xf numFmtId="0" fontId="7" fillId="2" borderId="0" xfId="0" applyNumberFormat="1" applyFont="1" applyFill="1" applyProtection="1"/>
    <xf numFmtId="0" fontId="7" fillId="2" borderId="0" xfId="0" applyFont="1" applyFill="1" applyProtection="1"/>
    <xf numFmtId="10" fontId="7" fillId="2" borderId="0" xfId="6" applyNumberFormat="1" applyFont="1" applyFill="1" applyProtection="1"/>
    <xf numFmtId="0" fontId="5" fillId="9" borderId="2" xfId="2" applyFont="1" applyFill="1" applyBorder="1" applyAlignment="1" applyProtection="1">
      <alignment horizontal="center"/>
      <protection locked="0"/>
    </xf>
    <xf numFmtId="0" fontId="0" fillId="8" borderId="50" xfId="0" applyFill="1" applyBorder="1" applyProtection="1">
      <protection locked="0"/>
    </xf>
    <xf numFmtId="0" fontId="0" fillId="8" borderId="51" xfId="0" applyFill="1" applyBorder="1" applyProtection="1">
      <protection locked="0"/>
    </xf>
    <xf numFmtId="0" fontId="0" fillId="8" borderId="52" xfId="0" applyFill="1" applyBorder="1" applyProtection="1">
      <protection locked="0"/>
    </xf>
    <xf numFmtId="0" fontId="5" fillId="9" borderId="47" xfId="2" applyFont="1" applyFill="1" applyBorder="1" applyAlignment="1" applyProtection="1">
      <alignment horizontal="centerContinuous"/>
      <protection locked="0"/>
    </xf>
    <xf numFmtId="0" fontId="7" fillId="9" borderId="48" xfId="2" applyFont="1" applyFill="1" applyBorder="1" applyAlignment="1" applyProtection="1">
      <alignment horizontal="centerContinuous"/>
      <protection locked="0"/>
    </xf>
    <xf numFmtId="0" fontId="0" fillId="9" borderId="48" xfId="0" applyFill="1" applyBorder="1" applyAlignment="1" applyProtection="1">
      <alignment horizontal="centerContinuous"/>
      <protection locked="0"/>
    </xf>
    <xf numFmtId="0" fontId="0" fillId="9" borderId="49" xfId="0" applyFill="1" applyBorder="1" applyAlignment="1" applyProtection="1">
      <alignment horizontal="centerContinuous"/>
      <protection locked="0"/>
    </xf>
    <xf numFmtId="0" fontId="0" fillId="8" borderId="53" xfId="0" applyFill="1" applyBorder="1" applyAlignment="1" applyProtection="1">
      <alignment horizontal="centerContinuous"/>
      <protection locked="0"/>
    </xf>
    <xf numFmtId="0" fontId="0" fillId="8" borderId="54" xfId="0" applyFill="1" applyBorder="1" applyAlignment="1" applyProtection="1">
      <alignment horizontal="centerContinuous"/>
      <protection locked="0"/>
    </xf>
    <xf numFmtId="0" fontId="5" fillId="8" borderId="0" xfId="2" applyFont="1" applyFill="1" applyBorder="1" applyAlignment="1" applyProtection="1">
      <alignment horizontal="left" indent="1"/>
      <protection locked="0"/>
    </xf>
    <xf numFmtId="0" fontId="5" fillId="9" borderId="48" xfId="2" applyFont="1" applyFill="1" applyBorder="1" applyAlignment="1" applyProtection="1">
      <alignment horizontal="centerContinuous"/>
      <protection locked="0"/>
    </xf>
    <xf numFmtId="0" fontId="5" fillId="8" borderId="53" xfId="2" applyFont="1" applyFill="1" applyBorder="1" applyAlignment="1" applyProtection="1">
      <alignment horizontal="centerContinuous"/>
      <protection locked="0"/>
    </xf>
    <xf numFmtId="0" fontId="0" fillId="9" borderId="6" xfId="0" applyFill="1" applyBorder="1" applyAlignment="1" applyProtection="1">
      <alignment horizontal="centerContinuous"/>
      <protection locked="0"/>
    </xf>
    <xf numFmtId="0" fontId="0" fillId="9" borderId="2" xfId="0" applyFill="1" applyBorder="1" applyAlignment="1" applyProtection="1">
      <alignment horizontal="centerContinuous"/>
      <protection locked="0"/>
    </xf>
    <xf numFmtId="0" fontId="1" fillId="4" borderId="2" xfId="0" applyFont="1" applyFill="1" applyBorder="1" applyAlignment="1">
      <alignment wrapText="1"/>
    </xf>
    <xf numFmtId="0" fontId="0" fillId="2" borderId="2" xfId="0" applyFill="1" applyBorder="1" applyAlignment="1">
      <alignment wrapText="1"/>
    </xf>
    <xf numFmtId="0" fontId="0" fillId="2" borderId="0" xfId="0" applyFill="1" applyAlignment="1">
      <alignment wrapText="1"/>
    </xf>
    <xf numFmtId="3" fontId="0" fillId="2" borderId="0" xfId="0" applyNumberFormat="1" applyFill="1" applyAlignment="1">
      <alignment wrapText="1"/>
    </xf>
    <xf numFmtId="0" fontId="0" fillId="2" borderId="0" xfId="0" applyFill="1" applyAlignment="1">
      <alignment horizontal="center" wrapText="1"/>
    </xf>
    <xf numFmtId="0" fontId="15" fillId="2" borderId="0" xfId="0" applyFont="1" applyFill="1" applyAlignment="1">
      <alignment horizontal="center" wrapText="1"/>
    </xf>
    <xf numFmtId="0" fontId="15" fillId="2" borderId="0" xfId="0" applyFont="1" applyFill="1" applyAlignment="1">
      <alignment wrapText="1"/>
    </xf>
    <xf numFmtId="0" fontId="13" fillId="13" borderId="4" xfId="0" applyNumberFormat="1" applyFont="1" applyFill="1" applyBorder="1" applyAlignment="1">
      <alignment horizontal="center" wrapText="1"/>
    </xf>
    <xf numFmtId="0" fontId="13" fillId="13" borderId="4" xfId="0" applyNumberFormat="1" applyFont="1" applyFill="1" applyBorder="1" applyAlignment="1">
      <alignment horizontal="centerContinuous" wrapText="1"/>
    </xf>
    <xf numFmtId="0" fontId="0" fillId="8" borderId="53" xfId="0" applyFill="1" applyBorder="1" applyProtection="1">
      <protection locked="0"/>
    </xf>
    <xf numFmtId="0" fontId="0" fillId="8" borderId="54" xfId="0" applyFill="1" applyBorder="1" applyProtection="1">
      <protection locked="0"/>
    </xf>
    <xf numFmtId="0" fontId="1" fillId="9" borderId="47" xfId="0" applyFont="1" applyFill="1" applyBorder="1" applyAlignment="1" applyProtection="1">
      <alignment horizontal="centerContinuous"/>
      <protection locked="0"/>
    </xf>
    <xf numFmtId="0" fontId="1" fillId="9" borderId="48" xfId="0" applyFont="1" applyFill="1" applyBorder="1" applyAlignment="1" applyProtection="1">
      <alignment horizontal="centerContinuous"/>
      <protection locked="0"/>
    </xf>
    <xf numFmtId="0" fontId="0" fillId="8" borderId="0" xfId="0" applyFill="1" applyBorder="1" applyAlignment="1" applyProtection="1">
      <protection locked="0"/>
    </xf>
    <xf numFmtId="0" fontId="0" fillId="8" borderId="50" xfId="0" applyFill="1" applyBorder="1" applyAlignment="1" applyProtection="1">
      <protection locked="0"/>
    </xf>
    <xf numFmtId="165" fontId="15" fillId="2" borderId="0" xfId="9" applyNumberFormat="1" applyFont="1" applyFill="1" applyBorder="1"/>
    <xf numFmtId="39" fontId="15" fillId="2" borderId="15" xfId="9" applyNumberFormat="1" applyFont="1" applyFill="1" applyBorder="1"/>
    <xf numFmtId="39" fontId="15" fillId="2" borderId="0" xfId="9" applyNumberFormat="1" applyFont="1" applyFill="1" applyBorder="1"/>
    <xf numFmtId="37" fontId="1" fillId="14" borderId="57" xfId="0" applyNumberFormat="1" applyFont="1" applyFill="1" applyBorder="1" applyAlignment="1"/>
    <xf numFmtId="37" fontId="0" fillId="15" borderId="57" xfId="0" applyNumberFormat="1" applyFont="1" applyFill="1" applyBorder="1" applyAlignment="1"/>
    <xf numFmtId="37" fontId="1" fillId="14" borderId="58" xfId="0" applyNumberFormat="1" applyFont="1" applyFill="1" applyBorder="1" applyAlignment="1"/>
    <xf numFmtId="37" fontId="1" fillId="15" borderId="59" xfId="0" applyNumberFormat="1" applyFont="1" applyFill="1" applyBorder="1" applyAlignment="1"/>
    <xf numFmtId="37" fontId="1" fillId="15" borderId="18" xfId="0" applyNumberFormat="1" applyFont="1" applyFill="1" applyBorder="1" applyAlignment="1"/>
    <xf numFmtId="37" fontId="0" fillId="15" borderId="18" xfId="0" applyNumberFormat="1" applyFont="1" applyFill="1" applyBorder="1" applyAlignment="1"/>
    <xf numFmtId="37" fontId="0" fillId="15" borderId="58" xfId="0" applyNumberFormat="1" applyFont="1" applyFill="1" applyBorder="1" applyAlignment="1"/>
    <xf numFmtId="37" fontId="0" fillId="15" borderId="22" xfId="0" applyNumberFormat="1" applyFont="1" applyFill="1" applyBorder="1" applyAlignment="1"/>
    <xf numFmtId="37" fontId="0" fillId="15" borderId="60" xfId="0" applyNumberFormat="1" applyFont="1" applyFill="1" applyBorder="1" applyAlignment="1"/>
    <xf numFmtId="44" fontId="1" fillId="14" borderId="57" xfId="0" applyNumberFormat="1" applyFont="1" applyFill="1" applyBorder="1" applyAlignment="1"/>
    <xf numFmtId="44" fontId="0" fillId="15" borderId="57" xfId="0" applyNumberFormat="1" applyFont="1" applyFill="1" applyBorder="1" applyAlignment="1"/>
    <xf numFmtId="44" fontId="1" fillId="14" borderId="58" xfId="0" applyNumberFormat="1" applyFont="1" applyFill="1" applyBorder="1" applyAlignment="1"/>
    <xf numFmtId="44" fontId="1" fillId="15" borderId="59" xfId="0" applyNumberFormat="1" applyFont="1" applyFill="1" applyBorder="1" applyAlignment="1"/>
    <xf numFmtId="44" fontId="1" fillId="15" borderId="18" xfId="0" applyNumberFormat="1" applyFont="1" applyFill="1" applyBorder="1" applyAlignment="1"/>
    <xf numFmtId="44" fontId="0" fillId="15" borderId="61" xfId="0" applyNumberFormat="1" applyFont="1" applyFill="1" applyBorder="1" applyAlignment="1"/>
    <xf numFmtId="37" fontId="0" fillId="2" borderId="0" xfId="0" applyNumberFormat="1" applyFill="1" applyBorder="1"/>
    <xf numFmtId="37" fontId="1" fillId="0" borderId="0" xfId="0" applyNumberFormat="1" applyFont="1" applyFill="1" applyBorder="1"/>
    <xf numFmtId="37" fontId="0" fillId="2" borderId="19" xfId="0" applyNumberFormat="1" applyFill="1" applyBorder="1"/>
    <xf numFmtId="0" fontId="0" fillId="2" borderId="64" xfId="0" applyFill="1" applyBorder="1"/>
    <xf numFmtId="37" fontId="1" fillId="11" borderId="68" xfId="0" applyNumberFormat="1" applyFont="1" applyFill="1" applyBorder="1"/>
    <xf numFmtId="37" fontId="1" fillId="11" borderId="69" xfId="0" applyNumberFormat="1" applyFont="1" applyFill="1" applyBorder="1"/>
    <xf numFmtId="37" fontId="1" fillId="14" borderId="70" xfId="0" applyNumberFormat="1" applyFont="1" applyFill="1" applyBorder="1"/>
    <xf numFmtId="37" fontId="0" fillId="15" borderId="70" xfId="0" applyNumberFormat="1" applyFont="1" applyFill="1" applyBorder="1"/>
    <xf numFmtId="37" fontId="1" fillId="14" borderId="66" xfId="0" applyNumberFormat="1" applyFont="1" applyFill="1" applyBorder="1"/>
    <xf numFmtId="37" fontId="1" fillId="15" borderId="68" xfId="0" applyNumberFormat="1" applyFont="1" applyFill="1" applyBorder="1"/>
    <xf numFmtId="37" fontId="1" fillId="15" borderId="71" xfId="0" applyNumberFormat="1" applyFont="1" applyFill="1" applyBorder="1"/>
    <xf numFmtId="37" fontId="0" fillId="15" borderId="71" xfId="0" applyNumberFormat="1" applyFont="1" applyFill="1" applyBorder="1"/>
    <xf numFmtId="37" fontId="0" fillId="15" borderId="66" xfId="0" applyNumberFormat="1" applyFont="1" applyFill="1" applyBorder="1"/>
    <xf numFmtId="37" fontId="0" fillId="15" borderId="67" xfId="0" applyNumberFormat="1" applyFont="1" applyFill="1" applyBorder="1"/>
    <xf numFmtId="37" fontId="0" fillId="15" borderId="63" xfId="0" applyNumberFormat="1" applyFont="1" applyFill="1" applyBorder="1"/>
    <xf numFmtId="44" fontId="1" fillId="14" borderId="70" xfId="0" applyNumberFormat="1" applyFont="1" applyFill="1" applyBorder="1"/>
    <xf numFmtId="44" fontId="0" fillId="15" borderId="70" xfId="0" applyNumberFormat="1" applyFont="1" applyFill="1" applyBorder="1"/>
    <xf numFmtId="44" fontId="1" fillId="14" borderId="66" xfId="0" applyNumberFormat="1" applyFont="1" applyFill="1" applyBorder="1"/>
    <xf numFmtId="44" fontId="1" fillId="15" borderId="68" xfId="0" applyNumberFormat="1" applyFont="1" applyFill="1" applyBorder="1"/>
    <xf numFmtId="44" fontId="1" fillId="15" borderId="71" xfId="0" applyNumberFormat="1" applyFont="1" applyFill="1" applyBorder="1"/>
    <xf numFmtId="44" fontId="0" fillId="15" borderId="65" xfId="0" applyNumberFormat="1" applyFont="1" applyFill="1" applyBorder="1"/>
    <xf numFmtId="0" fontId="1" fillId="2" borderId="22" xfId="0" applyFont="1" applyFill="1" applyBorder="1" applyAlignment="1">
      <alignment horizontal="right"/>
    </xf>
    <xf numFmtId="37" fontId="0" fillId="0" borderId="31" xfId="0" applyNumberFormat="1" applyFill="1" applyBorder="1"/>
    <xf numFmtId="37" fontId="0" fillId="0" borderId="32" xfId="0" applyNumberFormat="1" applyFill="1" applyBorder="1"/>
    <xf numFmtId="164" fontId="0" fillId="0" borderId="32" xfId="1" applyNumberFormat="1" applyFont="1" applyFill="1" applyBorder="1"/>
    <xf numFmtId="37" fontId="0" fillId="11" borderId="32" xfId="0" applyNumberFormat="1" applyFill="1" applyBorder="1"/>
    <xf numFmtId="37" fontId="0" fillId="11" borderId="63" xfId="0" applyNumberFormat="1" applyFill="1" applyBorder="1"/>
    <xf numFmtId="37" fontId="0" fillId="0" borderId="41" xfId="0" applyNumberFormat="1" applyFill="1" applyBorder="1"/>
    <xf numFmtId="37" fontId="0" fillId="0" borderId="42" xfId="0" applyNumberFormat="1" applyFill="1" applyBorder="1"/>
    <xf numFmtId="164" fontId="0" fillId="0" borderId="42" xfId="1" applyNumberFormat="1" applyFont="1" applyFill="1" applyBorder="1"/>
    <xf numFmtId="37" fontId="0" fillId="11" borderId="42" xfId="0" applyNumberFormat="1" applyFill="1" applyBorder="1"/>
    <xf numFmtId="37" fontId="0" fillId="11" borderId="65" xfId="0" applyNumberFormat="1" applyFill="1" applyBorder="1"/>
    <xf numFmtId="0" fontId="19" fillId="2" borderId="17" xfId="0" applyFont="1" applyFill="1" applyBorder="1"/>
    <xf numFmtId="0" fontId="19" fillId="2" borderId="20" xfId="0" applyFont="1" applyFill="1" applyBorder="1"/>
    <xf numFmtId="0" fontId="19" fillId="2" borderId="18" xfId="0" applyFont="1" applyFill="1" applyBorder="1"/>
    <xf numFmtId="0" fontId="19" fillId="2" borderId="0" xfId="0" applyFont="1" applyFill="1"/>
    <xf numFmtId="37" fontId="0" fillId="0" borderId="27" xfId="0" applyNumberFormat="1" applyFill="1" applyBorder="1"/>
    <xf numFmtId="37" fontId="0" fillId="0" borderId="28" xfId="0" applyNumberFormat="1" applyFill="1" applyBorder="1"/>
    <xf numFmtId="164" fontId="0" fillId="0" borderId="28" xfId="1" applyNumberFormat="1" applyFont="1" applyFill="1" applyBorder="1"/>
    <xf numFmtId="37" fontId="0" fillId="11" borderId="28" xfId="0" applyNumberFormat="1" applyFill="1" applyBorder="1"/>
    <xf numFmtId="37" fontId="0" fillId="11" borderId="66" xfId="0" applyNumberFormat="1" applyFill="1" applyBorder="1"/>
    <xf numFmtId="0" fontId="0" fillId="2" borderId="72" xfId="0" applyFill="1" applyBorder="1"/>
    <xf numFmtId="0" fontId="0" fillId="2" borderId="62" xfId="0" applyFill="1" applyBorder="1"/>
    <xf numFmtId="37" fontId="0" fillId="0" borderId="30" xfId="0" applyNumberFormat="1" applyFill="1" applyBorder="1"/>
    <xf numFmtId="37" fontId="0" fillId="11" borderId="67" xfId="0" applyNumberFormat="1" applyFill="1" applyBorder="1"/>
    <xf numFmtId="37" fontId="0" fillId="0" borderId="25" xfId="0" applyNumberFormat="1" applyFill="1" applyBorder="1"/>
    <xf numFmtId="37" fontId="0" fillId="0" borderId="26" xfId="0" applyNumberFormat="1" applyFill="1" applyBorder="1"/>
    <xf numFmtId="164" fontId="0" fillId="0" borderId="26" xfId="1" applyNumberFormat="1" applyFont="1" applyFill="1" applyBorder="1"/>
    <xf numFmtId="37" fontId="0" fillId="11" borderId="26" xfId="0" applyNumberFormat="1" applyFill="1" applyBorder="1"/>
    <xf numFmtId="37" fontId="0" fillId="11" borderId="70" xfId="0" applyNumberFormat="1" applyFill="1" applyBorder="1"/>
    <xf numFmtId="37" fontId="0" fillId="0" borderId="29" xfId="0" applyNumberFormat="1" applyFill="1" applyBorder="1"/>
    <xf numFmtId="37" fontId="0" fillId="11" borderId="71" xfId="0" applyNumberFormat="1" applyFill="1" applyBorder="1"/>
    <xf numFmtId="0" fontId="22" fillId="8" borderId="0" xfId="0" applyFont="1" applyFill="1" applyProtection="1">
      <protection locked="0"/>
    </xf>
    <xf numFmtId="0" fontId="23" fillId="8" borderId="0" xfId="0" applyFont="1" applyFill="1" applyProtection="1">
      <protection locked="0"/>
    </xf>
    <xf numFmtId="0" fontId="22" fillId="8" borderId="5" xfId="0" applyFont="1" applyFill="1" applyBorder="1" applyProtection="1">
      <protection locked="0"/>
    </xf>
    <xf numFmtId="0" fontId="22" fillId="8" borderId="7" xfId="0" applyFont="1" applyFill="1" applyBorder="1" applyProtection="1">
      <protection locked="0"/>
    </xf>
    <xf numFmtId="0" fontId="22" fillId="8" borderId="6" xfId="0" applyFont="1" applyFill="1" applyBorder="1" applyProtection="1">
      <protection locked="0"/>
    </xf>
    <xf numFmtId="0" fontId="0" fillId="8" borderId="48" xfId="0" applyFill="1" applyBorder="1" applyProtection="1">
      <protection locked="0"/>
    </xf>
    <xf numFmtId="0" fontId="0" fillId="2" borderId="0" xfId="0" applyFill="1" applyAlignment="1">
      <alignment horizontal="right" wrapText="1"/>
    </xf>
    <xf numFmtId="0" fontId="4" fillId="2" borderId="0" xfId="0" applyFont="1" applyFill="1" applyAlignment="1">
      <alignment horizontal="center" wrapText="1"/>
    </xf>
    <xf numFmtId="0" fontId="0" fillId="8" borderId="2" xfId="0" applyFill="1" applyBorder="1"/>
    <xf numFmtId="0" fontId="0" fillId="10" borderId="2" xfId="0" applyFill="1" applyBorder="1" applyAlignment="1">
      <alignment horizontal="left"/>
    </xf>
    <xf numFmtId="37" fontId="0" fillId="0" borderId="4" xfId="1" applyNumberFormat="1" applyFont="1" applyFill="1" applyBorder="1"/>
    <xf numFmtId="39" fontId="0" fillId="18" borderId="4" xfId="0" applyNumberFormat="1" applyFill="1" applyBorder="1"/>
    <xf numFmtId="39" fontId="0" fillId="19" borderId="4" xfId="0" applyNumberFormat="1" applyFill="1" applyBorder="1"/>
    <xf numFmtId="39" fontId="0" fillId="9" borderId="4" xfId="0" applyNumberFormat="1" applyFill="1" applyBorder="1"/>
    <xf numFmtId="39" fontId="0" fillId="18" borderId="13" xfId="0" applyNumberFormat="1" applyFill="1" applyBorder="1"/>
    <xf numFmtId="39" fontId="0" fillId="19" borderId="13" xfId="0" applyNumberFormat="1" applyFill="1" applyBorder="1"/>
    <xf numFmtId="39" fontId="0" fillId="11" borderId="13" xfId="0" applyNumberFormat="1" applyFill="1" applyBorder="1"/>
    <xf numFmtId="39" fontId="0" fillId="9" borderId="13" xfId="0" applyNumberFormat="1" applyFill="1" applyBorder="1"/>
    <xf numFmtId="39" fontId="0" fillId="18" borderId="9" xfId="0" applyNumberFormat="1" applyFill="1" applyBorder="1"/>
    <xf numFmtId="39" fontId="0" fillId="19" borderId="9" xfId="0" applyNumberFormat="1" applyFill="1" applyBorder="1"/>
    <xf numFmtId="39" fontId="0" fillId="9" borderId="9" xfId="0" applyNumberFormat="1" applyFill="1" applyBorder="1"/>
    <xf numFmtId="39" fontId="1" fillId="18" borderId="34" xfId="0" applyNumberFormat="1" applyFont="1" applyFill="1" applyBorder="1"/>
    <xf numFmtId="39" fontId="1" fillId="19" borderId="34" xfId="0" applyNumberFormat="1" applyFont="1" applyFill="1" applyBorder="1"/>
    <xf numFmtId="39" fontId="1" fillId="11" borderId="34" xfId="0" applyNumberFormat="1" applyFont="1" applyFill="1" applyBorder="1"/>
    <xf numFmtId="39" fontId="1" fillId="9" borderId="34" xfId="0" applyNumberFormat="1" applyFont="1" applyFill="1" applyBorder="1"/>
    <xf numFmtId="39" fontId="1" fillId="18" borderId="11" xfId="0" applyNumberFormat="1" applyFont="1" applyFill="1" applyBorder="1"/>
    <xf numFmtId="39" fontId="1" fillId="19" borderId="11" xfId="0" applyNumberFormat="1" applyFont="1" applyFill="1" applyBorder="1"/>
    <xf numFmtId="39" fontId="1" fillId="11" borderId="11" xfId="0" applyNumberFormat="1" applyFont="1" applyFill="1" applyBorder="1"/>
    <xf numFmtId="39" fontId="1" fillId="9" borderId="11" xfId="0" applyNumberFormat="1" applyFont="1" applyFill="1" applyBorder="1"/>
    <xf numFmtId="39" fontId="1" fillId="18" borderId="74" xfId="0" applyNumberFormat="1" applyFont="1" applyFill="1" applyBorder="1"/>
    <xf numFmtId="39" fontId="1" fillId="19" borderId="74" xfId="0" applyNumberFormat="1" applyFont="1" applyFill="1" applyBorder="1"/>
    <xf numFmtId="39" fontId="1" fillId="11" borderId="74" xfId="0" applyNumberFormat="1" applyFont="1" applyFill="1" applyBorder="1"/>
    <xf numFmtId="39" fontId="1" fillId="9" borderId="74" xfId="0" applyNumberFormat="1" applyFont="1" applyFill="1" applyBorder="1"/>
    <xf numFmtId="39" fontId="1" fillId="18" borderId="12" xfId="0" applyNumberFormat="1" applyFont="1" applyFill="1" applyBorder="1"/>
    <xf numFmtId="39" fontId="1" fillId="19" borderId="12" xfId="0" applyNumberFormat="1" applyFont="1" applyFill="1" applyBorder="1"/>
    <xf numFmtId="39" fontId="1" fillId="11" borderId="12" xfId="0" applyNumberFormat="1" applyFont="1" applyFill="1" applyBorder="1"/>
    <xf numFmtId="39" fontId="1" fillId="9" borderId="12" xfId="0" applyNumberFormat="1" applyFont="1" applyFill="1" applyBorder="1"/>
    <xf numFmtId="39" fontId="0" fillId="18" borderId="73" xfId="0" applyNumberFormat="1" applyFill="1" applyBorder="1"/>
    <xf numFmtId="39" fontId="0" fillId="19" borderId="73" xfId="0" applyNumberFormat="1" applyFill="1" applyBorder="1"/>
    <xf numFmtId="39" fontId="0" fillId="11" borderId="73" xfId="0" applyNumberFormat="1" applyFill="1" applyBorder="1"/>
    <xf numFmtId="39" fontId="0" fillId="9" borderId="73" xfId="0" applyNumberFormat="1" applyFill="1" applyBorder="1"/>
    <xf numFmtId="39" fontId="0" fillId="18" borderId="23" xfId="0" applyNumberFormat="1" applyFill="1" applyBorder="1"/>
    <xf numFmtId="39" fontId="0" fillId="19" borderId="23" xfId="0" applyNumberFormat="1" applyFill="1" applyBorder="1"/>
    <xf numFmtId="39" fontId="0" fillId="11" borderId="23" xfId="0" applyNumberFormat="1" applyFill="1" applyBorder="1"/>
    <xf numFmtId="39" fontId="0" fillId="9" borderId="23" xfId="0" applyNumberFormat="1" applyFill="1" applyBorder="1"/>
    <xf numFmtId="37" fontId="0" fillId="11" borderId="15" xfId="0" applyNumberFormat="1" applyFill="1" applyBorder="1"/>
    <xf numFmtId="37" fontId="0" fillId="11" borderId="16" xfId="0" applyNumberFormat="1" applyFill="1" applyBorder="1"/>
    <xf numFmtId="37" fontId="0" fillId="11" borderId="4" xfId="0" applyNumberFormat="1" applyFill="1" applyBorder="1" applyAlignment="1">
      <alignment horizontal="right"/>
    </xf>
    <xf numFmtId="39" fontId="0" fillId="11" borderId="4" xfId="0" applyNumberFormat="1" applyFill="1" applyBorder="1" applyAlignment="1">
      <alignment horizontal="right"/>
    </xf>
    <xf numFmtId="39" fontId="0" fillId="11" borderId="9" xfId="0" applyNumberFormat="1" applyFill="1" applyBorder="1" applyAlignment="1">
      <alignment horizontal="right"/>
    </xf>
    <xf numFmtId="37" fontId="0" fillId="11" borderId="9" xfId="0" applyNumberFormat="1" applyFill="1" applyBorder="1" applyAlignment="1">
      <alignment horizontal="right"/>
    </xf>
    <xf numFmtId="39" fontId="0" fillId="11" borderId="13" xfId="0" applyNumberFormat="1" applyFill="1" applyBorder="1" applyAlignment="1">
      <alignment horizontal="right"/>
    </xf>
    <xf numFmtId="37" fontId="0" fillId="11" borderId="13" xfId="0" applyNumberFormat="1" applyFill="1" applyBorder="1" applyAlignment="1">
      <alignment horizontal="right"/>
    </xf>
    <xf numFmtId="39" fontId="1" fillId="18" borderId="37" xfId="0" applyNumberFormat="1" applyFont="1" applyFill="1" applyBorder="1"/>
    <xf numFmtId="39" fontId="1" fillId="19" borderId="37" xfId="0" applyNumberFormat="1" applyFont="1" applyFill="1" applyBorder="1"/>
    <xf numFmtId="39" fontId="1" fillId="9" borderId="37" xfId="0" applyNumberFormat="1" applyFont="1" applyFill="1" applyBorder="1"/>
    <xf numFmtId="39" fontId="1" fillId="11" borderId="37" xfId="0" applyNumberFormat="1" applyFont="1" applyFill="1" applyBorder="1" applyAlignment="1">
      <alignment horizontal="right"/>
    </xf>
    <xf numFmtId="37" fontId="1" fillId="11" borderId="37" xfId="0" applyNumberFormat="1" applyFont="1" applyFill="1" applyBorder="1" applyAlignment="1">
      <alignment horizontal="right"/>
    </xf>
    <xf numFmtId="166" fontId="1" fillId="11" borderId="37" xfId="0" applyNumberFormat="1" applyFont="1" applyFill="1" applyBorder="1" applyAlignment="1">
      <alignment horizontal="right"/>
    </xf>
    <xf numFmtId="10" fontId="0" fillId="2" borderId="0" xfId="0" applyNumberFormat="1" applyFill="1"/>
    <xf numFmtId="39" fontId="0" fillId="18" borderId="26" xfId="0" applyNumberFormat="1" applyFill="1" applyBorder="1"/>
    <xf numFmtId="39" fontId="0" fillId="19" borderId="26" xfId="0" applyNumberFormat="1" applyFill="1" applyBorder="1"/>
    <xf numFmtId="39" fontId="0" fillId="9" borderId="26" xfId="0" applyNumberFormat="1" applyFill="1" applyBorder="1"/>
    <xf numFmtId="39" fontId="0" fillId="11" borderId="26" xfId="0" applyNumberFormat="1" applyFill="1" applyBorder="1" applyAlignment="1">
      <alignment horizontal="right"/>
    </xf>
    <xf numFmtId="37" fontId="0" fillId="11" borderId="70" xfId="0" applyNumberFormat="1" applyFill="1" applyBorder="1" applyAlignment="1">
      <alignment horizontal="right"/>
    </xf>
    <xf numFmtId="37" fontId="0" fillId="11" borderId="71" xfId="0" applyNumberFormat="1" applyFill="1" applyBorder="1" applyAlignment="1">
      <alignment horizontal="right"/>
    </xf>
    <xf numFmtId="39" fontId="1" fillId="11" borderId="34" xfId="0" applyNumberFormat="1" applyFont="1" applyFill="1" applyBorder="1" applyAlignment="1">
      <alignment horizontal="right"/>
    </xf>
    <xf numFmtId="37" fontId="1" fillId="11" borderId="68" xfId="0" applyNumberFormat="1" applyFont="1" applyFill="1" applyBorder="1" applyAlignment="1">
      <alignment horizontal="right"/>
    </xf>
    <xf numFmtId="39" fontId="1" fillId="11" borderId="12" xfId="0" applyNumberFormat="1" applyFont="1" applyFill="1" applyBorder="1" applyAlignment="1">
      <alignment horizontal="right"/>
    </xf>
    <xf numFmtId="37" fontId="1" fillId="11" borderId="69" xfId="0" applyNumberFormat="1" applyFont="1" applyFill="1" applyBorder="1" applyAlignment="1">
      <alignment horizontal="right"/>
    </xf>
    <xf numFmtId="39" fontId="0" fillId="18" borderId="28" xfId="0" applyNumberFormat="1" applyFill="1" applyBorder="1"/>
    <xf numFmtId="39" fontId="0" fillId="19" borderId="28" xfId="0" applyNumberFormat="1" applyFill="1" applyBorder="1"/>
    <xf numFmtId="39" fontId="0" fillId="9" borderId="28" xfId="0" applyNumberFormat="1" applyFill="1" applyBorder="1"/>
    <xf numFmtId="39" fontId="0" fillId="11" borderId="28" xfId="0" applyNumberFormat="1" applyFill="1" applyBorder="1" applyAlignment="1">
      <alignment horizontal="right"/>
    </xf>
    <xf numFmtId="37" fontId="0" fillId="11" borderId="66" xfId="0" applyNumberFormat="1" applyFill="1" applyBorder="1" applyAlignment="1">
      <alignment horizontal="right"/>
    </xf>
    <xf numFmtId="39" fontId="1" fillId="11" borderId="11" xfId="0" applyNumberFormat="1" applyFont="1" applyFill="1" applyBorder="1" applyAlignment="1">
      <alignment horizontal="right"/>
    </xf>
    <xf numFmtId="39" fontId="1" fillId="18" borderId="33" xfId="0" applyNumberFormat="1" applyFont="1" applyFill="1" applyBorder="1"/>
    <xf numFmtId="39" fontId="1" fillId="19" borderId="33" xfId="0" applyNumberFormat="1" applyFont="1" applyFill="1" applyBorder="1"/>
    <xf numFmtId="39" fontId="1" fillId="9" borderId="33" xfId="0" applyNumberFormat="1" applyFont="1" applyFill="1" applyBorder="1"/>
    <xf numFmtId="39" fontId="1" fillId="11" borderId="33" xfId="0" applyNumberFormat="1" applyFont="1" applyFill="1" applyBorder="1" applyAlignment="1">
      <alignment horizontal="right"/>
    </xf>
    <xf numFmtId="37" fontId="1" fillId="11" borderId="33" xfId="0" applyNumberFormat="1" applyFont="1" applyFill="1" applyBorder="1" applyAlignment="1">
      <alignment horizontal="right"/>
    </xf>
    <xf numFmtId="39" fontId="0" fillId="18" borderId="14" xfId="0" applyNumberFormat="1" applyFill="1" applyBorder="1"/>
    <xf numFmtId="39" fontId="0" fillId="19" borderId="14" xfId="0" applyNumberFormat="1" applyFill="1" applyBorder="1"/>
    <xf numFmtId="39" fontId="0" fillId="9" borderId="14" xfId="0" applyNumberFormat="1" applyFill="1" applyBorder="1"/>
    <xf numFmtId="39" fontId="0" fillId="11" borderId="14" xfId="0" applyNumberFormat="1" applyFill="1" applyBorder="1" applyAlignment="1">
      <alignment horizontal="right"/>
    </xf>
    <xf numFmtId="37" fontId="0" fillId="11" borderId="67" xfId="0" applyNumberFormat="1" applyFill="1" applyBorder="1" applyAlignment="1">
      <alignment horizontal="right"/>
    </xf>
    <xf numFmtId="39" fontId="1" fillId="18" borderId="24" xfId="0" applyNumberFormat="1" applyFont="1" applyFill="1" applyBorder="1"/>
    <xf numFmtId="39" fontId="1" fillId="19" borderId="24" xfId="0" applyNumberFormat="1" applyFont="1" applyFill="1" applyBorder="1"/>
    <xf numFmtId="39" fontId="1" fillId="9" borderId="24" xfId="0" applyNumberFormat="1" applyFont="1" applyFill="1" applyBorder="1"/>
    <xf numFmtId="39" fontId="1" fillId="11" borderId="24" xfId="0" applyNumberFormat="1" applyFont="1" applyFill="1" applyBorder="1" applyAlignment="1">
      <alignment horizontal="right"/>
    </xf>
    <xf numFmtId="37" fontId="1" fillId="11" borderId="24" xfId="0" applyNumberFormat="1" applyFont="1" applyFill="1" applyBorder="1" applyAlignment="1">
      <alignment horizontal="right"/>
    </xf>
    <xf numFmtId="39" fontId="1" fillId="18" borderId="23" xfId="0" applyNumberFormat="1" applyFont="1" applyFill="1" applyBorder="1"/>
    <xf numFmtId="39" fontId="1" fillId="19" borderId="23" xfId="0" applyNumberFormat="1" applyFont="1" applyFill="1" applyBorder="1"/>
    <xf numFmtId="39" fontId="1" fillId="9" borderId="23" xfId="0" applyNumberFormat="1" applyFont="1" applyFill="1" applyBorder="1"/>
    <xf numFmtId="39" fontId="1" fillId="11" borderId="23" xfId="0" applyNumberFormat="1" applyFont="1" applyFill="1" applyBorder="1" applyAlignment="1">
      <alignment horizontal="right"/>
    </xf>
    <xf numFmtId="37" fontId="1" fillId="11" borderId="23" xfId="0" applyNumberFormat="1" applyFont="1" applyFill="1" applyBorder="1" applyAlignment="1">
      <alignment horizontal="right"/>
    </xf>
    <xf numFmtId="37" fontId="1" fillId="11" borderId="75" xfId="0" applyNumberFormat="1" applyFont="1" applyFill="1" applyBorder="1" applyAlignment="1">
      <alignment horizontal="right"/>
    </xf>
    <xf numFmtId="37" fontId="1" fillId="11" borderId="76" xfId="0" applyNumberFormat="1" applyFont="1" applyFill="1" applyBorder="1" applyAlignment="1">
      <alignment horizontal="right"/>
    </xf>
    <xf numFmtId="37" fontId="1" fillId="11" borderId="77" xfId="0" applyNumberFormat="1" applyFont="1" applyFill="1" applyBorder="1" applyAlignment="1">
      <alignment horizontal="right"/>
    </xf>
    <xf numFmtId="37" fontId="1" fillId="11" borderId="78" xfId="0" applyNumberFormat="1" applyFont="1" applyFill="1" applyBorder="1" applyAlignment="1">
      <alignment horizontal="right"/>
    </xf>
    <xf numFmtId="39" fontId="1" fillId="18" borderId="13" xfId="0" applyNumberFormat="1" applyFont="1" applyFill="1" applyBorder="1"/>
    <xf numFmtId="39" fontId="1" fillId="19" borderId="13" xfId="0" applyNumberFormat="1" applyFont="1" applyFill="1" applyBorder="1"/>
    <xf numFmtId="39" fontId="1" fillId="9" borderId="13" xfId="0" applyNumberFormat="1" applyFont="1" applyFill="1" applyBorder="1"/>
    <xf numFmtId="39" fontId="1" fillId="11" borderId="13" xfId="0" applyNumberFormat="1" applyFont="1" applyFill="1" applyBorder="1" applyAlignment="1">
      <alignment horizontal="right"/>
    </xf>
    <xf numFmtId="37" fontId="1" fillId="11" borderId="71" xfId="0" applyNumberFormat="1" applyFont="1" applyFill="1" applyBorder="1" applyAlignment="1">
      <alignment horizontal="right"/>
    </xf>
    <xf numFmtId="39" fontId="0" fillId="18" borderId="33" xfId="0" applyNumberFormat="1" applyFill="1" applyBorder="1"/>
    <xf numFmtId="39" fontId="0" fillId="19" borderId="33" xfId="0" applyNumberFormat="1" applyFill="1" applyBorder="1"/>
    <xf numFmtId="39" fontId="0" fillId="9" borderId="33" xfId="0" applyNumberFormat="1" applyFill="1" applyBorder="1"/>
    <xf numFmtId="39" fontId="0" fillId="11" borderId="33" xfId="0" applyNumberFormat="1" applyFill="1" applyBorder="1" applyAlignment="1">
      <alignment horizontal="right"/>
    </xf>
    <xf numFmtId="37" fontId="0" fillId="11" borderId="76" xfId="0" applyNumberFormat="1" applyFill="1" applyBorder="1" applyAlignment="1">
      <alignment horizontal="right"/>
    </xf>
    <xf numFmtId="37" fontId="0" fillId="0" borderId="4" xfId="0" applyNumberFormat="1" applyFont="1" applyFill="1" applyBorder="1" applyAlignment="1">
      <alignment horizontal="left" indent="1"/>
    </xf>
    <xf numFmtId="37" fontId="0" fillId="0" borderId="9" xfId="0" applyNumberFormat="1" applyFont="1" applyFill="1" applyBorder="1" applyAlignment="1">
      <alignment horizontal="left" indent="1"/>
    </xf>
    <xf numFmtId="37" fontId="0" fillId="0" borderId="13" xfId="0" applyNumberFormat="1" applyFont="1" applyFill="1" applyBorder="1" applyAlignment="1">
      <alignment horizontal="left" indent="1"/>
    </xf>
    <xf numFmtId="37" fontId="1" fillId="0" borderId="34" xfId="0" applyNumberFormat="1" applyFont="1" applyFill="1" applyBorder="1" applyAlignment="1">
      <alignment horizontal="left" indent="1"/>
    </xf>
    <xf numFmtId="37" fontId="0" fillId="0" borderId="14" xfId="0" applyNumberFormat="1" applyFont="1" applyFill="1" applyBorder="1" applyAlignment="1">
      <alignment horizontal="left" indent="1"/>
    </xf>
    <xf numFmtId="39" fontId="0" fillId="18" borderId="46" xfId="0" applyNumberFormat="1" applyFill="1" applyBorder="1" applyAlignment="1">
      <alignment horizontal="center"/>
    </xf>
    <xf numFmtId="37" fontId="0" fillId="20" borderId="0" xfId="0" applyNumberFormat="1" applyFill="1"/>
    <xf numFmtId="10" fontId="0" fillId="2" borderId="0" xfId="1" applyNumberFormat="1" applyFont="1" applyFill="1"/>
    <xf numFmtId="44" fontId="0" fillId="2" borderId="0" xfId="0" applyNumberFormat="1" applyFill="1"/>
    <xf numFmtId="10" fontId="0" fillId="18" borderId="44" xfId="1" applyNumberFormat="1" applyFont="1" applyFill="1" applyBorder="1" applyAlignment="1"/>
    <xf numFmtId="10" fontId="0" fillId="18" borderId="15" xfId="1" applyNumberFormat="1" applyFont="1" applyFill="1" applyBorder="1" applyAlignment="1"/>
    <xf numFmtId="39" fontId="0" fillId="18" borderId="16" xfId="0" applyNumberFormat="1" applyFill="1" applyBorder="1" applyAlignment="1">
      <alignment horizontal="center"/>
    </xf>
    <xf numFmtId="10" fontId="1" fillId="18" borderId="79" xfId="1" applyNumberFormat="1" applyFont="1" applyFill="1" applyBorder="1" applyAlignment="1"/>
    <xf numFmtId="39" fontId="1" fillId="18" borderId="80" xfId="0" applyNumberFormat="1" applyFont="1" applyFill="1" applyBorder="1" applyAlignment="1">
      <alignment horizontal="center"/>
    </xf>
    <xf numFmtId="43" fontId="0" fillId="2" borderId="0" xfId="9" applyFont="1" applyFill="1"/>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5" xfId="0" applyNumberFormat="1" applyFont="1" applyFill="1" applyBorder="1" applyAlignment="1">
      <alignment horizontal="center"/>
    </xf>
    <xf numFmtId="0" fontId="1" fillId="2" borderId="0" xfId="0" applyFont="1" applyFill="1" applyAlignment="1">
      <alignment horizontal="left" indent="2"/>
    </xf>
    <xf numFmtId="164" fontId="1" fillId="11" borderId="4" xfId="1" applyNumberFormat="1" applyFont="1" applyFill="1" applyBorder="1"/>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0" fillId="3" borderId="0" xfId="0" applyNumberFormat="1" applyFill="1" applyAlignment="1">
      <alignment horizontal="left"/>
    </xf>
    <xf numFmtId="0" fontId="7" fillId="8" borderId="2" xfId="2" applyFont="1" applyFill="1" applyBorder="1" applyAlignment="1" applyProtection="1">
      <alignment horizontal="left" indent="1"/>
      <protection locked="0"/>
    </xf>
    <xf numFmtId="0" fontId="0" fillId="8" borderId="85" xfId="0" applyFill="1" applyBorder="1" applyProtection="1">
      <protection locked="0"/>
    </xf>
    <xf numFmtId="0" fontId="0" fillId="8" borderId="0" xfId="0" applyFill="1" applyBorder="1" applyAlignment="1" applyProtection="1">
      <alignment horizontal="centerContinuous"/>
      <protection locked="0"/>
    </xf>
    <xf numFmtId="0" fontId="24" fillId="21" borderId="86" xfId="0" applyFont="1" applyFill="1" applyBorder="1" applyAlignment="1" applyProtection="1">
      <alignment horizontal="center" vertical="center"/>
      <protection locked="0"/>
    </xf>
    <xf numFmtId="0" fontId="25" fillId="8" borderId="0" xfId="0" applyFont="1" applyFill="1" applyAlignment="1" applyProtection="1">
      <alignment horizontal="left" vertical="center" indent="1"/>
      <protection locked="0"/>
    </xf>
    <xf numFmtId="0" fontId="1" fillId="3" borderId="0" xfId="0" applyNumberFormat="1" applyFont="1" applyFill="1" applyAlignment="1">
      <alignment horizontal="left" indent="1"/>
    </xf>
    <xf numFmtId="0" fontId="16" fillId="2" borderId="0" xfId="0" applyFont="1" applyFill="1" applyAlignment="1">
      <alignment horizontal="left" indent="1"/>
    </xf>
    <xf numFmtId="0" fontId="0" fillId="3" borderId="0" xfId="0" applyNumberFormat="1" applyFont="1" applyFill="1" applyAlignment="1">
      <alignment horizontal="left"/>
    </xf>
    <xf numFmtId="0" fontId="21" fillId="3" borderId="0" xfId="0" applyNumberFormat="1" applyFont="1" applyFill="1" applyAlignment="1">
      <alignment horizontal="left" indent="1"/>
    </xf>
    <xf numFmtId="0" fontId="21" fillId="2" borderId="0" xfId="0" applyFont="1" applyFill="1" applyAlignment="1">
      <alignment horizontal="left" indent="1"/>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0" fillId="8" borderId="0"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5" fillId="8" borderId="0" xfId="2" applyFont="1" applyFill="1" applyBorder="1" applyAlignment="1" applyProtection="1">
      <alignment horizontal="center"/>
      <protection locked="0"/>
    </xf>
    <xf numFmtId="0" fontId="22" fillId="8" borderId="0" xfId="0" applyFont="1" applyFill="1" applyAlignment="1" applyProtection="1">
      <alignment horizontal="left" indent="2"/>
      <protection locked="0"/>
    </xf>
    <xf numFmtId="0" fontId="1" fillId="22" borderId="0" xfId="0" applyFont="1" applyFill="1" applyAlignment="1">
      <alignment horizontal="left" indent="1"/>
    </xf>
    <xf numFmtId="1" fontId="1" fillId="22" borderId="0" xfId="0" applyNumberFormat="1" applyFont="1" applyFill="1"/>
    <xf numFmtId="0" fontId="0" fillId="2" borderId="0" xfId="0" applyFont="1" applyFill="1"/>
    <xf numFmtId="0" fontId="0" fillId="2" borderId="0" xfId="0" applyFont="1" applyFill="1" applyAlignment="1">
      <alignment horizontal="left" indent="2"/>
    </xf>
    <xf numFmtId="0" fontId="1" fillId="2" borderId="87" xfId="0" applyFont="1" applyFill="1" applyBorder="1" applyAlignment="1">
      <alignment horizontal="left"/>
    </xf>
    <xf numFmtId="37" fontId="1" fillId="0" borderId="88" xfId="0" applyNumberFormat="1" applyFont="1" applyFill="1" applyBorder="1"/>
    <xf numFmtId="37" fontId="1" fillId="0" borderId="89" xfId="0" applyNumberFormat="1" applyFont="1" applyFill="1" applyBorder="1"/>
    <xf numFmtId="164" fontId="1" fillId="0" borderId="89" xfId="1" applyNumberFormat="1" applyFont="1" applyFill="1" applyBorder="1"/>
    <xf numFmtId="0" fontId="1" fillId="2" borderId="90" xfId="0" applyFont="1" applyFill="1" applyBorder="1"/>
    <xf numFmtId="37" fontId="1" fillId="11" borderId="89" xfId="0" applyNumberFormat="1" applyFont="1" applyFill="1" applyBorder="1"/>
    <xf numFmtId="37" fontId="1" fillId="11" borderId="91" xfId="0" applyNumberFormat="1" applyFont="1" applyFill="1" applyBorder="1"/>
    <xf numFmtId="39" fontId="1" fillId="18" borderId="89" xfId="0" applyNumberFormat="1" applyFont="1" applyFill="1" applyBorder="1"/>
    <xf numFmtId="39" fontId="1" fillId="19" borderId="89" xfId="0" applyNumberFormat="1" applyFont="1" applyFill="1" applyBorder="1"/>
    <xf numFmtId="39" fontId="1" fillId="9" borderId="89" xfId="0" applyNumberFormat="1" applyFont="1" applyFill="1" applyBorder="1"/>
    <xf numFmtId="39" fontId="1" fillId="11" borderId="89" xfId="0" applyNumberFormat="1" applyFont="1" applyFill="1" applyBorder="1" applyAlignment="1">
      <alignment horizontal="right"/>
    </xf>
    <xf numFmtId="37" fontId="1" fillId="11" borderId="91" xfId="0" applyNumberFormat="1" applyFont="1" applyFill="1" applyBorder="1" applyAlignment="1">
      <alignment horizontal="right"/>
    </xf>
    <xf numFmtId="39" fontId="1" fillId="0" borderId="37" xfId="0" applyNumberFormat="1" applyFont="1" applyFill="1" applyBorder="1"/>
    <xf numFmtId="39" fontId="0" fillId="18" borderId="46" xfId="0" applyNumberForma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39" fontId="0" fillId="18" borderId="16" xfId="0" applyNumberFormat="1" applyFill="1" applyBorder="1" applyAlignment="1">
      <alignment horizontal="center"/>
    </xf>
    <xf numFmtId="39" fontId="1" fillId="18" borderId="80" xfId="0" applyNumberFormat="1" applyFont="1" applyFill="1" applyBorder="1" applyAlignment="1">
      <alignment horizontal="center"/>
    </xf>
    <xf numFmtId="37" fontId="1" fillId="0" borderId="14" xfId="0" applyNumberFormat="1" applyFont="1" applyFill="1" applyBorder="1"/>
    <xf numFmtId="164" fontId="1" fillId="0" borderId="14" xfId="1" applyNumberFormat="1" applyFont="1" applyFill="1" applyBorder="1"/>
    <xf numFmtId="37" fontId="1" fillId="11" borderId="14" xfId="0" applyNumberFormat="1" applyFont="1" applyFill="1" applyBorder="1"/>
    <xf numFmtId="39" fontId="1" fillId="18" borderId="14" xfId="0" applyNumberFormat="1" applyFont="1" applyFill="1" applyBorder="1"/>
    <xf numFmtId="39" fontId="1" fillId="19" borderId="14" xfId="0" applyNumberFormat="1" applyFont="1" applyFill="1" applyBorder="1"/>
    <xf numFmtId="39" fontId="1" fillId="9" borderId="14" xfId="0" applyNumberFormat="1" applyFont="1" applyFill="1" applyBorder="1"/>
    <xf numFmtId="39" fontId="1" fillId="11" borderId="14" xfId="0" applyNumberFormat="1" applyFont="1" applyFill="1" applyBorder="1" applyAlignment="1">
      <alignment horizontal="right"/>
    </xf>
    <xf numFmtId="37" fontId="1" fillId="11" borderId="67" xfId="0" applyNumberFormat="1" applyFont="1" applyFill="1" applyBorder="1" applyAlignment="1">
      <alignment horizontal="right"/>
    </xf>
    <xf numFmtId="37" fontId="1" fillId="11" borderId="34" xfId="0" applyNumberFormat="1" applyFont="1" applyFill="1" applyBorder="1" applyAlignment="1">
      <alignment horizontal="right"/>
    </xf>
    <xf numFmtId="37" fontId="1" fillId="11" borderId="11" xfId="0" applyNumberFormat="1" applyFont="1" applyFill="1" applyBorder="1" applyAlignment="1">
      <alignment horizontal="right"/>
    </xf>
    <xf numFmtId="37" fontId="1" fillId="11" borderId="12" xfId="0" applyNumberFormat="1" applyFont="1" applyFill="1" applyBorder="1" applyAlignment="1">
      <alignment horizontal="right"/>
    </xf>
    <xf numFmtId="0" fontId="1" fillId="2" borderId="0" xfId="0" applyFont="1" applyFill="1" applyBorder="1"/>
    <xf numFmtId="0" fontId="0" fillId="8" borderId="55"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39" fontId="0" fillId="18" borderId="44" xfId="0" applyNumberFormat="1" applyFill="1" applyBorder="1" applyAlignment="1">
      <alignment horizontal="center"/>
    </xf>
    <xf numFmtId="39" fontId="0" fillId="18" borderId="46" xfId="0" applyNumberForma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39" fontId="0" fillId="18" borderId="15" xfId="0" applyNumberFormat="1" applyFill="1" applyBorder="1" applyAlignment="1">
      <alignment horizontal="center"/>
    </xf>
    <xf numFmtId="39" fontId="0" fillId="18" borderId="16" xfId="0" applyNumberFormat="1" applyFill="1" applyBorder="1" applyAlignment="1">
      <alignment horizontal="center"/>
    </xf>
    <xf numFmtId="39" fontId="1" fillId="18" borderId="79" xfId="0" applyNumberFormat="1" applyFont="1" applyFill="1" applyBorder="1" applyAlignment="1">
      <alignment horizontal="center"/>
    </xf>
    <xf numFmtId="39" fontId="1" fillId="18" borderId="80" xfId="0" applyNumberFormat="1" applyFont="1" applyFill="1" applyBorder="1" applyAlignment="1">
      <alignment horizontal="center"/>
    </xf>
    <xf numFmtId="39" fontId="1" fillId="18" borderId="81" xfId="0" applyNumberFormat="1" applyFont="1" applyFill="1" applyBorder="1" applyAlignment="1">
      <alignment horizontal="center"/>
    </xf>
    <xf numFmtId="39" fontId="1" fillId="18" borderId="82" xfId="0" applyNumberFormat="1" applyFont="1" applyFill="1" applyBorder="1" applyAlignment="1">
      <alignment horizontal="center"/>
    </xf>
    <xf numFmtId="39" fontId="1" fillId="18" borderId="83" xfId="0" applyNumberFormat="1" applyFont="1" applyFill="1" applyBorder="1" applyAlignment="1">
      <alignment horizontal="center"/>
    </xf>
    <xf numFmtId="39" fontId="1" fillId="18" borderId="84" xfId="0" applyNumberFormat="1" applyFont="1" applyFill="1" applyBorder="1" applyAlignment="1">
      <alignment horizontal="center"/>
    </xf>
    <xf numFmtId="0" fontId="27" fillId="2" borderId="0" xfId="0" applyFont="1" applyFill="1" applyAlignment="1">
      <alignment horizontal="left" vertical="top" wrapText="1"/>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362">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styles" Target="styles.xml"/><Relationship Id="rId105"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fmlaLink="$O$1" lockText="1" noThreeD="1"/>
</file>

<file path=xl/ctrlProps/ctrlProp2.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6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7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7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7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7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7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76.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77.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7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79.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1.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7.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91.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9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9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9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9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9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97.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98.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4</xdr:row>
          <xdr:rowOff>171450</xdr:rowOff>
        </xdr:from>
        <xdr:to>
          <xdr:col>15</xdr:col>
          <xdr:colOff>0</xdr:colOff>
          <xdr:row>6</xdr:row>
          <xdr:rowOff>19050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2549589"/>
          <a:ext cx="7263093"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3" name="Picture 1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10837209"/>
          <a:ext cx="8080562"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4" name="Picture 1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4304" y="2683248"/>
          <a:ext cx="4340749"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4</xdr:row>
          <xdr:rowOff>171450</xdr:rowOff>
        </xdr:from>
        <xdr:to>
          <xdr:col>15</xdr:col>
          <xdr:colOff>0</xdr:colOff>
          <xdr:row>6</xdr:row>
          <xdr:rowOff>19050</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00000000-0008-0000-0100-0000010C05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330756" name="FPMExcelClientSheetOptionstb1" hidden="1">
              <a:extLst>
                <a:ext uri="{63B3BB69-23CF-44E3-9099-C40C66FF867C}">
                  <a14:compatExt spid="_x0000_s330756"/>
                </a:ext>
                <a:ext uri="{FF2B5EF4-FFF2-40B4-BE49-F238E27FC236}">
                  <a16:creationId xmlns:a16="http://schemas.microsoft.com/office/drawing/2014/main" id="{00000000-0008-0000-0100-0000040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36495" y="381000"/>
          <a:ext cx="1467409" cy="434227"/>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657225</xdr:colOff>
          <xdr:row>0</xdr:row>
          <xdr:rowOff>0</xdr:rowOff>
        </xdr:to>
        <xdr:sp macro="" textlink="">
          <xdr:nvSpPr>
            <xdr:cNvPr id="331779" name="FPMExcelClientSheetOptionstb1" hidden="1">
              <a:extLst>
                <a:ext uri="{63B3BB69-23CF-44E3-9099-C40C66FF867C}">
                  <a14:compatExt spid="_x0000_s331779"/>
                </a:ext>
                <a:ext uri="{FF2B5EF4-FFF2-40B4-BE49-F238E27FC236}">
                  <a16:creationId xmlns:a16="http://schemas.microsoft.com/office/drawing/2014/main" id="{00000000-0008-0000-0300-0000031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2806" name="FPMExcelClientSheetOptionstb1" hidden="1">
              <a:extLst>
                <a:ext uri="{63B3BB69-23CF-44E3-9099-C40C66FF867C}">
                  <a14:compatExt spid="_x0000_s332806"/>
                </a:ext>
                <a:ext uri="{FF2B5EF4-FFF2-40B4-BE49-F238E27FC236}">
                  <a16:creationId xmlns:a16="http://schemas.microsoft.com/office/drawing/2014/main" id="{00000000-0008-0000-0500-0000061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600-000002F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3827" name="FPMExcelClientSheetOptionstb1" hidden="1">
              <a:extLst>
                <a:ext uri="{63B3BB69-23CF-44E3-9099-C40C66FF867C}">
                  <a14:compatExt spid="_x0000_s333827"/>
                </a:ext>
                <a:ext uri="{FF2B5EF4-FFF2-40B4-BE49-F238E27FC236}">
                  <a16:creationId xmlns:a16="http://schemas.microsoft.com/office/drawing/2014/main" id="{00000000-0008-0000-0700-0000031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4854" name="FPMExcelClientSheetOptionstb1" hidden="1">
              <a:extLst>
                <a:ext uri="{63B3BB69-23CF-44E3-9099-C40C66FF867C}">
                  <a14:compatExt spid="_x0000_s334854"/>
                </a:ext>
                <a:ext uri="{FF2B5EF4-FFF2-40B4-BE49-F238E27FC236}">
                  <a16:creationId xmlns:a16="http://schemas.microsoft.com/office/drawing/2014/main" id="{00000000-0008-0000-0900-0000061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A00-000008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5880" name="FPMExcelClientSheetOptionstb1" hidden="1">
              <a:extLst>
                <a:ext uri="{63B3BB69-23CF-44E3-9099-C40C66FF867C}">
                  <a14:compatExt spid="_x0000_s335880"/>
                </a:ext>
                <a:ext uri="{FF2B5EF4-FFF2-40B4-BE49-F238E27FC236}">
                  <a16:creationId xmlns:a16="http://schemas.microsoft.com/office/drawing/2014/main" id="{00000000-0008-0000-0B00-0000082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C00-0000035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6900" name="FPMExcelClientSheetOptionstb1" hidden="1">
              <a:extLst>
                <a:ext uri="{63B3BB69-23CF-44E3-9099-C40C66FF867C}">
                  <a14:compatExt spid="_x0000_s336900"/>
                </a:ext>
                <a:ext uri="{FF2B5EF4-FFF2-40B4-BE49-F238E27FC236}">
                  <a16:creationId xmlns:a16="http://schemas.microsoft.com/office/drawing/2014/main" id="{00000000-0008-0000-0D00-0000042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885825</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E00-000008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7927" name="FPMExcelClientSheetOptionstb1" hidden="1">
              <a:extLst>
                <a:ext uri="{63B3BB69-23CF-44E3-9099-C40C66FF867C}">
                  <a14:compatExt spid="_x0000_s337927"/>
                </a:ext>
                <a:ext uri="{FF2B5EF4-FFF2-40B4-BE49-F238E27FC236}">
                  <a16:creationId xmlns:a16="http://schemas.microsoft.com/office/drawing/2014/main" id="{00000000-0008-0000-0F00-0000072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8946" name="FPMExcelClientSheetOptionstb1" hidden="1">
              <a:extLst>
                <a:ext uri="{63B3BB69-23CF-44E3-9099-C40C66FF867C}">
                  <a14:compatExt spid="_x0000_s338946"/>
                </a:ext>
                <a:ext uri="{FF2B5EF4-FFF2-40B4-BE49-F238E27FC236}">
                  <a16:creationId xmlns:a16="http://schemas.microsoft.com/office/drawing/2014/main" id="{00000000-0008-0000-1100-0000022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39973" name="FPMExcelClientSheetOptionstb1" hidden="1">
              <a:extLst>
                <a:ext uri="{63B3BB69-23CF-44E3-9099-C40C66FF867C}">
                  <a14:compatExt spid="_x0000_s339973"/>
                </a:ext>
                <a:ext uri="{FF2B5EF4-FFF2-40B4-BE49-F238E27FC236}">
                  <a16:creationId xmlns:a16="http://schemas.microsoft.com/office/drawing/2014/main" id="{00000000-0008-0000-1300-0000053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0994" name="FPMExcelClientSheetOptionstb1" hidden="1">
              <a:extLst>
                <a:ext uri="{63B3BB69-23CF-44E3-9099-C40C66FF867C}">
                  <a14:compatExt spid="_x0000_s340994"/>
                </a:ext>
                <a:ext uri="{FF2B5EF4-FFF2-40B4-BE49-F238E27FC236}">
                  <a16:creationId xmlns:a16="http://schemas.microsoft.com/office/drawing/2014/main" id="{00000000-0008-0000-1500-0000023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2021" name="FPMExcelClientSheetOptionstb1" hidden="1">
              <a:extLst>
                <a:ext uri="{63B3BB69-23CF-44E3-9099-C40C66FF867C}">
                  <a14:compatExt spid="_x0000_s342021"/>
                </a:ext>
                <a:ext uri="{FF2B5EF4-FFF2-40B4-BE49-F238E27FC236}">
                  <a16:creationId xmlns:a16="http://schemas.microsoft.com/office/drawing/2014/main" id="{00000000-0008-0000-1700-0000053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3042" name="FPMExcelClientSheetOptionstb1" hidden="1">
              <a:extLst>
                <a:ext uri="{63B3BB69-23CF-44E3-9099-C40C66FF867C}">
                  <a14:compatExt spid="_x0000_s343042"/>
                </a:ext>
                <a:ext uri="{FF2B5EF4-FFF2-40B4-BE49-F238E27FC236}">
                  <a16:creationId xmlns:a16="http://schemas.microsoft.com/office/drawing/2014/main" id="{00000000-0008-0000-1900-0000023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4069" name="FPMExcelClientSheetOptionstb1" hidden="1">
              <a:extLst>
                <a:ext uri="{63B3BB69-23CF-44E3-9099-C40C66FF867C}">
                  <a14:compatExt spid="_x0000_s344069"/>
                </a:ext>
                <a:ext uri="{FF2B5EF4-FFF2-40B4-BE49-F238E27FC236}">
                  <a16:creationId xmlns:a16="http://schemas.microsoft.com/office/drawing/2014/main" id="{00000000-0008-0000-1B00-0000054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5090" name="FPMExcelClientSheetOptionstb1" hidden="1">
              <a:extLst>
                <a:ext uri="{63B3BB69-23CF-44E3-9099-C40C66FF867C}">
                  <a14:compatExt spid="_x0000_s345090"/>
                </a:ext>
                <a:ext uri="{FF2B5EF4-FFF2-40B4-BE49-F238E27FC236}">
                  <a16:creationId xmlns:a16="http://schemas.microsoft.com/office/drawing/2014/main" id="{00000000-0008-0000-1D00-0000024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1E00-000005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6118" name="FPMExcelClientSheetOptionstb1" hidden="1">
              <a:extLst>
                <a:ext uri="{63B3BB69-23CF-44E3-9099-C40C66FF867C}">
                  <a14:compatExt spid="_x0000_s346118"/>
                </a:ext>
                <a:ext uri="{FF2B5EF4-FFF2-40B4-BE49-F238E27FC236}">
                  <a16:creationId xmlns:a16="http://schemas.microsoft.com/office/drawing/2014/main" id="{00000000-0008-0000-1F00-0000064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7138" name="FPMExcelClientSheetOptionstb1" hidden="1">
              <a:extLst>
                <a:ext uri="{63B3BB69-23CF-44E3-9099-C40C66FF867C}">
                  <a14:compatExt spid="_x0000_s347138"/>
                </a:ext>
                <a:ext uri="{FF2B5EF4-FFF2-40B4-BE49-F238E27FC236}">
                  <a16:creationId xmlns:a16="http://schemas.microsoft.com/office/drawing/2014/main" id="{00000000-0008-0000-2100-0000024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22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8166" name="FPMExcelClientSheetOptionstb1" hidden="1">
              <a:extLst>
                <a:ext uri="{63B3BB69-23CF-44E3-9099-C40C66FF867C}">
                  <a14:compatExt spid="_x0000_s348166"/>
                </a:ext>
                <a:ext uri="{FF2B5EF4-FFF2-40B4-BE49-F238E27FC236}">
                  <a16:creationId xmlns:a16="http://schemas.microsoft.com/office/drawing/2014/main" id="{00000000-0008-0000-2300-0000065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49186" name="FPMExcelClientSheetOptionstb1" hidden="1">
              <a:extLst>
                <a:ext uri="{63B3BB69-23CF-44E3-9099-C40C66FF867C}">
                  <a14:compatExt spid="_x0000_s349186"/>
                </a:ext>
                <a:ext uri="{FF2B5EF4-FFF2-40B4-BE49-F238E27FC236}">
                  <a16:creationId xmlns:a16="http://schemas.microsoft.com/office/drawing/2014/main" id="{00000000-0008-0000-2500-0000025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0213" name="FPMExcelClientSheetOptionstb1" hidden="1">
              <a:extLst>
                <a:ext uri="{63B3BB69-23CF-44E3-9099-C40C66FF867C}">
                  <a14:compatExt spid="_x0000_s350213"/>
                </a:ext>
                <a:ext uri="{FF2B5EF4-FFF2-40B4-BE49-F238E27FC236}">
                  <a16:creationId xmlns:a16="http://schemas.microsoft.com/office/drawing/2014/main" id="{00000000-0008-0000-2700-0000055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1234" name="FPMExcelClientSheetOptionstb1" hidden="1">
              <a:extLst>
                <a:ext uri="{63B3BB69-23CF-44E3-9099-C40C66FF867C}">
                  <a14:compatExt spid="_x0000_s351234"/>
                </a:ext>
                <a:ext uri="{FF2B5EF4-FFF2-40B4-BE49-F238E27FC236}">
                  <a16:creationId xmlns:a16="http://schemas.microsoft.com/office/drawing/2014/main" id="{00000000-0008-0000-2900-0000025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2A00-0000083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2262" name="FPMExcelClientSheetOptionstb1" hidden="1">
              <a:extLst>
                <a:ext uri="{63B3BB69-23CF-44E3-9099-C40C66FF867C}">
                  <a14:compatExt spid="_x0000_s352262"/>
                </a:ext>
                <a:ext uri="{FF2B5EF4-FFF2-40B4-BE49-F238E27FC236}">
                  <a16:creationId xmlns:a16="http://schemas.microsoft.com/office/drawing/2014/main" id="{00000000-0008-0000-2B00-0000066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2C00-0000021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3283" name="FPMExcelClientSheetOptionstb1" hidden="1">
              <a:extLst>
                <a:ext uri="{63B3BB69-23CF-44E3-9099-C40C66FF867C}">
                  <a14:compatExt spid="_x0000_s353283"/>
                </a:ext>
                <a:ext uri="{FF2B5EF4-FFF2-40B4-BE49-F238E27FC236}">
                  <a16:creationId xmlns:a16="http://schemas.microsoft.com/office/drawing/2014/main" id="{00000000-0008-0000-2D00-0000036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9525</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2E00-00000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4310" name="FPMExcelClientSheetOptionstb1" hidden="1">
              <a:extLst>
                <a:ext uri="{63B3BB69-23CF-44E3-9099-C40C66FF867C}">
                  <a14:compatExt spid="_x0000_s354310"/>
                </a:ext>
                <a:ext uri="{FF2B5EF4-FFF2-40B4-BE49-F238E27FC236}">
                  <a16:creationId xmlns:a16="http://schemas.microsoft.com/office/drawing/2014/main" id="{00000000-0008-0000-2F00-0000066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3000-000001A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5331" name="FPMExcelClientSheetOptionstb1" hidden="1">
              <a:extLst>
                <a:ext uri="{63B3BB69-23CF-44E3-9099-C40C66FF867C}">
                  <a14:compatExt spid="_x0000_s355331"/>
                </a:ext>
                <a:ext uri="{FF2B5EF4-FFF2-40B4-BE49-F238E27FC236}">
                  <a16:creationId xmlns:a16="http://schemas.microsoft.com/office/drawing/2014/main" id="{00000000-0008-0000-3100-0000036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3200-000001AC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6358" name="FPMExcelClientSheetOptionstb1" hidden="1">
              <a:extLst>
                <a:ext uri="{63B3BB69-23CF-44E3-9099-C40C66FF867C}">
                  <a14:compatExt spid="_x0000_s356358"/>
                </a:ext>
                <a:ext uri="{FF2B5EF4-FFF2-40B4-BE49-F238E27FC236}">
                  <a16:creationId xmlns:a16="http://schemas.microsoft.com/office/drawing/2014/main" id="{00000000-0008-0000-3300-0000067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3400-000001B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7379" name="FPMExcelClientSheetOptionstb1" hidden="1">
              <a:extLst>
                <a:ext uri="{63B3BB69-23CF-44E3-9099-C40C66FF867C}">
                  <a14:compatExt spid="_x0000_s357379"/>
                </a:ext>
                <a:ext uri="{FF2B5EF4-FFF2-40B4-BE49-F238E27FC236}">
                  <a16:creationId xmlns:a16="http://schemas.microsoft.com/office/drawing/2014/main" id="{00000000-0008-0000-3500-0000037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3600-000001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8406" name="FPMExcelClientSheetOptionstb1" hidden="1">
              <a:extLst>
                <a:ext uri="{63B3BB69-23CF-44E3-9099-C40C66FF867C}">
                  <a14:compatExt spid="_x0000_s358406"/>
                </a:ext>
                <a:ext uri="{FF2B5EF4-FFF2-40B4-BE49-F238E27FC236}">
                  <a16:creationId xmlns:a16="http://schemas.microsoft.com/office/drawing/2014/main" id="{00000000-0008-0000-3700-0000067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3800-000001B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59427" name="FPMExcelClientSheetOptionstb1" hidden="1">
              <a:extLst>
                <a:ext uri="{63B3BB69-23CF-44E3-9099-C40C66FF867C}">
                  <a14:compatExt spid="_x0000_s359427"/>
                </a:ext>
                <a:ext uri="{FF2B5EF4-FFF2-40B4-BE49-F238E27FC236}">
                  <a16:creationId xmlns:a16="http://schemas.microsoft.com/office/drawing/2014/main" id="{00000000-0008-0000-3900-0000037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3A00-00000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0454" name="FPMExcelClientSheetOptionstb1" hidden="1">
              <a:extLst>
                <a:ext uri="{63B3BB69-23CF-44E3-9099-C40C66FF867C}">
                  <a14:compatExt spid="_x0000_s360454"/>
                </a:ext>
                <a:ext uri="{FF2B5EF4-FFF2-40B4-BE49-F238E27FC236}">
                  <a16:creationId xmlns:a16="http://schemas.microsoft.com/office/drawing/2014/main" id="{00000000-0008-0000-3B00-0000068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904875</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3C00-000008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666750</xdr:colOff>
          <xdr:row>0</xdr:row>
          <xdr:rowOff>0</xdr:rowOff>
        </xdr:to>
        <xdr:sp macro="" textlink="">
          <xdr:nvSpPr>
            <xdr:cNvPr id="361476" name="FPMExcelClientSheetOptionstb1" hidden="1">
              <a:extLst>
                <a:ext uri="{63B3BB69-23CF-44E3-9099-C40C66FF867C}">
                  <a14:compatExt spid="_x0000_s361476"/>
                </a:ext>
                <a:ext uri="{FF2B5EF4-FFF2-40B4-BE49-F238E27FC236}">
                  <a16:creationId xmlns:a16="http://schemas.microsoft.com/office/drawing/2014/main" id="{00000000-0008-0000-3D00-0000048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2501" name="FPMExcelClientSheetOptionstb1" hidden="1">
              <a:extLst>
                <a:ext uri="{63B3BB69-23CF-44E3-9099-C40C66FF867C}">
                  <a14:compatExt spid="_x0000_s362501"/>
                </a:ext>
                <a:ext uri="{FF2B5EF4-FFF2-40B4-BE49-F238E27FC236}">
                  <a16:creationId xmlns:a16="http://schemas.microsoft.com/office/drawing/2014/main" id="{00000000-0008-0000-3F00-0000058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4000-00000B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3526" name="FPMExcelClientSheetOptionstb1" hidden="1">
              <a:extLst>
                <a:ext uri="{63B3BB69-23CF-44E3-9099-C40C66FF867C}">
                  <a14:compatExt spid="_x0000_s363526"/>
                </a:ext>
                <a:ext uri="{FF2B5EF4-FFF2-40B4-BE49-F238E27FC236}">
                  <a16:creationId xmlns:a16="http://schemas.microsoft.com/office/drawing/2014/main" id="{00000000-0008-0000-4100-0000068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4200-0000089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4550" name="FPMExcelClientSheetOptionstb1" hidden="1">
              <a:extLst>
                <a:ext uri="{63B3BB69-23CF-44E3-9099-C40C66FF867C}">
                  <a14:compatExt spid="_x0000_s364550"/>
                </a:ext>
                <a:ext uri="{FF2B5EF4-FFF2-40B4-BE49-F238E27FC236}">
                  <a16:creationId xmlns:a16="http://schemas.microsoft.com/office/drawing/2014/main" id="{00000000-0008-0000-4300-0000069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4400-0000089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5574" name="FPMExcelClientSheetOptionstb1" hidden="1">
              <a:extLst>
                <a:ext uri="{63B3BB69-23CF-44E3-9099-C40C66FF867C}">
                  <a14:compatExt spid="_x0000_s365574"/>
                </a:ext>
                <a:ext uri="{FF2B5EF4-FFF2-40B4-BE49-F238E27FC236}">
                  <a16:creationId xmlns:a16="http://schemas.microsoft.com/office/drawing/2014/main" id="{00000000-0008-0000-4500-0000069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4600-000008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6598" name="FPMExcelClientSheetOptionstb1" hidden="1">
              <a:extLst>
                <a:ext uri="{63B3BB69-23CF-44E3-9099-C40C66FF867C}">
                  <a14:compatExt spid="_x0000_s366598"/>
                </a:ext>
                <a:ext uri="{FF2B5EF4-FFF2-40B4-BE49-F238E27FC236}">
                  <a16:creationId xmlns:a16="http://schemas.microsoft.com/office/drawing/2014/main" id="{00000000-0008-0000-4700-0000069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4800-000007A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7621" name="FPMExcelClientSheetOptionstb1" hidden="1">
              <a:extLst>
                <a:ext uri="{63B3BB69-23CF-44E3-9099-C40C66FF867C}">
                  <a14:compatExt spid="_x0000_s367621"/>
                </a:ext>
                <a:ext uri="{FF2B5EF4-FFF2-40B4-BE49-F238E27FC236}">
                  <a16:creationId xmlns:a16="http://schemas.microsoft.com/office/drawing/2014/main" id="{00000000-0008-0000-4900-0000059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4A00-000006C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8644" name="FPMExcelClientSheetOptionstb1" hidden="1">
              <a:extLst>
                <a:ext uri="{63B3BB69-23CF-44E3-9099-C40C66FF867C}">
                  <a14:compatExt spid="_x0000_s368644"/>
                </a:ext>
                <a:ext uri="{FF2B5EF4-FFF2-40B4-BE49-F238E27FC236}">
                  <a16:creationId xmlns:a16="http://schemas.microsoft.com/office/drawing/2014/main" id="{00000000-0008-0000-4B00-000004A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4C00-000008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69669" name="FPMExcelClientSheetOptionstb1" hidden="1">
              <a:extLst>
                <a:ext uri="{63B3BB69-23CF-44E3-9099-C40C66FF867C}">
                  <a14:compatExt spid="_x0000_s369669"/>
                </a:ext>
                <a:ext uri="{FF2B5EF4-FFF2-40B4-BE49-F238E27FC236}">
                  <a16:creationId xmlns:a16="http://schemas.microsoft.com/office/drawing/2014/main" id="{00000000-0008-0000-4D00-000005A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4E00-000008D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0692" name="FPMExcelClientSheetOptionstb1" hidden="1">
              <a:extLst>
                <a:ext uri="{63B3BB69-23CF-44E3-9099-C40C66FF867C}">
                  <a14:compatExt spid="_x0000_s370692"/>
                </a:ext>
                <a:ext uri="{FF2B5EF4-FFF2-40B4-BE49-F238E27FC236}">
                  <a16:creationId xmlns:a16="http://schemas.microsoft.com/office/drawing/2014/main" id="{00000000-0008-0000-4F00-000004A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5000-000006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1718" name="FPMExcelClientSheetOptionstb1" hidden="1">
              <a:extLst>
                <a:ext uri="{63B3BB69-23CF-44E3-9099-C40C66FF867C}">
                  <a14:compatExt spid="_x0000_s371718"/>
                </a:ext>
                <a:ext uri="{FF2B5EF4-FFF2-40B4-BE49-F238E27FC236}">
                  <a16:creationId xmlns:a16="http://schemas.microsoft.com/office/drawing/2014/main" id="{00000000-0008-0000-5100-000006A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2739" name="FPMExcelClientSheetOptionstb1" hidden="1">
              <a:extLst>
                <a:ext uri="{63B3BB69-23CF-44E3-9099-C40C66FF867C}">
                  <a14:compatExt spid="_x0000_s372739"/>
                </a:ext>
                <a:ext uri="{FF2B5EF4-FFF2-40B4-BE49-F238E27FC236}">
                  <a16:creationId xmlns:a16="http://schemas.microsoft.com/office/drawing/2014/main" id="{00000000-0008-0000-5300-000003B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5400-000006E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3764" name="FPMExcelClientSheetOptionstb1" hidden="1">
              <a:extLst>
                <a:ext uri="{63B3BB69-23CF-44E3-9099-C40C66FF867C}">
                  <a14:compatExt spid="_x0000_s373764"/>
                </a:ext>
                <a:ext uri="{FF2B5EF4-FFF2-40B4-BE49-F238E27FC236}">
                  <a16:creationId xmlns:a16="http://schemas.microsoft.com/office/drawing/2014/main" id="{00000000-0008-0000-5500-000004B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5600-000003E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4788" name="FPMExcelClientSheetOptionstb1" hidden="1">
              <a:extLst>
                <a:ext uri="{63B3BB69-23CF-44E3-9099-C40C66FF867C}">
                  <a14:compatExt spid="_x0000_s374788"/>
                </a:ext>
                <a:ext uri="{FF2B5EF4-FFF2-40B4-BE49-F238E27FC236}">
                  <a16:creationId xmlns:a16="http://schemas.microsoft.com/office/drawing/2014/main" id="{00000000-0008-0000-5700-000004B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58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5812" name="FPMExcelClientSheetOptionstb1" hidden="1">
              <a:extLst>
                <a:ext uri="{63B3BB69-23CF-44E3-9099-C40C66FF867C}">
                  <a14:compatExt spid="_x0000_s375812"/>
                </a:ext>
                <a:ext uri="{FF2B5EF4-FFF2-40B4-BE49-F238E27FC236}">
                  <a16:creationId xmlns:a16="http://schemas.microsoft.com/office/drawing/2014/main" id="{00000000-0008-0000-5900-000004B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5A00-000003F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6836" name="FPMExcelClientSheetOptionstb1" hidden="1">
              <a:extLst>
                <a:ext uri="{63B3BB69-23CF-44E3-9099-C40C66FF867C}">
                  <a14:compatExt spid="_x0000_s376836"/>
                </a:ext>
                <a:ext uri="{FF2B5EF4-FFF2-40B4-BE49-F238E27FC236}">
                  <a16:creationId xmlns:a16="http://schemas.microsoft.com/office/drawing/2014/main" id="{00000000-0008-0000-5B00-000004C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5C00-00000CF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7861" name="FPMExcelClientSheetOptionstb1" hidden="1">
              <a:extLst>
                <a:ext uri="{63B3BB69-23CF-44E3-9099-C40C66FF867C}">
                  <a14:compatExt spid="_x0000_s377861"/>
                </a:ext>
                <a:ext uri="{FF2B5EF4-FFF2-40B4-BE49-F238E27FC236}">
                  <a16:creationId xmlns:a16="http://schemas.microsoft.com/office/drawing/2014/main" id="{00000000-0008-0000-5D00-000005C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5E00-0000070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8885" name="FPMExcelClientSheetOptionstb1" hidden="1">
              <a:extLst>
                <a:ext uri="{63B3BB69-23CF-44E3-9099-C40C66FF867C}">
                  <a14:compatExt spid="_x0000_s378885"/>
                </a:ext>
                <a:ext uri="{FF2B5EF4-FFF2-40B4-BE49-F238E27FC236}">
                  <a16:creationId xmlns:a16="http://schemas.microsoft.com/office/drawing/2014/main" id="{00000000-0008-0000-5F00-000005C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6000-0000030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79908" name="FPMExcelClientSheetOptionstb1" hidden="1">
              <a:extLst>
                <a:ext uri="{63B3BB69-23CF-44E3-9099-C40C66FF867C}">
                  <a14:compatExt spid="_x0000_s379908"/>
                </a:ext>
                <a:ext uri="{FF2B5EF4-FFF2-40B4-BE49-F238E27FC236}">
                  <a16:creationId xmlns:a16="http://schemas.microsoft.com/office/drawing/2014/main" id="{00000000-0008-0000-6100-000004C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image" Target="../media/image5.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7.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4.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6" Type="http://schemas.openxmlformats.org/officeDocument/2006/relationships/image" Target="../media/image7.emf"/><Relationship Id="rId5" Type="http://schemas.openxmlformats.org/officeDocument/2006/relationships/control" Target="../activeX/activeX3.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0.bin"/><Relationship Id="rId7" Type="http://schemas.openxmlformats.org/officeDocument/2006/relationships/control" Target="../activeX/activeX4.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customProperty" Target="../customProperty11.bin"/><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6.xml"/><Relationship Id="rId2" Type="http://schemas.openxmlformats.org/officeDocument/2006/relationships/customProperty" Target="../customProperty12.bin"/><Relationship Id="rId1" Type="http://schemas.openxmlformats.org/officeDocument/2006/relationships/printerSettings" Target="../printerSettings/printerSettings6.bin"/><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4.bin"/><Relationship Id="rId7" Type="http://schemas.openxmlformats.org/officeDocument/2006/relationships/control" Target="../activeX/activeX6.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customProperty" Target="../customProperty15.bin"/><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8.xml"/><Relationship Id="rId2" Type="http://schemas.openxmlformats.org/officeDocument/2006/relationships/customProperty" Target="../customProperty16.bin"/><Relationship Id="rId1" Type="http://schemas.openxmlformats.org/officeDocument/2006/relationships/printerSettings" Target="../printerSettings/printerSettings8.bin"/><Relationship Id="rId6" Type="http://schemas.openxmlformats.org/officeDocument/2006/relationships/image" Target="../media/image5.emf"/><Relationship Id="rId5" Type="http://schemas.openxmlformats.org/officeDocument/2006/relationships/control" Target="../activeX/activeX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8.bin"/><Relationship Id="rId7" Type="http://schemas.openxmlformats.org/officeDocument/2006/relationships/control" Target="../activeX/activeX8.xml"/><Relationship Id="rId2" Type="http://schemas.openxmlformats.org/officeDocument/2006/relationships/customProperty" Target="../customProperty17.bin"/><Relationship Id="rId1" Type="http://schemas.openxmlformats.org/officeDocument/2006/relationships/printerSettings" Target="../printerSettings/printerSettings9.bin"/><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customProperty" Target="../customProperty19.bin"/><Relationship Id="rId9"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comments" Target="../comments10.xml"/><Relationship Id="rId2" Type="http://schemas.openxmlformats.org/officeDocument/2006/relationships/customProperty" Target="../customProperty20.bin"/><Relationship Id="rId1" Type="http://schemas.openxmlformats.org/officeDocument/2006/relationships/printerSettings" Target="../printerSettings/printerSettings10.bin"/><Relationship Id="rId6" Type="http://schemas.openxmlformats.org/officeDocument/2006/relationships/image" Target="../media/image5.emf"/><Relationship Id="rId5" Type="http://schemas.openxmlformats.org/officeDocument/2006/relationships/control" Target="../activeX/activeX9.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22.bin"/><Relationship Id="rId7" Type="http://schemas.openxmlformats.org/officeDocument/2006/relationships/control" Target="../activeX/activeX10.xml"/><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vmlDrawing" Target="../drawings/vmlDrawing11.vml"/><Relationship Id="rId5" Type="http://schemas.openxmlformats.org/officeDocument/2006/relationships/drawing" Target="../drawings/drawing11.xml"/><Relationship Id="rId4" Type="http://schemas.openxmlformats.org/officeDocument/2006/relationships/customProperty" Target="../customProperty23.bin"/><Relationship Id="rId9"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omments" Target="../comments12.xml"/><Relationship Id="rId2" Type="http://schemas.openxmlformats.org/officeDocument/2006/relationships/customProperty" Target="../customProperty24.bin"/><Relationship Id="rId1" Type="http://schemas.openxmlformats.org/officeDocument/2006/relationships/printerSettings" Target="../printerSettings/printerSettings12.bin"/><Relationship Id="rId6" Type="http://schemas.openxmlformats.org/officeDocument/2006/relationships/image" Target="../media/image9.emf"/><Relationship Id="rId5" Type="http://schemas.openxmlformats.org/officeDocument/2006/relationships/control" Target="../activeX/activeX11.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26.bin"/><Relationship Id="rId7" Type="http://schemas.openxmlformats.org/officeDocument/2006/relationships/control" Target="../activeX/activeX12.xml"/><Relationship Id="rId2" Type="http://schemas.openxmlformats.org/officeDocument/2006/relationships/customProperty" Target="../customProperty25.bin"/><Relationship Id="rId1" Type="http://schemas.openxmlformats.org/officeDocument/2006/relationships/printerSettings" Target="../printerSettings/printerSettings13.bin"/><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customProperty" Target="../customProperty27.bin"/><Relationship Id="rId9"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7" Type="http://schemas.openxmlformats.org/officeDocument/2006/relationships/comments" Target="../comments14.xml"/><Relationship Id="rId2" Type="http://schemas.openxmlformats.org/officeDocument/2006/relationships/customProperty" Target="../customProperty28.bin"/><Relationship Id="rId1" Type="http://schemas.openxmlformats.org/officeDocument/2006/relationships/printerSettings" Target="../printerSettings/printerSettings14.bin"/><Relationship Id="rId6" Type="http://schemas.openxmlformats.org/officeDocument/2006/relationships/image" Target="../media/image5.emf"/><Relationship Id="rId5" Type="http://schemas.openxmlformats.org/officeDocument/2006/relationships/control" Target="../activeX/activeX1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ustomProperty" Target="../customProperty30.bin"/><Relationship Id="rId7" Type="http://schemas.openxmlformats.org/officeDocument/2006/relationships/control" Target="../activeX/activeX14.xml"/><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customProperty" Target="../customProperty31.bin"/><Relationship Id="rId9"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7" Type="http://schemas.openxmlformats.org/officeDocument/2006/relationships/comments" Target="../comments16.xml"/><Relationship Id="rId2" Type="http://schemas.openxmlformats.org/officeDocument/2006/relationships/customProperty" Target="../customProperty32.bin"/><Relationship Id="rId1" Type="http://schemas.openxmlformats.org/officeDocument/2006/relationships/printerSettings" Target="../printerSettings/printerSettings16.bin"/><Relationship Id="rId6" Type="http://schemas.openxmlformats.org/officeDocument/2006/relationships/image" Target="../media/image12.emf"/><Relationship Id="rId5" Type="http://schemas.openxmlformats.org/officeDocument/2006/relationships/control" Target="../activeX/activeX15.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3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omments" Target="../comments18.xml"/><Relationship Id="rId2" Type="http://schemas.openxmlformats.org/officeDocument/2006/relationships/customProperty" Target="../customProperty36.bin"/><Relationship Id="rId1" Type="http://schemas.openxmlformats.org/officeDocument/2006/relationships/printerSettings" Target="../printerSettings/printerSettings18.bin"/><Relationship Id="rId6" Type="http://schemas.openxmlformats.org/officeDocument/2006/relationships/image" Target="../media/image13.emf"/><Relationship Id="rId5" Type="http://schemas.openxmlformats.org/officeDocument/2006/relationships/control" Target="../activeX/activeX16.xml"/><Relationship Id="rId4"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39.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20.xml"/><Relationship Id="rId2" Type="http://schemas.openxmlformats.org/officeDocument/2006/relationships/customProperty" Target="../customProperty40.bin"/><Relationship Id="rId1" Type="http://schemas.openxmlformats.org/officeDocument/2006/relationships/printerSettings" Target="../printerSettings/printerSettings20.bin"/><Relationship Id="rId6" Type="http://schemas.openxmlformats.org/officeDocument/2006/relationships/image" Target="../media/image14.emf"/><Relationship Id="rId5" Type="http://schemas.openxmlformats.org/officeDocument/2006/relationships/control" Target="../activeX/activeX17.xml"/><Relationship Id="rId4"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vmlDrawing" Target="../drawings/vmlDrawing21.vml"/><Relationship Id="rId4" Type="http://schemas.openxmlformats.org/officeDocument/2006/relationships/customProperty" Target="../customProperty43.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22.xml"/><Relationship Id="rId2" Type="http://schemas.openxmlformats.org/officeDocument/2006/relationships/customProperty" Target="../customProperty44.bin"/><Relationship Id="rId1" Type="http://schemas.openxmlformats.org/officeDocument/2006/relationships/printerSettings" Target="../printerSettings/printerSettings22.bin"/><Relationship Id="rId6" Type="http://schemas.openxmlformats.org/officeDocument/2006/relationships/image" Target="../media/image14.emf"/><Relationship Id="rId5" Type="http://schemas.openxmlformats.org/officeDocument/2006/relationships/control" Target="../activeX/activeX18.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23.bin"/><Relationship Id="rId6" Type="http://schemas.openxmlformats.org/officeDocument/2006/relationships/comments" Target="../comments23.xml"/><Relationship Id="rId5" Type="http://schemas.openxmlformats.org/officeDocument/2006/relationships/vmlDrawing" Target="../drawings/vmlDrawing23.vml"/><Relationship Id="rId4" Type="http://schemas.openxmlformats.org/officeDocument/2006/relationships/customProperty" Target="../customProperty47.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0.xml"/><Relationship Id="rId7" Type="http://schemas.openxmlformats.org/officeDocument/2006/relationships/comments" Target="../comments24.xml"/><Relationship Id="rId2" Type="http://schemas.openxmlformats.org/officeDocument/2006/relationships/customProperty" Target="../customProperty48.bin"/><Relationship Id="rId1" Type="http://schemas.openxmlformats.org/officeDocument/2006/relationships/printerSettings" Target="../printerSettings/printerSettings24.bin"/><Relationship Id="rId6" Type="http://schemas.openxmlformats.org/officeDocument/2006/relationships/image" Target="../media/image13.emf"/><Relationship Id="rId5" Type="http://schemas.openxmlformats.org/officeDocument/2006/relationships/control" Target="../activeX/activeX19.xml"/><Relationship Id="rId4" Type="http://schemas.openxmlformats.org/officeDocument/2006/relationships/vmlDrawing" Target="../drawings/vmlDrawing2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50.bin"/><Relationship Id="rId2" Type="http://schemas.openxmlformats.org/officeDocument/2006/relationships/customProperty" Target="../customProperty49.bin"/><Relationship Id="rId1" Type="http://schemas.openxmlformats.org/officeDocument/2006/relationships/printerSettings" Target="../printerSettings/printerSettings25.bin"/><Relationship Id="rId6" Type="http://schemas.openxmlformats.org/officeDocument/2006/relationships/comments" Target="../comments25.xml"/><Relationship Id="rId5" Type="http://schemas.openxmlformats.org/officeDocument/2006/relationships/vmlDrawing" Target="../drawings/vmlDrawing25.vml"/><Relationship Id="rId4" Type="http://schemas.openxmlformats.org/officeDocument/2006/relationships/customProperty" Target="../customProperty51.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1.xml"/><Relationship Id="rId7" Type="http://schemas.openxmlformats.org/officeDocument/2006/relationships/comments" Target="../comments26.xml"/><Relationship Id="rId2" Type="http://schemas.openxmlformats.org/officeDocument/2006/relationships/customProperty" Target="../customProperty52.bin"/><Relationship Id="rId1" Type="http://schemas.openxmlformats.org/officeDocument/2006/relationships/printerSettings" Target="../printerSettings/printerSettings26.bin"/><Relationship Id="rId6" Type="http://schemas.openxmlformats.org/officeDocument/2006/relationships/image" Target="../media/image14.emf"/><Relationship Id="rId5" Type="http://schemas.openxmlformats.org/officeDocument/2006/relationships/control" Target="../activeX/activeX20.xml"/><Relationship Id="rId4" Type="http://schemas.openxmlformats.org/officeDocument/2006/relationships/vmlDrawing" Target="../drawings/vmlDrawing26.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54.bin"/><Relationship Id="rId2" Type="http://schemas.openxmlformats.org/officeDocument/2006/relationships/customProperty" Target="../customProperty53.bin"/><Relationship Id="rId1" Type="http://schemas.openxmlformats.org/officeDocument/2006/relationships/printerSettings" Target="../printerSettings/printerSettings27.bin"/><Relationship Id="rId6" Type="http://schemas.openxmlformats.org/officeDocument/2006/relationships/comments" Target="../comments27.xml"/><Relationship Id="rId5" Type="http://schemas.openxmlformats.org/officeDocument/2006/relationships/vmlDrawing" Target="../drawings/vmlDrawing27.vml"/><Relationship Id="rId4" Type="http://schemas.openxmlformats.org/officeDocument/2006/relationships/customProperty" Target="../customProperty55.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2.xml"/><Relationship Id="rId7" Type="http://schemas.openxmlformats.org/officeDocument/2006/relationships/comments" Target="../comments28.xml"/><Relationship Id="rId2" Type="http://schemas.openxmlformats.org/officeDocument/2006/relationships/customProperty" Target="../customProperty56.bin"/><Relationship Id="rId1" Type="http://schemas.openxmlformats.org/officeDocument/2006/relationships/printerSettings" Target="../printerSettings/printerSettings28.bin"/><Relationship Id="rId6" Type="http://schemas.openxmlformats.org/officeDocument/2006/relationships/image" Target="../media/image14.emf"/><Relationship Id="rId5" Type="http://schemas.openxmlformats.org/officeDocument/2006/relationships/control" Target="../activeX/activeX21.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58.bin"/><Relationship Id="rId2" Type="http://schemas.openxmlformats.org/officeDocument/2006/relationships/customProperty" Target="../customProperty57.bin"/><Relationship Id="rId1" Type="http://schemas.openxmlformats.org/officeDocument/2006/relationships/printerSettings" Target="../printerSettings/printerSettings29.bin"/><Relationship Id="rId6" Type="http://schemas.openxmlformats.org/officeDocument/2006/relationships/comments" Target="../comments29.xml"/><Relationship Id="rId5" Type="http://schemas.openxmlformats.org/officeDocument/2006/relationships/vmlDrawing" Target="../drawings/vmlDrawing29.vml"/><Relationship Id="rId4" Type="http://schemas.openxmlformats.org/officeDocument/2006/relationships/customProperty" Target="../customProperty59.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3.xml"/><Relationship Id="rId7" Type="http://schemas.openxmlformats.org/officeDocument/2006/relationships/comments" Target="../comments30.xml"/><Relationship Id="rId2" Type="http://schemas.openxmlformats.org/officeDocument/2006/relationships/customProperty" Target="../customProperty60.bin"/><Relationship Id="rId1" Type="http://schemas.openxmlformats.org/officeDocument/2006/relationships/printerSettings" Target="../printerSettings/printerSettings30.bin"/><Relationship Id="rId6" Type="http://schemas.openxmlformats.org/officeDocument/2006/relationships/image" Target="../media/image13.emf"/><Relationship Id="rId5" Type="http://schemas.openxmlformats.org/officeDocument/2006/relationships/control" Target="../activeX/activeX22.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62.bin"/><Relationship Id="rId7" Type="http://schemas.openxmlformats.org/officeDocument/2006/relationships/control" Target="../activeX/activeX23.xml"/><Relationship Id="rId2" Type="http://schemas.openxmlformats.org/officeDocument/2006/relationships/customProperty" Target="../customProperty61.bin"/><Relationship Id="rId1" Type="http://schemas.openxmlformats.org/officeDocument/2006/relationships/printerSettings" Target="../printerSettings/printerSettings31.bin"/><Relationship Id="rId6" Type="http://schemas.openxmlformats.org/officeDocument/2006/relationships/vmlDrawing" Target="../drawings/vmlDrawing31.vml"/><Relationship Id="rId5" Type="http://schemas.openxmlformats.org/officeDocument/2006/relationships/drawing" Target="../drawings/drawing24.xml"/><Relationship Id="rId4" Type="http://schemas.openxmlformats.org/officeDocument/2006/relationships/customProperty" Target="../customProperty63.bin"/><Relationship Id="rId9"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omments" Target="../comments32.xml"/><Relationship Id="rId2" Type="http://schemas.openxmlformats.org/officeDocument/2006/relationships/customProperty" Target="../customProperty64.bin"/><Relationship Id="rId1" Type="http://schemas.openxmlformats.org/officeDocument/2006/relationships/printerSettings" Target="../printerSettings/printerSettings32.bin"/><Relationship Id="rId6" Type="http://schemas.openxmlformats.org/officeDocument/2006/relationships/image" Target="../media/image14.emf"/><Relationship Id="rId5" Type="http://schemas.openxmlformats.org/officeDocument/2006/relationships/control" Target="../activeX/activeX24.xml"/><Relationship Id="rId4" Type="http://schemas.openxmlformats.org/officeDocument/2006/relationships/vmlDrawing" Target="../drawings/vmlDrawing32.vml"/></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66.bin"/><Relationship Id="rId2" Type="http://schemas.openxmlformats.org/officeDocument/2006/relationships/customProperty" Target="../customProperty65.bin"/><Relationship Id="rId1" Type="http://schemas.openxmlformats.org/officeDocument/2006/relationships/printerSettings" Target="../printerSettings/printerSettings33.bin"/><Relationship Id="rId6" Type="http://schemas.openxmlformats.org/officeDocument/2006/relationships/comments" Target="../comments33.xml"/><Relationship Id="rId5" Type="http://schemas.openxmlformats.org/officeDocument/2006/relationships/vmlDrawing" Target="../drawings/vmlDrawing33.vml"/><Relationship Id="rId4" Type="http://schemas.openxmlformats.org/officeDocument/2006/relationships/customProperty" Target="../customProperty67.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6.xml"/><Relationship Id="rId7" Type="http://schemas.openxmlformats.org/officeDocument/2006/relationships/comments" Target="../comments34.xml"/><Relationship Id="rId2" Type="http://schemas.openxmlformats.org/officeDocument/2006/relationships/customProperty" Target="../customProperty68.bin"/><Relationship Id="rId1" Type="http://schemas.openxmlformats.org/officeDocument/2006/relationships/printerSettings" Target="../printerSettings/printerSettings34.bin"/><Relationship Id="rId6" Type="http://schemas.openxmlformats.org/officeDocument/2006/relationships/image" Target="../media/image13.emf"/><Relationship Id="rId5" Type="http://schemas.openxmlformats.org/officeDocument/2006/relationships/control" Target="../activeX/activeX25.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70.bin"/><Relationship Id="rId7" Type="http://schemas.openxmlformats.org/officeDocument/2006/relationships/control" Target="../activeX/activeX26.xml"/><Relationship Id="rId2" Type="http://schemas.openxmlformats.org/officeDocument/2006/relationships/customProperty" Target="../customProperty69.bin"/><Relationship Id="rId1" Type="http://schemas.openxmlformats.org/officeDocument/2006/relationships/printerSettings" Target="../printerSettings/printerSettings35.bin"/><Relationship Id="rId6" Type="http://schemas.openxmlformats.org/officeDocument/2006/relationships/vmlDrawing" Target="../drawings/vmlDrawing35.vml"/><Relationship Id="rId5" Type="http://schemas.openxmlformats.org/officeDocument/2006/relationships/drawing" Target="../drawings/drawing27.xml"/><Relationship Id="rId4" Type="http://schemas.openxmlformats.org/officeDocument/2006/relationships/customProperty" Target="../customProperty71.bin"/><Relationship Id="rId9"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28.xml"/><Relationship Id="rId7" Type="http://schemas.openxmlformats.org/officeDocument/2006/relationships/comments" Target="../comments36.xml"/><Relationship Id="rId2" Type="http://schemas.openxmlformats.org/officeDocument/2006/relationships/customProperty" Target="../customProperty72.bin"/><Relationship Id="rId1" Type="http://schemas.openxmlformats.org/officeDocument/2006/relationships/printerSettings" Target="../printerSettings/printerSettings36.bin"/><Relationship Id="rId6" Type="http://schemas.openxmlformats.org/officeDocument/2006/relationships/image" Target="../media/image14.emf"/><Relationship Id="rId5" Type="http://schemas.openxmlformats.org/officeDocument/2006/relationships/control" Target="../activeX/activeX27.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customProperty" Target="../customProperty74.bin"/><Relationship Id="rId2" Type="http://schemas.openxmlformats.org/officeDocument/2006/relationships/customProperty" Target="../customProperty73.bin"/><Relationship Id="rId1" Type="http://schemas.openxmlformats.org/officeDocument/2006/relationships/printerSettings" Target="../printerSettings/printerSettings37.bin"/><Relationship Id="rId6" Type="http://schemas.openxmlformats.org/officeDocument/2006/relationships/comments" Target="../comments37.xml"/><Relationship Id="rId5" Type="http://schemas.openxmlformats.org/officeDocument/2006/relationships/vmlDrawing" Target="../drawings/vmlDrawing37.vml"/><Relationship Id="rId4" Type="http://schemas.openxmlformats.org/officeDocument/2006/relationships/customProperty" Target="../customProperty75.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29.xml"/><Relationship Id="rId7" Type="http://schemas.openxmlformats.org/officeDocument/2006/relationships/comments" Target="../comments38.xml"/><Relationship Id="rId2" Type="http://schemas.openxmlformats.org/officeDocument/2006/relationships/customProperty" Target="../customProperty76.bin"/><Relationship Id="rId1" Type="http://schemas.openxmlformats.org/officeDocument/2006/relationships/printerSettings" Target="../printerSettings/printerSettings38.bin"/><Relationship Id="rId6" Type="http://schemas.openxmlformats.org/officeDocument/2006/relationships/image" Target="../media/image14.emf"/><Relationship Id="rId5" Type="http://schemas.openxmlformats.org/officeDocument/2006/relationships/control" Target="../activeX/activeX28.xml"/><Relationship Id="rId4" Type="http://schemas.openxmlformats.org/officeDocument/2006/relationships/vmlDrawing" Target="../drawings/vmlDrawing38.vml"/></Relationships>
</file>

<file path=xl/worksheets/_rels/sheet39.xml.rels><?xml version="1.0" encoding="UTF-8" standalone="yes"?>
<Relationships xmlns="http://schemas.openxmlformats.org/package/2006/relationships"><Relationship Id="rId3" Type="http://schemas.openxmlformats.org/officeDocument/2006/relationships/customProperty" Target="../customProperty78.bin"/><Relationship Id="rId2" Type="http://schemas.openxmlformats.org/officeDocument/2006/relationships/customProperty" Target="../customProperty77.bin"/><Relationship Id="rId1" Type="http://schemas.openxmlformats.org/officeDocument/2006/relationships/printerSettings" Target="../printerSettings/printerSettings39.bin"/><Relationship Id="rId6" Type="http://schemas.openxmlformats.org/officeDocument/2006/relationships/comments" Target="../comments39.xml"/><Relationship Id="rId5" Type="http://schemas.openxmlformats.org/officeDocument/2006/relationships/vmlDrawing" Target="../drawings/vmlDrawing39.vml"/><Relationship Id="rId4" Type="http://schemas.openxmlformats.org/officeDocument/2006/relationships/customProperty" Target="../customProperty79.bin"/></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40.xml"/><Relationship Id="rId2" Type="http://schemas.openxmlformats.org/officeDocument/2006/relationships/customProperty" Target="../customProperty80.bin"/><Relationship Id="rId1" Type="http://schemas.openxmlformats.org/officeDocument/2006/relationships/printerSettings" Target="../printerSettings/printerSettings40.bin"/><Relationship Id="rId6" Type="http://schemas.openxmlformats.org/officeDocument/2006/relationships/image" Target="../media/image13.emf"/><Relationship Id="rId5" Type="http://schemas.openxmlformats.org/officeDocument/2006/relationships/control" Target="../activeX/activeX29.xml"/><Relationship Id="rId4" Type="http://schemas.openxmlformats.org/officeDocument/2006/relationships/vmlDrawing" Target="../drawings/vmlDrawing40.vml"/></Relationships>
</file>

<file path=xl/worksheets/_rels/sheet41.xml.rels><?xml version="1.0" encoding="UTF-8" standalone="yes"?>
<Relationships xmlns="http://schemas.openxmlformats.org/package/2006/relationships"><Relationship Id="rId3" Type="http://schemas.openxmlformats.org/officeDocument/2006/relationships/customProperty" Target="../customProperty82.bin"/><Relationship Id="rId2" Type="http://schemas.openxmlformats.org/officeDocument/2006/relationships/customProperty" Target="../customProperty81.bin"/><Relationship Id="rId1" Type="http://schemas.openxmlformats.org/officeDocument/2006/relationships/printerSettings" Target="../printerSettings/printerSettings41.bin"/><Relationship Id="rId6" Type="http://schemas.openxmlformats.org/officeDocument/2006/relationships/comments" Target="../comments41.xml"/><Relationship Id="rId5" Type="http://schemas.openxmlformats.org/officeDocument/2006/relationships/vmlDrawing" Target="../drawings/vmlDrawing41.vml"/><Relationship Id="rId4" Type="http://schemas.openxmlformats.org/officeDocument/2006/relationships/customProperty" Target="../customProperty83.bin"/></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omments" Target="../comments42.xml"/><Relationship Id="rId2" Type="http://schemas.openxmlformats.org/officeDocument/2006/relationships/customProperty" Target="../customProperty84.bin"/><Relationship Id="rId1" Type="http://schemas.openxmlformats.org/officeDocument/2006/relationships/printerSettings" Target="../printerSettings/printerSettings42.bin"/><Relationship Id="rId6" Type="http://schemas.openxmlformats.org/officeDocument/2006/relationships/image" Target="../media/image14.emf"/><Relationship Id="rId5" Type="http://schemas.openxmlformats.org/officeDocument/2006/relationships/control" Target="../activeX/activeX30.xml"/><Relationship Id="rId4" Type="http://schemas.openxmlformats.org/officeDocument/2006/relationships/vmlDrawing" Target="../drawings/vmlDrawing42.vml"/></Relationships>
</file>

<file path=xl/worksheets/_rels/sheet43.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86.bin"/><Relationship Id="rId7" Type="http://schemas.openxmlformats.org/officeDocument/2006/relationships/control" Target="../activeX/activeX31.xml"/><Relationship Id="rId2" Type="http://schemas.openxmlformats.org/officeDocument/2006/relationships/customProperty" Target="../customProperty85.bin"/><Relationship Id="rId1" Type="http://schemas.openxmlformats.org/officeDocument/2006/relationships/printerSettings" Target="../printerSettings/printerSettings43.bin"/><Relationship Id="rId6" Type="http://schemas.openxmlformats.org/officeDocument/2006/relationships/vmlDrawing" Target="../drawings/vmlDrawing43.vml"/><Relationship Id="rId5" Type="http://schemas.openxmlformats.org/officeDocument/2006/relationships/drawing" Target="../drawings/drawing32.xml"/><Relationship Id="rId4" Type="http://schemas.openxmlformats.org/officeDocument/2006/relationships/customProperty" Target="../customProperty87.bin"/><Relationship Id="rId9" Type="http://schemas.openxmlformats.org/officeDocument/2006/relationships/comments" Target="../comments43.xml"/></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33.xml"/><Relationship Id="rId7" Type="http://schemas.openxmlformats.org/officeDocument/2006/relationships/comments" Target="../comments44.xml"/><Relationship Id="rId2" Type="http://schemas.openxmlformats.org/officeDocument/2006/relationships/customProperty" Target="../customProperty88.bin"/><Relationship Id="rId1" Type="http://schemas.openxmlformats.org/officeDocument/2006/relationships/printerSettings" Target="../printerSettings/printerSettings44.bin"/><Relationship Id="rId6" Type="http://schemas.openxmlformats.org/officeDocument/2006/relationships/image" Target="../media/image13.emf"/><Relationship Id="rId5" Type="http://schemas.openxmlformats.org/officeDocument/2006/relationships/control" Target="../activeX/activeX32.xml"/><Relationship Id="rId4" Type="http://schemas.openxmlformats.org/officeDocument/2006/relationships/vmlDrawing" Target="../drawings/vmlDrawing44.vml"/></Relationships>
</file>

<file path=xl/worksheets/_rels/sheet4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90.bin"/><Relationship Id="rId7" Type="http://schemas.openxmlformats.org/officeDocument/2006/relationships/control" Target="../activeX/activeX33.xml"/><Relationship Id="rId2" Type="http://schemas.openxmlformats.org/officeDocument/2006/relationships/customProperty" Target="../customProperty89.bin"/><Relationship Id="rId1" Type="http://schemas.openxmlformats.org/officeDocument/2006/relationships/printerSettings" Target="../printerSettings/printerSettings45.bin"/><Relationship Id="rId6" Type="http://schemas.openxmlformats.org/officeDocument/2006/relationships/vmlDrawing" Target="../drawings/vmlDrawing45.vml"/><Relationship Id="rId5" Type="http://schemas.openxmlformats.org/officeDocument/2006/relationships/drawing" Target="../drawings/drawing34.xml"/><Relationship Id="rId4" Type="http://schemas.openxmlformats.org/officeDocument/2006/relationships/customProperty" Target="../customProperty91.bin"/><Relationship Id="rId9" Type="http://schemas.openxmlformats.org/officeDocument/2006/relationships/comments" Target="../comments45.x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46.xml"/><Relationship Id="rId2" Type="http://schemas.openxmlformats.org/officeDocument/2006/relationships/customProperty" Target="../customProperty92.bin"/><Relationship Id="rId1" Type="http://schemas.openxmlformats.org/officeDocument/2006/relationships/printerSettings" Target="../printerSettings/printerSettings46.bin"/><Relationship Id="rId6" Type="http://schemas.openxmlformats.org/officeDocument/2006/relationships/image" Target="../media/image14.emf"/><Relationship Id="rId5" Type="http://schemas.openxmlformats.org/officeDocument/2006/relationships/control" Target="../activeX/activeX34.xml"/><Relationship Id="rId4" Type="http://schemas.openxmlformats.org/officeDocument/2006/relationships/vmlDrawing" Target="../drawings/vmlDrawing46.vml"/></Relationships>
</file>

<file path=xl/worksheets/_rels/sheet47.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customProperty" Target="../customProperty94.bin"/><Relationship Id="rId7" Type="http://schemas.openxmlformats.org/officeDocument/2006/relationships/control" Target="../activeX/activeX35.xml"/><Relationship Id="rId2" Type="http://schemas.openxmlformats.org/officeDocument/2006/relationships/customProperty" Target="../customProperty93.bin"/><Relationship Id="rId1" Type="http://schemas.openxmlformats.org/officeDocument/2006/relationships/printerSettings" Target="../printerSettings/printerSettings47.bin"/><Relationship Id="rId6" Type="http://schemas.openxmlformats.org/officeDocument/2006/relationships/vmlDrawing" Target="../drawings/vmlDrawing47.vml"/><Relationship Id="rId5" Type="http://schemas.openxmlformats.org/officeDocument/2006/relationships/drawing" Target="../drawings/drawing36.xml"/><Relationship Id="rId4" Type="http://schemas.openxmlformats.org/officeDocument/2006/relationships/customProperty" Target="../customProperty95.bin"/><Relationship Id="rId9" Type="http://schemas.openxmlformats.org/officeDocument/2006/relationships/comments" Target="../comments47.xml"/></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37.xml"/><Relationship Id="rId7" Type="http://schemas.openxmlformats.org/officeDocument/2006/relationships/comments" Target="../comments48.xml"/><Relationship Id="rId2" Type="http://schemas.openxmlformats.org/officeDocument/2006/relationships/customProperty" Target="../customProperty96.bin"/><Relationship Id="rId1" Type="http://schemas.openxmlformats.org/officeDocument/2006/relationships/printerSettings" Target="../printerSettings/printerSettings48.bin"/><Relationship Id="rId6" Type="http://schemas.openxmlformats.org/officeDocument/2006/relationships/image" Target="../media/image14.emf"/><Relationship Id="rId5" Type="http://schemas.openxmlformats.org/officeDocument/2006/relationships/control" Target="../activeX/activeX36.xml"/><Relationship Id="rId4" Type="http://schemas.openxmlformats.org/officeDocument/2006/relationships/vmlDrawing" Target="../drawings/vmlDrawing48.vml"/></Relationships>
</file>

<file path=xl/worksheets/_rels/sheet49.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98.bin"/><Relationship Id="rId7" Type="http://schemas.openxmlformats.org/officeDocument/2006/relationships/control" Target="../activeX/activeX37.xml"/><Relationship Id="rId2" Type="http://schemas.openxmlformats.org/officeDocument/2006/relationships/customProperty" Target="../customProperty97.bin"/><Relationship Id="rId1" Type="http://schemas.openxmlformats.org/officeDocument/2006/relationships/printerSettings" Target="../printerSettings/printerSettings49.bin"/><Relationship Id="rId6" Type="http://schemas.openxmlformats.org/officeDocument/2006/relationships/vmlDrawing" Target="../drawings/vmlDrawing49.vml"/><Relationship Id="rId5" Type="http://schemas.openxmlformats.org/officeDocument/2006/relationships/drawing" Target="../drawings/drawing38.xml"/><Relationship Id="rId4" Type="http://schemas.openxmlformats.org/officeDocument/2006/relationships/customProperty" Target="../customProperty99.bin"/><Relationship Id="rId9" Type="http://schemas.openxmlformats.org/officeDocument/2006/relationships/comments" Target="../comments49.xml"/></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39.xml"/><Relationship Id="rId7" Type="http://schemas.openxmlformats.org/officeDocument/2006/relationships/comments" Target="../comments50.xml"/><Relationship Id="rId2" Type="http://schemas.openxmlformats.org/officeDocument/2006/relationships/customProperty" Target="../customProperty100.bin"/><Relationship Id="rId1" Type="http://schemas.openxmlformats.org/officeDocument/2006/relationships/printerSettings" Target="../printerSettings/printerSettings50.bin"/><Relationship Id="rId6" Type="http://schemas.openxmlformats.org/officeDocument/2006/relationships/image" Target="../media/image13.emf"/><Relationship Id="rId5" Type="http://schemas.openxmlformats.org/officeDocument/2006/relationships/control" Target="../activeX/activeX38.xml"/><Relationship Id="rId4" Type="http://schemas.openxmlformats.org/officeDocument/2006/relationships/vmlDrawing" Target="../drawings/vmlDrawing50.vml"/></Relationships>
</file>

<file path=xl/worksheets/_rels/sheet51.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ustomProperty" Target="../customProperty102.bin"/><Relationship Id="rId7" Type="http://schemas.openxmlformats.org/officeDocument/2006/relationships/control" Target="../activeX/activeX39.xml"/><Relationship Id="rId2" Type="http://schemas.openxmlformats.org/officeDocument/2006/relationships/customProperty" Target="../customProperty101.bin"/><Relationship Id="rId1" Type="http://schemas.openxmlformats.org/officeDocument/2006/relationships/printerSettings" Target="../printerSettings/printerSettings51.bin"/><Relationship Id="rId6" Type="http://schemas.openxmlformats.org/officeDocument/2006/relationships/vmlDrawing" Target="../drawings/vmlDrawing51.vml"/><Relationship Id="rId5" Type="http://schemas.openxmlformats.org/officeDocument/2006/relationships/drawing" Target="../drawings/drawing40.xml"/><Relationship Id="rId4" Type="http://schemas.openxmlformats.org/officeDocument/2006/relationships/customProperty" Target="../customProperty103.bin"/><Relationship Id="rId9" Type="http://schemas.openxmlformats.org/officeDocument/2006/relationships/comments" Target="../comments51.xml"/></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41.xml"/><Relationship Id="rId7" Type="http://schemas.openxmlformats.org/officeDocument/2006/relationships/comments" Target="../comments52.xml"/><Relationship Id="rId2" Type="http://schemas.openxmlformats.org/officeDocument/2006/relationships/customProperty" Target="../customProperty104.bin"/><Relationship Id="rId1" Type="http://schemas.openxmlformats.org/officeDocument/2006/relationships/printerSettings" Target="../printerSettings/printerSettings52.bin"/><Relationship Id="rId6" Type="http://schemas.openxmlformats.org/officeDocument/2006/relationships/image" Target="../media/image14.emf"/><Relationship Id="rId5" Type="http://schemas.openxmlformats.org/officeDocument/2006/relationships/control" Target="../activeX/activeX40.xml"/><Relationship Id="rId4" Type="http://schemas.openxmlformats.org/officeDocument/2006/relationships/vmlDrawing" Target="../drawings/vmlDrawing52.vml"/></Relationships>
</file>

<file path=xl/worksheets/_rels/sheet53.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106.bin"/><Relationship Id="rId7" Type="http://schemas.openxmlformats.org/officeDocument/2006/relationships/control" Target="../activeX/activeX41.xml"/><Relationship Id="rId2" Type="http://schemas.openxmlformats.org/officeDocument/2006/relationships/customProperty" Target="../customProperty105.bin"/><Relationship Id="rId1" Type="http://schemas.openxmlformats.org/officeDocument/2006/relationships/printerSettings" Target="../printerSettings/printerSettings53.bin"/><Relationship Id="rId6" Type="http://schemas.openxmlformats.org/officeDocument/2006/relationships/vmlDrawing" Target="../drawings/vmlDrawing53.vml"/><Relationship Id="rId5" Type="http://schemas.openxmlformats.org/officeDocument/2006/relationships/drawing" Target="../drawings/drawing42.xml"/><Relationship Id="rId4" Type="http://schemas.openxmlformats.org/officeDocument/2006/relationships/customProperty" Target="../customProperty107.bin"/><Relationship Id="rId9" Type="http://schemas.openxmlformats.org/officeDocument/2006/relationships/comments" Target="../comments53.x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43.xml"/><Relationship Id="rId7" Type="http://schemas.openxmlformats.org/officeDocument/2006/relationships/comments" Target="../comments54.xml"/><Relationship Id="rId2" Type="http://schemas.openxmlformats.org/officeDocument/2006/relationships/customProperty" Target="../customProperty108.bin"/><Relationship Id="rId1" Type="http://schemas.openxmlformats.org/officeDocument/2006/relationships/printerSettings" Target="../printerSettings/printerSettings54.bin"/><Relationship Id="rId6" Type="http://schemas.openxmlformats.org/officeDocument/2006/relationships/image" Target="../media/image14.emf"/><Relationship Id="rId5" Type="http://schemas.openxmlformats.org/officeDocument/2006/relationships/control" Target="../activeX/activeX42.xml"/><Relationship Id="rId4" Type="http://schemas.openxmlformats.org/officeDocument/2006/relationships/vmlDrawing" Target="../drawings/vmlDrawing54.vml"/></Relationships>
</file>

<file path=xl/worksheets/_rels/sheet55.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customProperty" Target="../customProperty110.bin"/><Relationship Id="rId7" Type="http://schemas.openxmlformats.org/officeDocument/2006/relationships/control" Target="../activeX/activeX43.xml"/><Relationship Id="rId2" Type="http://schemas.openxmlformats.org/officeDocument/2006/relationships/customProperty" Target="../customProperty109.bin"/><Relationship Id="rId1" Type="http://schemas.openxmlformats.org/officeDocument/2006/relationships/printerSettings" Target="../printerSettings/printerSettings55.bin"/><Relationship Id="rId6" Type="http://schemas.openxmlformats.org/officeDocument/2006/relationships/vmlDrawing" Target="../drawings/vmlDrawing55.vml"/><Relationship Id="rId5" Type="http://schemas.openxmlformats.org/officeDocument/2006/relationships/drawing" Target="../drawings/drawing44.xml"/><Relationship Id="rId4" Type="http://schemas.openxmlformats.org/officeDocument/2006/relationships/customProperty" Target="../customProperty111.bin"/><Relationship Id="rId9" Type="http://schemas.openxmlformats.org/officeDocument/2006/relationships/comments" Target="../comments55.xml"/></Relationships>
</file>

<file path=xl/worksheets/_rels/sheet56.xml.rels><?xml version="1.0" encoding="UTF-8" standalone="yes"?>
<Relationships xmlns="http://schemas.openxmlformats.org/package/2006/relationships"><Relationship Id="rId3" Type="http://schemas.openxmlformats.org/officeDocument/2006/relationships/drawing" Target="../drawings/drawing45.xml"/><Relationship Id="rId7" Type="http://schemas.openxmlformats.org/officeDocument/2006/relationships/comments" Target="../comments56.xml"/><Relationship Id="rId2" Type="http://schemas.openxmlformats.org/officeDocument/2006/relationships/customProperty" Target="../customProperty112.bin"/><Relationship Id="rId1" Type="http://schemas.openxmlformats.org/officeDocument/2006/relationships/printerSettings" Target="../printerSettings/printerSettings56.bin"/><Relationship Id="rId6" Type="http://schemas.openxmlformats.org/officeDocument/2006/relationships/image" Target="../media/image13.emf"/><Relationship Id="rId5" Type="http://schemas.openxmlformats.org/officeDocument/2006/relationships/control" Target="../activeX/activeX44.xml"/><Relationship Id="rId4" Type="http://schemas.openxmlformats.org/officeDocument/2006/relationships/vmlDrawing" Target="../drawings/vmlDrawing56.vml"/></Relationships>
</file>

<file path=xl/worksheets/_rels/sheet57.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114.bin"/><Relationship Id="rId7" Type="http://schemas.openxmlformats.org/officeDocument/2006/relationships/control" Target="../activeX/activeX45.xml"/><Relationship Id="rId2" Type="http://schemas.openxmlformats.org/officeDocument/2006/relationships/customProperty" Target="../customProperty113.bin"/><Relationship Id="rId1" Type="http://schemas.openxmlformats.org/officeDocument/2006/relationships/printerSettings" Target="../printerSettings/printerSettings57.bin"/><Relationship Id="rId6" Type="http://schemas.openxmlformats.org/officeDocument/2006/relationships/vmlDrawing" Target="../drawings/vmlDrawing57.vml"/><Relationship Id="rId5" Type="http://schemas.openxmlformats.org/officeDocument/2006/relationships/drawing" Target="../drawings/drawing46.xml"/><Relationship Id="rId4" Type="http://schemas.openxmlformats.org/officeDocument/2006/relationships/customProperty" Target="../customProperty115.bin"/><Relationship Id="rId9" Type="http://schemas.openxmlformats.org/officeDocument/2006/relationships/comments" Target="../comments57.xml"/></Relationships>
</file>

<file path=xl/worksheets/_rels/sheet58.xml.rels><?xml version="1.0" encoding="UTF-8" standalone="yes"?>
<Relationships xmlns="http://schemas.openxmlformats.org/package/2006/relationships"><Relationship Id="rId3" Type="http://schemas.openxmlformats.org/officeDocument/2006/relationships/drawing" Target="../drawings/drawing47.xml"/><Relationship Id="rId7" Type="http://schemas.openxmlformats.org/officeDocument/2006/relationships/comments" Target="../comments58.xml"/><Relationship Id="rId2" Type="http://schemas.openxmlformats.org/officeDocument/2006/relationships/customProperty" Target="../customProperty116.bin"/><Relationship Id="rId1" Type="http://schemas.openxmlformats.org/officeDocument/2006/relationships/printerSettings" Target="../printerSettings/printerSettings58.bin"/><Relationship Id="rId6" Type="http://schemas.openxmlformats.org/officeDocument/2006/relationships/image" Target="../media/image14.emf"/><Relationship Id="rId5" Type="http://schemas.openxmlformats.org/officeDocument/2006/relationships/control" Target="../activeX/activeX46.xml"/><Relationship Id="rId4" Type="http://schemas.openxmlformats.org/officeDocument/2006/relationships/vmlDrawing" Target="../drawings/vmlDrawing58.vml"/></Relationships>
</file>

<file path=xl/worksheets/_rels/sheet59.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18.bin"/><Relationship Id="rId7" Type="http://schemas.openxmlformats.org/officeDocument/2006/relationships/control" Target="../activeX/activeX47.xml"/><Relationship Id="rId2" Type="http://schemas.openxmlformats.org/officeDocument/2006/relationships/customProperty" Target="../customProperty117.bin"/><Relationship Id="rId1" Type="http://schemas.openxmlformats.org/officeDocument/2006/relationships/printerSettings" Target="../printerSettings/printerSettings59.bin"/><Relationship Id="rId6" Type="http://schemas.openxmlformats.org/officeDocument/2006/relationships/vmlDrawing" Target="../drawings/vmlDrawing59.vml"/><Relationship Id="rId5" Type="http://schemas.openxmlformats.org/officeDocument/2006/relationships/drawing" Target="../drawings/drawing48.xml"/><Relationship Id="rId4" Type="http://schemas.openxmlformats.org/officeDocument/2006/relationships/customProperty" Target="../customProperty119.bin"/><Relationship Id="rId9" Type="http://schemas.openxmlformats.org/officeDocument/2006/relationships/comments" Target="../comments59.xml"/></Relationships>
</file>

<file path=xl/worksheets/_rels/sheet60.xml.rels><?xml version="1.0" encoding="UTF-8" standalone="yes"?>
<Relationships xmlns="http://schemas.openxmlformats.org/package/2006/relationships"><Relationship Id="rId3" Type="http://schemas.openxmlformats.org/officeDocument/2006/relationships/drawing" Target="../drawings/drawing49.xml"/><Relationship Id="rId7" Type="http://schemas.openxmlformats.org/officeDocument/2006/relationships/comments" Target="../comments60.xml"/><Relationship Id="rId2" Type="http://schemas.openxmlformats.org/officeDocument/2006/relationships/customProperty" Target="../customProperty120.bin"/><Relationship Id="rId1" Type="http://schemas.openxmlformats.org/officeDocument/2006/relationships/printerSettings" Target="../printerSettings/printerSettings60.bin"/><Relationship Id="rId6" Type="http://schemas.openxmlformats.org/officeDocument/2006/relationships/image" Target="../media/image14.emf"/><Relationship Id="rId5" Type="http://schemas.openxmlformats.org/officeDocument/2006/relationships/control" Target="../activeX/activeX48.xml"/><Relationship Id="rId4" Type="http://schemas.openxmlformats.org/officeDocument/2006/relationships/vmlDrawing" Target="../drawings/vmlDrawing60.vml"/></Relationships>
</file>

<file path=xl/worksheets/_rels/sheet61.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22.bin"/><Relationship Id="rId7" Type="http://schemas.openxmlformats.org/officeDocument/2006/relationships/control" Target="../activeX/activeX49.xml"/><Relationship Id="rId2" Type="http://schemas.openxmlformats.org/officeDocument/2006/relationships/customProperty" Target="../customProperty121.bin"/><Relationship Id="rId1" Type="http://schemas.openxmlformats.org/officeDocument/2006/relationships/printerSettings" Target="../printerSettings/printerSettings61.bin"/><Relationship Id="rId6" Type="http://schemas.openxmlformats.org/officeDocument/2006/relationships/vmlDrawing" Target="../drawings/vmlDrawing61.vml"/><Relationship Id="rId5" Type="http://schemas.openxmlformats.org/officeDocument/2006/relationships/drawing" Target="../drawings/drawing50.xml"/><Relationship Id="rId4" Type="http://schemas.openxmlformats.org/officeDocument/2006/relationships/customProperty" Target="../customProperty123.bin"/><Relationship Id="rId9" Type="http://schemas.openxmlformats.org/officeDocument/2006/relationships/comments" Target="../comments61.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1.xml"/><Relationship Id="rId7" Type="http://schemas.openxmlformats.org/officeDocument/2006/relationships/comments" Target="../comments62.xml"/><Relationship Id="rId2" Type="http://schemas.openxmlformats.org/officeDocument/2006/relationships/customProperty" Target="../customProperty124.bin"/><Relationship Id="rId1" Type="http://schemas.openxmlformats.org/officeDocument/2006/relationships/printerSettings" Target="../printerSettings/printerSettings62.bin"/><Relationship Id="rId6" Type="http://schemas.openxmlformats.org/officeDocument/2006/relationships/image" Target="../media/image13.emf"/><Relationship Id="rId5" Type="http://schemas.openxmlformats.org/officeDocument/2006/relationships/control" Target="../activeX/activeX50.xml"/><Relationship Id="rId4" Type="http://schemas.openxmlformats.org/officeDocument/2006/relationships/vmlDrawing" Target="../drawings/vmlDrawing62.vml"/></Relationships>
</file>

<file path=xl/worksheets/_rels/sheet63.xml.rels><?xml version="1.0" encoding="UTF-8" standalone="yes"?>
<Relationships xmlns="http://schemas.openxmlformats.org/package/2006/relationships"><Relationship Id="rId3" Type="http://schemas.openxmlformats.org/officeDocument/2006/relationships/customProperty" Target="../customProperty126.bin"/><Relationship Id="rId2" Type="http://schemas.openxmlformats.org/officeDocument/2006/relationships/customProperty" Target="../customProperty125.bin"/><Relationship Id="rId1" Type="http://schemas.openxmlformats.org/officeDocument/2006/relationships/printerSettings" Target="../printerSettings/printerSettings63.bin"/><Relationship Id="rId6" Type="http://schemas.openxmlformats.org/officeDocument/2006/relationships/comments" Target="../comments63.xml"/><Relationship Id="rId5" Type="http://schemas.openxmlformats.org/officeDocument/2006/relationships/vmlDrawing" Target="../drawings/vmlDrawing63.vml"/><Relationship Id="rId4" Type="http://schemas.openxmlformats.org/officeDocument/2006/relationships/customProperty" Target="../customProperty127.bin"/></Relationships>
</file>

<file path=xl/worksheets/_rels/sheet64.xml.rels><?xml version="1.0" encoding="UTF-8" standalone="yes"?>
<Relationships xmlns="http://schemas.openxmlformats.org/package/2006/relationships"><Relationship Id="rId3" Type="http://schemas.openxmlformats.org/officeDocument/2006/relationships/drawing" Target="../drawings/drawing52.xml"/><Relationship Id="rId7" Type="http://schemas.openxmlformats.org/officeDocument/2006/relationships/comments" Target="../comments64.xml"/><Relationship Id="rId2" Type="http://schemas.openxmlformats.org/officeDocument/2006/relationships/customProperty" Target="../customProperty128.bin"/><Relationship Id="rId1" Type="http://schemas.openxmlformats.org/officeDocument/2006/relationships/printerSettings" Target="../printerSettings/printerSettings64.bin"/><Relationship Id="rId6" Type="http://schemas.openxmlformats.org/officeDocument/2006/relationships/image" Target="../media/image18.emf"/><Relationship Id="rId5" Type="http://schemas.openxmlformats.org/officeDocument/2006/relationships/control" Target="../activeX/activeX51.xml"/><Relationship Id="rId4" Type="http://schemas.openxmlformats.org/officeDocument/2006/relationships/vmlDrawing" Target="../drawings/vmlDrawing64.vml"/></Relationships>
</file>

<file path=xl/worksheets/_rels/sheet6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30.bin"/><Relationship Id="rId7" Type="http://schemas.openxmlformats.org/officeDocument/2006/relationships/control" Target="../activeX/activeX52.xml"/><Relationship Id="rId2" Type="http://schemas.openxmlformats.org/officeDocument/2006/relationships/customProperty" Target="../customProperty129.bin"/><Relationship Id="rId1" Type="http://schemas.openxmlformats.org/officeDocument/2006/relationships/printerSettings" Target="../printerSettings/printerSettings65.bin"/><Relationship Id="rId6" Type="http://schemas.openxmlformats.org/officeDocument/2006/relationships/vmlDrawing" Target="../drawings/vmlDrawing65.vml"/><Relationship Id="rId5" Type="http://schemas.openxmlformats.org/officeDocument/2006/relationships/drawing" Target="../drawings/drawing53.xml"/><Relationship Id="rId4" Type="http://schemas.openxmlformats.org/officeDocument/2006/relationships/customProperty" Target="../customProperty131.bin"/><Relationship Id="rId9" Type="http://schemas.openxmlformats.org/officeDocument/2006/relationships/comments" Target="../comments65.xml"/></Relationships>
</file>

<file path=xl/worksheets/_rels/sheet66.xml.rels><?xml version="1.0" encoding="UTF-8" standalone="yes"?>
<Relationships xmlns="http://schemas.openxmlformats.org/package/2006/relationships"><Relationship Id="rId3" Type="http://schemas.openxmlformats.org/officeDocument/2006/relationships/drawing" Target="../drawings/drawing54.xml"/><Relationship Id="rId7" Type="http://schemas.openxmlformats.org/officeDocument/2006/relationships/comments" Target="../comments66.xml"/><Relationship Id="rId2" Type="http://schemas.openxmlformats.org/officeDocument/2006/relationships/customProperty" Target="../customProperty132.bin"/><Relationship Id="rId1" Type="http://schemas.openxmlformats.org/officeDocument/2006/relationships/printerSettings" Target="../printerSettings/printerSettings66.bin"/><Relationship Id="rId6" Type="http://schemas.openxmlformats.org/officeDocument/2006/relationships/image" Target="../media/image13.emf"/><Relationship Id="rId5" Type="http://schemas.openxmlformats.org/officeDocument/2006/relationships/control" Target="../activeX/activeX53.xml"/><Relationship Id="rId4" Type="http://schemas.openxmlformats.org/officeDocument/2006/relationships/vmlDrawing" Target="../drawings/vmlDrawing66.vml"/></Relationships>
</file>

<file path=xl/worksheets/_rels/sheet67.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34.bin"/><Relationship Id="rId7" Type="http://schemas.openxmlformats.org/officeDocument/2006/relationships/control" Target="../activeX/activeX54.xml"/><Relationship Id="rId2" Type="http://schemas.openxmlformats.org/officeDocument/2006/relationships/customProperty" Target="../customProperty133.bin"/><Relationship Id="rId1" Type="http://schemas.openxmlformats.org/officeDocument/2006/relationships/printerSettings" Target="../printerSettings/printerSettings67.bin"/><Relationship Id="rId6" Type="http://schemas.openxmlformats.org/officeDocument/2006/relationships/vmlDrawing" Target="../drawings/vmlDrawing67.vml"/><Relationship Id="rId5" Type="http://schemas.openxmlformats.org/officeDocument/2006/relationships/drawing" Target="../drawings/drawing55.xml"/><Relationship Id="rId4" Type="http://schemas.openxmlformats.org/officeDocument/2006/relationships/customProperty" Target="../customProperty135.bin"/><Relationship Id="rId9" Type="http://schemas.openxmlformats.org/officeDocument/2006/relationships/comments" Target="../comments67.xml"/></Relationships>
</file>

<file path=xl/worksheets/_rels/sheet68.xml.rels><?xml version="1.0" encoding="UTF-8" standalone="yes"?>
<Relationships xmlns="http://schemas.openxmlformats.org/package/2006/relationships"><Relationship Id="rId3" Type="http://schemas.openxmlformats.org/officeDocument/2006/relationships/drawing" Target="../drawings/drawing56.xml"/><Relationship Id="rId7" Type="http://schemas.openxmlformats.org/officeDocument/2006/relationships/comments" Target="../comments68.xml"/><Relationship Id="rId2" Type="http://schemas.openxmlformats.org/officeDocument/2006/relationships/customProperty" Target="../customProperty136.bin"/><Relationship Id="rId1" Type="http://schemas.openxmlformats.org/officeDocument/2006/relationships/printerSettings" Target="../printerSettings/printerSettings68.bin"/><Relationship Id="rId6" Type="http://schemas.openxmlformats.org/officeDocument/2006/relationships/image" Target="../media/image14.emf"/><Relationship Id="rId5" Type="http://schemas.openxmlformats.org/officeDocument/2006/relationships/control" Target="../activeX/activeX55.xml"/><Relationship Id="rId4" Type="http://schemas.openxmlformats.org/officeDocument/2006/relationships/vmlDrawing" Target="../drawings/vmlDrawing68.vml"/></Relationships>
</file>

<file path=xl/worksheets/_rels/sheet69.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38.bin"/><Relationship Id="rId7" Type="http://schemas.openxmlformats.org/officeDocument/2006/relationships/control" Target="../activeX/activeX56.xml"/><Relationship Id="rId2" Type="http://schemas.openxmlformats.org/officeDocument/2006/relationships/customProperty" Target="../customProperty137.bin"/><Relationship Id="rId1" Type="http://schemas.openxmlformats.org/officeDocument/2006/relationships/printerSettings" Target="../printerSettings/printerSettings69.bin"/><Relationship Id="rId6" Type="http://schemas.openxmlformats.org/officeDocument/2006/relationships/vmlDrawing" Target="../drawings/vmlDrawing69.vml"/><Relationship Id="rId5" Type="http://schemas.openxmlformats.org/officeDocument/2006/relationships/drawing" Target="../drawings/drawing57.xml"/><Relationship Id="rId4" Type="http://schemas.openxmlformats.org/officeDocument/2006/relationships/customProperty" Target="../customProperty139.bin"/><Relationship Id="rId9" Type="http://schemas.openxmlformats.org/officeDocument/2006/relationships/comments" Target="../comments69.xml"/></Relationships>
</file>

<file path=xl/worksheets/_rels/sheet70.xml.rels><?xml version="1.0" encoding="UTF-8" standalone="yes"?>
<Relationships xmlns="http://schemas.openxmlformats.org/package/2006/relationships"><Relationship Id="rId3" Type="http://schemas.openxmlformats.org/officeDocument/2006/relationships/drawing" Target="../drawings/drawing58.xml"/><Relationship Id="rId7" Type="http://schemas.openxmlformats.org/officeDocument/2006/relationships/comments" Target="../comments70.xml"/><Relationship Id="rId2" Type="http://schemas.openxmlformats.org/officeDocument/2006/relationships/customProperty" Target="../customProperty140.bin"/><Relationship Id="rId1" Type="http://schemas.openxmlformats.org/officeDocument/2006/relationships/printerSettings" Target="../printerSettings/printerSettings70.bin"/><Relationship Id="rId6" Type="http://schemas.openxmlformats.org/officeDocument/2006/relationships/image" Target="../media/image14.emf"/><Relationship Id="rId5" Type="http://schemas.openxmlformats.org/officeDocument/2006/relationships/control" Target="../activeX/activeX57.xml"/><Relationship Id="rId4" Type="http://schemas.openxmlformats.org/officeDocument/2006/relationships/vmlDrawing" Target="../drawings/vmlDrawing70.vml"/></Relationships>
</file>

<file path=xl/worksheets/_rels/sheet71.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42.bin"/><Relationship Id="rId7" Type="http://schemas.openxmlformats.org/officeDocument/2006/relationships/control" Target="../activeX/activeX58.xml"/><Relationship Id="rId2" Type="http://schemas.openxmlformats.org/officeDocument/2006/relationships/customProperty" Target="../customProperty141.bin"/><Relationship Id="rId1" Type="http://schemas.openxmlformats.org/officeDocument/2006/relationships/printerSettings" Target="../printerSettings/printerSettings71.bin"/><Relationship Id="rId6" Type="http://schemas.openxmlformats.org/officeDocument/2006/relationships/vmlDrawing" Target="../drawings/vmlDrawing71.vml"/><Relationship Id="rId5" Type="http://schemas.openxmlformats.org/officeDocument/2006/relationships/drawing" Target="../drawings/drawing59.xml"/><Relationship Id="rId4" Type="http://schemas.openxmlformats.org/officeDocument/2006/relationships/customProperty" Target="../customProperty143.bin"/><Relationship Id="rId9" Type="http://schemas.openxmlformats.org/officeDocument/2006/relationships/comments" Target="../comments71.xml"/></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60.xml"/><Relationship Id="rId7" Type="http://schemas.openxmlformats.org/officeDocument/2006/relationships/comments" Target="../comments72.xml"/><Relationship Id="rId2" Type="http://schemas.openxmlformats.org/officeDocument/2006/relationships/customProperty" Target="../customProperty144.bin"/><Relationship Id="rId1" Type="http://schemas.openxmlformats.org/officeDocument/2006/relationships/printerSettings" Target="../printerSettings/printerSettings72.bin"/><Relationship Id="rId6" Type="http://schemas.openxmlformats.org/officeDocument/2006/relationships/image" Target="../media/image13.emf"/><Relationship Id="rId5" Type="http://schemas.openxmlformats.org/officeDocument/2006/relationships/control" Target="../activeX/activeX59.xml"/><Relationship Id="rId4" Type="http://schemas.openxmlformats.org/officeDocument/2006/relationships/vmlDrawing" Target="../drawings/vmlDrawing72.vml"/></Relationships>
</file>

<file path=xl/worksheets/_rels/sheet73.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46.bin"/><Relationship Id="rId7" Type="http://schemas.openxmlformats.org/officeDocument/2006/relationships/control" Target="../activeX/activeX60.xml"/><Relationship Id="rId2" Type="http://schemas.openxmlformats.org/officeDocument/2006/relationships/customProperty" Target="../customProperty145.bin"/><Relationship Id="rId1" Type="http://schemas.openxmlformats.org/officeDocument/2006/relationships/printerSettings" Target="../printerSettings/printerSettings73.bin"/><Relationship Id="rId6" Type="http://schemas.openxmlformats.org/officeDocument/2006/relationships/vmlDrawing" Target="../drawings/vmlDrawing73.vml"/><Relationship Id="rId5" Type="http://schemas.openxmlformats.org/officeDocument/2006/relationships/drawing" Target="../drawings/drawing61.xml"/><Relationship Id="rId4" Type="http://schemas.openxmlformats.org/officeDocument/2006/relationships/customProperty" Target="../customProperty147.bin"/><Relationship Id="rId9" Type="http://schemas.openxmlformats.org/officeDocument/2006/relationships/comments" Target="../comments7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62.xml"/><Relationship Id="rId7" Type="http://schemas.openxmlformats.org/officeDocument/2006/relationships/comments" Target="../comments74.xml"/><Relationship Id="rId2" Type="http://schemas.openxmlformats.org/officeDocument/2006/relationships/customProperty" Target="../customProperty148.bin"/><Relationship Id="rId1" Type="http://schemas.openxmlformats.org/officeDocument/2006/relationships/printerSettings" Target="../printerSettings/printerSettings74.bin"/><Relationship Id="rId6" Type="http://schemas.openxmlformats.org/officeDocument/2006/relationships/image" Target="../media/image14.emf"/><Relationship Id="rId5" Type="http://schemas.openxmlformats.org/officeDocument/2006/relationships/control" Target="../activeX/activeX61.xml"/><Relationship Id="rId4" Type="http://schemas.openxmlformats.org/officeDocument/2006/relationships/vmlDrawing" Target="../drawings/vmlDrawing74.vml"/></Relationships>
</file>

<file path=xl/worksheets/_rels/sheet75.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50.bin"/><Relationship Id="rId7" Type="http://schemas.openxmlformats.org/officeDocument/2006/relationships/control" Target="../activeX/activeX62.xml"/><Relationship Id="rId2" Type="http://schemas.openxmlformats.org/officeDocument/2006/relationships/customProperty" Target="../customProperty149.bin"/><Relationship Id="rId1" Type="http://schemas.openxmlformats.org/officeDocument/2006/relationships/printerSettings" Target="../printerSettings/printerSettings75.bin"/><Relationship Id="rId6" Type="http://schemas.openxmlformats.org/officeDocument/2006/relationships/vmlDrawing" Target="../drawings/vmlDrawing75.vml"/><Relationship Id="rId5" Type="http://schemas.openxmlformats.org/officeDocument/2006/relationships/drawing" Target="../drawings/drawing63.xml"/><Relationship Id="rId4" Type="http://schemas.openxmlformats.org/officeDocument/2006/relationships/customProperty" Target="../customProperty151.bin"/><Relationship Id="rId9" Type="http://schemas.openxmlformats.org/officeDocument/2006/relationships/comments" Target="../comments75.xml"/></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64.xml"/><Relationship Id="rId7" Type="http://schemas.openxmlformats.org/officeDocument/2006/relationships/comments" Target="../comments76.xml"/><Relationship Id="rId2" Type="http://schemas.openxmlformats.org/officeDocument/2006/relationships/customProperty" Target="../customProperty152.bin"/><Relationship Id="rId1" Type="http://schemas.openxmlformats.org/officeDocument/2006/relationships/printerSettings" Target="../printerSettings/printerSettings76.bin"/><Relationship Id="rId6" Type="http://schemas.openxmlformats.org/officeDocument/2006/relationships/image" Target="../media/image21.emf"/><Relationship Id="rId5" Type="http://schemas.openxmlformats.org/officeDocument/2006/relationships/control" Target="../activeX/activeX63.xml"/><Relationship Id="rId4" Type="http://schemas.openxmlformats.org/officeDocument/2006/relationships/vmlDrawing" Target="../drawings/vmlDrawing76.vml"/></Relationships>
</file>

<file path=xl/worksheets/_rels/sheet77.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54.bin"/><Relationship Id="rId7" Type="http://schemas.openxmlformats.org/officeDocument/2006/relationships/control" Target="../activeX/activeX64.xml"/><Relationship Id="rId2" Type="http://schemas.openxmlformats.org/officeDocument/2006/relationships/customProperty" Target="../customProperty153.bin"/><Relationship Id="rId1" Type="http://schemas.openxmlformats.org/officeDocument/2006/relationships/printerSettings" Target="../printerSettings/printerSettings77.bin"/><Relationship Id="rId6" Type="http://schemas.openxmlformats.org/officeDocument/2006/relationships/vmlDrawing" Target="../drawings/vmlDrawing77.vml"/><Relationship Id="rId5" Type="http://schemas.openxmlformats.org/officeDocument/2006/relationships/drawing" Target="../drawings/drawing65.xml"/><Relationship Id="rId4" Type="http://schemas.openxmlformats.org/officeDocument/2006/relationships/customProperty" Target="../customProperty155.bin"/><Relationship Id="rId9" Type="http://schemas.openxmlformats.org/officeDocument/2006/relationships/comments" Target="../comments77.xml"/></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66.xml"/><Relationship Id="rId7" Type="http://schemas.openxmlformats.org/officeDocument/2006/relationships/comments" Target="../comments78.xml"/><Relationship Id="rId2" Type="http://schemas.openxmlformats.org/officeDocument/2006/relationships/customProperty" Target="../customProperty156.bin"/><Relationship Id="rId1" Type="http://schemas.openxmlformats.org/officeDocument/2006/relationships/printerSettings" Target="../printerSettings/printerSettings78.bin"/><Relationship Id="rId6" Type="http://schemas.openxmlformats.org/officeDocument/2006/relationships/image" Target="../media/image13.emf"/><Relationship Id="rId5" Type="http://schemas.openxmlformats.org/officeDocument/2006/relationships/control" Target="../activeX/activeX65.xml"/><Relationship Id="rId4" Type="http://schemas.openxmlformats.org/officeDocument/2006/relationships/vmlDrawing" Target="../drawings/vmlDrawing78.vml"/></Relationships>
</file>

<file path=xl/worksheets/_rels/sheet79.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58.bin"/><Relationship Id="rId7" Type="http://schemas.openxmlformats.org/officeDocument/2006/relationships/control" Target="../activeX/activeX66.xml"/><Relationship Id="rId2" Type="http://schemas.openxmlformats.org/officeDocument/2006/relationships/customProperty" Target="../customProperty157.bin"/><Relationship Id="rId1" Type="http://schemas.openxmlformats.org/officeDocument/2006/relationships/printerSettings" Target="../printerSettings/printerSettings79.bin"/><Relationship Id="rId6" Type="http://schemas.openxmlformats.org/officeDocument/2006/relationships/vmlDrawing" Target="../drawings/vmlDrawing79.vml"/><Relationship Id="rId5" Type="http://schemas.openxmlformats.org/officeDocument/2006/relationships/drawing" Target="../drawings/drawing67.xml"/><Relationship Id="rId4" Type="http://schemas.openxmlformats.org/officeDocument/2006/relationships/customProperty" Target="../customProperty159.bin"/><Relationship Id="rId9" Type="http://schemas.openxmlformats.org/officeDocument/2006/relationships/comments" Target="../comments79.xml"/></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68.xml"/><Relationship Id="rId7" Type="http://schemas.openxmlformats.org/officeDocument/2006/relationships/comments" Target="../comments80.xml"/><Relationship Id="rId2" Type="http://schemas.openxmlformats.org/officeDocument/2006/relationships/customProperty" Target="../customProperty160.bin"/><Relationship Id="rId1" Type="http://schemas.openxmlformats.org/officeDocument/2006/relationships/printerSettings" Target="../printerSettings/printerSettings80.bin"/><Relationship Id="rId6" Type="http://schemas.openxmlformats.org/officeDocument/2006/relationships/image" Target="../media/image13.emf"/><Relationship Id="rId5" Type="http://schemas.openxmlformats.org/officeDocument/2006/relationships/control" Target="../activeX/activeX67.xml"/><Relationship Id="rId4" Type="http://schemas.openxmlformats.org/officeDocument/2006/relationships/vmlDrawing" Target="../drawings/vmlDrawing80.vml"/></Relationships>
</file>

<file path=xl/worksheets/_rels/sheet81.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62.bin"/><Relationship Id="rId7" Type="http://schemas.openxmlformats.org/officeDocument/2006/relationships/control" Target="../activeX/activeX68.xml"/><Relationship Id="rId2" Type="http://schemas.openxmlformats.org/officeDocument/2006/relationships/customProperty" Target="../customProperty161.bin"/><Relationship Id="rId1" Type="http://schemas.openxmlformats.org/officeDocument/2006/relationships/printerSettings" Target="../printerSettings/printerSettings81.bin"/><Relationship Id="rId6" Type="http://schemas.openxmlformats.org/officeDocument/2006/relationships/vmlDrawing" Target="../drawings/vmlDrawing81.vml"/><Relationship Id="rId5" Type="http://schemas.openxmlformats.org/officeDocument/2006/relationships/drawing" Target="../drawings/drawing69.xml"/><Relationship Id="rId4" Type="http://schemas.openxmlformats.org/officeDocument/2006/relationships/customProperty" Target="../customProperty163.bin"/><Relationship Id="rId9" Type="http://schemas.openxmlformats.org/officeDocument/2006/relationships/comments" Target="../comments81.xml"/></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70.xml"/><Relationship Id="rId7" Type="http://schemas.openxmlformats.org/officeDocument/2006/relationships/comments" Target="../comments82.xml"/><Relationship Id="rId2" Type="http://schemas.openxmlformats.org/officeDocument/2006/relationships/customProperty" Target="../customProperty164.bin"/><Relationship Id="rId1" Type="http://schemas.openxmlformats.org/officeDocument/2006/relationships/printerSettings" Target="../printerSettings/printerSettings82.bin"/><Relationship Id="rId6" Type="http://schemas.openxmlformats.org/officeDocument/2006/relationships/image" Target="../media/image13.emf"/><Relationship Id="rId5" Type="http://schemas.openxmlformats.org/officeDocument/2006/relationships/control" Target="../activeX/activeX69.xml"/><Relationship Id="rId4" Type="http://schemas.openxmlformats.org/officeDocument/2006/relationships/vmlDrawing" Target="../drawings/vmlDrawing82.vml"/></Relationships>
</file>

<file path=xl/worksheets/_rels/sheet83.xml.rels><?xml version="1.0" encoding="UTF-8" standalone="yes"?>
<Relationships xmlns="http://schemas.openxmlformats.org/package/2006/relationships"><Relationship Id="rId3" Type="http://schemas.openxmlformats.org/officeDocument/2006/relationships/customProperty" Target="../customProperty166.bin"/><Relationship Id="rId2" Type="http://schemas.openxmlformats.org/officeDocument/2006/relationships/customProperty" Target="../customProperty165.bin"/><Relationship Id="rId1" Type="http://schemas.openxmlformats.org/officeDocument/2006/relationships/printerSettings" Target="../printerSettings/printerSettings83.bin"/><Relationship Id="rId6" Type="http://schemas.openxmlformats.org/officeDocument/2006/relationships/comments" Target="../comments83.xml"/><Relationship Id="rId5" Type="http://schemas.openxmlformats.org/officeDocument/2006/relationships/vmlDrawing" Target="../drawings/vmlDrawing83.vml"/><Relationship Id="rId4" Type="http://schemas.openxmlformats.org/officeDocument/2006/relationships/customProperty" Target="../customProperty167.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71.xml"/><Relationship Id="rId7" Type="http://schemas.openxmlformats.org/officeDocument/2006/relationships/comments" Target="../comments84.xml"/><Relationship Id="rId2" Type="http://schemas.openxmlformats.org/officeDocument/2006/relationships/customProperty" Target="../customProperty168.bin"/><Relationship Id="rId1" Type="http://schemas.openxmlformats.org/officeDocument/2006/relationships/printerSettings" Target="../printerSettings/printerSettings84.bin"/><Relationship Id="rId6" Type="http://schemas.openxmlformats.org/officeDocument/2006/relationships/image" Target="../media/image13.emf"/><Relationship Id="rId5" Type="http://schemas.openxmlformats.org/officeDocument/2006/relationships/control" Target="../activeX/activeX70.xml"/><Relationship Id="rId4" Type="http://schemas.openxmlformats.org/officeDocument/2006/relationships/vmlDrawing" Target="../drawings/vmlDrawing84.vml"/></Relationships>
</file>

<file path=xl/worksheets/_rels/sheet85.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70.bin"/><Relationship Id="rId7" Type="http://schemas.openxmlformats.org/officeDocument/2006/relationships/control" Target="../activeX/activeX71.xml"/><Relationship Id="rId2" Type="http://schemas.openxmlformats.org/officeDocument/2006/relationships/customProperty" Target="../customProperty169.bin"/><Relationship Id="rId1" Type="http://schemas.openxmlformats.org/officeDocument/2006/relationships/printerSettings" Target="../printerSettings/printerSettings85.bin"/><Relationship Id="rId6" Type="http://schemas.openxmlformats.org/officeDocument/2006/relationships/vmlDrawing" Target="../drawings/vmlDrawing85.vml"/><Relationship Id="rId5" Type="http://schemas.openxmlformats.org/officeDocument/2006/relationships/drawing" Target="../drawings/drawing72.xml"/><Relationship Id="rId4" Type="http://schemas.openxmlformats.org/officeDocument/2006/relationships/customProperty" Target="../customProperty171.bin"/><Relationship Id="rId9" Type="http://schemas.openxmlformats.org/officeDocument/2006/relationships/comments" Target="../comments85.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73.xml"/><Relationship Id="rId7" Type="http://schemas.openxmlformats.org/officeDocument/2006/relationships/comments" Target="../comments86.xml"/><Relationship Id="rId2" Type="http://schemas.openxmlformats.org/officeDocument/2006/relationships/customProperty" Target="../customProperty172.bin"/><Relationship Id="rId1" Type="http://schemas.openxmlformats.org/officeDocument/2006/relationships/printerSettings" Target="../printerSettings/printerSettings86.bin"/><Relationship Id="rId6" Type="http://schemas.openxmlformats.org/officeDocument/2006/relationships/image" Target="../media/image13.emf"/><Relationship Id="rId5" Type="http://schemas.openxmlformats.org/officeDocument/2006/relationships/control" Target="../activeX/activeX72.xml"/><Relationship Id="rId4" Type="http://schemas.openxmlformats.org/officeDocument/2006/relationships/vmlDrawing" Target="../drawings/vmlDrawing86.vml"/></Relationships>
</file>

<file path=xl/worksheets/_rels/sheet87.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74.bin"/><Relationship Id="rId7" Type="http://schemas.openxmlformats.org/officeDocument/2006/relationships/control" Target="../activeX/activeX73.xml"/><Relationship Id="rId2" Type="http://schemas.openxmlformats.org/officeDocument/2006/relationships/customProperty" Target="../customProperty173.bin"/><Relationship Id="rId1" Type="http://schemas.openxmlformats.org/officeDocument/2006/relationships/printerSettings" Target="../printerSettings/printerSettings87.bin"/><Relationship Id="rId6" Type="http://schemas.openxmlformats.org/officeDocument/2006/relationships/vmlDrawing" Target="../drawings/vmlDrawing87.vml"/><Relationship Id="rId5" Type="http://schemas.openxmlformats.org/officeDocument/2006/relationships/drawing" Target="../drawings/drawing74.xml"/><Relationship Id="rId4" Type="http://schemas.openxmlformats.org/officeDocument/2006/relationships/customProperty" Target="../customProperty175.bin"/><Relationship Id="rId9" Type="http://schemas.openxmlformats.org/officeDocument/2006/relationships/comments" Target="../comments87.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75.xml"/><Relationship Id="rId7" Type="http://schemas.openxmlformats.org/officeDocument/2006/relationships/comments" Target="../comments88.xml"/><Relationship Id="rId2" Type="http://schemas.openxmlformats.org/officeDocument/2006/relationships/customProperty" Target="../customProperty176.bin"/><Relationship Id="rId1" Type="http://schemas.openxmlformats.org/officeDocument/2006/relationships/printerSettings" Target="../printerSettings/printerSettings88.bin"/><Relationship Id="rId6" Type="http://schemas.openxmlformats.org/officeDocument/2006/relationships/image" Target="../media/image13.emf"/><Relationship Id="rId5" Type="http://schemas.openxmlformats.org/officeDocument/2006/relationships/control" Target="../activeX/activeX74.xml"/><Relationship Id="rId4" Type="http://schemas.openxmlformats.org/officeDocument/2006/relationships/vmlDrawing" Target="../drawings/vmlDrawing88.vml"/></Relationships>
</file>

<file path=xl/worksheets/_rels/sheet89.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178.bin"/><Relationship Id="rId7" Type="http://schemas.openxmlformats.org/officeDocument/2006/relationships/control" Target="../activeX/activeX75.xml"/><Relationship Id="rId2" Type="http://schemas.openxmlformats.org/officeDocument/2006/relationships/customProperty" Target="../customProperty177.bin"/><Relationship Id="rId1" Type="http://schemas.openxmlformats.org/officeDocument/2006/relationships/printerSettings" Target="../printerSettings/printerSettings89.bin"/><Relationship Id="rId6" Type="http://schemas.openxmlformats.org/officeDocument/2006/relationships/vmlDrawing" Target="../drawings/vmlDrawing89.vml"/><Relationship Id="rId5" Type="http://schemas.openxmlformats.org/officeDocument/2006/relationships/drawing" Target="../drawings/drawing76.xml"/><Relationship Id="rId4" Type="http://schemas.openxmlformats.org/officeDocument/2006/relationships/customProperty" Target="../customProperty179.bin"/><Relationship Id="rId9" Type="http://schemas.openxmlformats.org/officeDocument/2006/relationships/comments" Target="../comments89.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77.xml"/><Relationship Id="rId7" Type="http://schemas.openxmlformats.org/officeDocument/2006/relationships/comments" Target="../comments90.xml"/><Relationship Id="rId2" Type="http://schemas.openxmlformats.org/officeDocument/2006/relationships/customProperty" Target="../customProperty180.bin"/><Relationship Id="rId1" Type="http://schemas.openxmlformats.org/officeDocument/2006/relationships/printerSettings" Target="../printerSettings/printerSettings90.bin"/><Relationship Id="rId6" Type="http://schemas.openxmlformats.org/officeDocument/2006/relationships/image" Target="../media/image14.emf"/><Relationship Id="rId5" Type="http://schemas.openxmlformats.org/officeDocument/2006/relationships/control" Target="../activeX/activeX76.xml"/><Relationship Id="rId4" Type="http://schemas.openxmlformats.org/officeDocument/2006/relationships/vmlDrawing" Target="../drawings/vmlDrawing90.vml"/></Relationships>
</file>

<file path=xl/worksheets/_rels/sheet91.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182.bin"/><Relationship Id="rId7" Type="http://schemas.openxmlformats.org/officeDocument/2006/relationships/control" Target="../activeX/activeX77.xml"/><Relationship Id="rId2" Type="http://schemas.openxmlformats.org/officeDocument/2006/relationships/customProperty" Target="../customProperty181.bin"/><Relationship Id="rId1" Type="http://schemas.openxmlformats.org/officeDocument/2006/relationships/printerSettings" Target="../printerSettings/printerSettings91.bin"/><Relationship Id="rId6" Type="http://schemas.openxmlformats.org/officeDocument/2006/relationships/vmlDrawing" Target="../drawings/vmlDrawing91.vml"/><Relationship Id="rId5" Type="http://schemas.openxmlformats.org/officeDocument/2006/relationships/drawing" Target="../drawings/drawing78.xml"/><Relationship Id="rId4" Type="http://schemas.openxmlformats.org/officeDocument/2006/relationships/customProperty" Target="../customProperty183.bin"/><Relationship Id="rId9" Type="http://schemas.openxmlformats.org/officeDocument/2006/relationships/comments" Target="../comments91.xml"/></Relationships>
</file>

<file path=xl/worksheets/_rels/sheet92.xml.rels><?xml version="1.0" encoding="UTF-8" standalone="yes"?>
<Relationships xmlns="http://schemas.openxmlformats.org/package/2006/relationships"><Relationship Id="rId3" Type="http://schemas.openxmlformats.org/officeDocument/2006/relationships/drawing" Target="../drawings/drawing79.xml"/><Relationship Id="rId7" Type="http://schemas.openxmlformats.org/officeDocument/2006/relationships/comments" Target="../comments92.xml"/><Relationship Id="rId2" Type="http://schemas.openxmlformats.org/officeDocument/2006/relationships/customProperty" Target="../customProperty184.bin"/><Relationship Id="rId1" Type="http://schemas.openxmlformats.org/officeDocument/2006/relationships/printerSettings" Target="../printerSettings/printerSettings92.bin"/><Relationship Id="rId6" Type="http://schemas.openxmlformats.org/officeDocument/2006/relationships/image" Target="../media/image14.emf"/><Relationship Id="rId5" Type="http://schemas.openxmlformats.org/officeDocument/2006/relationships/control" Target="../activeX/activeX78.xml"/><Relationship Id="rId4" Type="http://schemas.openxmlformats.org/officeDocument/2006/relationships/vmlDrawing" Target="../drawings/vmlDrawing92.vml"/></Relationships>
</file>

<file path=xl/worksheets/_rels/sheet93.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86.bin"/><Relationship Id="rId7" Type="http://schemas.openxmlformats.org/officeDocument/2006/relationships/control" Target="../activeX/activeX79.xml"/><Relationship Id="rId2" Type="http://schemas.openxmlformats.org/officeDocument/2006/relationships/customProperty" Target="../customProperty185.bin"/><Relationship Id="rId1" Type="http://schemas.openxmlformats.org/officeDocument/2006/relationships/printerSettings" Target="../printerSettings/printerSettings93.bin"/><Relationship Id="rId6" Type="http://schemas.openxmlformats.org/officeDocument/2006/relationships/vmlDrawing" Target="../drawings/vmlDrawing93.vml"/><Relationship Id="rId5" Type="http://schemas.openxmlformats.org/officeDocument/2006/relationships/drawing" Target="../drawings/drawing80.xml"/><Relationship Id="rId4" Type="http://schemas.openxmlformats.org/officeDocument/2006/relationships/customProperty" Target="../customProperty187.bin"/><Relationship Id="rId9" Type="http://schemas.openxmlformats.org/officeDocument/2006/relationships/comments" Target="../comments93.xml"/></Relationships>
</file>

<file path=xl/worksheets/_rels/sheet94.xml.rels><?xml version="1.0" encoding="UTF-8" standalone="yes"?>
<Relationships xmlns="http://schemas.openxmlformats.org/package/2006/relationships"><Relationship Id="rId3" Type="http://schemas.openxmlformats.org/officeDocument/2006/relationships/drawing" Target="../drawings/drawing81.xml"/><Relationship Id="rId7" Type="http://schemas.openxmlformats.org/officeDocument/2006/relationships/comments" Target="../comments94.xml"/><Relationship Id="rId2" Type="http://schemas.openxmlformats.org/officeDocument/2006/relationships/customProperty" Target="../customProperty188.bin"/><Relationship Id="rId1" Type="http://schemas.openxmlformats.org/officeDocument/2006/relationships/printerSettings" Target="../printerSettings/printerSettings94.bin"/><Relationship Id="rId6" Type="http://schemas.openxmlformats.org/officeDocument/2006/relationships/image" Target="../media/image13.emf"/><Relationship Id="rId5" Type="http://schemas.openxmlformats.org/officeDocument/2006/relationships/control" Target="../activeX/activeX80.xml"/><Relationship Id="rId4" Type="http://schemas.openxmlformats.org/officeDocument/2006/relationships/vmlDrawing" Target="../drawings/vmlDrawing94.vml"/></Relationships>
</file>

<file path=xl/worksheets/_rels/sheet95.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190.bin"/><Relationship Id="rId7" Type="http://schemas.openxmlformats.org/officeDocument/2006/relationships/control" Target="../activeX/activeX81.xml"/><Relationship Id="rId2" Type="http://schemas.openxmlformats.org/officeDocument/2006/relationships/customProperty" Target="../customProperty189.bin"/><Relationship Id="rId1" Type="http://schemas.openxmlformats.org/officeDocument/2006/relationships/printerSettings" Target="../printerSettings/printerSettings95.bin"/><Relationship Id="rId6" Type="http://schemas.openxmlformats.org/officeDocument/2006/relationships/vmlDrawing" Target="../drawings/vmlDrawing95.vml"/><Relationship Id="rId5" Type="http://schemas.openxmlformats.org/officeDocument/2006/relationships/drawing" Target="../drawings/drawing82.xml"/><Relationship Id="rId4" Type="http://schemas.openxmlformats.org/officeDocument/2006/relationships/customProperty" Target="../customProperty191.bin"/><Relationship Id="rId9" Type="http://schemas.openxmlformats.org/officeDocument/2006/relationships/comments" Target="../comments95.xml"/></Relationships>
</file>

<file path=xl/worksheets/_rels/sheet96.xml.rels><?xml version="1.0" encoding="UTF-8" standalone="yes"?>
<Relationships xmlns="http://schemas.openxmlformats.org/package/2006/relationships"><Relationship Id="rId3" Type="http://schemas.openxmlformats.org/officeDocument/2006/relationships/drawing" Target="../drawings/drawing83.xml"/><Relationship Id="rId7" Type="http://schemas.openxmlformats.org/officeDocument/2006/relationships/comments" Target="../comments96.xml"/><Relationship Id="rId2" Type="http://schemas.openxmlformats.org/officeDocument/2006/relationships/customProperty" Target="../customProperty192.bin"/><Relationship Id="rId1" Type="http://schemas.openxmlformats.org/officeDocument/2006/relationships/printerSettings" Target="../printerSettings/printerSettings96.bin"/><Relationship Id="rId6" Type="http://schemas.openxmlformats.org/officeDocument/2006/relationships/image" Target="../media/image13.emf"/><Relationship Id="rId5" Type="http://schemas.openxmlformats.org/officeDocument/2006/relationships/control" Target="../activeX/activeX82.xml"/><Relationship Id="rId4" Type="http://schemas.openxmlformats.org/officeDocument/2006/relationships/vmlDrawing" Target="../drawings/vmlDrawing96.vml"/></Relationships>
</file>

<file path=xl/worksheets/_rels/sheet97.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194.bin"/><Relationship Id="rId7" Type="http://schemas.openxmlformats.org/officeDocument/2006/relationships/control" Target="../activeX/activeX83.xml"/><Relationship Id="rId2" Type="http://schemas.openxmlformats.org/officeDocument/2006/relationships/customProperty" Target="../customProperty193.bin"/><Relationship Id="rId1" Type="http://schemas.openxmlformats.org/officeDocument/2006/relationships/printerSettings" Target="../printerSettings/printerSettings97.bin"/><Relationship Id="rId6" Type="http://schemas.openxmlformats.org/officeDocument/2006/relationships/vmlDrawing" Target="../drawings/vmlDrawing97.vml"/><Relationship Id="rId5" Type="http://schemas.openxmlformats.org/officeDocument/2006/relationships/drawing" Target="../drawings/drawing84.xml"/><Relationship Id="rId4" Type="http://schemas.openxmlformats.org/officeDocument/2006/relationships/customProperty" Target="../customProperty195.bin"/><Relationship Id="rId9" Type="http://schemas.openxmlformats.org/officeDocument/2006/relationships/comments" Target="../comments97.xml"/></Relationships>
</file>

<file path=xl/worksheets/_rels/sheet98.xml.rels><?xml version="1.0" encoding="UTF-8" standalone="yes"?>
<Relationships xmlns="http://schemas.openxmlformats.org/package/2006/relationships"><Relationship Id="rId3" Type="http://schemas.openxmlformats.org/officeDocument/2006/relationships/drawing" Target="../drawings/drawing85.xml"/><Relationship Id="rId7" Type="http://schemas.openxmlformats.org/officeDocument/2006/relationships/comments" Target="../comments98.xml"/><Relationship Id="rId2" Type="http://schemas.openxmlformats.org/officeDocument/2006/relationships/customProperty" Target="../customProperty196.bin"/><Relationship Id="rId1" Type="http://schemas.openxmlformats.org/officeDocument/2006/relationships/printerSettings" Target="../printerSettings/printerSettings98.bin"/><Relationship Id="rId6" Type="http://schemas.openxmlformats.org/officeDocument/2006/relationships/image" Target="../media/image13.emf"/><Relationship Id="rId5" Type="http://schemas.openxmlformats.org/officeDocument/2006/relationships/control" Target="../activeX/activeX84.xml"/><Relationship Id="rId4" Type="http://schemas.openxmlformats.org/officeDocument/2006/relationships/vmlDrawing" Target="../drawings/vmlDrawing9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E32" sqref="E32"/>
    </sheetView>
  </sheetViews>
  <sheetFormatPr defaultRowHeight="15" outlineLevelRow="1" outlineLevelCol="1" x14ac:dyDescent="0.25"/>
  <cols>
    <col min="1" max="1" width="4.7109375" style="120" customWidth="1"/>
    <col min="2" max="2" width="2.7109375" style="120" customWidth="1"/>
    <col min="3" max="3" width="21.42578125" style="120" bestFit="1" customWidth="1"/>
    <col min="4" max="4" width="16.7109375" style="120" customWidth="1"/>
    <col min="5" max="5" width="24.7109375" style="120" customWidth="1"/>
    <col min="6" max="6" width="21.28515625" style="120" bestFit="1" customWidth="1"/>
    <col min="7" max="7" width="16.7109375" style="120" customWidth="1"/>
    <col min="8" max="8" width="22.7109375" style="120" customWidth="1"/>
    <col min="9" max="9" width="21.7109375" style="120" customWidth="1"/>
    <col min="10" max="10" width="16.7109375" style="120" customWidth="1"/>
    <col min="11" max="11" width="24.7109375" style="120" customWidth="1"/>
    <col min="12" max="12" width="2.7109375" style="120" customWidth="1"/>
    <col min="13" max="13" width="5.7109375" style="120" customWidth="1"/>
    <col min="14" max="14" width="2.7109375" style="120" customWidth="1"/>
    <col min="15" max="15" width="9.140625" style="120"/>
    <col min="16" max="16" width="17.7109375" style="120" customWidth="1"/>
    <col min="17" max="17" width="14.7109375" style="120" customWidth="1"/>
    <col min="18" max="18" width="2.7109375" style="120" customWidth="1"/>
    <col min="19" max="19" width="14.28515625" style="120" hidden="1" customWidth="1" outlineLevel="1"/>
    <col min="20" max="20" width="0" style="120" hidden="1" customWidth="1" outlineLevel="1"/>
    <col min="21" max="21" width="9.140625" style="120" collapsed="1"/>
    <col min="22" max="16384" width="9.140625" style="120"/>
  </cols>
  <sheetData>
    <row r="1" spans="2:18" hidden="1" outlineLevel="1" x14ac:dyDescent="0.25">
      <c r="C1" s="234" t="e">
        <f ca="1">_xll.EVPRO("FINANCE","CURRENT","STARTMTH")</f>
        <v>#NAME?</v>
      </c>
      <c r="D1" s="234" t="e">
        <f ca="1">LEFT($C$1,4)&amp;".TOTAL"</f>
        <v>#NAME?</v>
      </c>
      <c r="E1" s="1" t="s">
        <v>114</v>
      </c>
      <c r="F1" s="234" t="e">
        <f ca="1">_xll.EVTIM("FINANCE",$D$1,-1,"YEAR")</f>
        <v>#NAME?</v>
      </c>
      <c r="G1" s="1" t="s">
        <v>114</v>
      </c>
      <c r="O1" s="234" t="b">
        <v>0</v>
      </c>
      <c r="P1" s="1" t="s">
        <v>114</v>
      </c>
    </row>
    <row r="2" spans="2:18" hidden="1" outlineLevel="1" x14ac:dyDescent="0.25">
      <c r="C2" s="1"/>
      <c r="D2" s="1"/>
      <c r="E2" s="1"/>
    </row>
    <row r="3" spans="2:18" ht="15.75" collapsed="1" thickBot="1" x14ac:dyDescent="0.3"/>
    <row r="4" spans="2:18" x14ac:dyDescent="0.25">
      <c r="B4" s="243" t="s">
        <v>113</v>
      </c>
      <c r="C4" s="250"/>
      <c r="D4" s="244"/>
      <c r="E4" s="244"/>
      <c r="F4" s="245"/>
      <c r="G4" s="245"/>
      <c r="H4" s="245"/>
      <c r="I4" s="245"/>
      <c r="J4" s="245"/>
      <c r="K4" s="245"/>
      <c r="L4" s="246"/>
      <c r="N4" s="265" t="s">
        <v>113</v>
      </c>
      <c r="O4" s="266"/>
      <c r="P4" s="245"/>
      <c r="Q4" s="245"/>
      <c r="R4" s="246"/>
    </row>
    <row r="5" spans="2:18" x14ac:dyDescent="0.25">
      <c r="B5" s="240"/>
      <c r="C5" s="123"/>
      <c r="D5" s="121"/>
      <c r="E5" s="121"/>
      <c r="F5" s="122"/>
      <c r="G5" s="122"/>
      <c r="H5" s="123"/>
      <c r="I5" s="123"/>
      <c r="J5" s="123"/>
      <c r="K5" s="123"/>
      <c r="L5" s="241"/>
      <c r="N5" s="240"/>
      <c r="O5" s="123"/>
      <c r="P5" s="123"/>
      <c r="Q5" s="123"/>
      <c r="R5" s="241"/>
    </row>
    <row r="6" spans="2:18" x14ac:dyDescent="0.25">
      <c r="B6" s="240"/>
      <c r="C6" s="526" t="s">
        <v>627</v>
      </c>
      <c r="D6" s="239" t="e">
        <f ca="1">_xll.EPMSelectMember("FINANCE","[CATEGORY].[H1].[CURRENT]","FCFILTER1=Y","",FALSE)</f>
        <v>#NAME?</v>
      </c>
      <c r="E6" s="123" t="s">
        <v>112</v>
      </c>
      <c r="F6" s="526" t="s">
        <v>629</v>
      </c>
      <c r="G6" s="239" t="e">
        <f ca="1">_xll.EVMBR("FINANCE","BUDGET","FCFILTER1=Y")</f>
        <v>#NAME?</v>
      </c>
      <c r="H6" s="123" t="s">
        <v>112</v>
      </c>
      <c r="I6" s="526" t="s">
        <v>630</v>
      </c>
      <c r="J6" s="239" t="e">
        <f ca="1">_xll.EPMSelectMember("FINANCE","[CATEGORY].[H1].[ACTUAL_CON]","FCFILTER1=Y","",FALSE)</f>
        <v>#NAME?</v>
      </c>
      <c r="K6" s="123" t="s">
        <v>112</v>
      </c>
      <c r="L6" s="241"/>
      <c r="N6" s="240"/>
      <c r="O6" s="123"/>
      <c r="P6" s="123" t="s">
        <v>632</v>
      </c>
      <c r="Q6" s="239" t="e">
        <f ca="1">_xll.EVMBR("FINANCE","2014.DEC","LEVEL=MONTH;YEAR&lt;&gt;NONE")</f>
        <v>#NAME?</v>
      </c>
      <c r="R6" s="241"/>
    </row>
    <row r="7" spans="2:18" ht="15" customHeight="1" x14ac:dyDescent="0.25">
      <c r="B7" s="240"/>
      <c r="C7" s="527"/>
      <c r="D7" s="239" t="e">
        <f ca="1">_xll.EPMSelectMember("FINANCE","[TIME].[H1].[2023.TOTAL]","LEVEL=YEAR;YEAR&lt;&gt;NONE","",FALSE)</f>
        <v>#NAME?</v>
      </c>
      <c r="E7" s="123" t="s">
        <v>628</v>
      </c>
      <c r="F7" s="527"/>
      <c r="G7" s="239" t="e">
        <f ca="1">_xll.EPMSelectMember("FINANCE","[TIME].[H1].[2023.TOTAL]","LEVEL=YEAR;YEAR&lt;&gt;NONE","",FALSE)</f>
        <v>#NAME?</v>
      </c>
      <c r="H7" s="123" t="s">
        <v>628</v>
      </c>
      <c r="I7" s="527"/>
      <c r="J7" s="239" t="e">
        <f ca="1">_xll.EPMSelectMember("FINANCE","[TIME].[H1].[2022.TOTAL]","LEVEL=YEAR;YEAR&lt;&gt;NONE","",FALSE)</f>
        <v>#NAME?</v>
      </c>
      <c r="K7" s="123" t="s">
        <v>628</v>
      </c>
      <c r="L7" s="241"/>
      <c r="N7" s="268" t="s">
        <v>633</v>
      </c>
      <c r="O7" s="267"/>
      <c r="P7" s="267"/>
      <c r="Q7" s="267"/>
      <c r="R7" s="241"/>
    </row>
    <row r="8" spans="2:18" ht="15" customHeight="1" x14ac:dyDescent="0.25">
      <c r="B8" s="240"/>
      <c r="C8" s="489" t="s">
        <v>792</v>
      </c>
      <c r="D8" s="239" t="s">
        <v>824</v>
      </c>
      <c r="E8" s="123" t="s">
        <v>793</v>
      </c>
      <c r="F8" s="488"/>
      <c r="G8" s="490"/>
      <c r="H8" s="123"/>
      <c r="I8" s="488"/>
      <c r="J8" s="490"/>
      <c r="K8" s="123"/>
      <c r="L8" s="241"/>
      <c r="N8" s="268" t="s">
        <v>635</v>
      </c>
      <c r="O8" s="267"/>
      <c r="P8" s="267"/>
      <c r="Q8" s="267"/>
      <c r="R8" s="241"/>
    </row>
    <row r="9" spans="2:18" x14ac:dyDescent="0.25">
      <c r="B9" s="240"/>
      <c r="C9" s="249"/>
      <c r="D9" s="123"/>
      <c r="E9" s="123"/>
      <c r="F9" s="123"/>
      <c r="G9" s="123"/>
      <c r="H9" s="123"/>
      <c r="I9" s="123"/>
      <c r="J9" s="123"/>
      <c r="K9" s="123"/>
      <c r="L9" s="241"/>
      <c r="N9" s="268" t="s">
        <v>634</v>
      </c>
      <c r="O9" s="267"/>
      <c r="P9" s="267"/>
      <c r="Q9" s="267"/>
      <c r="R9" s="241"/>
    </row>
    <row r="10" spans="2:18" x14ac:dyDescent="0.25">
      <c r="B10" s="240"/>
      <c r="C10" s="474" t="s">
        <v>780</v>
      </c>
      <c r="D10" s="239" t="e">
        <f ca="1">_xll.EPMContextMember("FINANCE","RPTCURRENCY")</f>
        <v>#NAME?</v>
      </c>
      <c r="E10" s="123" t="s">
        <v>781</v>
      </c>
      <c r="F10" s="123"/>
      <c r="G10" s="123"/>
      <c r="H10" s="123"/>
      <c r="I10" s="123"/>
      <c r="J10" s="123"/>
      <c r="K10" s="123"/>
      <c r="L10" s="241"/>
      <c r="N10" s="268"/>
      <c r="O10" s="267"/>
      <c r="P10" s="267"/>
      <c r="Q10" s="267"/>
      <c r="R10" s="241"/>
    </row>
    <row r="11" spans="2:18" ht="15.75" thickBot="1" x14ac:dyDescent="0.3">
      <c r="B11" s="242"/>
      <c r="C11" s="251"/>
      <c r="D11" s="475"/>
      <c r="E11" s="247"/>
      <c r="F11" s="247"/>
      <c r="G11" s="247"/>
      <c r="H11" s="247"/>
      <c r="I11" s="247"/>
      <c r="J11" s="247"/>
      <c r="K11" s="247"/>
      <c r="L11" s="248"/>
      <c r="N11" s="242"/>
      <c r="O11" s="263"/>
      <c r="P11" s="263"/>
      <c r="Q11" s="263"/>
      <c r="R11" s="264"/>
    </row>
    <row r="12" spans="2:18" ht="15.75" thickBot="1" x14ac:dyDescent="0.3">
      <c r="B12" s="123"/>
      <c r="C12" s="121"/>
      <c r="D12" s="123"/>
      <c r="E12" s="476"/>
      <c r="F12" s="476"/>
      <c r="G12" s="476"/>
      <c r="H12" s="476"/>
      <c r="I12" s="476"/>
      <c r="J12" s="476"/>
      <c r="K12" s="476"/>
      <c r="L12" s="476"/>
      <c r="N12" s="123"/>
      <c r="O12" s="123"/>
      <c r="P12" s="123"/>
      <c r="Q12" s="123"/>
      <c r="R12" s="123"/>
    </row>
    <row r="13" spans="2:18" ht="40.5" customHeight="1" thickBot="1" x14ac:dyDescent="0.3">
      <c r="C13" s="477" t="e">
        <f ca="1">_xll.EPMExecuteAPI("ExpandActiveWorkBook","Expand All")</f>
        <v>#NAME?</v>
      </c>
      <c r="D13" s="478" t="s">
        <v>784</v>
      </c>
    </row>
    <row r="24" spans="1:23" x14ac:dyDescent="0.25">
      <c r="E24" s="124" t="str">
        <f>C6</f>
        <v>Monthly Data Columns</v>
      </c>
      <c r="F24" s="252"/>
      <c r="G24" s="125"/>
      <c r="I24" s="253" t="str">
        <f>F6</f>
        <v>Comparison 1 Column</v>
      </c>
      <c r="K24" s="253" t="str">
        <f>I6</f>
        <v>Comparison 2 Column</v>
      </c>
    </row>
    <row r="25" spans="1:23" ht="15.75" thickBot="1" x14ac:dyDescent="0.3"/>
    <row r="26" spans="1:23" x14ac:dyDescent="0.25">
      <c r="A26" s="344"/>
      <c r="B26" s="344"/>
      <c r="C26" s="344"/>
      <c r="D26" s="344"/>
      <c r="E26" s="344"/>
      <c r="F26" s="344"/>
      <c r="G26" s="344"/>
      <c r="H26" s="344"/>
      <c r="I26" s="344"/>
      <c r="J26" s="344"/>
      <c r="K26" s="344"/>
      <c r="L26" s="344"/>
      <c r="M26" s="344"/>
      <c r="N26" s="344"/>
      <c r="O26" s="344"/>
      <c r="P26" s="344"/>
      <c r="Q26" s="344"/>
      <c r="R26" s="344"/>
      <c r="S26" s="344"/>
      <c r="T26" s="344"/>
      <c r="U26" s="344"/>
      <c r="V26" s="344"/>
      <c r="W26" s="344"/>
    </row>
    <row r="27" spans="1:23" ht="15.75" x14ac:dyDescent="0.25">
      <c r="B27" s="340" t="s">
        <v>669</v>
      </c>
      <c r="I27" s="340" t="s">
        <v>670</v>
      </c>
    </row>
    <row r="28" spans="1:23" ht="15.75" x14ac:dyDescent="0.25">
      <c r="B28" s="339" t="s">
        <v>668</v>
      </c>
      <c r="I28" s="341" t="e">
        <f ca="1">S28&amp;" - "&amp;T28</f>
        <v>#NAME?</v>
      </c>
      <c r="J28" s="342"/>
      <c r="K28" s="341" t="s">
        <v>700</v>
      </c>
      <c r="L28" s="343"/>
      <c r="M28" s="343"/>
      <c r="N28" s="343"/>
      <c r="O28" s="343"/>
      <c r="P28" s="342"/>
      <c r="S28" s="120" t="s">
        <v>682</v>
      </c>
      <c r="T28" s="120" t="e">
        <f ca="1">_xll.EVDES(S28)</f>
        <v>#NAME?</v>
      </c>
    </row>
    <row r="29" spans="1:23" ht="15.75" x14ac:dyDescent="0.25">
      <c r="B29" s="339" t="s">
        <v>776</v>
      </c>
      <c r="I29" s="341" t="e">
        <f t="shared" ref="I29:I50" ca="1" si="0">S29&amp;" - "&amp;T29</f>
        <v>#NAME?</v>
      </c>
      <c r="J29" s="342"/>
      <c r="K29" s="341" t="s">
        <v>701</v>
      </c>
      <c r="L29" s="343"/>
      <c r="M29" s="343"/>
      <c r="N29" s="343"/>
      <c r="O29" s="343"/>
      <c r="P29" s="342"/>
      <c r="S29" s="120" t="s">
        <v>683</v>
      </c>
      <c r="T29" s="120" t="e">
        <f ca="1">_xll.EVDES(S29)</f>
        <v>#NAME?</v>
      </c>
    </row>
    <row r="30" spans="1:23" ht="15.75" x14ac:dyDescent="0.25">
      <c r="B30" s="339" t="s">
        <v>777</v>
      </c>
      <c r="I30" s="341" t="e">
        <f t="shared" ca="1" si="0"/>
        <v>#NAME?</v>
      </c>
      <c r="J30" s="342"/>
      <c r="K30" s="341" t="s">
        <v>702</v>
      </c>
      <c r="L30" s="343"/>
      <c r="M30" s="343"/>
      <c r="N30" s="343"/>
      <c r="O30" s="343"/>
      <c r="P30" s="342"/>
      <c r="S30" s="120" t="s">
        <v>684</v>
      </c>
      <c r="T30" s="120" t="e">
        <f ca="1">_xll.EVDES(S30)</f>
        <v>#NAME?</v>
      </c>
    </row>
    <row r="31" spans="1:23" ht="15.75" x14ac:dyDescent="0.25">
      <c r="B31" s="339"/>
      <c r="C31" s="339" t="s">
        <v>720</v>
      </c>
      <c r="I31" s="341" t="e">
        <f t="shared" ca="1" si="0"/>
        <v>#NAME?</v>
      </c>
      <c r="J31" s="342"/>
      <c r="K31" s="341" t="s">
        <v>703</v>
      </c>
      <c r="L31" s="343"/>
      <c r="M31" s="343"/>
      <c r="N31" s="343"/>
      <c r="O31" s="343"/>
      <c r="P31" s="342"/>
      <c r="S31" s="120" t="s">
        <v>685</v>
      </c>
      <c r="T31" s="120" t="e">
        <f ca="1">_xll.EVDES(S31)</f>
        <v>#NAME?</v>
      </c>
    </row>
    <row r="32" spans="1:23" ht="15.75" x14ac:dyDescent="0.25">
      <c r="B32" s="339"/>
      <c r="C32" s="339" t="s">
        <v>773</v>
      </c>
      <c r="I32" s="341" t="e">
        <f t="shared" ca="1" si="0"/>
        <v>#NAME?</v>
      </c>
      <c r="J32" s="342"/>
      <c r="K32" s="341" t="s">
        <v>704</v>
      </c>
      <c r="L32" s="343"/>
      <c r="M32" s="343"/>
      <c r="N32" s="343"/>
      <c r="O32" s="343"/>
      <c r="P32" s="342"/>
      <c r="S32" s="120" t="s">
        <v>255</v>
      </c>
      <c r="T32" s="120" t="e">
        <f ca="1">_xll.EVDES(S32)</f>
        <v>#NAME?</v>
      </c>
    </row>
    <row r="33" spans="2:20" ht="15.75" x14ac:dyDescent="0.25">
      <c r="B33" s="339"/>
      <c r="C33" s="339" t="s">
        <v>721</v>
      </c>
      <c r="I33" s="341" t="e">
        <f t="shared" ca="1" si="0"/>
        <v>#NAME?</v>
      </c>
      <c r="J33" s="342"/>
      <c r="K33" s="341" t="s">
        <v>705</v>
      </c>
      <c r="L33" s="343"/>
      <c r="M33" s="343"/>
      <c r="N33" s="343"/>
      <c r="O33" s="343"/>
      <c r="P33" s="342"/>
      <c r="S33" s="120" t="s">
        <v>686</v>
      </c>
      <c r="T33" s="120" t="e">
        <f ca="1">_xll.EVDES(S33)</f>
        <v>#NAME?</v>
      </c>
    </row>
    <row r="34" spans="2:20" ht="15.75" x14ac:dyDescent="0.25">
      <c r="B34" s="339"/>
      <c r="C34" s="491" t="s">
        <v>794</v>
      </c>
      <c r="I34" s="341" t="e">
        <f t="shared" ca="1" si="0"/>
        <v>#NAME?</v>
      </c>
      <c r="J34" s="342"/>
      <c r="K34" s="341" t="s">
        <v>724</v>
      </c>
      <c r="L34" s="343"/>
      <c r="M34" s="343"/>
      <c r="N34" s="343"/>
      <c r="O34" s="343"/>
      <c r="P34" s="342"/>
      <c r="S34" s="120" t="s">
        <v>687</v>
      </c>
      <c r="T34" s="120" t="e">
        <f ca="1">_xll.EVDES(S34)</f>
        <v>#NAME?</v>
      </c>
    </row>
    <row r="35" spans="2:20" ht="15.75" x14ac:dyDescent="0.25">
      <c r="B35" s="339"/>
      <c r="C35" s="339" t="s">
        <v>722</v>
      </c>
      <c r="I35" s="341" t="e">
        <f t="shared" ca="1" si="0"/>
        <v>#NAME?</v>
      </c>
      <c r="J35" s="342"/>
      <c r="K35" s="341" t="s">
        <v>714</v>
      </c>
      <c r="L35" s="343"/>
      <c r="M35" s="343"/>
      <c r="N35" s="343"/>
      <c r="O35" s="343"/>
      <c r="P35" s="342"/>
      <c r="S35" s="120" t="s">
        <v>688</v>
      </c>
      <c r="T35" s="120" t="e">
        <f ca="1">_xll.EVDES(S35)</f>
        <v>#NAME?</v>
      </c>
    </row>
    <row r="36" spans="2:20" ht="15.75" x14ac:dyDescent="0.25">
      <c r="B36" s="339" t="s">
        <v>778</v>
      </c>
      <c r="C36" s="339"/>
      <c r="I36" s="341" t="e">
        <f t="shared" ca="1" si="0"/>
        <v>#NAME?</v>
      </c>
      <c r="J36" s="342"/>
      <c r="K36" s="341" t="s">
        <v>706</v>
      </c>
      <c r="L36" s="343"/>
      <c r="M36" s="343"/>
      <c r="N36" s="343"/>
      <c r="O36" s="343"/>
      <c r="P36" s="342"/>
      <c r="S36" s="120" t="s">
        <v>689</v>
      </c>
      <c r="T36" s="120" t="e">
        <f ca="1">_xll.EVDES(S36)</f>
        <v>#NAME?</v>
      </c>
    </row>
    <row r="37" spans="2:20" ht="15.75" x14ac:dyDescent="0.25">
      <c r="B37" s="339"/>
      <c r="C37" s="339" t="s">
        <v>785</v>
      </c>
      <c r="I37" s="341" t="e">
        <f t="shared" ca="1" si="0"/>
        <v>#NAME?</v>
      </c>
      <c r="J37" s="342"/>
      <c r="K37" s="341" t="s">
        <v>707</v>
      </c>
      <c r="L37" s="343"/>
      <c r="M37" s="343"/>
      <c r="N37" s="343"/>
      <c r="O37" s="343"/>
      <c r="P37" s="342"/>
      <c r="S37" s="120" t="s">
        <v>690</v>
      </c>
      <c r="T37" s="120" t="e">
        <f ca="1">_xll.EVDES(S37)</f>
        <v>#NAME?</v>
      </c>
    </row>
    <row r="38" spans="2:20" ht="15.75" x14ac:dyDescent="0.25">
      <c r="B38" s="339"/>
      <c r="C38" s="339" t="s">
        <v>723</v>
      </c>
      <c r="I38" s="341" t="e">
        <f t="shared" ca="1" si="0"/>
        <v>#NAME?</v>
      </c>
      <c r="J38" s="342"/>
      <c r="K38" s="341" t="s">
        <v>708</v>
      </c>
      <c r="L38" s="343"/>
      <c r="M38" s="343"/>
      <c r="N38" s="343"/>
      <c r="O38" s="343"/>
      <c r="P38" s="342"/>
      <c r="S38" s="120" t="s">
        <v>691</v>
      </c>
      <c r="T38" s="120" t="e">
        <f ca="1">_xll.EVDES(S38)</f>
        <v>#NAME?</v>
      </c>
    </row>
    <row r="39" spans="2:20" ht="15.75" x14ac:dyDescent="0.25">
      <c r="B39" s="339" t="s">
        <v>779</v>
      </c>
      <c r="I39" s="341" t="e">
        <f t="shared" ca="1" si="0"/>
        <v>#NAME?</v>
      </c>
      <c r="J39" s="342"/>
      <c r="K39" s="341" t="s">
        <v>709</v>
      </c>
      <c r="L39" s="343"/>
      <c r="M39" s="343"/>
      <c r="N39" s="343"/>
      <c r="O39" s="343"/>
      <c r="P39" s="342"/>
      <c r="S39" s="120" t="s">
        <v>692</v>
      </c>
      <c r="T39" s="120" t="e">
        <f ca="1">_xll.EVDES(S39)</f>
        <v>#NAME?</v>
      </c>
    </row>
    <row r="40" spans="2:20" ht="15.75" x14ac:dyDescent="0.25">
      <c r="B40" s="339" t="s">
        <v>783</v>
      </c>
      <c r="C40" s="339"/>
      <c r="I40" s="341" t="e">
        <f t="shared" ca="1" si="0"/>
        <v>#NAME?</v>
      </c>
      <c r="J40" s="342"/>
      <c r="K40" s="341" t="s">
        <v>710</v>
      </c>
      <c r="L40" s="343"/>
      <c r="M40" s="343"/>
      <c r="N40" s="343"/>
      <c r="O40" s="343"/>
      <c r="P40" s="342"/>
      <c r="S40" s="120" t="s">
        <v>693</v>
      </c>
      <c r="T40" s="120" t="e">
        <f ca="1">_xll.EVDES(S40)</f>
        <v>#NAME?</v>
      </c>
    </row>
    <row r="41" spans="2:20" ht="15.75" x14ac:dyDescent="0.25">
      <c r="I41" s="341" t="e">
        <f t="shared" ca="1" si="0"/>
        <v>#NAME?</v>
      </c>
      <c r="J41" s="342"/>
      <c r="K41" s="341" t="s">
        <v>711</v>
      </c>
      <c r="L41" s="343"/>
      <c r="M41" s="343"/>
      <c r="N41" s="343"/>
      <c r="O41" s="343"/>
      <c r="P41" s="342"/>
      <c r="S41" s="120" t="s">
        <v>694</v>
      </c>
      <c r="T41" s="120" t="e">
        <f ca="1">_xll.EVDES(S41)</f>
        <v>#NAME?</v>
      </c>
    </row>
    <row r="42" spans="2:20" ht="15.75" x14ac:dyDescent="0.25">
      <c r="B42" s="340" t="s">
        <v>671</v>
      </c>
      <c r="C42" s="339"/>
      <c r="I42" s="341" t="e">
        <f t="shared" ca="1" si="0"/>
        <v>#NAME?</v>
      </c>
      <c r="J42" s="342"/>
      <c r="K42" s="341" t="s">
        <v>712</v>
      </c>
      <c r="L42" s="343"/>
      <c r="M42" s="343"/>
      <c r="N42" s="343"/>
      <c r="O42" s="343"/>
      <c r="P42" s="342"/>
      <c r="S42" s="120" t="s">
        <v>695</v>
      </c>
      <c r="T42" s="120" t="e">
        <f ca="1">_xll.EVDES(S42)</f>
        <v>#NAME?</v>
      </c>
    </row>
    <row r="43" spans="2:20" ht="15.75" x14ac:dyDescent="0.25">
      <c r="B43" s="339" t="s">
        <v>681</v>
      </c>
      <c r="C43" s="339"/>
      <c r="I43" s="341" t="e">
        <f t="shared" ca="1" si="0"/>
        <v>#NAME?</v>
      </c>
      <c r="J43" s="342"/>
      <c r="K43" s="341" t="s">
        <v>713</v>
      </c>
      <c r="L43" s="343"/>
      <c r="M43" s="343"/>
      <c r="N43" s="343"/>
      <c r="O43" s="343"/>
      <c r="P43" s="342"/>
      <c r="S43" s="120" t="s">
        <v>696</v>
      </c>
      <c r="T43" s="120" t="e">
        <f ca="1">_xll.EVDES(S43)</f>
        <v>#NAME?</v>
      </c>
    </row>
    <row r="44" spans="2:20" ht="15.75" x14ac:dyDescent="0.25">
      <c r="B44" s="339" t="s">
        <v>715</v>
      </c>
      <c r="C44" s="339"/>
      <c r="I44" s="341" t="e">
        <f t="shared" ca="1" si="0"/>
        <v>#NAME?</v>
      </c>
      <c r="J44" s="342"/>
      <c r="K44" s="341" t="s">
        <v>716</v>
      </c>
      <c r="L44" s="343"/>
      <c r="M44" s="343"/>
      <c r="N44" s="343"/>
      <c r="O44" s="343"/>
      <c r="P44" s="342"/>
      <c r="S44" s="120" t="s">
        <v>697</v>
      </c>
      <c r="T44" s="120" t="e">
        <f ca="1">_xll.EVDES(S44)</f>
        <v>#NAME?</v>
      </c>
    </row>
    <row r="45" spans="2:20" ht="15.75" x14ac:dyDescent="0.25">
      <c r="B45" s="339" t="s">
        <v>672</v>
      </c>
      <c r="C45" s="339"/>
      <c r="I45" s="341" t="e">
        <f t="shared" ca="1" si="0"/>
        <v>#NAME?</v>
      </c>
      <c r="J45" s="342"/>
      <c r="K45" s="341" t="s">
        <v>717</v>
      </c>
      <c r="L45" s="343"/>
      <c r="M45" s="343"/>
      <c r="N45" s="343"/>
      <c r="O45" s="343"/>
      <c r="P45" s="342"/>
      <c r="S45" s="120" t="s">
        <v>698</v>
      </c>
      <c r="T45" s="120" t="e">
        <f ca="1">_xll.EVDES(S45)</f>
        <v>#NAME?</v>
      </c>
    </row>
    <row r="46" spans="2:20" ht="15.75" x14ac:dyDescent="0.25">
      <c r="B46" s="339" t="s">
        <v>678</v>
      </c>
      <c r="C46" s="339"/>
      <c r="I46" s="341" t="e">
        <f t="shared" ca="1" si="0"/>
        <v>#NAME?</v>
      </c>
      <c r="J46" s="342"/>
      <c r="K46" s="341" t="s">
        <v>718</v>
      </c>
      <c r="L46" s="343"/>
      <c r="M46" s="343"/>
      <c r="N46" s="343"/>
      <c r="O46" s="343"/>
      <c r="P46" s="342"/>
      <c r="S46" s="120" t="s">
        <v>699</v>
      </c>
      <c r="T46" s="120" t="e">
        <f ca="1">_xll.EVDES(S46)</f>
        <v>#NAME?</v>
      </c>
    </row>
    <row r="47" spans="2:20" ht="15.75" x14ac:dyDescent="0.25">
      <c r="B47" s="339" t="s">
        <v>673</v>
      </c>
      <c r="C47" s="339"/>
      <c r="I47" s="341" t="e">
        <f t="shared" ca="1" si="0"/>
        <v>#NAME?</v>
      </c>
      <c r="J47" s="342"/>
      <c r="K47" s="341" t="s">
        <v>795</v>
      </c>
      <c r="L47" s="343"/>
      <c r="M47" s="343"/>
      <c r="N47" s="343"/>
      <c r="O47" s="343"/>
      <c r="P47" s="342"/>
      <c r="S47" s="120" t="s">
        <v>796</v>
      </c>
      <c r="T47" s="120" t="e">
        <f ca="1">_xll.EVDES(S47)</f>
        <v>#NAME?</v>
      </c>
    </row>
    <row r="48" spans="2:20" ht="15.75" x14ac:dyDescent="0.25">
      <c r="B48" s="339" t="s">
        <v>674</v>
      </c>
      <c r="C48" s="339"/>
      <c r="I48" s="341" t="e">
        <f t="shared" ca="1" si="0"/>
        <v>#NAME?</v>
      </c>
      <c r="J48" s="342"/>
      <c r="K48" s="341" t="s">
        <v>795</v>
      </c>
      <c r="L48" s="343"/>
      <c r="M48" s="343"/>
      <c r="N48" s="343"/>
      <c r="O48" s="343"/>
      <c r="P48" s="342"/>
      <c r="S48" s="120" t="s">
        <v>797</v>
      </c>
      <c r="T48" s="120" t="e">
        <f ca="1">_xll.EVDES(S48)</f>
        <v>#NAME?</v>
      </c>
    </row>
    <row r="49" spans="2:20" ht="15.75" x14ac:dyDescent="0.25">
      <c r="B49" s="339"/>
      <c r="C49" s="339" t="s">
        <v>675</v>
      </c>
      <c r="I49" s="341" t="e">
        <f t="shared" ca="1" si="0"/>
        <v>#NAME?</v>
      </c>
      <c r="J49" s="342"/>
      <c r="K49" s="341" t="s">
        <v>795</v>
      </c>
      <c r="L49" s="343"/>
      <c r="M49" s="343"/>
      <c r="N49" s="343"/>
      <c r="O49" s="343"/>
      <c r="P49" s="342"/>
      <c r="S49" s="120" t="s">
        <v>798</v>
      </c>
      <c r="T49" s="120" t="e">
        <f ca="1">_xll.EVDES(S49)</f>
        <v>#NAME?</v>
      </c>
    </row>
    <row r="50" spans="2:20" ht="15.75" x14ac:dyDescent="0.25">
      <c r="B50" s="339"/>
      <c r="C50" s="339" t="s">
        <v>676</v>
      </c>
      <c r="I50" s="341" t="e">
        <f t="shared" ca="1" si="0"/>
        <v>#NAME?</v>
      </c>
      <c r="J50" s="342"/>
      <c r="K50" s="341" t="s">
        <v>795</v>
      </c>
      <c r="L50" s="343"/>
      <c r="M50" s="343"/>
      <c r="N50" s="343"/>
      <c r="O50" s="343"/>
      <c r="P50" s="342"/>
      <c r="S50" s="120" t="s">
        <v>799</v>
      </c>
      <c r="T50" s="120" t="e">
        <f ca="1">_xll.EVDES(S50)</f>
        <v>#NAME?</v>
      </c>
    </row>
    <row r="51" spans="2:20" ht="15.75" x14ac:dyDescent="0.25">
      <c r="B51" s="339"/>
      <c r="C51" s="339" t="s">
        <v>719</v>
      </c>
    </row>
    <row r="52" spans="2:20" ht="15.75" x14ac:dyDescent="0.25">
      <c r="B52" s="339"/>
      <c r="C52" s="339" t="s">
        <v>677</v>
      </c>
    </row>
    <row r="53" spans="2:20" ht="15.75" x14ac:dyDescent="0.25">
      <c r="B53" s="339" t="s">
        <v>679</v>
      </c>
      <c r="C53" s="339"/>
    </row>
    <row r="54" spans="2:20" ht="15.75" x14ac:dyDescent="0.25">
      <c r="B54" s="339" t="s">
        <v>680</v>
      </c>
      <c r="C54" s="339"/>
    </row>
  </sheetData>
  <mergeCells count="3">
    <mergeCell ref="C6:C7"/>
    <mergeCell ref="F6:F7"/>
    <mergeCell ref="I6:I7"/>
  </mergeCells>
  <conditionalFormatting sqref="C8:D8">
    <cfRule type="expression" dxfId="361" priority="1">
      <formula>LEFT($D$6,3)&lt;&gt;"ALT"</formula>
    </cfRule>
  </conditionalFormatting>
  <dataValidations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31" r:id="rId7" name="FPMExcelClientSheetOptionstb1">
          <controlPr defaultSize="0" autoLine="0" r:id="rId8">
            <anchor moveWithCells="1" sizeWithCells="1">
              <from>
                <xdr:col>0</xdr:col>
                <xdr:colOff>0</xdr:colOff>
                <xdr:row>0</xdr:row>
                <xdr:rowOff>0</xdr:rowOff>
              </from>
              <to>
                <xdr:col>2</xdr:col>
                <xdr:colOff>419100</xdr:colOff>
                <xdr:row>0</xdr:row>
                <xdr:rowOff>0</xdr:rowOff>
              </to>
            </anchor>
          </controlPr>
        </control>
      </mc:Choice>
      <mc:Fallback>
        <control shapeId="5131" r:id="rId7" name="FPMExcelClientSheetOptionstb1"/>
      </mc:Fallback>
    </mc:AlternateContent>
    <mc:AlternateContent xmlns:mc="http://schemas.openxmlformats.org/markup-compatibility/2006">
      <mc:Choice Requires="x14">
        <control shapeId="5130" r:id="rId9" name="Check Box 10">
          <controlPr defaultSize="0" print="0" autoFill="0" autoLine="0" autoPict="0">
            <anchor moveWithCells="1">
              <from>
                <xdr:col>14</xdr:col>
                <xdr:colOff>47625</xdr:colOff>
                <xdr:row>4</xdr:row>
                <xdr:rowOff>171450</xdr:rowOff>
              </from>
              <to>
                <xdr:col>15</xdr:col>
                <xdr:colOff>0</xdr:colOff>
                <xdr:row>6</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W54"/>
  <sheetViews>
    <sheetView topLeftCell="A3" zoomScale="85" zoomScaleNormal="85" workbookViewId="0">
      <selection activeCell="E32" sqref="E32"/>
    </sheetView>
  </sheetViews>
  <sheetFormatPr defaultRowHeight="15" outlineLevelRow="1" outlineLevelCol="1" x14ac:dyDescent="0.25"/>
  <cols>
    <col min="1" max="1" width="4.7109375" style="120" customWidth="1"/>
    <col min="2" max="2" width="2.7109375" style="120" customWidth="1"/>
    <col min="3" max="3" width="21.42578125" style="120" bestFit="1" customWidth="1"/>
    <col min="4" max="4" width="16.7109375" style="120" customWidth="1"/>
    <col min="5" max="5" width="24.7109375" style="120" customWidth="1"/>
    <col min="6" max="6" width="21.28515625" style="120" bestFit="1" customWidth="1"/>
    <col min="7" max="7" width="16.7109375" style="120" customWidth="1"/>
    <col min="8" max="8" width="22.7109375" style="120" customWidth="1"/>
    <col min="9" max="9" width="21.7109375" style="120" customWidth="1"/>
    <col min="10" max="10" width="16.7109375" style="120" customWidth="1"/>
    <col min="11" max="11" width="24.7109375" style="120" customWidth="1"/>
    <col min="12" max="12" width="2.7109375" style="120" customWidth="1"/>
    <col min="13" max="13" width="5.7109375" style="120" customWidth="1"/>
    <col min="14" max="14" width="2.7109375" style="120" customWidth="1"/>
    <col min="15" max="15" width="9.140625" style="120"/>
    <col min="16" max="16" width="17.7109375" style="120" customWidth="1"/>
    <col min="17" max="17" width="14.7109375" style="120" customWidth="1"/>
    <col min="18" max="18" width="2.7109375" style="120" customWidth="1"/>
    <col min="19" max="19" width="14.28515625" style="120" hidden="1" customWidth="1" outlineLevel="1"/>
    <col min="20" max="20" width="0" style="120" hidden="1" customWidth="1" outlineLevel="1"/>
    <col min="21" max="21" width="9.140625" style="120" collapsed="1"/>
    <col min="22" max="16384" width="9.140625" style="120"/>
  </cols>
  <sheetData>
    <row r="1" spans="2:18" hidden="1" outlineLevel="1" x14ac:dyDescent="0.25">
      <c r="C1" s="234">
        <v>20240100</v>
      </c>
      <c r="D1" s="234" t="str">
        <f>LEFT($C$1,4)&amp;".TOTAL"</f>
        <v>2024.TOTAL</v>
      </c>
      <c r="E1" s="1" t="s">
        <v>114</v>
      </c>
      <c r="F1" s="234" t="s">
        <v>952</v>
      </c>
      <c r="G1" s="1" t="s">
        <v>114</v>
      </c>
      <c r="O1" s="234" t="b">
        <v>0</v>
      </c>
      <c r="P1" s="1" t="s">
        <v>114</v>
      </c>
    </row>
    <row r="2" spans="2:18" hidden="1" outlineLevel="1" x14ac:dyDescent="0.25">
      <c r="C2" s="1"/>
      <c r="D2" s="1"/>
      <c r="E2" s="1"/>
    </row>
    <row r="3" spans="2:18" ht="15.75" collapsed="1" thickBot="1" x14ac:dyDescent="0.3"/>
    <row r="4" spans="2:18" x14ac:dyDescent="0.25">
      <c r="B4" s="243" t="s">
        <v>113</v>
      </c>
      <c r="C4" s="250"/>
      <c r="D4" s="244"/>
      <c r="E4" s="244"/>
      <c r="F4" s="245"/>
      <c r="G4" s="245"/>
      <c r="H4" s="245"/>
      <c r="I4" s="245"/>
      <c r="J4" s="245"/>
      <c r="K4" s="245"/>
      <c r="L4" s="246"/>
      <c r="N4" s="265" t="s">
        <v>113</v>
      </c>
      <c r="O4" s="266"/>
      <c r="P4" s="245"/>
      <c r="Q4" s="245"/>
      <c r="R4" s="246"/>
    </row>
    <row r="5" spans="2:18" x14ac:dyDescent="0.25">
      <c r="B5" s="240"/>
      <c r="C5" s="123"/>
      <c r="D5" s="121"/>
      <c r="E5" s="121"/>
      <c r="F5" s="122"/>
      <c r="G5" s="122"/>
      <c r="H5" s="123"/>
      <c r="I5" s="123"/>
      <c r="J5" s="123"/>
      <c r="K5" s="123"/>
      <c r="L5" s="241"/>
      <c r="N5" s="240"/>
      <c r="O5" s="123"/>
      <c r="P5" s="123"/>
      <c r="Q5" s="123"/>
      <c r="R5" s="241"/>
    </row>
    <row r="6" spans="2:18" x14ac:dyDescent="0.25">
      <c r="B6" s="240"/>
      <c r="C6" s="526" t="s">
        <v>627</v>
      </c>
      <c r="D6" s="239" t="s">
        <v>255</v>
      </c>
      <c r="E6" s="123" t="s">
        <v>112</v>
      </c>
      <c r="F6" s="526" t="s">
        <v>629</v>
      </c>
      <c r="G6" s="239" t="s">
        <v>685</v>
      </c>
      <c r="H6" s="123" t="s">
        <v>112</v>
      </c>
      <c r="I6" s="526" t="s">
        <v>630</v>
      </c>
      <c r="J6" s="239" t="s">
        <v>682</v>
      </c>
      <c r="K6" s="123" t="s">
        <v>112</v>
      </c>
      <c r="L6" s="241"/>
      <c r="N6" s="240"/>
      <c r="O6" s="123"/>
      <c r="P6" s="123" t="s">
        <v>632</v>
      </c>
      <c r="Q6" s="239" t="s">
        <v>953</v>
      </c>
      <c r="R6" s="241"/>
    </row>
    <row r="7" spans="2:18" ht="15" customHeight="1" x14ac:dyDescent="0.25">
      <c r="B7" s="240"/>
      <c r="C7" s="527"/>
      <c r="D7" s="239" t="s">
        <v>952</v>
      </c>
      <c r="E7" s="123" t="s">
        <v>628</v>
      </c>
      <c r="F7" s="527"/>
      <c r="G7" s="239" t="s">
        <v>952</v>
      </c>
      <c r="H7" s="123" t="s">
        <v>628</v>
      </c>
      <c r="I7" s="527"/>
      <c r="J7" s="239" t="s">
        <v>954</v>
      </c>
      <c r="K7" s="123" t="s">
        <v>628</v>
      </c>
      <c r="L7" s="241"/>
      <c r="N7" s="268" t="s">
        <v>633</v>
      </c>
      <c r="O7" s="267"/>
      <c r="P7" s="267"/>
      <c r="Q7" s="267"/>
      <c r="R7" s="241"/>
    </row>
    <row r="8" spans="2:18" ht="15" customHeight="1" x14ac:dyDescent="0.25">
      <c r="B8" s="240"/>
      <c r="C8" s="489" t="s">
        <v>792</v>
      </c>
      <c r="D8" s="239" t="s">
        <v>824</v>
      </c>
      <c r="E8" s="123" t="s">
        <v>793</v>
      </c>
      <c r="F8" s="488"/>
      <c r="G8" s="490"/>
      <c r="H8" s="123"/>
      <c r="I8" s="488"/>
      <c r="J8" s="490"/>
      <c r="K8" s="123"/>
      <c r="L8" s="241"/>
      <c r="N8" s="268" t="s">
        <v>635</v>
      </c>
      <c r="O8" s="267"/>
      <c r="P8" s="267"/>
      <c r="Q8" s="267"/>
      <c r="R8" s="241"/>
    </row>
    <row r="9" spans="2:18" x14ac:dyDescent="0.25">
      <c r="B9" s="240"/>
      <c r="C9" s="249"/>
      <c r="D9" s="123"/>
      <c r="E9" s="123"/>
      <c r="F9" s="123"/>
      <c r="G9" s="123"/>
      <c r="H9" s="123"/>
      <c r="I9" s="123"/>
      <c r="J9" s="123"/>
      <c r="K9" s="123"/>
      <c r="L9" s="241"/>
      <c r="N9" s="268" t="s">
        <v>634</v>
      </c>
      <c r="O9" s="267"/>
      <c r="P9" s="267"/>
      <c r="Q9" s="267"/>
      <c r="R9" s="241"/>
    </row>
    <row r="10" spans="2:18" x14ac:dyDescent="0.25">
      <c r="B10" s="240"/>
      <c r="C10" s="474" t="s">
        <v>780</v>
      </c>
      <c r="D10" s="239" t="s">
        <v>62</v>
      </c>
      <c r="E10" s="123" t="s">
        <v>781</v>
      </c>
      <c r="F10" s="123"/>
      <c r="G10" s="123"/>
      <c r="H10" s="123"/>
      <c r="I10" s="123"/>
      <c r="J10" s="123"/>
      <c r="K10" s="123"/>
      <c r="L10" s="241"/>
      <c r="N10" s="268"/>
      <c r="O10" s="267"/>
      <c r="P10" s="267"/>
      <c r="Q10" s="267"/>
      <c r="R10" s="241"/>
    </row>
    <row r="11" spans="2:18" ht="15.75" thickBot="1" x14ac:dyDescent="0.3">
      <c r="B11" s="242"/>
      <c r="C11" s="251"/>
      <c r="D11" s="475"/>
      <c r="E11" s="247"/>
      <c r="F11" s="247"/>
      <c r="G11" s="247"/>
      <c r="H11" s="247"/>
      <c r="I11" s="247"/>
      <c r="J11" s="247"/>
      <c r="K11" s="247"/>
      <c r="L11" s="248"/>
      <c r="N11" s="242"/>
      <c r="O11" s="263"/>
      <c r="P11" s="263"/>
      <c r="Q11" s="263"/>
      <c r="R11" s="264"/>
    </row>
    <row r="12" spans="2:18" ht="15.75" thickBot="1" x14ac:dyDescent="0.3">
      <c r="B12" s="123"/>
      <c r="C12" s="121"/>
      <c r="D12" s="123"/>
      <c r="E12" s="476"/>
      <c r="F12" s="476"/>
      <c r="G12" s="476"/>
      <c r="H12" s="476"/>
      <c r="I12" s="476"/>
      <c r="J12" s="476"/>
      <c r="K12" s="476"/>
      <c r="L12" s="476"/>
      <c r="N12" s="123"/>
      <c r="O12" s="123"/>
      <c r="P12" s="123"/>
      <c r="Q12" s="123"/>
      <c r="R12" s="123"/>
    </row>
    <row r="13" spans="2:18" ht="40.5" customHeight="1" thickBot="1" x14ac:dyDescent="0.3">
      <c r="C13" s="477" t="s">
        <v>955</v>
      </c>
      <c r="D13" s="478" t="s">
        <v>784</v>
      </c>
    </row>
    <row r="24" spans="1:23" x14ac:dyDescent="0.25">
      <c r="E24" s="124" t="str">
        <f>C6</f>
        <v>Monthly Data Columns</v>
      </c>
      <c r="F24" s="252"/>
      <c r="G24" s="125"/>
      <c r="I24" s="253" t="str">
        <f>F6</f>
        <v>Comparison 1 Column</v>
      </c>
      <c r="K24" s="253" t="str">
        <f>I6</f>
        <v>Comparison 2 Column</v>
      </c>
    </row>
    <row r="25" spans="1:23" ht="15.75" thickBot="1" x14ac:dyDescent="0.3"/>
    <row r="26" spans="1:23" x14ac:dyDescent="0.25">
      <c r="A26" s="344"/>
      <c r="B26" s="344"/>
      <c r="C26" s="344"/>
      <c r="D26" s="344"/>
      <c r="E26" s="344"/>
      <c r="F26" s="344"/>
      <c r="G26" s="344"/>
      <c r="H26" s="344"/>
      <c r="I26" s="344"/>
      <c r="J26" s="344"/>
      <c r="K26" s="344"/>
      <c r="L26" s="344"/>
      <c r="M26" s="344"/>
      <c r="N26" s="344"/>
      <c r="O26" s="344"/>
      <c r="P26" s="344"/>
      <c r="Q26" s="344"/>
      <c r="R26" s="344"/>
      <c r="S26" s="344"/>
      <c r="T26" s="344"/>
      <c r="U26" s="344"/>
      <c r="V26" s="344"/>
      <c r="W26" s="344"/>
    </row>
    <row r="27" spans="1:23" ht="15.75" x14ac:dyDescent="0.25">
      <c r="B27" s="340" t="s">
        <v>669</v>
      </c>
      <c r="I27" s="340" t="s">
        <v>670</v>
      </c>
    </row>
    <row r="28" spans="1:23" ht="15.75" x14ac:dyDescent="0.25">
      <c r="B28" s="339" t="s">
        <v>668</v>
      </c>
      <c r="I28" s="341" t="str">
        <f t="shared" ref="I28:I50" si="0">S28&amp;" - "&amp;T28</f>
        <v>ACTUAL_CON - Actual</v>
      </c>
      <c r="J28" s="342"/>
      <c r="K28" s="341" t="s">
        <v>700</v>
      </c>
      <c r="L28" s="343"/>
      <c r="M28" s="343"/>
      <c r="N28" s="343"/>
      <c r="O28" s="343"/>
      <c r="P28" s="342"/>
      <c r="S28" s="120" t="s">
        <v>682</v>
      </c>
      <c r="T28" s="120" t="s">
        <v>956</v>
      </c>
    </row>
    <row r="29" spans="1:23" ht="15.75" x14ac:dyDescent="0.25">
      <c r="B29" s="339" t="s">
        <v>776</v>
      </c>
      <c r="I29" s="341" t="str">
        <f t="shared" si="0"/>
        <v>ACTUAL - Actual</v>
      </c>
      <c r="J29" s="342"/>
      <c r="K29" s="341" t="s">
        <v>701</v>
      </c>
      <c r="L29" s="343"/>
      <c r="M29" s="343"/>
      <c r="N29" s="343"/>
      <c r="O29" s="343"/>
      <c r="P29" s="342"/>
      <c r="S29" s="120" t="s">
        <v>683</v>
      </c>
      <c r="T29" s="120" t="s">
        <v>956</v>
      </c>
    </row>
    <row r="30" spans="1:23" ht="15.75" x14ac:dyDescent="0.25">
      <c r="B30" s="339" t="s">
        <v>777</v>
      </c>
      <c r="I30" s="341" t="str">
        <f t="shared" si="0"/>
        <v>HISTORY - GL History- Pre_Kimpton</v>
      </c>
      <c r="J30" s="342"/>
      <c r="K30" s="341" t="s">
        <v>702</v>
      </c>
      <c r="L30" s="343"/>
      <c r="M30" s="343"/>
      <c r="N30" s="343"/>
      <c r="O30" s="343"/>
      <c r="P30" s="342"/>
      <c r="S30" s="120" t="s">
        <v>684</v>
      </c>
      <c r="T30" s="120" t="s">
        <v>957</v>
      </c>
    </row>
    <row r="31" spans="1:23" ht="15.75" x14ac:dyDescent="0.25">
      <c r="B31" s="339"/>
      <c r="C31" s="339" t="s">
        <v>720</v>
      </c>
      <c r="I31" s="341" t="str">
        <f t="shared" si="0"/>
        <v>BUDGET - Budget</v>
      </c>
      <c r="J31" s="342"/>
      <c r="K31" s="341" t="s">
        <v>703</v>
      </c>
      <c r="L31" s="343"/>
      <c r="M31" s="343"/>
      <c r="N31" s="343"/>
      <c r="O31" s="343"/>
      <c r="P31" s="342"/>
      <c r="S31" s="120" t="s">
        <v>685</v>
      </c>
      <c r="T31" s="120" t="s">
        <v>958</v>
      </c>
    </row>
    <row r="32" spans="1:23" ht="15.75" x14ac:dyDescent="0.25">
      <c r="B32" s="339"/>
      <c r="C32" s="339" t="s">
        <v>773</v>
      </c>
      <c r="I32" s="341" t="str">
        <f t="shared" si="0"/>
        <v>CURRENT - Forecast</v>
      </c>
      <c r="J32" s="342"/>
      <c r="K32" s="341" t="s">
        <v>704</v>
      </c>
      <c r="L32" s="343"/>
      <c r="M32" s="343"/>
      <c r="N32" s="343"/>
      <c r="O32" s="343"/>
      <c r="P32" s="342"/>
      <c r="S32" s="120" t="s">
        <v>255</v>
      </c>
      <c r="T32" s="120" t="s">
        <v>959</v>
      </c>
    </row>
    <row r="33" spans="2:20" ht="15.75" x14ac:dyDescent="0.25">
      <c r="B33" s="339"/>
      <c r="C33" s="339" t="s">
        <v>721</v>
      </c>
      <c r="I33" s="341" t="str">
        <f t="shared" si="0"/>
        <v>BUD_PROOF - Budget Proof</v>
      </c>
      <c r="J33" s="342"/>
      <c r="K33" s="341" t="s">
        <v>705</v>
      </c>
      <c r="L33" s="343"/>
      <c r="M33" s="343"/>
      <c r="N33" s="343"/>
      <c r="O33" s="343"/>
      <c r="P33" s="342"/>
      <c r="S33" s="120" t="s">
        <v>686</v>
      </c>
      <c r="T33" s="120" t="s">
        <v>960</v>
      </c>
    </row>
    <row r="34" spans="2:20" ht="15.75" x14ac:dyDescent="0.25">
      <c r="B34" s="339"/>
      <c r="C34" s="491" t="s">
        <v>794</v>
      </c>
      <c r="I34" s="341" t="str">
        <f t="shared" si="0"/>
        <v>JANFORECAST - JANUARY FORECAST</v>
      </c>
      <c r="J34" s="342"/>
      <c r="K34" s="341" t="s">
        <v>724</v>
      </c>
      <c r="L34" s="343"/>
      <c r="M34" s="343"/>
      <c r="N34" s="343"/>
      <c r="O34" s="343"/>
      <c r="P34" s="342"/>
      <c r="S34" s="120" t="s">
        <v>687</v>
      </c>
      <c r="T34" s="120" t="s">
        <v>961</v>
      </c>
    </row>
    <row r="35" spans="2:20" ht="15.75" x14ac:dyDescent="0.25">
      <c r="B35" s="339"/>
      <c r="C35" s="339" t="s">
        <v>722</v>
      </c>
      <c r="I35" s="341" t="str">
        <f t="shared" si="0"/>
        <v>FEBFORECAST - FEBRUARY FORECAST</v>
      </c>
      <c r="J35" s="342"/>
      <c r="K35" s="341" t="s">
        <v>714</v>
      </c>
      <c r="L35" s="343"/>
      <c r="M35" s="343"/>
      <c r="N35" s="343"/>
      <c r="O35" s="343"/>
      <c r="P35" s="342"/>
      <c r="S35" s="120" t="s">
        <v>688</v>
      </c>
      <c r="T35" s="120" t="s">
        <v>962</v>
      </c>
    </row>
    <row r="36" spans="2:20" ht="15.75" x14ac:dyDescent="0.25">
      <c r="B36" s="339" t="s">
        <v>778</v>
      </c>
      <c r="C36" s="339"/>
      <c r="I36" s="341" t="str">
        <f t="shared" si="0"/>
        <v>MARFORECAST - MARCH FORECAST</v>
      </c>
      <c r="J36" s="342"/>
      <c r="K36" s="341" t="s">
        <v>706</v>
      </c>
      <c r="L36" s="343"/>
      <c r="M36" s="343"/>
      <c r="N36" s="343"/>
      <c r="O36" s="343"/>
      <c r="P36" s="342"/>
      <c r="S36" s="120" t="s">
        <v>689</v>
      </c>
      <c r="T36" s="120" t="s">
        <v>963</v>
      </c>
    </row>
    <row r="37" spans="2:20" ht="15.75" x14ac:dyDescent="0.25">
      <c r="B37" s="339"/>
      <c r="C37" s="339" t="s">
        <v>785</v>
      </c>
      <c r="I37" s="341" t="str">
        <f t="shared" si="0"/>
        <v>APRFORECAST - APRIL FORECAST</v>
      </c>
      <c r="J37" s="342"/>
      <c r="K37" s="341" t="s">
        <v>707</v>
      </c>
      <c r="L37" s="343"/>
      <c r="M37" s="343"/>
      <c r="N37" s="343"/>
      <c r="O37" s="343"/>
      <c r="P37" s="342"/>
      <c r="S37" s="120" t="s">
        <v>690</v>
      </c>
      <c r="T37" s="120" t="s">
        <v>964</v>
      </c>
    </row>
    <row r="38" spans="2:20" ht="15.75" x14ac:dyDescent="0.25">
      <c r="B38" s="339"/>
      <c r="C38" s="339" t="s">
        <v>723</v>
      </c>
      <c r="I38" s="341" t="str">
        <f t="shared" si="0"/>
        <v>MAYFORECAST - MAY FORECAST</v>
      </c>
      <c r="J38" s="342"/>
      <c r="K38" s="341" t="s">
        <v>708</v>
      </c>
      <c r="L38" s="343"/>
      <c r="M38" s="343"/>
      <c r="N38" s="343"/>
      <c r="O38" s="343"/>
      <c r="P38" s="342"/>
      <c r="S38" s="120" t="s">
        <v>691</v>
      </c>
      <c r="T38" s="120" t="s">
        <v>965</v>
      </c>
    </row>
    <row r="39" spans="2:20" ht="15.75" x14ac:dyDescent="0.25">
      <c r="B39" s="339" t="s">
        <v>779</v>
      </c>
      <c r="I39" s="341" t="str">
        <f t="shared" si="0"/>
        <v>JUNFORECAST - JUNE FORECAST</v>
      </c>
      <c r="J39" s="342"/>
      <c r="K39" s="341" t="s">
        <v>709</v>
      </c>
      <c r="L39" s="343"/>
      <c r="M39" s="343"/>
      <c r="N39" s="343"/>
      <c r="O39" s="343"/>
      <c r="P39" s="342"/>
      <c r="S39" s="120" t="s">
        <v>692</v>
      </c>
      <c r="T39" s="120" t="s">
        <v>966</v>
      </c>
    </row>
    <row r="40" spans="2:20" ht="15.75" x14ac:dyDescent="0.25">
      <c r="B40" s="339" t="s">
        <v>783</v>
      </c>
      <c r="C40" s="339"/>
      <c r="I40" s="341" t="str">
        <f t="shared" si="0"/>
        <v>JULFORECAST - JULY FORECAST</v>
      </c>
      <c r="J40" s="342"/>
      <c r="K40" s="341" t="s">
        <v>710</v>
      </c>
      <c r="L40" s="343"/>
      <c r="M40" s="343"/>
      <c r="N40" s="343"/>
      <c r="O40" s="343"/>
      <c r="P40" s="342"/>
      <c r="S40" s="120" t="s">
        <v>693</v>
      </c>
      <c r="T40" s="120" t="s">
        <v>967</v>
      </c>
    </row>
    <row r="41" spans="2:20" ht="15.75" x14ac:dyDescent="0.25">
      <c r="I41" s="341" t="str">
        <f t="shared" si="0"/>
        <v>AUGFORECAST - AUGUST FORECAST</v>
      </c>
      <c r="J41" s="342"/>
      <c r="K41" s="341" t="s">
        <v>711</v>
      </c>
      <c r="L41" s="343"/>
      <c r="M41" s="343"/>
      <c r="N41" s="343"/>
      <c r="O41" s="343"/>
      <c r="P41" s="342"/>
      <c r="S41" s="120" t="s">
        <v>694</v>
      </c>
      <c r="T41" s="120" t="s">
        <v>968</v>
      </c>
    </row>
    <row r="42" spans="2:20" ht="15.75" x14ac:dyDescent="0.25">
      <c r="B42" s="340" t="s">
        <v>671</v>
      </c>
      <c r="C42" s="339"/>
      <c r="I42" s="341" t="str">
        <f t="shared" si="0"/>
        <v>SEPFORECAST - SEPTEMBER FORECAST</v>
      </c>
      <c r="J42" s="342"/>
      <c r="K42" s="341" t="s">
        <v>712</v>
      </c>
      <c r="L42" s="343"/>
      <c r="M42" s="343"/>
      <c r="N42" s="343"/>
      <c r="O42" s="343"/>
      <c r="P42" s="342"/>
      <c r="S42" s="120" t="s">
        <v>695</v>
      </c>
      <c r="T42" s="120" t="s">
        <v>969</v>
      </c>
    </row>
    <row r="43" spans="2:20" ht="15.75" x14ac:dyDescent="0.25">
      <c r="B43" s="339" t="s">
        <v>681</v>
      </c>
      <c r="C43" s="339"/>
      <c r="I43" s="341" t="str">
        <f t="shared" si="0"/>
        <v>OCTFORECAST - OCTOBER FORECAST</v>
      </c>
      <c r="J43" s="342"/>
      <c r="K43" s="341" t="s">
        <v>713</v>
      </c>
      <c r="L43" s="343"/>
      <c r="M43" s="343"/>
      <c r="N43" s="343"/>
      <c r="O43" s="343"/>
      <c r="P43" s="342"/>
      <c r="S43" s="120" t="s">
        <v>696</v>
      </c>
      <c r="T43" s="120" t="s">
        <v>970</v>
      </c>
    </row>
    <row r="44" spans="2:20" ht="15.75" x14ac:dyDescent="0.25">
      <c r="B44" s="339" t="s">
        <v>715</v>
      </c>
      <c r="C44" s="339"/>
      <c r="I44" s="341" t="str">
        <f t="shared" si="0"/>
        <v>NOVFORECAST - NOVEMBER FORECAST</v>
      </c>
      <c r="J44" s="342"/>
      <c r="K44" s="341" t="s">
        <v>716</v>
      </c>
      <c r="L44" s="343"/>
      <c r="M44" s="343"/>
      <c r="N44" s="343"/>
      <c r="O44" s="343"/>
      <c r="P44" s="342"/>
      <c r="S44" s="120" t="s">
        <v>697</v>
      </c>
      <c r="T44" s="120" t="s">
        <v>971</v>
      </c>
    </row>
    <row r="45" spans="2:20" ht="15.75" x14ac:dyDescent="0.25">
      <c r="B45" s="339" t="s">
        <v>672</v>
      </c>
      <c r="C45" s="339"/>
      <c r="I45" s="341" t="str">
        <f t="shared" si="0"/>
        <v>DECFORECAST - DECEMBER FORECAST</v>
      </c>
      <c r="J45" s="342"/>
      <c r="K45" s="341" t="s">
        <v>717</v>
      </c>
      <c r="L45" s="343"/>
      <c r="M45" s="343"/>
      <c r="N45" s="343"/>
      <c r="O45" s="343"/>
      <c r="P45" s="342"/>
      <c r="S45" s="120" t="s">
        <v>698</v>
      </c>
      <c r="T45" s="120" t="s">
        <v>972</v>
      </c>
    </row>
    <row r="46" spans="2:20" ht="15.75" x14ac:dyDescent="0.25">
      <c r="B46" s="339" t="s">
        <v>678</v>
      </c>
      <c r="C46" s="339"/>
      <c r="I46" s="341" t="str">
        <f t="shared" si="0"/>
        <v>BUDSNAP - Forecast Snapshot</v>
      </c>
      <c r="J46" s="342"/>
      <c r="K46" s="341" t="s">
        <v>718</v>
      </c>
      <c r="L46" s="343"/>
      <c r="M46" s="343"/>
      <c r="N46" s="343"/>
      <c r="O46" s="343"/>
      <c r="P46" s="342"/>
      <c r="S46" s="120" t="s">
        <v>699</v>
      </c>
      <c r="T46" s="120" t="s">
        <v>973</v>
      </c>
    </row>
    <row r="47" spans="2:20" ht="15.75" x14ac:dyDescent="0.25">
      <c r="B47" s="339" t="s">
        <v>673</v>
      </c>
      <c r="C47" s="339"/>
      <c r="I47" s="341" t="str">
        <f t="shared" si="0"/>
        <v>ALT1 - Scenario 1</v>
      </c>
      <c r="J47" s="342"/>
      <c r="K47" s="341" t="s">
        <v>795</v>
      </c>
      <c r="L47" s="343"/>
      <c r="M47" s="343"/>
      <c r="N47" s="343"/>
      <c r="O47" s="343"/>
      <c r="P47" s="342"/>
      <c r="S47" s="120" t="s">
        <v>796</v>
      </c>
      <c r="T47" s="120" t="s">
        <v>974</v>
      </c>
    </row>
    <row r="48" spans="2:20" ht="15.75" x14ac:dyDescent="0.25">
      <c r="B48" s="339" t="s">
        <v>674</v>
      </c>
      <c r="C48" s="339"/>
      <c r="I48" s="341" t="str">
        <f t="shared" si="0"/>
        <v>ALT2 - Scenario 2</v>
      </c>
      <c r="J48" s="342"/>
      <c r="K48" s="341" t="s">
        <v>795</v>
      </c>
      <c r="L48" s="343"/>
      <c r="M48" s="343"/>
      <c r="N48" s="343"/>
      <c r="O48" s="343"/>
      <c r="P48" s="342"/>
      <c r="S48" s="120" t="s">
        <v>797</v>
      </c>
      <c r="T48" s="120" t="s">
        <v>975</v>
      </c>
    </row>
    <row r="49" spans="2:20" ht="15.75" x14ac:dyDescent="0.25">
      <c r="B49" s="339"/>
      <c r="C49" s="339" t="s">
        <v>675</v>
      </c>
      <c r="I49" s="341" t="str">
        <f t="shared" si="0"/>
        <v>ALT3 - Scenario 3</v>
      </c>
      <c r="J49" s="342"/>
      <c r="K49" s="341" t="s">
        <v>795</v>
      </c>
      <c r="L49" s="343"/>
      <c r="M49" s="343"/>
      <c r="N49" s="343"/>
      <c r="O49" s="343"/>
      <c r="P49" s="342"/>
      <c r="S49" s="120" t="s">
        <v>798</v>
      </c>
      <c r="T49" s="120" t="s">
        <v>976</v>
      </c>
    </row>
    <row r="50" spans="2:20" ht="15.75" x14ac:dyDescent="0.25">
      <c r="B50" s="339"/>
      <c r="C50" s="339" t="s">
        <v>676</v>
      </c>
      <c r="I50" s="341" t="str">
        <f t="shared" si="0"/>
        <v>ALT4 - Scenario 4</v>
      </c>
      <c r="J50" s="342"/>
      <c r="K50" s="341" t="s">
        <v>795</v>
      </c>
      <c r="L50" s="343"/>
      <c r="M50" s="343"/>
      <c r="N50" s="343"/>
      <c r="O50" s="343"/>
      <c r="P50" s="342"/>
      <c r="S50" s="120" t="s">
        <v>799</v>
      </c>
      <c r="T50" s="120" t="s">
        <v>977</v>
      </c>
    </row>
    <row r="51" spans="2:20" ht="15.75" x14ac:dyDescent="0.25">
      <c r="B51" s="339"/>
      <c r="C51" s="339" t="s">
        <v>719</v>
      </c>
    </row>
    <row r="52" spans="2:20" ht="15.75" x14ac:dyDescent="0.25">
      <c r="B52" s="339"/>
      <c r="C52" s="339" t="s">
        <v>677</v>
      </c>
    </row>
    <row r="53" spans="2:20" ht="15.75" x14ac:dyDescent="0.25">
      <c r="B53" s="339" t="s">
        <v>679</v>
      </c>
      <c r="C53" s="339"/>
    </row>
    <row r="54" spans="2:20" ht="15.75" x14ac:dyDescent="0.25">
      <c r="B54" s="339" t="s">
        <v>680</v>
      </c>
      <c r="C54" s="339"/>
    </row>
  </sheetData>
  <mergeCells count="3">
    <mergeCell ref="C6:C7"/>
    <mergeCell ref="F6:F7"/>
    <mergeCell ref="I6:I7"/>
  </mergeCells>
  <conditionalFormatting sqref="C8:D8">
    <cfRule type="expression" dxfId="360" priority="1">
      <formula>LEFT($D$6,3)&lt;&gt;"ALT"</formula>
    </cfRule>
  </conditionalFormatting>
  <dataValidations count="1">
    <dataValidation type="list" showInputMessage="1" showErrorMessage="1" sqref="D8" xr:uid="{00000000-0002-0000-0100-000000000000}">
      <formula1>"BUD,FCST"</formula1>
    </dataValidation>
  </dataValidations>
  <pageMargins left="0.25" right="0.25" top="0.5" bottom="0.5" header="0.3" footer="0.3"/>
  <pageSetup scale="42" orientation="landscape" r:id="rId1"/>
  <customProperties>
    <customPr name="EpmWorksheetKeyString_GUID" r:id="rId2"/>
  </customProperties>
  <drawing r:id="rId3"/>
  <legacyDrawing r:id="rId4"/>
  <controls>
    <mc:AlternateContent xmlns:mc="http://schemas.openxmlformats.org/markup-compatibility/2006">
      <mc:Choice Requires="x14">
        <control shapeId="330756" r:id="rId5" name="FPMExcelClientSheetOptionstb1">
          <controlPr defaultSize="0" autoLine="0" r:id="rId6">
            <anchor moveWithCells="1" sizeWithCells="1">
              <from>
                <xdr:col>0</xdr:col>
                <xdr:colOff>0</xdr:colOff>
                <xdr:row>0</xdr:row>
                <xdr:rowOff>0</xdr:rowOff>
              </from>
              <to>
                <xdr:col>2</xdr:col>
                <xdr:colOff>419100</xdr:colOff>
                <xdr:row>0</xdr:row>
                <xdr:rowOff>0</xdr:rowOff>
              </to>
            </anchor>
          </controlPr>
        </control>
      </mc:Choice>
      <mc:Fallback>
        <control shapeId="330756" r:id="rId5" name="FPMExcelClientSheetOptionstb1"/>
      </mc:Fallback>
    </mc:AlternateContent>
    <mc:AlternateContent xmlns:mc="http://schemas.openxmlformats.org/markup-compatibility/2006">
      <mc:Choice Requires="x14">
        <control shapeId="330753" r:id="rId7" name="Check Box 1">
          <controlPr defaultSize="0" print="0" autoFill="0" autoLine="0" autoPict="0">
            <anchor moveWithCells="1">
              <from>
                <xdr:col>14</xdr:col>
                <xdr:colOff>47625</xdr:colOff>
                <xdr:row>4</xdr:row>
                <xdr:rowOff>171450</xdr:rowOff>
              </from>
              <to>
                <xdr:col>15</xdr:col>
                <xdr:colOff>0</xdr:colOff>
                <xdr:row>6</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dimension ref="A1:AO114"/>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T44" sqref="T44"/>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38.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8" width="9.140625" style="1" hidden="1" customWidth="1" outlineLevel="1"/>
    <col min="39" max="39" width="9.140625" style="1" collapsed="1"/>
    <col min="40" max="40" width="14.28515625" style="1" bestFit="1" customWidth="1"/>
    <col min="41" max="16384" width="9.140625" style="1"/>
  </cols>
  <sheetData>
    <row r="1" spans="1:34" hidden="1" outlineLevel="1" x14ac:dyDescent="0.25">
      <c r="A1" s="8" t="s">
        <v>48</v>
      </c>
      <c r="B1" s="2" t="s">
        <v>49</v>
      </c>
      <c r="C1" s="8" t="e">
        <f ca="1">_xll.EVAPD($B$1)</f>
        <v>#NAME?</v>
      </c>
      <c r="I1" s="1"/>
      <c r="J1" s="1"/>
      <c r="L1" s="1"/>
      <c r="M1" s="73"/>
    </row>
    <row r="2" spans="1:34" hidden="1" outlineLevel="1" x14ac:dyDescent="0.25">
      <c r="A2" s="8" t="s">
        <v>22</v>
      </c>
      <c r="B2" s="12" t="s">
        <v>56</v>
      </c>
      <c r="C2" s="1" t="e">
        <f ca="1">_xll.EVDES(B2,$B$1)</f>
        <v>#NAME?</v>
      </c>
      <c r="I2" s="1"/>
      <c r="J2" s="1"/>
      <c r="L2" s="1"/>
    </row>
    <row r="3" spans="1:34" hidden="1" outlineLevel="1" x14ac:dyDescent="0.25">
      <c r="A3" s="8" t="s">
        <v>50</v>
      </c>
      <c r="B3" s="9" t="e">
        <f ca="1">_xll.EVCVW($B$1,A3)</f>
        <v>#NAME?</v>
      </c>
      <c r="C3" s="1" t="e">
        <f ca="1">_xll.EVDES(B3,$B$1)</f>
        <v>#NAME?</v>
      </c>
      <c r="I3" s="1"/>
      <c r="J3" s="1"/>
      <c r="L3" s="1"/>
    </row>
    <row r="4" spans="1:34"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4" hidden="1" outlineLevel="1" x14ac:dyDescent="0.25">
      <c r="A5" s="8" t="s">
        <v>51</v>
      </c>
      <c r="B5" s="12" t="s">
        <v>59</v>
      </c>
      <c r="C5" s="1" t="e">
        <f ca="1">_xll.EVDES(B5,$B$1)</f>
        <v>#NAME?</v>
      </c>
    </row>
    <row r="6" spans="1:34" hidden="1" outlineLevel="1" x14ac:dyDescent="0.25">
      <c r="A6" s="8" t="s">
        <v>52</v>
      </c>
      <c r="B6" s="12" t="s">
        <v>499</v>
      </c>
      <c r="C6" s="1" t="e">
        <f ca="1">_xll.EVDES(B6,$B$1)</f>
        <v>#NAME?</v>
      </c>
      <c r="E6" s="49" t="e">
        <f ca="1">_xll.EVPRO($B$1,$B$6,$F$6)</f>
        <v>#NAME?</v>
      </c>
      <c r="F6" s="1" t="s">
        <v>278</v>
      </c>
    </row>
    <row r="7" spans="1:34" hidden="1" outlineLevel="1" x14ac:dyDescent="0.25">
      <c r="A7" s="8" t="s">
        <v>53</v>
      </c>
      <c r="B7" s="12" t="s">
        <v>61</v>
      </c>
      <c r="C7" s="1" t="e">
        <f ca="1">_xll.EVDES(B7,$B$1)</f>
        <v>#NAME?</v>
      </c>
    </row>
    <row r="8" spans="1:34" hidden="1" outlineLevel="1" x14ac:dyDescent="0.25">
      <c r="A8" s="8" t="s">
        <v>20</v>
      </c>
      <c r="B8" s="12" t="s">
        <v>63</v>
      </c>
      <c r="C8" s="1" t="e">
        <f ca="1">_xll.EVDES(B8,$B$1)</f>
        <v>#NAME?</v>
      </c>
    </row>
    <row r="9" spans="1:34" hidden="1" outlineLevel="1" x14ac:dyDescent="0.25">
      <c r="A9" s="8" t="s">
        <v>54</v>
      </c>
      <c r="B9" s="9" t="e">
        <f ca="1">'LDXz8fdsAE2Ug4AWCUzTAA=='!$D$10</f>
        <v>#NAME?</v>
      </c>
      <c r="C9" s="1" t="e">
        <f ca="1">_xll.EVDES(B9,$B$1)</f>
        <v>#NAME?</v>
      </c>
    </row>
    <row r="10" spans="1:34" hidden="1" outlineLevel="1" x14ac:dyDescent="0.25">
      <c r="A10" s="8" t="s">
        <v>18</v>
      </c>
      <c r="B10" s="9" t="e">
        <f ca="1">'LDXz8fdsAE2Ug4AWCUzTAA=='!$D$7</f>
        <v>#NAME?</v>
      </c>
      <c r="C10" s="1" t="e">
        <f ca="1">_xll.EVDES(B10,$B$1)</f>
        <v>#NAME?</v>
      </c>
      <c r="D10" s="234" t="e">
        <f ca="1">_xll.EVPRO($B$1,$B$10,"Group")</f>
        <v>#NAME?</v>
      </c>
    </row>
    <row r="11" spans="1:34" hidden="1" outlineLevel="1" x14ac:dyDescent="0.25">
      <c r="B11" s="8"/>
      <c r="L11" s="49" t="e">
        <f ca="1">IF(LEFT('LDXz8fdsAE2Ug4AWCUzTAA=='!$D$6,3)="ALT","Y","N")</f>
        <v>#NAME?</v>
      </c>
      <c r="M11" s="1" t="s">
        <v>800</v>
      </c>
      <c r="N11" s="13" t="e">
        <f ca="1">IF(N13&lt;$F$4,_xll.EVPRO($B$1,$B$4,"COMPARISON"),$B$4)</f>
        <v>#NAME?</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row>
    <row r="12" spans="1:34" hidden="1" outlineLevel="1" x14ac:dyDescent="0.25">
      <c r="A12" s="1" t="s">
        <v>115</v>
      </c>
      <c r="B12" s="49" t="e">
        <f ca="1">_xll.EVPRO($B$1,$B$10,"YEAR")</f>
        <v>#NAME?</v>
      </c>
      <c r="M12" s="1" t="s">
        <v>597</v>
      </c>
      <c r="N12" s="235" t="e">
        <f ca="1">_xll.EVPRO($B$1,N$16,$M$12)</f>
        <v>#NAME?</v>
      </c>
      <c r="O12" s="235" t="e">
        <f ca="1">_xll.EVPRO($B$1,O$16,$M$12)</f>
        <v>#NAME?</v>
      </c>
      <c r="P12" s="235" t="e">
        <f ca="1">_xll.EVPRO($B$1,P$16,$M$12)</f>
        <v>#NAME?</v>
      </c>
      <c r="Q12" s="235" t="e">
        <f ca="1">_xll.EVPRO($B$1,Q$16,$M$12)</f>
        <v>#NAME?</v>
      </c>
      <c r="R12" s="235" t="e">
        <f ca="1">_xll.EVPRO($B$1,R$16,$M$12)</f>
        <v>#NAME?</v>
      </c>
      <c r="S12" s="235" t="e">
        <f ca="1">_xll.EVPRO($B$1,S$16,$M$12)</f>
        <v>#NAME?</v>
      </c>
      <c r="T12" s="235" t="e">
        <f ca="1">_xll.EVPRO($B$1,T$16,$M$12)</f>
        <v>#NAME?</v>
      </c>
      <c r="U12" s="235" t="e">
        <f ca="1">_xll.EVPRO($B$1,U$16,$M$12)</f>
        <v>#NAME?</v>
      </c>
      <c r="V12" s="235" t="e">
        <f ca="1">_xll.EVPRO($B$1,V$16,$M$12)</f>
        <v>#NAME?</v>
      </c>
      <c r="W12" s="235" t="e">
        <f ca="1">_xll.EVPRO($B$1,W$16,$M$12)</f>
        <v>#NAME?</v>
      </c>
      <c r="X12" s="235" t="e">
        <f ca="1">_xll.EVPRO($B$1,X$16,$M$12)</f>
        <v>#NAME?</v>
      </c>
      <c r="Y12" s="235" t="e">
        <f ca="1">_xll.EVPRO($B$1,Y$16,$M$12)</f>
        <v>#NAME?</v>
      </c>
      <c r="Z12" s="235" t="e">
        <f ca="1">_xll.EVPRO($B$1,Z$16,$M$12)</f>
        <v>#NAME?</v>
      </c>
      <c r="AC12" s="235" t="e">
        <f ca="1">_xll.EVPRO($B$1,AC$16,$M$12)</f>
        <v>#NAME?</v>
      </c>
      <c r="AF12" s="235" t="e">
        <f ca="1">_xll.EVPRO($B$1,AF$16,$M$12)</f>
        <v>#NAME?</v>
      </c>
    </row>
    <row r="13" spans="1:34" hidden="1" outlineLevel="1" x14ac:dyDescent="0.25">
      <c r="A13" s="1" t="s">
        <v>602</v>
      </c>
      <c r="B13" s="49" t="e">
        <f ca="1">IF($D$10="FY",_xll.EVPRO($B$1,$D$10&amp;$B$12&amp;".TOTAL","Current"),_xll.EVPRO($B$1,$B$12&amp;".TOTAL","Current"))</f>
        <v>#NAME?</v>
      </c>
      <c r="M13" s="1" t="s">
        <v>598</v>
      </c>
      <c r="N13" s="236" t="e">
        <f ca="1">_xll.EVPRO($B$1,N16,"TIMEID")</f>
        <v>#NAME?</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C13" s="236" t="e">
        <f ca="1">_xll.EVPRO($B$1,AC16,"TIMEID")</f>
        <v>#NAME?</v>
      </c>
      <c r="AF13" s="236" t="e">
        <f ca="1">_xll.EVPRO($B$1,AF16,"TIMEID")</f>
        <v>#NAME?</v>
      </c>
    </row>
    <row r="14" spans="1:34" hidden="1" outlineLevel="1" x14ac:dyDescent="0.25">
      <c r="A14" s="4" t="e">
        <f ca="1">_xll.EVDRE($B$1,A17:B24)</f>
        <v>#NAME?</v>
      </c>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M16" s="1" t="s">
        <v>18</v>
      </c>
      <c r="N16" s="13" t="e">
        <f ca="1">IF('LDXz8fdsAE2Ug4AWCUzTAA=='!$O$1=TRUE,_xll.EVTIM($B$1,O16,-1),IF($D$10="FY",LEFT($B$10,6)&amp;"."&amp;N15,$B$12&amp;"."&amp;N14))</f>
        <v>#NAME?</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IF('LDXz8fdsAE2Ug4AWCUzTAA=='!$O$1=TRUE,'LDXz8fdsAE2Ug4AWCUzTAA=='!$Q$6,IF($D$10="FY",LEFT($B$10,6)&amp;"."&amp;Y15,$B$12&amp;"."&amp;Y14))</f>
        <v>#NAME?</v>
      </c>
      <c r="Z16" s="13" t="e">
        <f ca="1">IF($D$10="FY",LEFT($B$10,6)&amp;"."&amp;Z15,$B$12&amp;"."&amp;Z14)</f>
        <v>#NAME?</v>
      </c>
      <c r="AA16" s="10"/>
      <c r="AB16" s="10"/>
      <c r="AC16" s="13" t="e">
        <f ca="1">IF('LDXz8fdsAE2Ug4AWCUzTAA=='!$O$1=TRUE,'LDXz8fdsAE2Ug4AWCUzTAA=='!$Q$6,'LDXz8fdsAE2Ug4AWCUzTAA=='!$G$7)</f>
        <v>#NAME?</v>
      </c>
      <c r="AD16" s="10"/>
      <c r="AE16" s="10"/>
      <c r="AF16" s="13" t="e">
        <f ca="1">IF('LDXz8fdsAE2Ug4AWCUzTAA=='!$O$1=TRUE,_xll.EVTIM($B$1,AC16,-1,"YEAR"),'LDXz8fdsAE2Ug4AWCUzTAA=='!$J$7)</f>
        <v>#NAME?</v>
      </c>
      <c r="AG16" s="10"/>
      <c r="AH16" s="10"/>
    </row>
    <row r="17" spans="1:38" hidden="1" outlineLevel="1" x14ac:dyDescent="0.25">
      <c r="A17" s="6" t="s">
        <v>2</v>
      </c>
      <c r="B17" s="7" t="e">
        <f ca="1">_xll.EVRNG($B$2:$B$10)</f>
        <v>#NAME?</v>
      </c>
      <c r="M17" s="1" t="s">
        <v>19</v>
      </c>
      <c r="N17" s="13" t="e">
        <f ca="1">IF($L$11="Y",N11,IF(N13&lt;$E$4,_xll.EVPRO($B$1,$B$4,"COMPARISON"),$B$4))</f>
        <v>#NAME?</v>
      </c>
      <c r="O17" s="13" t="e">
        <f ca="1">IF($L$11="y",O11,IF(O13&lt;$E$4,_xll.EVPRO($B$1,$B$4,"COMPARISON"),$B$4))</f>
        <v>#NAME?</v>
      </c>
      <c r="P17" s="13" t="e">
        <f ca="1">IF($L$11="y",P11,IF(P13&lt;$E$4,_xll.EVPRO($B$1,$B$4,"COMPARISON"),$B$4))</f>
        <v>#NAME?</v>
      </c>
      <c r="Q17" s="13" t="e">
        <f ca="1">IF($L$11="y",Q11,IF(Q13&lt;$E$4,_xll.EVPRO($B$1,$B$4,"COMPARISON"),$B$4))</f>
        <v>#NAME?</v>
      </c>
      <c r="R17" s="13" t="e">
        <f ca="1">IF($L$11="y",R11,IF(R13&lt;$E$4,_xll.EVPRO($B$1,$B$4,"COMPARISON"),$B$4))</f>
        <v>#NAME?</v>
      </c>
      <c r="S17" s="13" t="e">
        <f ca="1">IF($L$11="y",S11,IF(S13&lt;$E$4,_xll.EVPRO($B$1,$B$4,"COMPARISON"),$B$4))</f>
        <v>#NAME?</v>
      </c>
      <c r="T17" s="13" t="e">
        <f ca="1">IF($L$11="y",T11,IF(T13&lt;$E$4,_xll.EVPRO($B$1,$B$4,"COMPARISON"),$B$4))</f>
        <v>#NAME?</v>
      </c>
      <c r="U17" s="13" t="e">
        <f ca="1">IF($L$11="y",U11,IF(U13&lt;$E$4,_xll.EVPRO($B$1,$B$4,"COMPARISON"),$B$4))</f>
        <v>#NAME?</v>
      </c>
      <c r="V17" s="13" t="e">
        <f ca="1">IF($L$11="y",V11,IF(V13&lt;$E$4,_xll.EVPRO($B$1,$B$4,"COMPARISON"),$B$4))</f>
        <v>#NAME?</v>
      </c>
      <c r="W17" s="13" t="e">
        <f ca="1">IF($L$11="y",W11,IF(W13&lt;$E$4,_xll.EVPRO($B$1,$B$4,"COMPARISON"),$B$4))</f>
        <v>#NAME?</v>
      </c>
      <c r="X17" s="13" t="e">
        <f ca="1">IF($L$11="y",X11,IF(X13&lt;$E$4,_xll.EVPRO($B$1,$B$4,"COMPARISON"),$B$4))</f>
        <v>#NAME?</v>
      </c>
      <c r="Y17" s="13" t="e">
        <f ca="1">IF($L$11="y",Y11,IF(Y13&lt;$E$4,_xll.EVPRO($B$1,$B$4,"COMPARISON"),$B$4))</f>
        <v>#NAME?</v>
      </c>
      <c r="Z17" s="13"/>
      <c r="AA17" s="10"/>
      <c r="AB17" s="10"/>
      <c r="AC17" s="13" t="e">
        <f ca="1">'LDXz8fdsAE2Ug4AWCUzTAA=='!$G$6</f>
        <v>#NAME?</v>
      </c>
      <c r="AD17" s="10"/>
      <c r="AE17" s="10"/>
      <c r="AF17" s="13" t="e">
        <f ca="1">'LDXz8fdsAE2Ug4AWCUzTAA=='!$J$6</f>
        <v>#NAME?</v>
      </c>
      <c r="AG17" s="10"/>
      <c r="AH17" s="10"/>
    </row>
    <row r="18" spans="1:38" hidden="1" outlineLevel="1" x14ac:dyDescent="0.25">
      <c r="A18" s="6" t="s">
        <v>3</v>
      </c>
      <c r="B18" s="7" t="e">
        <f ca="1">_xll.EVRNG(N16:AH18)</f>
        <v>#NAME?</v>
      </c>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e">
        <f ca="1">IF('LDXz8fdsAE2Ug4AWCUzTAA=='!$O$1=TRUE,"TRAILING12",IF(AC17="CURRENT","ROLLINGFORECAST","PERIODIC"))</f>
        <v>#NAME?</v>
      </c>
      <c r="AD18" s="10"/>
      <c r="AE18" s="10"/>
      <c r="AF18" s="13" t="e">
        <f ca="1">IF('LDXz8fdsAE2Ug4AWCUzTAA=='!$O$1=TRUE,"TRAILING12",IF(AF17="CURRENT","ROLLINGFORECAST","PERIODIC"))</f>
        <v>#NAME?</v>
      </c>
      <c r="AG18" s="10"/>
      <c r="AH18" s="10"/>
    </row>
    <row r="19" spans="1:38" hidden="1" outlineLevel="1" x14ac:dyDescent="0.25">
      <c r="A19" s="6" t="s">
        <v>4</v>
      </c>
      <c r="B19" s="7" t="e">
        <f ca="1">_xll.EVRNG(G33:H88)</f>
        <v>#NAME?</v>
      </c>
      <c r="G19" s="18" t="s">
        <v>499</v>
      </c>
      <c r="H19" s="18">
        <v>400000</v>
      </c>
      <c r="I19" s="19"/>
      <c r="J19" s="19"/>
      <c r="K19" s="18"/>
      <c r="L19" s="19"/>
      <c r="M19" s="18" t="e">
        <f ca="1">_xll.EVDES(H19)</f>
        <v>#NAME?</v>
      </c>
      <c r="N19" s="20" t="e">
        <f ca="1">_xll.EVGTS($B$1,1,$B$3,$B$5,$B$7,$B$9,N$16,N$17,N$18,$G$19,$H$19)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SUM(N19:Y19)</f>
        <v>#NAME?</v>
      </c>
      <c r="AA19" s="18"/>
      <c r="AB19" s="18"/>
      <c r="AC19" s="20" t="e">
        <f ca="1">_xll.EVGTS($B$1,1,$B$3,$B$5,$B$7,$B$9,AC$16,AC$17,AC$18,$G$19,$H$19)</f>
        <v>#NAME?</v>
      </c>
      <c r="AD19" s="18"/>
      <c r="AE19" s="18"/>
      <c r="AF19" s="20" t="e">
        <f ca="1">_xll.EVGTS($B$1,1,$B$3,$B$5,$B$7,$B$9,AF$16,AF$17,AF$18,$G$19,$H$19)</f>
        <v>#NAME?</v>
      </c>
      <c r="AG19" s="18"/>
      <c r="AH19" s="18"/>
    </row>
    <row r="20" spans="1:38" hidden="1" outlineLevel="1" x14ac:dyDescent="0.25">
      <c r="A20" s="6" t="s">
        <v>5</v>
      </c>
      <c r="B20" s="7"/>
      <c r="I20" s="1"/>
      <c r="J20" s="1"/>
      <c r="L20" s="1"/>
    </row>
    <row r="21" spans="1:38" hidden="1" outlineLevel="1" x14ac:dyDescent="0.25">
      <c r="A21" s="6" t="s">
        <v>6</v>
      </c>
      <c r="B21" s="7"/>
    </row>
    <row r="22" spans="1:38" hidden="1" outlineLevel="1" x14ac:dyDescent="0.25">
      <c r="A22" s="6" t="s">
        <v>7</v>
      </c>
      <c r="B22" s="7"/>
    </row>
    <row r="23" spans="1:38" hidden="1" outlineLevel="1" x14ac:dyDescent="0.25">
      <c r="A23" s="6" t="s">
        <v>47</v>
      </c>
      <c r="B23" s="7" t="e">
        <f ca="1">_xll.EVRNG($A$58:$B$79)</f>
        <v>#NAME?</v>
      </c>
      <c r="K23" s="57"/>
    </row>
    <row r="24" spans="1:38" hidden="1" outlineLevel="1" x14ac:dyDescent="0.25">
      <c r="A24" s="6" t="s">
        <v>8</v>
      </c>
      <c r="B24" s="7"/>
    </row>
    <row r="25" spans="1:38" collapsed="1" x14ac:dyDescent="0.25"/>
    <row r="26" spans="1:38" ht="22.5" x14ac:dyDescent="0.3">
      <c r="A26" s="3" t="s">
        <v>9</v>
      </c>
      <c r="B26" s="5" t="s">
        <v>10</v>
      </c>
      <c r="M26" s="65" t="e">
        <f ca="1">IF(_xll.EVDES(B3,$B$1)="#NODATA","",_xll.EVDES(B3,$B$1))</f>
        <v>#NAME?</v>
      </c>
    </row>
    <row r="27" spans="1:38" ht="18" x14ac:dyDescent="0.25">
      <c r="A27" s="6" t="s">
        <v>11</v>
      </c>
      <c r="B27" s="7" t="s">
        <v>21</v>
      </c>
      <c r="M27" s="70" t="e">
        <f ca="1">IF(_xll.EVDES(B6,$B$1)="#NODATA","",_xll.EVDES(B6,$B$1))</f>
        <v>#NAME?</v>
      </c>
    </row>
    <row r="28" spans="1:38" ht="15.75" x14ac:dyDescent="0.25">
      <c r="A28" s="6" t="s">
        <v>12</v>
      </c>
      <c r="B28" s="7" t="s">
        <v>22</v>
      </c>
      <c r="M28" s="71" t="e">
        <f ca="1">"For the Period ended"&amp;" "&amp;IF(_xll.EVDES($B$10,$B$1)="#NODATA","",_xll.EVDES($B$10,$B$1))</f>
        <v>#NAME?</v>
      </c>
    </row>
    <row r="29" spans="1:38" ht="15" customHeight="1" x14ac:dyDescent="0.25">
      <c r="A29" s="6" t="s">
        <v>13</v>
      </c>
      <c r="B29" s="7" t="s">
        <v>293</v>
      </c>
      <c r="M29" s="71" t="e">
        <f ca="1">_xll.EVDES(B9,B1)</f>
        <v>#NAME?</v>
      </c>
    </row>
    <row r="30" spans="1:38" x14ac:dyDescent="0.25">
      <c r="A30" s="6" t="s">
        <v>14</v>
      </c>
      <c r="B30" s="7"/>
      <c r="N30" s="230"/>
      <c r="O30" s="231"/>
      <c r="P30" s="231"/>
      <c r="Q30" s="231"/>
      <c r="R30" s="231"/>
      <c r="S30" s="231"/>
      <c r="T30" s="231"/>
      <c r="U30" s="231"/>
      <c r="V30" s="231"/>
      <c r="W30" s="231"/>
      <c r="X30" s="231"/>
      <c r="Y30" s="231"/>
      <c r="Z30" s="231"/>
      <c r="AA30" s="232"/>
      <c r="AC30" s="231"/>
      <c r="AD30" s="231"/>
      <c r="AE30" s="231"/>
      <c r="AF30" s="231"/>
      <c r="AG30" s="231"/>
      <c r="AH30" s="231"/>
      <c r="AI30" s="230"/>
      <c r="AJ30" s="231"/>
      <c r="AK30" s="231"/>
      <c r="AL30" s="232"/>
    </row>
    <row r="31" spans="1:38" x14ac:dyDescent="0.25">
      <c r="A31" s="6" t="s">
        <v>15</v>
      </c>
      <c r="B31" s="7"/>
      <c r="G31" s="14"/>
      <c r="N31" s="233" t="e">
        <f ca="1">IF($D$10="FY",_xll.EVPRO($B$1,N$16,"PERIOD")&amp;" "&amp;LEFT(N$13,4),_xll.EVPRO($B$1,N$16,"PERIOD"))</f>
        <v>#NAME?</v>
      </c>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str">
        <f>Z14</f>
        <v>TOTAL</v>
      </c>
      <c r="AA31" s="229"/>
      <c r="AC31" s="530" t="e">
        <f ca="1">IF(_xll.EVDES(AC16,$B$1)="#NODATA","",_xll.EVDES(AC16,$B$1))</f>
        <v>#NAME?</v>
      </c>
      <c r="AD31" s="531"/>
      <c r="AE31" s="233" t="s">
        <v>631</v>
      </c>
      <c r="AF31" s="530" t="e">
        <f ca="1">IF(_xll.EVDES(AF16,$B$1)="#NODATA","",_xll.EVDES(AF16,$B$1))</f>
        <v>#NAME?</v>
      </c>
      <c r="AG31" s="531"/>
      <c r="AH31" s="233" t="s">
        <v>631</v>
      </c>
      <c r="AI31" s="72" t="e">
        <f ca="1">_xll.EVPRO($B$1,Z$16,"YEAR")&amp;" vs "&amp;_xll.EVPRO($B$1,AC$16,"YEAR")</f>
        <v>#NAME?</v>
      </c>
      <c r="AJ31" s="262"/>
      <c r="AK31" s="72" t="e">
        <f ca="1">_xll.EVPRO($B$1,Z$16,"YEAR")&amp;" vs "&amp;_xll.EVPRO($B$1,AF$16,"YEAR")</f>
        <v>#NAME?</v>
      </c>
      <c r="AL31" s="262"/>
    </row>
    <row r="32" spans="1:38" s="256" customFormat="1" ht="30" customHeight="1" x14ac:dyDescent="0.25">
      <c r="A32" s="254" t="s">
        <v>16</v>
      </c>
      <c r="B32" s="255"/>
      <c r="H32" s="257"/>
      <c r="I32" s="258"/>
      <c r="J32" s="258"/>
      <c r="L32" s="258"/>
      <c r="M32" s="260"/>
      <c r="N32" s="261" t="e">
        <f ca="1">IF(_xll.EVDES(N17,$B$1)="#NODATA","",_xll.EVDES(N17,$B$1))</f>
        <v>#NAME?</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2"/>
      <c r="AA32" s="262" t="s">
        <v>58</v>
      </c>
      <c r="AC32" s="261" t="e">
        <f ca="1">IF(_xll.EVDES(AC17,$B$1)="#NODATA","",_xll.EVDES(AC17,$B$1))</f>
        <v>#NAME?</v>
      </c>
      <c r="AD32" s="262" t="s">
        <v>58</v>
      </c>
      <c r="AE32" s="261" t="s">
        <v>57</v>
      </c>
      <c r="AF32" s="261" t="e">
        <f ca="1">IF(_xll.EVDES(AF17,$B$1)="#NODATA","",_xll.EVDES(AF17,$B$1))</f>
        <v>#NAME?</v>
      </c>
      <c r="AG32" s="262" t="s">
        <v>58</v>
      </c>
      <c r="AH32" s="261" t="s">
        <v>57</v>
      </c>
      <c r="AI32" s="262" t="s">
        <v>750</v>
      </c>
      <c r="AJ32" s="262"/>
      <c r="AK32" s="262" t="s">
        <v>750</v>
      </c>
      <c r="AL32" s="262"/>
    </row>
    <row r="33" spans="1:41" x14ac:dyDescent="0.25">
      <c r="A33" s="6" t="s">
        <v>17</v>
      </c>
      <c r="B33" s="7"/>
      <c r="G33" s="15" t="s">
        <v>60</v>
      </c>
      <c r="H33" s="15" t="s">
        <v>211</v>
      </c>
      <c r="I33" s="28" t="e">
        <f ca="1">_xll.EVPRO($B$1,$H33,"STYLE")</f>
        <v>#NAME?</v>
      </c>
      <c r="J33" s="28" t="e">
        <f ca="1">_xll.EVPRO($B$1,$H33,"CALC")</f>
        <v>#NAME?</v>
      </c>
      <c r="M33" s="162" t="e">
        <f ca="1">IF(_xll.EVDES(H33,$B$1)="#NODATA","",_xll.EVDES(H33,$B$1))</f>
        <v>#NAME?</v>
      </c>
      <c r="N33" s="21">
        <v>4092</v>
      </c>
      <c r="O33" s="21">
        <v>3696</v>
      </c>
      <c r="P33" s="21">
        <v>4092</v>
      </c>
      <c r="Q33" s="21">
        <v>3960</v>
      </c>
      <c r="R33" s="21">
        <v>4092</v>
      </c>
      <c r="S33" s="21">
        <v>3960</v>
      </c>
      <c r="T33" s="21">
        <v>4092</v>
      </c>
      <c r="U33" s="21">
        <v>4092</v>
      </c>
      <c r="V33" s="21">
        <v>3960</v>
      </c>
      <c r="W33" s="21">
        <v>4092</v>
      </c>
      <c r="X33" s="21">
        <v>3960</v>
      </c>
      <c r="Y33" s="21">
        <v>4092</v>
      </c>
      <c r="Z33" s="21">
        <f>SUM(N33:Y33)</f>
        <v>48180</v>
      </c>
      <c r="AA33" s="214"/>
      <c r="AC33" s="21">
        <v>48180</v>
      </c>
      <c r="AD33" s="214"/>
      <c r="AE33" s="50">
        <f>IF(AND($Z33="",AC33=""),"",$Z33-AC33)</f>
        <v>0</v>
      </c>
      <c r="AF33" s="21">
        <v>48180</v>
      </c>
      <c r="AG33" s="214"/>
      <c r="AH33" s="50">
        <f>IF(AND($Z33="",AF33=""),"",$Z33-AF33)</f>
        <v>0</v>
      </c>
      <c r="AI33" s="384"/>
      <c r="AJ33" s="385"/>
      <c r="AK33" s="384"/>
      <c r="AL33" s="385"/>
    </row>
    <row r="34" spans="1:41" x14ac:dyDescent="0.25">
      <c r="G34" s="15" t="s">
        <v>60</v>
      </c>
      <c r="H34" s="15" t="s">
        <v>257</v>
      </c>
      <c r="I34" s="28" t="e">
        <f ca="1">_xll.EVPRO($B$1,$H34,"STYLE")</f>
        <v>#NAME?</v>
      </c>
      <c r="J34" s="28" t="e">
        <f ca="1">_xll.EVPRO($B$1,$H34,"CALC")</f>
        <v>#NAME?</v>
      </c>
      <c r="M34" s="162" t="e">
        <f ca="1">IF(_xll.EVDES(H34,$B$1)="#NODATA","",_xll.EVDES(H34,$B$1))</f>
        <v>#NAME?</v>
      </c>
      <c r="N34" s="21">
        <v>3863</v>
      </c>
      <c r="O34" s="21">
        <v>3471</v>
      </c>
      <c r="P34" s="21">
        <v>3750</v>
      </c>
      <c r="Q34" s="21">
        <v>3450</v>
      </c>
      <c r="R34" s="21">
        <v>3162</v>
      </c>
      <c r="S34" s="21">
        <v>3403</v>
      </c>
      <c r="T34" s="21">
        <v>3372</v>
      </c>
      <c r="U34" s="21">
        <v>2982</v>
      </c>
      <c r="V34" s="21">
        <v>2676</v>
      </c>
      <c r="W34" s="21">
        <v>3180</v>
      </c>
      <c r="X34" s="21">
        <v>2944</v>
      </c>
      <c r="Y34" s="21">
        <v>3443</v>
      </c>
      <c r="Z34" s="21">
        <f>SUM(N34:Y34)</f>
        <v>39696</v>
      </c>
      <c r="AA34" s="214"/>
      <c r="AC34" s="21">
        <v>41137</v>
      </c>
      <c r="AD34" s="214"/>
      <c r="AE34" s="50">
        <f>IF(AND($Z34="",AC34=""),"",$Z34-AC34)</f>
        <v>-1441</v>
      </c>
      <c r="AF34" s="21">
        <v>40967</v>
      </c>
      <c r="AG34" s="214"/>
      <c r="AH34" s="50">
        <f>IF(AND($Z34="",AF34=""),"",$Z34-AF34)</f>
        <v>-1271</v>
      </c>
      <c r="AI34" s="458">
        <f>IFERROR((Z34-AC34)/AC34,0)</f>
        <v>-3.5029292364538007E-2</v>
      </c>
      <c r="AJ34" s="454" t="s">
        <v>753</v>
      </c>
      <c r="AK34" s="458">
        <f>IFERROR((Z34-AF34)/AF34,0)</f>
        <v>-3.1024971318378208E-2</v>
      </c>
      <c r="AL34" s="454" t="s">
        <v>753</v>
      </c>
    </row>
    <row r="35" spans="1:41" x14ac:dyDescent="0.25">
      <c r="A35" s="22" t="s">
        <v>92</v>
      </c>
      <c r="B35" s="23" t="s">
        <v>93</v>
      </c>
      <c r="C35" s="23" t="s">
        <v>94</v>
      </c>
      <c r="D35" s="23" t="s">
        <v>95</v>
      </c>
      <c r="E35" s="23" t="s">
        <v>96</v>
      </c>
      <c r="F35" s="24" t="s">
        <v>97</v>
      </c>
      <c r="G35" s="15" t="s">
        <v>60</v>
      </c>
      <c r="H35" s="15" t="s">
        <v>495</v>
      </c>
      <c r="I35" s="28" t="e">
        <f ca="1">_xll.EVPRO($B$1,$H35,"STYLE")</f>
        <v>#NAME?</v>
      </c>
      <c r="J35" s="28" t="e">
        <f ca="1">_xll.EVPRO($B$1,$H35,"CALC")</f>
        <v>#NAME?</v>
      </c>
      <c r="M35" s="162" t="e">
        <f ca="1">IF(_xll.EVDES(H35,$B$1)="#NODATA","",_xll.EVDES(H35,$B$1))</f>
        <v>#NAME?</v>
      </c>
      <c r="N35" s="17">
        <v>0.94403714565004904</v>
      </c>
      <c r="O35" s="17">
        <v>0.93912337662337697</v>
      </c>
      <c r="P35" s="17">
        <v>0.91642228739002896</v>
      </c>
      <c r="Q35" s="17">
        <v>0.87121212121212099</v>
      </c>
      <c r="R35" s="17">
        <v>0.77272727272727304</v>
      </c>
      <c r="S35" s="17">
        <v>0.85934343434343397</v>
      </c>
      <c r="T35" s="17">
        <v>0.82404692082111397</v>
      </c>
      <c r="U35" s="17">
        <v>0.72873900293255101</v>
      </c>
      <c r="V35" s="17">
        <v>0.675757575757576</v>
      </c>
      <c r="W35" s="17">
        <v>0.77712609970674495</v>
      </c>
      <c r="X35" s="17">
        <v>0.743434343434343</v>
      </c>
      <c r="Y35" s="17">
        <v>0.84139784946236595</v>
      </c>
      <c r="Z35" s="17">
        <f>IFERROR(Z34/Z33,"")</f>
        <v>0.82391033623910337</v>
      </c>
      <c r="AA35" s="214"/>
      <c r="AC35" s="17">
        <v>0.85381901203819</v>
      </c>
      <c r="AD35" s="214"/>
      <c r="AE35" s="215">
        <f>IF(AND($Z35="",AC35=""),"",$Z35-AC35)</f>
        <v>-2.9908675799086626E-2</v>
      </c>
      <c r="AF35" s="17">
        <v>0.850290577002906</v>
      </c>
      <c r="AG35" s="214"/>
      <c r="AH35" s="215">
        <f>IF(AND($Z35="",AF35=""),"",$Z35-AF35)</f>
        <v>-2.6380240763802631E-2</v>
      </c>
      <c r="AI35" s="458">
        <f>IFERROR((Z35-AC35)/AC35,0)</f>
        <v>-3.5029292364537855E-2</v>
      </c>
      <c r="AJ35" s="454" t="s">
        <v>753</v>
      </c>
      <c r="AK35" s="458">
        <f>IFERROR((Z35-AF35)/AF35,0)</f>
        <v>-3.1024971318378461E-2</v>
      </c>
      <c r="AL35" s="454" t="s">
        <v>753</v>
      </c>
      <c r="AN35" s="456"/>
    </row>
    <row r="36" spans="1:41" x14ac:dyDescent="0.25">
      <c r="G36" s="15" t="s">
        <v>60</v>
      </c>
      <c r="H36" s="15" t="s">
        <v>208</v>
      </c>
      <c r="I36" s="28" t="e">
        <f ca="1">_xll.EVPRO($B$1,$H36,"STYLE")</f>
        <v>#NAME?</v>
      </c>
      <c r="J36" s="28" t="e">
        <f ca="1">_xll.EVPRO($B$1,$H36,"CALC")</f>
        <v>#NAME?</v>
      </c>
      <c r="M36" s="162" t="e">
        <f ca="1">IF(_xll.EVDES(H36,$B$1)="#NODATA","",_xll.EVDES(H36,$B$1))</f>
        <v>#NAME?</v>
      </c>
      <c r="N36" s="118">
        <v>281.22551643800199</v>
      </c>
      <c r="O36" s="118">
        <v>346.86283779890499</v>
      </c>
      <c r="P36" s="118">
        <v>314.57101066666701</v>
      </c>
      <c r="Q36" s="118">
        <v>263.63145217391298</v>
      </c>
      <c r="R36" s="118">
        <v>262.256654016445</v>
      </c>
      <c r="S36" s="118">
        <v>185.44804878048799</v>
      </c>
      <c r="T36" s="118">
        <v>185.47260379596699</v>
      </c>
      <c r="U36" s="118">
        <v>169.11653923541201</v>
      </c>
      <c r="V36" s="118">
        <v>162.19319506726501</v>
      </c>
      <c r="W36" s="118">
        <v>185.10631446540901</v>
      </c>
      <c r="X36" s="118">
        <v>228.61937160326099</v>
      </c>
      <c r="Y36" s="118">
        <v>331.89415045018899</v>
      </c>
      <c r="Z36" s="118">
        <f>IFERROR(Z$39/Z34,"")</f>
        <v>247.07762318621525</v>
      </c>
      <c r="AA36" s="214"/>
      <c r="AC36" s="118">
        <v>282.92107761868903</v>
      </c>
      <c r="AD36" s="214"/>
      <c r="AE36" s="217">
        <f>IF(AND($Z36="",AC36=""),"",$Z36-AC36)</f>
        <v>-35.843454432473777</v>
      </c>
      <c r="AF36" s="118">
        <v>275.60042229111201</v>
      </c>
      <c r="AG36" s="214"/>
      <c r="AH36" s="216">
        <f>IF(AND($Z36="",AF36=""),"",$Z36-AF36)</f>
        <v>-28.522799104896762</v>
      </c>
      <c r="AI36" s="458">
        <f>IFERROR((Z36-AC36)/AC36,0)</f>
        <v>-0.12669064720862655</v>
      </c>
      <c r="AJ36" s="454" t="s">
        <v>753</v>
      </c>
      <c r="AK36" s="458">
        <f>IFERROR((Z36-AF36)/AF36,0)</f>
        <v>-0.10349330696877024</v>
      </c>
      <c r="AL36" s="454" t="s">
        <v>753</v>
      </c>
      <c r="AN36" s="457"/>
    </row>
    <row r="37" spans="1:41" x14ac:dyDescent="0.25">
      <c r="A37" s="1" t="s">
        <v>105</v>
      </c>
      <c r="C37" s="26" t="s">
        <v>101</v>
      </c>
      <c r="D37" s="1" t="s">
        <v>106</v>
      </c>
      <c r="F37" s="1" t="s">
        <v>98</v>
      </c>
      <c r="G37" s="15" t="s">
        <v>60</v>
      </c>
      <c r="H37" s="15" t="s">
        <v>582</v>
      </c>
      <c r="I37" s="28" t="e">
        <f ca="1">_xll.EVPRO($B$1,$H37,"STYLE")</f>
        <v>#NAME?</v>
      </c>
      <c r="J37" s="28" t="e">
        <f ca="1">_xll.EVPRO($B$1,$H37,"CALC")</f>
        <v>#NAME?</v>
      </c>
      <c r="M37" s="162" t="e">
        <f ca="1">IF(_xll.EVDES(H37,$B$1)="#NODATA","",_xll.EVDES(H37,$B$1))</f>
        <v>#NAME?</v>
      </c>
      <c r="N37" s="118">
        <v>265.48733382209201</v>
      </c>
      <c r="O37" s="118">
        <v>325.74699945887397</v>
      </c>
      <c r="P37" s="118">
        <v>288.27988514174001</v>
      </c>
      <c r="Q37" s="118">
        <v>229.67891666666699</v>
      </c>
      <c r="R37" s="118">
        <v>202.65286901270801</v>
      </c>
      <c r="S37" s="118">
        <v>159.36356313131299</v>
      </c>
      <c r="T37" s="118">
        <v>152.83812805474099</v>
      </c>
      <c r="U37" s="118">
        <v>123.241818181818</v>
      </c>
      <c r="V37" s="118">
        <v>109.60328030303</v>
      </c>
      <c r="W37" s="118">
        <v>143.85094819159301</v>
      </c>
      <c r="X37" s="118">
        <v>169.96349242424199</v>
      </c>
      <c r="Y37" s="118">
        <v>279.255024437928</v>
      </c>
      <c r="Z37" s="118">
        <f>IFERROR(Z$39/Z33,"")</f>
        <v>203.56980759651307</v>
      </c>
      <c r="AA37" s="214"/>
      <c r="AC37" s="118">
        <v>241.563394977169</v>
      </c>
      <c r="AD37" s="214"/>
      <c r="AE37" s="217">
        <f>IF(AND($Z37="",AC37=""),"",$Z37-AC37)</f>
        <v>-37.993587380655924</v>
      </c>
      <c r="AF37" s="118">
        <v>234.34044209215401</v>
      </c>
      <c r="AG37" s="214"/>
      <c r="AH37" s="216">
        <f>IF(AND($Z37="",AF37=""),"",$Z37-AF37)</f>
        <v>-30.770634495640934</v>
      </c>
      <c r="AI37" s="458">
        <f>IFERROR((Z37-AC37)/AC37,0)</f>
        <v>-0.1572820558522405</v>
      </c>
      <c r="AJ37" s="454" t="s">
        <v>753</v>
      </c>
      <c r="AK37" s="458">
        <f>IFERROR((Z37-AF37)/AF37,0)</f>
        <v>-0.13130740140679786</v>
      </c>
      <c r="AL37" s="454" t="s">
        <v>753</v>
      </c>
      <c r="AN37" s="457"/>
      <c r="AO37" s="456"/>
    </row>
    <row r="38" spans="1:41" x14ac:dyDescent="0.25">
      <c r="A38" s="1" t="s">
        <v>102</v>
      </c>
      <c r="C38" s="26" t="s">
        <v>101</v>
      </c>
      <c r="D38" s="1" t="s">
        <v>106</v>
      </c>
      <c r="F38" s="1" t="s">
        <v>98</v>
      </c>
      <c r="H38" s="1" t="s">
        <v>69</v>
      </c>
      <c r="I38" s="11" t="e">
        <f ca="1">_xll.EVPRO($B$1,$H38,"STYLE")</f>
        <v>#NAME?</v>
      </c>
      <c r="J38" s="11" t="e">
        <f ca="1">_xll.EVPRO($B$1,$H38,"CALC")</f>
        <v>#NAME?</v>
      </c>
      <c r="M38" s="40" t="e">
        <f ca="1">IF(_xll.EVDES(H38,$B$1)="#NODATA","",_xll.EVDES(H38,$B$1))</f>
        <v>#NAME?</v>
      </c>
      <c r="N38" s="211"/>
      <c r="O38" s="213"/>
      <c r="P38" s="213"/>
      <c r="Q38" s="213"/>
      <c r="R38" s="213"/>
      <c r="S38" s="213"/>
      <c r="T38" s="213"/>
      <c r="U38" s="213"/>
      <c r="V38" s="213"/>
      <c r="W38" s="213"/>
      <c r="X38" s="213"/>
      <c r="Y38" s="213"/>
      <c r="Z38" s="213"/>
      <c r="AA38" s="212"/>
      <c r="AC38" s="211"/>
      <c r="AD38" s="213"/>
      <c r="AE38" s="212"/>
      <c r="AF38" s="211"/>
      <c r="AG38" s="213"/>
      <c r="AH38" s="212"/>
    </row>
    <row r="39" spans="1:41" x14ac:dyDescent="0.25">
      <c r="A39" s="1" t="s">
        <v>108</v>
      </c>
      <c r="C39" s="25" t="s">
        <v>101</v>
      </c>
      <c r="D39" s="1" t="s">
        <v>106</v>
      </c>
      <c r="F39" s="1" t="s">
        <v>98</v>
      </c>
      <c r="G39" s="15" t="s">
        <v>60</v>
      </c>
      <c r="H39" s="15" t="s">
        <v>280</v>
      </c>
      <c r="I39" s="28" t="e">
        <f ca="1">_xll.EVPRO($B$1,$H39,"STYLE")</f>
        <v>#NAME?</v>
      </c>
      <c r="J39" s="28" t="e">
        <f ca="1">_xll.EVPRO($B$1,$H39,"CALC")</f>
        <v>#NAME?</v>
      </c>
      <c r="K39" s="119"/>
      <c r="L39" s="25"/>
      <c r="M39" s="162" t="e">
        <f ca="1">IF(_xll.EVDES(G39,$B$1)="#NODATA","",_xll.EVDES(G39,$B$1))</f>
        <v>#NAME?</v>
      </c>
      <c r="N39" s="21">
        <v>1086374.17</v>
      </c>
      <c r="O39" s="21">
        <v>1203960.9099999999</v>
      </c>
      <c r="P39" s="21">
        <v>1179641.29</v>
      </c>
      <c r="Q39" s="21">
        <v>909528.51</v>
      </c>
      <c r="R39" s="21">
        <v>829255.54</v>
      </c>
      <c r="S39" s="21">
        <v>631079.71</v>
      </c>
      <c r="T39" s="21">
        <v>625413.62</v>
      </c>
      <c r="U39" s="21">
        <v>504305.52</v>
      </c>
      <c r="V39" s="21">
        <v>434028.99</v>
      </c>
      <c r="W39" s="21">
        <v>588638.07999999996</v>
      </c>
      <c r="X39" s="21">
        <v>673055.43</v>
      </c>
      <c r="Y39" s="21">
        <v>1142711.56</v>
      </c>
      <c r="Z39" s="21">
        <f>SUM(N39:Y39)</f>
        <v>9807993.3300000001</v>
      </c>
      <c r="AA39" s="17" t="str">
        <f ca="1">IF(Z39=0,"",IFERROR(Z39/Z$19,""))</f>
        <v/>
      </c>
      <c r="AC39" s="21">
        <v>11638524.369999999</v>
      </c>
      <c r="AD39" s="17" t="str">
        <f ca="1">IF(AC39=0,"",IFERROR(AC39/AC$19,""))</f>
        <v/>
      </c>
      <c r="AE39" s="50">
        <f>IF(AND($Z39="",AC39=""),"",$Z39-AC39)</f>
        <v>-1830531.0399999991</v>
      </c>
      <c r="AF39" s="21">
        <v>11290522.5</v>
      </c>
      <c r="AG39" s="17" t="str">
        <f ca="1">IF(AF39=0,"",IFERROR(AF39/AF$19,""))</f>
        <v/>
      </c>
      <c r="AH39" s="50">
        <f>IF(AND($Z39="",AF39=""),"",$Z39-AF39)</f>
        <v>-1482529.17</v>
      </c>
      <c r="AI39" s="458">
        <f>IFERROR((Z39-AC39)/AC39,0)</f>
        <v>-0.15728205585224025</v>
      </c>
      <c r="AJ39" s="454" t="s">
        <v>753</v>
      </c>
      <c r="AK39" s="458">
        <f>IFERROR((Z39-AF39)/AF39,0)</f>
        <v>-0.13130740140679936</v>
      </c>
      <c r="AL39" s="454" t="s">
        <v>753</v>
      </c>
      <c r="AN39" s="463"/>
    </row>
    <row r="40" spans="1:41" x14ac:dyDescent="0.25">
      <c r="A40" s="1" t="s">
        <v>108</v>
      </c>
      <c r="C40" s="29" t="s">
        <v>101</v>
      </c>
      <c r="D40" s="1" t="s">
        <v>107</v>
      </c>
      <c r="F40" s="1" t="s">
        <v>99</v>
      </c>
      <c r="G40" s="15" t="s">
        <v>358</v>
      </c>
      <c r="H40" s="15" t="s">
        <v>280</v>
      </c>
      <c r="I40" s="28" t="e">
        <f ca="1">_xll.EVPRO($B$1,$H40,"STYLE")</f>
        <v>#NAME?</v>
      </c>
      <c r="J40" s="28" t="e">
        <f ca="1">_xll.EVPRO($B$1,$H40,"CALC")</f>
        <v>#NAME?</v>
      </c>
      <c r="K40" s="119"/>
      <c r="L40" s="25"/>
      <c r="M40" s="162" t="e">
        <f ca="1">IF(_xll.EVDES(G40,$B$1)="#NODATA","",_xll.EVDES(G40,$B$1))</f>
        <v>#NAME?</v>
      </c>
      <c r="N40" s="21">
        <v>271648.17</v>
      </c>
      <c r="O40" s="21">
        <v>243116.66</v>
      </c>
      <c r="P40" s="21">
        <v>262610.3</v>
      </c>
      <c r="Q40" s="21">
        <v>178741.51</v>
      </c>
      <c r="R40" s="21">
        <v>174452.86</v>
      </c>
      <c r="S40" s="21">
        <v>153035.34</v>
      </c>
      <c r="T40" s="21">
        <v>137140.69</v>
      </c>
      <c r="U40" s="21">
        <v>119985.83</v>
      </c>
      <c r="V40" s="21">
        <v>111020.89</v>
      </c>
      <c r="W40" s="21">
        <v>115318.67</v>
      </c>
      <c r="X40" s="21">
        <v>125378.51</v>
      </c>
      <c r="Y40" s="21">
        <v>219086.52</v>
      </c>
      <c r="Z40" s="21">
        <f>SUM(N40:Y40)</f>
        <v>2111535.9499999997</v>
      </c>
      <c r="AA40" s="17" t="str">
        <f ca="1">IF(Z40=0,"",IFERROR(Z40/Z$19,""))</f>
        <v/>
      </c>
      <c r="AC40" s="21">
        <v>3679690.8742</v>
      </c>
      <c r="AD40" s="17" t="str">
        <f ca="1">IF(AC40=0,"",IFERROR(AC40/AC$19,""))</f>
        <v/>
      </c>
      <c r="AE40" s="50">
        <f>IF(AND($Z40="",AC40=""),"",$Z40-AC40)</f>
        <v>-1568154.9242000002</v>
      </c>
      <c r="AF40" s="21">
        <v>2460440.2999999998</v>
      </c>
      <c r="AG40" s="17" t="str">
        <f ca="1">IF(AF40=0,"",IFERROR(AF40/AF$19,""))</f>
        <v/>
      </c>
      <c r="AH40" s="50">
        <f>IF(AND($Z40="",AF40=""),"",$Z40-AF40)</f>
        <v>-348904.35000000009</v>
      </c>
      <c r="AI40" s="458">
        <f>IFERROR((Z40-AC40)/AC40,0)</f>
        <v>-0.42616485400854009</v>
      </c>
      <c r="AJ40" s="454" t="s">
        <v>753</v>
      </c>
      <c r="AK40" s="458">
        <f>IFERROR((Z40-AF40)/AF40,0)</f>
        <v>-0.14180565567878242</v>
      </c>
      <c r="AL40" s="454" t="s">
        <v>753</v>
      </c>
      <c r="AN40" s="463"/>
    </row>
    <row r="41" spans="1:41" x14ac:dyDescent="0.25">
      <c r="G41" s="15" t="s">
        <v>463</v>
      </c>
      <c r="H41" s="15" t="s">
        <v>280</v>
      </c>
      <c r="I41" s="28" t="e">
        <f ca="1">_xll.EVPRO($B$1,$H41,"STYLE")</f>
        <v>#NAME?</v>
      </c>
      <c r="J41" s="28" t="e">
        <f ca="1">_xll.EVPRO($B$1,$H41,"CALC")</f>
        <v>#NAME?</v>
      </c>
      <c r="K41" s="119"/>
      <c r="L41" s="25"/>
      <c r="M41" s="162" t="e">
        <f ca="1">IF(_xll.EVDES(G41,$B$1)="#NODATA","",_xll.EVDES(G41,$B$1))</f>
        <v>#NAME?</v>
      </c>
      <c r="N41" s="21">
        <v>1876.85</v>
      </c>
      <c r="O41" s="21">
        <v>2263.09</v>
      </c>
      <c r="P41" s="21">
        <v>1369.74</v>
      </c>
      <c r="Q41" s="21">
        <v>2075.38</v>
      </c>
      <c r="R41" s="21">
        <v>1530.85</v>
      </c>
      <c r="S41" s="21">
        <v>1673.12</v>
      </c>
      <c r="T41" s="21">
        <v>1042.0899999999999</v>
      </c>
      <c r="U41" s="21">
        <v>785.26</v>
      </c>
      <c r="V41" s="21">
        <v>851.92</v>
      </c>
      <c r="W41" s="21">
        <v>1215.53</v>
      </c>
      <c r="X41" s="21">
        <v>1538.01</v>
      </c>
      <c r="Y41" s="21">
        <v>-336.23</v>
      </c>
      <c r="Z41" s="21">
        <f>SUM(N41:Y41)</f>
        <v>15885.61</v>
      </c>
      <c r="AA41" s="17" t="str">
        <f ca="1">IF(Z41=0,"",IFERROR(Z41/Z$19,""))</f>
        <v/>
      </c>
      <c r="AC41" s="21">
        <v>25008.17</v>
      </c>
      <c r="AD41" s="17" t="str">
        <f ca="1">IF(AC41=0,"",IFERROR(AC41/AC$19,""))</f>
        <v/>
      </c>
      <c r="AE41" s="50">
        <f>IF(AND($Z41="",AC41=""),"",$Z41-AC41)</f>
        <v>-9122.5599999999977</v>
      </c>
      <c r="AF41" s="21">
        <v>27966.42</v>
      </c>
      <c r="AG41" s="17" t="str">
        <f ca="1">IF(AF41=0,"",IFERROR(AF41/AF$19,""))</f>
        <v/>
      </c>
      <c r="AH41" s="50">
        <f>IF(AND($Z41="",AF41=""),"",$Z41-AF41)</f>
        <v>-12080.809999999998</v>
      </c>
      <c r="AI41" s="458">
        <f>IFERROR((Z41-AC41)/AC41,0)</f>
        <v>-0.3647831888538825</v>
      </c>
      <c r="AJ41" s="454" t="s">
        <v>753</v>
      </c>
      <c r="AK41" s="458">
        <f>IFERROR((Z41-AF41)/AF41,0)</f>
        <v>-0.4319755621205717</v>
      </c>
      <c r="AL41" s="454" t="s">
        <v>753</v>
      </c>
      <c r="AN41" s="463"/>
    </row>
    <row r="42" spans="1:41" x14ac:dyDescent="0.25">
      <c r="G42" s="15" t="s">
        <v>472</v>
      </c>
      <c r="H42" s="15" t="s">
        <v>280</v>
      </c>
      <c r="I42" s="28" t="e">
        <f ca="1">_xll.EVPRO($B$1,$H42,"STYLE")</f>
        <v>#NAME?</v>
      </c>
      <c r="J42" s="28" t="e">
        <f ca="1">_xll.EVPRO($B$1,$H42,"CALC")</f>
        <v>#NAME?</v>
      </c>
      <c r="K42" s="119"/>
      <c r="L42" s="25"/>
      <c r="M42" s="162" t="e">
        <f ca="1">IF(_xll.EVDES(G42,$B$1)="#NODATA","",_xll.EVDES(G42,$B$1))</f>
        <v>#NAME?</v>
      </c>
      <c r="N42" s="21">
        <v>102264.58</v>
      </c>
      <c r="O42" s="21">
        <v>87266.78</v>
      </c>
      <c r="P42" s="21">
        <v>90782.74</v>
      </c>
      <c r="Q42" s="21">
        <v>79960</v>
      </c>
      <c r="R42" s="21">
        <v>78295.22</v>
      </c>
      <c r="S42" s="21">
        <v>88953.9</v>
      </c>
      <c r="T42" s="21">
        <v>80347.039999999994</v>
      </c>
      <c r="U42" s="21">
        <v>95026.06</v>
      </c>
      <c r="V42" s="21">
        <v>71927.7</v>
      </c>
      <c r="W42" s="21">
        <v>73559.12</v>
      </c>
      <c r="X42" s="21">
        <v>79584.23</v>
      </c>
      <c r="Y42" s="21">
        <v>76824.899999999994</v>
      </c>
      <c r="Z42" s="21">
        <f>SUM(N42:Y42)</f>
        <v>1004792.27</v>
      </c>
      <c r="AA42" s="17" t="str">
        <f ca="1">IF(Z42=0,"",IFERROR(Z42/Z$19,""))</f>
        <v/>
      </c>
      <c r="AC42" s="21">
        <v>1249778.04</v>
      </c>
      <c r="AD42" s="17" t="str">
        <f ca="1">IF(AC42=0,"",IFERROR(AC42/AC$19,""))</f>
        <v/>
      </c>
      <c r="AE42" s="50">
        <f>IF(AND($Z42="",AC42=""),"",$Z42-AC42)</f>
        <v>-244985.77000000002</v>
      </c>
      <c r="AF42" s="21">
        <v>953809.99</v>
      </c>
      <c r="AG42" s="17" t="str">
        <f ca="1">IF(AF42=0,"",IFERROR(AF42/AF$19,""))</f>
        <v/>
      </c>
      <c r="AH42" s="50">
        <f>IF(AND($Z42="",AF42=""),"",$Z42-AF42)</f>
        <v>50982.280000000028</v>
      </c>
      <c r="AI42" s="459">
        <f>IFERROR((Z42-AC42)/AC42,0)</f>
        <v>-0.19602342348726179</v>
      </c>
      <c r="AJ42" s="460" t="s">
        <v>753</v>
      </c>
      <c r="AK42" s="459">
        <f>IFERROR((Z42-AF42)/AF42,0)</f>
        <v>5.3451191049068411E-2</v>
      </c>
      <c r="AL42" s="460" t="s">
        <v>753</v>
      </c>
      <c r="AN42" s="463"/>
    </row>
    <row r="43" spans="1:41" x14ac:dyDescent="0.25">
      <c r="G43" s="119"/>
      <c r="H43" s="119"/>
      <c r="I43" s="119"/>
      <c r="J43" s="119"/>
      <c r="K43" s="119"/>
      <c r="L43" s="25"/>
      <c r="M43" s="25" t="e">
        <f ca="1">"Total "&amp;M38</f>
        <v>#NAME?</v>
      </c>
      <c r="N43" s="33">
        <f t="shared" ref="N43:Y43" si="0">SUM(N39:N42)</f>
        <v>1462163.77</v>
      </c>
      <c r="O43" s="33">
        <f t="shared" si="0"/>
        <v>1536607.44</v>
      </c>
      <c r="P43" s="33">
        <f t="shared" si="0"/>
        <v>1534404.07</v>
      </c>
      <c r="Q43" s="33">
        <f t="shared" si="0"/>
        <v>1170305.3999999999</v>
      </c>
      <c r="R43" s="33">
        <f t="shared" si="0"/>
        <v>1083534.47</v>
      </c>
      <c r="S43" s="33">
        <f t="shared" si="0"/>
        <v>874742.07</v>
      </c>
      <c r="T43" s="33">
        <f t="shared" si="0"/>
        <v>843943.44000000006</v>
      </c>
      <c r="U43" s="33">
        <f t="shared" si="0"/>
        <v>720102.66999999993</v>
      </c>
      <c r="V43" s="33">
        <f t="shared" si="0"/>
        <v>617829.5</v>
      </c>
      <c r="W43" s="33">
        <f t="shared" si="0"/>
        <v>778731.4</v>
      </c>
      <c r="X43" s="33">
        <f t="shared" si="0"/>
        <v>879556.18</v>
      </c>
      <c r="Y43" s="33">
        <f t="shared" si="0"/>
        <v>1438286.75</v>
      </c>
      <c r="Z43" s="33">
        <f>SUM(N43:Y43)</f>
        <v>12940207.16</v>
      </c>
      <c r="AA43" s="34" t="str">
        <f ca="1">IF(Z43=0,"",IFERROR(Z43/Z$19,""))</f>
        <v/>
      </c>
      <c r="AC43" s="33">
        <f>SUM(AC39:AC42)</f>
        <v>16593001.4542</v>
      </c>
      <c r="AD43" s="34" t="str">
        <f ca="1">IF(AC43=0,"",IFERROR(AC43/AC$19,""))</f>
        <v/>
      </c>
      <c r="AE43" s="52">
        <f>IF(AND($Z43="",AC43=""),"",$Z43-AC43)</f>
        <v>-3652794.2941999994</v>
      </c>
      <c r="AF43" s="33">
        <f>SUM(AF39:AF42)</f>
        <v>14732739.210000001</v>
      </c>
      <c r="AG43" s="34" t="str">
        <f ca="1">IF(AF43=0,"",IFERROR(AF43/AF$19,""))</f>
        <v/>
      </c>
      <c r="AH43" s="52">
        <f>IF(AND($Z43="",AF43=""),"",$Z43-AF43)</f>
        <v>-1792532.0500000007</v>
      </c>
      <c r="AI43" s="461">
        <f>IFERROR((Z43-AC43)/AC43,0)</f>
        <v>-0.22014066016220404</v>
      </c>
      <c r="AJ43" s="462" t="s">
        <v>753</v>
      </c>
      <c r="AK43" s="461">
        <f>IFERROR((Z43-AF43)/AF43,0)</f>
        <v>-0.12166997762257957</v>
      </c>
      <c r="AL43" s="462" t="s">
        <v>753</v>
      </c>
      <c r="AN43" s="463"/>
    </row>
    <row r="44" spans="1:41" x14ac:dyDescent="0.25">
      <c r="A44" s="4" t="e">
        <f ca="1">_xll.EVDRE($B$1,A47:B54)</f>
        <v>#NAME?</v>
      </c>
      <c r="G44" s="119"/>
      <c r="H44" s="119"/>
      <c r="I44" s="119"/>
      <c r="J44" s="119"/>
      <c r="K44" s="119"/>
      <c r="L44" s="1">
        <f>COUNTIF(N44:AH44,FALSE)</f>
        <v>0</v>
      </c>
      <c r="M44" s="226" t="str">
        <f>IF(L44=0,"","Revenue - database validation failed")</f>
        <v/>
      </c>
      <c r="N44" s="270" t="str">
        <f t="shared" ref="N44:Z44" si="1">IF(ROUND(N43,2)&lt;&gt;ROUND(N97,2),N43-N97,"")</f>
        <v/>
      </c>
      <c r="O44" s="271" t="str">
        <f t="shared" si="1"/>
        <v/>
      </c>
      <c r="P44" s="271" t="str">
        <f t="shared" si="1"/>
        <v/>
      </c>
      <c r="Q44" s="271" t="str">
        <f t="shared" si="1"/>
        <v/>
      </c>
      <c r="R44" s="271" t="str">
        <f t="shared" si="1"/>
        <v/>
      </c>
      <c r="S44" s="271" t="str">
        <f t="shared" si="1"/>
        <v/>
      </c>
      <c r="T44" s="271" t="str">
        <f t="shared" si="1"/>
        <v/>
      </c>
      <c r="U44" s="271" t="str">
        <f t="shared" si="1"/>
        <v/>
      </c>
      <c r="V44" s="271" t="str">
        <f t="shared" si="1"/>
        <v/>
      </c>
      <c r="W44" s="271" t="str">
        <f t="shared" si="1"/>
        <v/>
      </c>
      <c r="X44" s="271" t="str">
        <f t="shared" si="1"/>
        <v/>
      </c>
      <c r="Y44" s="271" t="str">
        <f t="shared" si="1"/>
        <v/>
      </c>
      <c r="Z44" s="271" t="str">
        <f t="shared" si="1"/>
        <v/>
      </c>
      <c r="AA44" s="180" t="b">
        <f>Z44=""</f>
        <v>1</v>
      </c>
      <c r="AC44" s="270" t="str">
        <f>IF(ROUND(AC43,2)&lt;&gt;ROUND(AC97,2),AC43-AC97,"")</f>
        <v/>
      </c>
      <c r="AD44" s="228" t="b">
        <f>AC44=""</f>
        <v>1</v>
      </c>
      <c r="AE44" s="55"/>
      <c r="AF44" s="271" t="str">
        <f>IF(ROUND(AF43,2)&lt;&gt;ROUND(AF97,2),AF43-AF97,"")</f>
        <v/>
      </c>
      <c r="AG44" s="228" t="b">
        <f>AF44=""</f>
        <v>1</v>
      </c>
      <c r="AH44" s="55"/>
    </row>
    <row r="45" spans="1:41" x14ac:dyDescent="0.25">
      <c r="H45" s="1" t="s">
        <v>564</v>
      </c>
      <c r="I45" s="11" t="e">
        <f ca="1">_xll.EVPRO($B$1,$H45,"STYLE")</f>
        <v>#NAME?</v>
      </c>
      <c r="J45" s="11" t="e">
        <f ca="1">_xll.EVPRO($B$1,$H45,"CALC")</f>
        <v>#NAME?</v>
      </c>
      <c r="M45" s="40" t="e">
        <f ca="1">IF(_xll.EVDES(H45,$B$1)="#NODATA","",_xll.EVDES(H45,$B$1))</f>
        <v>#NAME?</v>
      </c>
      <c r="N45" s="43"/>
      <c r="O45" s="46"/>
      <c r="P45" s="46"/>
      <c r="Q45" s="46"/>
      <c r="R45" s="46"/>
      <c r="S45" s="46"/>
      <c r="T45" s="46"/>
      <c r="U45" s="46"/>
      <c r="V45" s="46"/>
      <c r="W45" s="46"/>
      <c r="X45" s="46"/>
      <c r="Y45" s="46"/>
      <c r="Z45" s="46"/>
      <c r="AA45" s="44"/>
      <c r="AC45" s="43"/>
      <c r="AD45" s="46"/>
      <c r="AE45" s="44"/>
      <c r="AF45" s="43"/>
      <c r="AG45" s="46"/>
      <c r="AH45" s="44"/>
    </row>
    <row r="46" spans="1:41" x14ac:dyDescent="0.25">
      <c r="A46" s="3" t="s">
        <v>0</v>
      </c>
      <c r="B46" s="5" t="s">
        <v>1</v>
      </c>
      <c r="G46" s="15" t="s">
        <v>60</v>
      </c>
      <c r="H46" s="15" t="s">
        <v>464</v>
      </c>
      <c r="I46" s="28" t="e">
        <f ca="1">_xll.EVPRO($B$1,$H46,"STYLE")</f>
        <v>#NAME?</v>
      </c>
      <c r="J46" s="28" t="e">
        <f ca="1">_xll.EVPRO($B$1,$H46,"CALC")</f>
        <v>#NAME?</v>
      </c>
      <c r="K46" s="119"/>
      <c r="L46" s="25"/>
      <c r="M46" s="162" t="e">
        <f ca="1">IF(_xll.EVDES(G46,$B$1)="#NODATA","",_xll.EVDES(G46,$B$1))</f>
        <v>#NAME?</v>
      </c>
      <c r="N46" s="21">
        <v>237562.78</v>
      </c>
      <c r="O46" s="21">
        <v>222323.8</v>
      </c>
      <c r="P46" s="21">
        <v>240431.83</v>
      </c>
      <c r="Q46" s="21">
        <v>244110.22</v>
      </c>
      <c r="R46" s="21">
        <v>208185.68</v>
      </c>
      <c r="S46" s="21">
        <v>199280.41</v>
      </c>
      <c r="T46" s="21">
        <v>214887.5</v>
      </c>
      <c r="U46" s="21">
        <v>200317.04</v>
      </c>
      <c r="V46" s="21">
        <v>181970.93</v>
      </c>
      <c r="W46" s="21">
        <v>204640.28</v>
      </c>
      <c r="X46" s="21">
        <v>204793.19</v>
      </c>
      <c r="Y46" s="21">
        <v>234336.46</v>
      </c>
      <c r="Z46" s="21">
        <f>SUM(N46:Y46)</f>
        <v>2592840.1199999996</v>
      </c>
      <c r="AA46" s="17">
        <f>IF(Z46=0,"",IFERROR(Z46/Z39,""))</f>
        <v>0.26435989837688845</v>
      </c>
      <c r="AC46" s="21">
        <v>2816918.9013481801</v>
      </c>
      <c r="AD46" s="17">
        <f>IF(AC46=0,"",IFERROR(AC46/AC39,""))</f>
        <v>0.24203402525918158</v>
      </c>
      <c r="AE46" s="50">
        <f>IF(AND($Z46="",AC46=""),"",$Z46-AC46)</f>
        <v>-224078.78134818049</v>
      </c>
      <c r="AF46" s="21">
        <v>2825148</v>
      </c>
      <c r="AG46" s="17">
        <f>IF(AF46=0,"",IFERROR(AF46/AF39,""))</f>
        <v>0.25022296355195256</v>
      </c>
      <c r="AH46" s="50">
        <f>IF(AND($Z46="",AF46=""),"",$Z46-AF46)</f>
        <v>-232307.88000000035</v>
      </c>
      <c r="AI46" s="528" t="str">
        <f>+IFERROR(ROUND(($AA46-AD46)*100,2)&amp;" pts.",0)</f>
        <v>2.23 pts.</v>
      </c>
      <c r="AJ46" s="529"/>
      <c r="AK46" s="528" t="str">
        <f>+IFERROR(ROUND(($AA46-AG46)*100,2)&amp;" pts.",0)</f>
        <v>1.41 pts.</v>
      </c>
      <c r="AL46" s="529"/>
    </row>
    <row r="47" spans="1:41" x14ac:dyDescent="0.25">
      <c r="A47" s="6" t="s">
        <v>2</v>
      </c>
      <c r="B47" s="7" t="e">
        <f ca="1">_xll.EVRNG($B$2:$B$10)</f>
        <v>#NAME?</v>
      </c>
      <c r="G47" s="15" t="s">
        <v>358</v>
      </c>
      <c r="H47" s="15" t="s">
        <v>464</v>
      </c>
      <c r="I47" s="28" t="e">
        <f ca="1">_xll.EVPRO($B$1,$H47,"STYLE")</f>
        <v>#NAME?</v>
      </c>
      <c r="J47" s="28" t="e">
        <f ca="1">_xll.EVPRO($B$1,$H47,"CALC")</f>
        <v>#NAME?</v>
      </c>
      <c r="K47" s="119"/>
      <c r="L47" s="25"/>
      <c r="M47" s="162" t="e">
        <f ca="1">IF(_xll.EVDES(G47,$B$1)="#NODATA","",_xll.EVDES(G47,$B$1))</f>
        <v>#NAME?</v>
      </c>
      <c r="N47" s="21">
        <v>205138.81</v>
      </c>
      <c r="O47" s="21">
        <v>193373.28</v>
      </c>
      <c r="P47" s="21">
        <v>214745.14</v>
      </c>
      <c r="Q47" s="21">
        <v>188933.91</v>
      </c>
      <c r="R47" s="21">
        <v>178110.53</v>
      </c>
      <c r="S47" s="21">
        <v>150465.09</v>
      </c>
      <c r="T47" s="21">
        <v>155783.07</v>
      </c>
      <c r="U47" s="21">
        <v>161441.03</v>
      </c>
      <c r="V47" s="21">
        <v>125622.76</v>
      </c>
      <c r="W47" s="21">
        <v>135880.32999999999</v>
      </c>
      <c r="X47" s="21">
        <v>131989.10999999999</v>
      </c>
      <c r="Y47" s="21">
        <v>198861.98</v>
      </c>
      <c r="Z47" s="21">
        <f>SUM(N47:Y47)</f>
        <v>2040345.04</v>
      </c>
      <c r="AA47" s="17">
        <f>IF(Z47=0,"",IFERROR(Z47/Z40,""))</f>
        <v>0.96628477483416764</v>
      </c>
      <c r="AC47" s="21">
        <v>2882658.0792123699</v>
      </c>
      <c r="AD47" s="17">
        <f>IF(AC47=0,"",IFERROR(AC47/AC40,""))</f>
        <v>0.78339680635240516</v>
      </c>
      <c r="AE47" s="50">
        <f>IF(AND($Z47="",AC47=""),"",$Z47-AC47)</f>
        <v>-842313.03921236983</v>
      </c>
      <c r="AF47" s="21">
        <v>2446506.0499999998</v>
      </c>
      <c r="AG47" s="17">
        <f>IF(AF47=0,"",IFERROR(AF47/AF40,""))</f>
        <v>0.99433668437311806</v>
      </c>
      <c r="AH47" s="50">
        <f>IF(AND($Z47="",AF47=""),"",$Z47-AF47)</f>
        <v>-406161.00999999978</v>
      </c>
      <c r="AI47" s="528" t="str">
        <f>+IFERROR(ROUND(($AA47-AD47)*100,2)&amp;" pts.",0)</f>
        <v>18.29 pts.</v>
      </c>
      <c r="AJ47" s="529"/>
      <c r="AK47" s="528" t="str">
        <f>+IFERROR(ROUND(($AA47-AG47)*100,2)&amp;" pts.",0)</f>
        <v>-2.81 pts.</v>
      </c>
      <c r="AL47" s="529"/>
    </row>
    <row r="48" spans="1:41" x14ac:dyDescent="0.25">
      <c r="A48" s="6" t="s">
        <v>3</v>
      </c>
      <c r="B48" s="7" t="e">
        <f ca="1">_xll.EVRNG(N16:AH18)</f>
        <v>#NAME?</v>
      </c>
      <c r="G48" s="15" t="s">
        <v>463</v>
      </c>
      <c r="H48" s="15" t="s">
        <v>464</v>
      </c>
      <c r="I48" s="28" t="e">
        <f ca="1">_xll.EVPRO($B$1,$H48,"STYLE")</f>
        <v>#NAME?</v>
      </c>
      <c r="J48" s="28" t="e">
        <f ca="1">_xll.EVPRO($B$1,$H48,"CALC")</f>
        <v>#NAME?</v>
      </c>
      <c r="K48" s="119"/>
      <c r="L48" s="25"/>
      <c r="M48" s="162" t="e">
        <f ca="1">IF(_xll.EVDES(G48,$B$1)="#NODATA","",_xll.EVDES(G48,$B$1))</f>
        <v>#NAME?</v>
      </c>
      <c r="N48" s="21">
        <v>605.01</v>
      </c>
      <c r="O48" s="21">
        <v>1037.3499999999999</v>
      </c>
      <c r="P48" s="21">
        <v>1213.1099999999999</v>
      </c>
      <c r="Q48" s="21">
        <v>1094.22</v>
      </c>
      <c r="R48" s="21">
        <v>717.65</v>
      </c>
      <c r="S48" s="21">
        <v>701.04</v>
      </c>
      <c r="T48" s="21">
        <v>456.03</v>
      </c>
      <c r="U48" s="21">
        <v>170.54</v>
      </c>
      <c r="V48" s="21">
        <v>424.49</v>
      </c>
      <c r="W48" s="21">
        <v>182.82</v>
      </c>
      <c r="X48" s="21">
        <v>547.54999999999995</v>
      </c>
      <c r="Y48" s="21">
        <v>58.91</v>
      </c>
      <c r="Z48" s="21">
        <f>SUM(N48:Y48)</f>
        <v>7208.7199999999984</v>
      </c>
      <c r="AA48" s="17">
        <f>IF(Z48=0,"",IFERROR(Z48/Z41,""))</f>
        <v>0.45378930994780797</v>
      </c>
      <c r="AC48" s="21">
        <v>9089.0349000000006</v>
      </c>
      <c r="AD48" s="17">
        <f>IF(AC48=0,"",IFERROR(AC48/AC41,""))</f>
        <v>0.36344262295081969</v>
      </c>
      <c r="AE48" s="50">
        <f>IF(AND($Z48="",AC48=""),"",$Z48-AC48)</f>
        <v>-1880.3149000000021</v>
      </c>
      <c r="AF48" s="21">
        <v>11399.28</v>
      </c>
      <c r="AG48" s="17">
        <f>IF(AF48=0,"",IFERROR(AF48/AF41,""))</f>
        <v>0.40760597888467676</v>
      </c>
      <c r="AH48" s="50">
        <f>IF(AND($Z48="",AF48=""),"",$Z48-AF48)</f>
        <v>-4190.5600000000022</v>
      </c>
      <c r="AI48" s="532" t="str">
        <f>+IFERROR(ROUND(($AA48-AD48)*100,2)&amp;" pts.",0)</f>
        <v>9.03 pts.</v>
      </c>
      <c r="AJ48" s="533"/>
      <c r="AK48" s="532" t="str">
        <f>+IFERROR(ROUND(($AA48-AG48)*100,2)&amp;" pts.",0)</f>
        <v>4.62 pts.</v>
      </c>
      <c r="AL48" s="533"/>
    </row>
    <row r="49" spans="1:38" x14ac:dyDescent="0.25">
      <c r="A49" s="6" t="s">
        <v>4</v>
      </c>
      <c r="B49" s="7" t="e">
        <f ca="1">_xll.EVRNG(G93:H105)</f>
        <v>#NAME?</v>
      </c>
      <c r="I49" s="1"/>
      <c r="J49" s="1"/>
      <c r="L49" s="1"/>
      <c r="M49" s="25" t="e">
        <f ca="1">"Total "&amp;M45</f>
        <v>#NAME?</v>
      </c>
      <c r="N49" s="33">
        <f t="shared" ref="N49:Y49" si="2">SUM(N46:N48)</f>
        <v>443306.6</v>
      </c>
      <c r="O49" s="33">
        <f t="shared" si="2"/>
        <v>416734.42999999993</v>
      </c>
      <c r="P49" s="33">
        <f t="shared" si="2"/>
        <v>456390.07999999996</v>
      </c>
      <c r="Q49" s="33">
        <f t="shared" si="2"/>
        <v>434138.35</v>
      </c>
      <c r="R49" s="33">
        <f t="shared" si="2"/>
        <v>387013.86</v>
      </c>
      <c r="S49" s="33">
        <f t="shared" si="2"/>
        <v>350446.54</v>
      </c>
      <c r="T49" s="33">
        <f t="shared" si="2"/>
        <v>371126.60000000003</v>
      </c>
      <c r="U49" s="33">
        <f t="shared" si="2"/>
        <v>361928.61</v>
      </c>
      <c r="V49" s="33">
        <f t="shared" si="2"/>
        <v>308018.18</v>
      </c>
      <c r="W49" s="33">
        <f t="shared" si="2"/>
        <v>340703.43</v>
      </c>
      <c r="X49" s="33">
        <f t="shared" si="2"/>
        <v>337329.85</v>
      </c>
      <c r="Y49" s="33">
        <f t="shared" si="2"/>
        <v>433257.35</v>
      </c>
      <c r="Z49" s="33">
        <f>SUM(N49:Y49)</f>
        <v>4640393.88</v>
      </c>
      <c r="AA49" s="34">
        <f>IF(Z49=0,"",IFERROR(Z49/Z$43,""))</f>
        <v>0.35860275052969087</v>
      </c>
      <c r="AC49" s="33">
        <f>SUM(AC46:AC48)</f>
        <v>5708666.0154605508</v>
      </c>
      <c r="AD49" s="34">
        <f>IF(AC49=0,"",IFERROR(AC49/AC$43,""))</f>
        <v>0.34404059031861173</v>
      </c>
      <c r="AE49" s="52">
        <f>IF(AND($Z49="",AC49=""),"",$Z49-AC49)</f>
        <v>-1068272.1354605509</v>
      </c>
      <c r="AF49" s="33">
        <f>SUM(AF46:AF48)</f>
        <v>5283053.33</v>
      </c>
      <c r="AG49" s="34">
        <f>IF(AF49=0,"",IFERROR(AF49/AF$43,""))</f>
        <v>0.35859274060957191</v>
      </c>
      <c r="AH49" s="52">
        <f>IF(AND($Z49="",AF49=""),"",$Z49-AF49)</f>
        <v>-642659.45000000019</v>
      </c>
      <c r="AI49" s="534" t="str">
        <f>+IFERROR(ROUND(($AA49-AD49)*100,2)&amp;" pts.",0)</f>
        <v>1.46 pts.</v>
      </c>
      <c r="AJ49" s="535"/>
      <c r="AK49" s="534" t="str">
        <f>+IFERROR(ROUND(($AA49-AG49)*100,2)&amp;" pts.",0)</f>
        <v>0 pts.</v>
      </c>
      <c r="AL49" s="535"/>
    </row>
    <row r="50" spans="1:38" x14ac:dyDescent="0.25">
      <c r="A50" s="6" t="s">
        <v>5</v>
      </c>
      <c r="B50" s="7"/>
      <c r="I50" s="1"/>
      <c r="J50" s="1"/>
      <c r="L50" s="1">
        <f>COUNTIF(N50:AH50,FALSE)</f>
        <v>0</v>
      </c>
      <c r="M50" s="226" t="str">
        <f>IF(L50=0,"","Expense - database validation failed")</f>
        <v/>
      </c>
      <c r="N50" s="270" t="str">
        <f t="shared" ref="N50:Z50" si="3">IF(ROUND(N49,2)&lt;&gt;ROUND(N98,2),N49-N98,"")</f>
        <v/>
      </c>
      <c r="O50" s="271" t="str">
        <f t="shared" si="3"/>
        <v/>
      </c>
      <c r="P50" s="271" t="str">
        <f t="shared" si="3"/>
        <v/>
      </c>
      <c r="Q50" s="271" t="str">
        <f t="shared" si="3"/>
        <v/>
      </c>
      <c r="R50" s="271" t="str">
        <f t="shared" si="3"/>
        <v/>
      </c>
      <c r="S50" s="271" t="str">
        <f t="shared" si="3"/>
        <v/>
      </c>
      <c r="T50" s="271" t="str">
        <f t="shared" si="3"/>
        <v/>
      </c>
      <c r="U50" s="271" t="str">
        <f t="shared" si="3"/>
        <v/>
      </c>
      <c r="V50" s="271" t="str">
        <f t="shared" si="3"/>
        <v/>
      </c>
      <c r="W50" s="271" t="str">
        <f t="shared" si="3"/>
        <v/>
      </c>
      <c r="X50" s="271" t="str">
        <f t="shared" si="3"/>
        <v/>
      </c>
      <c r="Y50" s="271" t="str">
        <f t="shared" si="3"/>
        <v/>
      </c>
      <c r="Z50" s="271" t="str">
        <f t="shared" si="3"/>
        <v/>
      </c>
      <c r="AA50" s="193" t="b">
        <f>Z50=""</f>
        <v>1</v>
      </c>
      <c r="AC50" s="270" t="str">
        <f>IF(ROUND(AC49,2)&lt;&gt;ROUND(AC98,2),AC49-AC98,"")</f>
        <v/>
      </c>
      <c r="AD50" s="228" t="b">
        <f>AC50=""</f>
        <v>1</v>
      </c>
      <c r="AE50" s="55"/>
      <c r="AF50" s="270" t="str">
        <f>IF(ROUND(AF49,2)&lt;&gt;ROUND(AF98,2),AF49-AF98,"")</f>
        <v/>
      </c>
      <c r="AG50" s="228" t="b">
        <f>AF50=""</f>
        <v>1</v>
      </c>
      <c r="AH50" s="55"/>
    </row>
    <row r="51" spans="1:38" x14ac:dyDescent="0.25">
      <c r="A51" s="6" t="s">
        <v>6</v>
      </c>
      <c r="B51" s="7"/>
      <c r="G51" s="15"/>
      <c r="H51" s="15"/>
      <c r="I51" s="161"/>
      <c r="J51" s="161"/>
      <c r="L51" s="1"/>
      <c r="M51" s="25" t="s">
        <v>471</v>
      </c>
      <c r="N51" s="164">
        <f t="shared" ref="N51:Y51" si="4">N43-N49</f>
        <v>1018857.17</v>
      </c>
      <c r="O51" s="164">
        <f t="shared" si="4"/>
        <v>1119873.01</v>
      </c>
      <c r="P51" s="164">
        <f t="shared" si="4"/>
        <v>1078013.9900000002</v>
      </c>
      <c r="Q51" s="164">
        <f t="shared" si="4"/>
        <v>736167.04999999993</v>
      </c>
      <c r="R51" s="164">
        <f t="shared" si="4"/>
        <v>696520.61</v>
      </c>
      <c r="S51" s="164">
        <f t="shared" si="4"/>
        <v>524295.53</v>
      </c>
      <c r="T51" s="164">
        <f t="shared" si="4"/>
        <v>472816.84</v>
      </c>
      <c r="U51" s="164">
        <f t="shared" si="4"/>
        <v>358174.05999999994</v>
      </c>
      <c r="V51" s="164">
        <f t="shared" si="4"/>
        <v>309811.32</v>
      </c>
      <c r="W51" s="164">
        <f t="shared" si="4"/>
        <v>438027.97000000003</v>
      </c>
      <c r="X51" s="164">
        <f t="shared" si="4"/>
        <v>542226.33000000007</v>
      </c>
      <c r="Y51" s="164">
        <f t="shared" si="4"/>
        <v>1005029.4</v>
      </c>
      <c r="Z51" s="164">
        <f>SUM(N51:Y51)</f>
        <v>8299813.2800000003</v>
      </c>
      <c r="AA51" s="175">
        <f>IF(Z51=0,"",IFERROR(Z51/Z43,""))</f>
        <v>0.64139724947030907</v>
      </c>
      <c r="AC51" s="164">
        <f>AC43-AC49</f>
        <v>10884335.438739449</v>
      </c>
      <c r="AD51" s="175">
        <f>IF(AC51=0,"",IFERROR(AC51/AC43,""))</f>
        <v>0.65595940968138822</v>
      </c>
      <c r="AE51" s="165">
        <f>IF(AND($Z51="",AC51=""),"",$Z51-AC51)</f>
        <v>-2584522.1587394485</v>
      </c>
      <c r="AF51" s="164">
        <f>AF43-AF49</f>
        <v>9449685.8800000008</v>
      </c>
      <c r="AG51" s="175">
        <f>IF(AF51=0,"",IFERROR(AF51/AF43,""))</f>
        <v>0.64140725939042809</v>
      </c>
      <c r="AH51" s="165">
        <f>IF(AND($Z51="",AF51=""),"",$Z51-AF51)</f>
        <v>-1149872.6000000006</v>
      </c>
      <c r="AI51" s="536" t="str">
        <f>+IFERROR(ROUND(($AA51-AD51)*100,2)&amp;" pts.",0)</f>
        <v>-1.46 pts.</v>
      </c>
      <c r="AJ51" s="537"/>
      <c r="AK51" s="536" t="str">
        <f>+IFERROR(ROUND(($AA51-AG51)*100,2)&amp;" pts.",0)</f>
        <v>0 pts.</v>
      </c>
      <c r="AL51" s="537"/>
    </row>
    <row r="52" spans="1:38" x14ac:dyDescent="0.25">
      <c r="A52" s="6" t="s">
        <v>7</v>
      </c>
      <c r="B52" s="7"/>
      <c r="I52" s="1"/>
      <c r="J52" s="1"/>
      <c r="L52" s="1">
        <f>COUNTIF(N52:AH52,FALSE)</f>
        <v>0</v>
      </c>
      <c r="M52" s="226" t="str">
        <f>IF(L52=0,"","Profit - database validation failed")</f>
        <v/>
      </c>
      <c r="N52" s="270" t="str">
        <f t="shared" ref="N52:Z52" si="5">IF(ROUND(N51,2)&lt;&gt;ROUND(N99,2),N51-N99,"")</f>
        <v/>
      </c>
      <c r="O52" s="271" t="str">
        <f t="shared" si="5"/>
        <v/>
      </c>
      <c r="P52" s="271" t="str">
        <f t="shared" si="5"/>
        <v/>
      </c>
      <c r="Q52" s="271" t="str">
        <f t="shared" si="5"/>
        <v/>
      </c>
      <c r="R52" s="271" t="str">
        <f t="shared" si="5"/>
        <v/>
      </c>
      <c r="S52" s="271" t="str">
        <f t="shared" si="5"/>
        <v/>
      </c>
      <c r="T52" s="271" t="str">
        <f t="shared" si="5"/>
        <v/>
      </c>
      <c r="U52" s="271" t="str">
        <f t="shared" si="5"/>
        <v/>
      </c>
      <c r="V52" s="271" t="str">
        <f t="shared" si="5"/>
        <v/>
      </c>
      <c r="W52" s="271" t="str">
        <f t="shared" si="5"/>
        <v/>
      </c>
      <c r="X52" s="271" t="str">
        <f t="shared" si="5"/>
        <v/>
      </c>
      <c r="Y52" s="271" t="str">
        <f t="shared" si="5"/>
        <v/>
      </c>
      <c r="Z52" s="271" t="str">
        <f t="shared" si="5"/>
        <v/>
      </c>
      <c r="AA52" s="193" t="b">
        <f>Z52=""</f>
        <v>1</v>
      </c>
      <c r="AC52" s="270" t="str">
        <f>IF(ROUND(AC51,2)&lt;&gt;ROUND(AC99,2),AC51-AC99,"")</f>
        <v/>
      </c>
      <c r="AD52" s="228" t="b">
        <f>AC52=""</f>
        <v>1</v>
      </c>
      <c r="AE52" s="55"/>
      <c r="AF52" s="270" t="str">
        <f>IF(ROUND(AF51,2)&lt;&gt;ROUND(AF99,2),AF51-AF99,"")</f>
        <v/>
      </c>
      <c r="AG52" s="228" t="b">
        <f>AF52=""</f>
        <v>1</v>
      </c>
      <c r="AH52" s="55"/>
    </row>
    <row r="53" spans="1:38" x14ac:dyDescent="0.25">
      <c r="A53" s="6" t="s">
        <v>47</v>
      </c>
      <c r="B53" s="7" t="e">
        <f ca="1">_xll.EVRNG($A$58:$B$79)</f>
        <v>#NAME?</v>
      </c>
      <c r="H53" s="1" t="s">
        <v>565</v>
      </c>
      <c r="I53" s="11" t="e">
        <f ca="1">_xll.EVPRO($B$1,$H53,"STYLE")</f>
        <v>#NAME?</v>
      </c>
      <c r="J53" s="11" t="e">
        <f ca="1">_xll.EVPRO($B$1,$H53,"CALC")</f>
        <v>#NAME?</v>
      </c>
      <c r="L53" s="1"/>
      <c r="M53" s="40" t="e">
        <f ca="1">IF(_xll.EVDES(H53,$B$1)="#NODATA","",_xll.EVDES(H53,$B$1))</f>
        <v>#NAME?</v>
      </c>
      <c r="N53" s="43"/>
      <c r="O53" s="46"/>
      <c r="P53" s="46"/>
      <c r="Q53" s="46"/>
      <c r="R53" s="46"/>
      <c r="S53" s="46"/>
      <c r="T53" s="46"/>
      <c r="U53" s="46"/>
      <c r="V53" s="46"/>
      <c r="W53" s="46"/>
      <c r="X53" s="46"/>
      <c r="Y53" s="46"/>
      <c r="Z53" s="46"/>
      <c r="AA53" s="44"/>
      <c r="AC53" s="43"/>
      <c r="AD53" s="46"/>
      <c r="AE53" s="44"/>
      <c r="AF53" s="43"/>
      <c r="AG53" s="46"/>
      <c r="AH53" s="44"/>
    </row>
    <row r="54" spans="1:38" x14ac:dyDescent="0.25">
      <c r="A54" s="6" t="s">
        <v>8</v>
      </c>
      <c r="B54" s="7"/>
      <c r="G54" s="15" t="s">
        <v>497</v>
      </c>
      <c r="H54" s="15" t="s">
        <v>464</v>
      </c>
      <c r="I54" s="161" t="e">
        <f ca="1">_xll.EVPRO($B$1,$H54,"STYLE")</f>
        <v>#NAME?</v>
      </c>
      <c r="J54" s="161" t="e">
        <f ca="1">_xll.EVPRO($B$1,$H54,"CALC")</f>
        <v>#NAME?</v>
      </c>
      <c r="L54" s="1"/>
      <c r="M54" s="162" t="e">
        <f ca="1">IF(_xll.EVDES(G54,$B$1)="#NODATA","",_xll.EVDES(G54,$B$1))</f>
        <v>#NAME?</v>
      </c>
      <c r="N54" s="21">
        <v>115880.2</v>
      </c>
      <c r="O54" s="21">
        <v>107208.48</v>
      </c>
      <c r="P54" s="21">
        <v>104655.56</v>
      </c>
      <c r="Q54" s="21">
        <v>94139.64</v>
      </c>
      <c r="R54" s="21">
        <v>98595.93</v>
      </c>
      <c r="S54" s="21">
        <v>93588.6</v>
      </c>
      <c r="T54" s="21">
        <v>82988.539999999994</v>
      </c>
      <c r="U54" s="21">
        <v>83820.86</v>
      </c>
      <c r="V54" s="21">
        <v>101005.28</v>
      </c>
      <c r="W54" s="21">
        <v>105960.06</v>
      </c>
      <c r="X54" s="21">
        <v>105930.06</v>
      </c>
      <c r="Y54" s="21">
        <v>109592.66</v>
      </c>
      <c r="Z54" s="21">
        <f t="shared" ref="Z54:Z59" si="6">SUM(N54:Y54)</f>
        <v>1203365.8700000001</v>
      </c>
      <c r="AA54" s="17">
        <f t="shared" ref="AA54:AA59" si="7">IF(Z54=0,"",IFERROR(Z54/Z$43,""))</f>
        <v>9.2994328075347452E-2</v>
      </c>
      <c r="AC54" s="21">
        <v>1381107.5977425801</v>
      </c>
      <c r="AD54" s="17">
        <f t="shared" ref="AD54:AD59" si="8">IF(AC54=0,"",IFERROR(AC54/AC$43,""))</f>
        <v>8.3234344404459495E-2</v>
      </c>
      <c r="AE54" s="50">
        <f t="shared" ref="AE54:AE59" si="9">IF(AND($Z54="",AC54=""),"",$Z54-AC54)</f>
        <v>-177741.72774258</v>
      </c>
      <c r="AF54" s="21">
        <v>1346163.81</v>
      </c>
      <c r="AG54" s="17">
        <f t="shared" ref="AG54:AG59" si="10">IF(AF54=0,"",IFERROR(AF54/AF$43,""))</f>
        <v>9.1372268986223373E-2</v>
      </c>
      <c r="AH54" s="50">
        <f t="shared" ref="AH54:AH59" si="11">IF(AND($Z54="",AF54=""),"",$Z54-AF54)</f>
        <v>-142797.93999999994</v>
      </c>
      <c r="AI54" s="528" t="str">
        <f t="shared" ref="AI54:AI59" si="12">+IFERROR(ROUND(($AA54-AD54)*100,2)&amp;" pts.",0)</f>
        <v>0.98 pts.</v>
      </c>
      <c r="AJ54" s="529"/>
      <c r="AK54" s="528" t="str">
        <f t="shared" ref="AK54:AK59" si="13">+IFERROR(ROUND(($AA54-AG54)*100,2)&amp;" pts.",0)</f>
        <v>0.16 pts.</v>
      </c>
      <c r="AL54" s="529"/>
    </row>
    <row r="55" spans="1:38" x14ac:dyDescent="0.25">
      <c r="D55" s="1" t="s">
        <v>569</v>
      </c>
      <c r="G55" s="15" t="s">
        <v>500</v>
      </c>
      <c r="H55" s="15" t="s">
        <v>464</v>
      </c>
      <c r="I55" s="161" t="e">
        <f ca="1">_xll.EVPRO($B$1,$H55,"STYLE")</f>
        <v>#NAME?</v>
      </c>
      <c r="J55" s="161" t="e">
        <f ca="1">_xll.EVPRO($B$1,$H55,"CALC")</f>
        <v>#NAME?</v>
      </c>
      <c r="L55" s="1"/>
      <c r="M55" s="162" t="e">
        <f ca="1">IF(_xll.EVDES(G55,$B$1)="#NODATA","",_xll.EVDES(G55,$B$1))</f>
        <v>#NAME?</v>
      </c>
      <c r="N55" s="21">
        <v>19394.36</v>
      </c>
      <c r="O55" s="21">
        <v>18142.16</v>
      </c>
      <c r="P55" s="21">
        <v>16595.599999999999</v>
      </c>
      <c r="Q55" s="21">
        <v>21435.61</v>
      </c>
      <c r="R55" s="21">
        <v>24853.26</v>
      </c>
      <c r="S55" s="21">
        <v>16534.830000000002</v>
      </c>
      <c r="T55" s="21">
        <v>18872.71</v>
      </c>
      <c r="U55" s="21">
        <v>15451.6</v>
      </c>
      <c r="V55" s="21">
        <v>11924.04</v>
      </c>
      <c r="W55" s="21">
        <v>12640.45</v>
      </c>
      <c r="X55" s="21">
        <v>15845</v>
      </c>
      <c r="Y55" s="21">
        <v>18807.7</v>
      </c>
      <c r="Z55" s="21">
        <f t="shared" si="6"/>
        <v>210497.32000000004</v>
      </c>
      <c r="AA55" s="17">
        <f t="shared" si="7"/>
        <v>1.6266920413042292E-2</v>
      </c>
      <c r="AC55" s="21">
        <v>237263.16344815001</v>
      </c>
      <c r="AD55" s="17">
        <f t="shared" si="8"/>
        <v>1.4298990095495607E-2</v>
      </c>
      <c r="AE55" s="50">
        <f t="shared" si="9"/>
        <v>-26765.843448149972</v>
      </c>
      <c r="AF55" s="21">
        <v>209793.12</v>
      </c>
      <c r="AG55" s="17">
        <f t="shared" si="10"/>
        <v>1.4239926262836494E-2</v>
      </c>
      <c r="AH55" s="50">
        <f t="shared" si="11"/>
        <v>704.20000000004075</v>
      </c>
      <c r="AI55" s="528" t="str">
        <f t="shared" si="12"/>
        <v>0.2 pts.</v>
      </c>
      <c r="AJ55" s="529"/>
      <c r="AK55" s="528" t="str">
        <f t="shared" si="13"/>
        <v>0.2 pts.</v>
      </c>
      <c r="AL55" s="529"/>
    </row>
    <row r="56" spans="1:38" x14ac:dyDescent="0.25">
      <c r="G56" s="15" t="s">
        <v>512</v>
      </c>
      <c r="H56" s="15" t="s">
        <v>464</v>
      </c>
      <c r="I56" s="161" t="e">
        <f ca="1">_xll.EVPRO($B$1,$H56,"STYLE")</f>
        <v>#NAME?</v>
      </c>
      <c r="J56" s="161" t="e">
        <f ca="1">_xll.EVPRO($B$1,$H56,"CALC")</f>
        <v>#NAME?</v>
      </c>
      <c r="L56" s="1"/>
      <c r="M56" s="162" t="e">
        <f ca="1">IF(_xll.EVDES(G56,$B$1)="#NODATA","",_xll.EVDES(G56,$B$1))</f>
        <v>#NAME?</v>
      </c>
      <c r="N56" s="21">
        <v>96911.83</v>
      </c>
      <c r="O56" s="21">
        <v>100822.98</v>
      </c>
      <c r="P56" s="21">
        <v>117163.84</v>
      </c>
      <c r="Q56" s="21">
        <v>110587.55</v>
      </c>
      <c r="R56" s="21">
        <v>102044.08</v>
      </c>
      <c r="S56" s="21">
        <v>107479.52</v>
      </c>
      <c r="T56" s="21">
        <v>86703.54</v>
      </c>
      <c r="U56" s="21">
        <v>86089.7</v>
      </c>
      <c r="V56" s="21">
        <v>87934.38</v>
      </c>
      <c r="W56" s="21">
        <v>90430.13</v>
      </c>
      <c r="X56" s="21">
        <v>78008.490000000005</v>
      </c>
      <c r="Y56" s="21">
        <v>118170.36</v>
      </c>
      <c r="Z56" s="21">
        <f t="shared" si="6"/>
        <v>1182346.4000000001</v>
      </c>
      <c r="AA56" s="17">
        <f t="shared" si="7"/>
        <v>9.136997463648025E-2</v>
      </c>
      <c r="AC56" s="21">
        <v>1242154.97350971</v>
      </c>
      <c r="AD56" s="17">
        <f t="shared" si="8"/>
        <v>7.4860173847287728E-2</v>
      </c>
      <c r="AE56" s="50">
        <f t="shared" si="9"/>
        <v>-59808.57350970991</v>
      </c>
      <c r="AF56" s="21">
        <v>1147796.1200000001</v>
      </c>
      <c r="AG56" s="17">
        <f t="shared" si="10"/>
        <v>7.7907855670242332E-2</v>
      </c>
      <c r="AH56" s="50">
        <f t="shared" si="11"/>
        <v>34550.280000000028</v>
      </c>
      <c r="AI56" s="528" t="str">
        <f t="shared" si="12"/>
        <v>1.65 pts.</v>
      </c>
      <c r="AJ56" s="529"/>
      <c r="AK56" s="528" t="str">
        <f t="shared" si="13"/>
        <v>1.35 pts.</v>
      </c>
      <c r="AL56" s="529"/>
    </row>
    <row r="57" spans="1:38" x14ac:dyDescent="0.25">
      <c r="A57" s="3" t="s">
        <v>23</v>
      </c>
      <c r="B57" s="5" t="s">
        <v>24</v>
      </c>
      <c r="G57" s="15" t="s">
        <v>513</v>
      </c>
      <c r="H57" s="15" t="s">
        <v>464</v>
      </c>
      <c r="I57" s="161" t="e">
        <f ca="1">_xll.EVPRO($B$1,$H57,"STYLE")</f>
        <v>#NAME?</v>
      </c>
      <c r="J57" s="161" t="e">
        <f ca="1">_xll.EVPRO($B$1,$H57,"CALC")</f>
        <v>#NAME?</v>
      </c>
      <c r="L57" s="1"/>
      <c r="M57" s="162" t="e">
        <f ca="1">IF(_xll.EVDES(G57,$B$1)="#NODATA","",_xll.EVDES(G57,$B$1))</f>
        <v>#NAME?</v>
      </c>
      <c r="N57" s="21">
        <v>42991.76</v>
      </c>
      <c r="O57" s="21">
        <v>55685.14</v>
      </c>
      <c r="P57" s="21">
        <v>57325.17</v>
      </c>
      <c r="Q57" s="21">
        <v>62439.23</v>
      </c>
      <c r="R57" s="21">
        <v>73285.52</v>
      </c>
      <c r="S57" s="21">
        <v>59617.88</v>
      </c>
      <c r="T57" s="21">
        <v>61751.43</v>
      </c>
      <c r="U57" s="21">
        <v>61428.18</v>
      </c>
      <c r="V57" s="21">
        <v>59050.16</v>
      </c>
      <c r="W57" s="21">
        <v>59083.99</v>
      </c>
      <c r="X57" s="21">
        <v>72131.02</v>
      </c>
      <c r="Y57" s="21">
        <v>64254.13</v>
      </c>
      <c r="Z57" s="21">
        <f t="shared" si="6"/>
        <v>729043.61</v>
      </c>
      <c r="AA57" s="17">
        <f t="shared" si="7"/>
        <v>5.6339407938813861E-2</v>
      </c>
      <c r="AC57" s="21">
        <v>705861.33356508403</v>
      </c>
      <c r="AD57" s="17">
        <f t="shared" si="8"/>
        <v>4.2539701784116778E-2</v>
      </c>
      <c r="AE57" s="50">
        <f t="shared" si="9"/>
        <v>23182.276434915955</v>
      </c>
      <c r="AF57" s="21">
        <v>678879.62</v>
      </c>
      <c r="AG57" s="17">
        <f t="shared" si="10"/>
        <v>4.6079660429962907E-2</v>
      </c>
      <c r="AH57" s="50">
        <f t="shared" si="11"/>
        <v>50163.989999999991</v>
      </c>
      <c r="AI57" s="528" t="str">
        <f t="shared" si="12"/>
        <v>1.38 pts.</v>
      </c>
      <c r="AJ57" s="529"/>
      <c r="AK57" s="528" t="str">
        <f t="shared" si="13"/>
        <v>1.03 pts.</v>
      </c>
      <c r="AL57" s="529"/>
    </row>
    <row r="58" spans="1:38" x14ac:dyDescent="0.25">
      <c r="A58" s="6" t="s">
        <v>25</v>
      </c>
      <c r="B58" s="7"/>
      <c r="G58" s="15" t="s">
        <v>514</v>
      </c>
      <c r="H58" s="15" t="s">
        <v>464</v>
      </c>
      <c r="I58" s="161" t="e">
        <f ca="1">_xll.EVPRO($B$1,$H58,"STYLE")</f>
        <v>#NAME?</v>
      </c>
      <c r="J58" s="161" t="e">
        <f ca="1">_xll.EVPRO($B$1,$H58,"CALC")</f>
        <v>#NAME?</v>
      </c>
      <c r="L58" s="1"/>
      <c r="M58" s="162" t="e">
        <f ca="1">IF(_xll.EVDES(G58,$B$1)="#NODATA","",_xll.EVDES(G58,$B$1))</f>
        <v>#NAME?</v>
      </c>
      <c r="N58" s="21">
        <v>15384.68</v>
      </c>
      <c r="O58" s="21">
        <v>15456.89</v>
      </c>
      <c r="P58" s="21">
        <v>21209.37</v>
      </c>
      <c r="Q58" s="21">
        <v>18254.88</v>
      </c>
      <c r="R58" s="21">
        <v>19150.810000000001</v>
      </c>
      <c r="S58" s="21">
        <v>19916.36</v>
      </c>
      <c r="T58" s="21">
        <v>21419.83</v>
      </c>
      <c r="U58" s="21">
        <v>19755.580000000002</v>
      </c>
      <c r="V58" s="21">
        <v>22000.959999999999</v>
      </c>
      <c r="W58" s="21">
        <v>17967.62</v>
      </c>
      <c r="X58" s="21">
        <v>23434.55</v>
      </c>
      <c r="Y58" s="21">
        <v>22404.11</v>
      </c>
      <c r="Z58" s="21">
        <f t="shared" si="6"/>
        <v>236355.64</v>
      </c>
      <c r="AA58" s="17">
        <f t="shared" si="7"/>
        <v>1.8265212996791003E-2</v>
      </c>
      <c r="AC58" s="21">
        <v>215066.93</v>
      </c>
      <c r="AD58" s="17">
        <f t="shared" si="8"/>
        <v>1.2961303631150018E-2</v>
      </c>
      <c r="AE58" s="50">
        <f t="shared" si="9"/>
        <v>21288.710000000021</v>
      </c>
      <c r="AF58" s="21">
        <v>204038.44</v>
      </c>
      <c r="AG58" s="17">
        <f t="shared" si="10"/>
        <v>1.3849321371378568E-2</v>
      </c>
      <c r="AH58" s="50">
        <f t="shared" si="11"/>
        <v>32317.200000000012</v>
      </c>
      <c r="AI58" s="528" t="str">
        <f t="shared" si="12"/>
        <v>0.53 pts.</v>
      </c>
      <c r="AJ58" s="529"/>
      <c r="AK58" s="528" t="str">
        <f t="shared" si="13"/>
        <v>0.44 pts.</v>
      </c>
      <c r="AL58" s="529"/>
    </row>
    <row r="59" spans="1:38" x14ac:dyDescent="0.25">
      <c r="A59" s="6" t="s">
        <v>26</v>
      </c>
      <c r="B59" s="7"/>
      <c r="I59" s="1"/>
      <c r="J59" s="1"/>
      <c r="L59" s="1"/>
      <c r="M59" s="25" t="e">
        <f ca="1">"Total "&amp;M53</f>
        <v>#NAME?</v>
      </c>
      <c r="N59" s="33">
        <f t="shared" ref="N59:Y59" si="14">SUM(N54:N58)</f>
        <v>290562.83</v>
      </c>
      <c r="O59" s="33">
        <f t="shared" si="14"/>
        <v>297315.65000000002</v>
      </c>
      <c r="P59" s="33">
        <f t="shared" si="14"/>
        <v>316949.53999999998</v>
      </c>
      <c r="Q59" s="33">
        <f t="shared" si="14"/>
        <v>306856.90999999997</v>
      </c>
      <c r="R59" s="33">
        <f t="shared" si="14"/>
        <v>317929.59999999998</v>
      </c>
      <c r="S59" s="33">
        <f t="shared" si="14"/>
        <v>297137.19</v>
      </c>
      <c r="T59" s="33">
        <f t="shared" si="14"/>
        <v>271736.05</v>
      </c>
      <c r="U59" s="33">
        <f t="shared" si="14"/>
        <v>266545.91999999998</v>
      </c>
      <c r="V59" s="33">
        <f t="shared" si="14"/>
        <v>281914.82</v>
      </c>
      <c r="W59" s="33">
        <f t="shared" si="14"/>
        <v>286082.25</v>
      </c>
      <c r="X59" s="33">
        <f t="shared" si="14"/>
        <v>295349.12</v>
      </c>
      <c r="Y59" s="33">
        <f t="shared" si="14"/>
        <v>333228.95999999996</v>
      </c>
      <c r="Z59" s="33">
        <f t="shared" si="6"/>
        <v>3561608.8399999994</v>
      </c>
      <c r="AA59" s="34">
        <f t="shared" si="7"/>
        <v>0.2752358440604748</v>
      </c>
      <c r="AC59" s="33">
        <f>SUM(AC54:AC58)</f>
        <v>3781453.9982655249</v>
      </c>
      <c r="AD59" s="34">
        <f t="shared" si="8"/>
        <v>0.22789451376250969</v>
      </c>
      <c r="AE59" s="52">
        <f t="shared" si="9"/>
        <v>-219845.15826552548</v>
      </c>
      <c r="AF59" s="33">
        <f>SUM(AF54:AF58)</f>
        <v>3586671.1100000003</v>
      </c>
      <c r="AG59" s="34">
        <f t="shared" si="10"/>
        <v>0.24344903272064369</v>
      </c>
      <c r="AH59" s="52">
        <f t="shared" si="11"/>
        <v>-25062.27000000095</v>
      </c>
      <c r="AI59" s="534" t="str">
        <f t="shared" si="12"/>
        <v>4.73 pts.</v>
      </c>
      <c r="AJ59" s="535"/>
      <c r="AK59" s="534" t="str">
        <f t="shared" si="13"/>
        <v>3.18 pts.</v>
      </c>
      <c r="AL59" s="535"/>
    </row>
    <row r="60" spans="1:38" x14ac:dyDescent="0.25">
      <c r="A60" s="6" t="s">
        <v>27</v>
      </c>
      <c r="B60" s="7"/>
      <c r="G60" s="25"/>
      <c r="H60" s="25"/>
      <c r="I60" s="25"/>
      <c r="J60" s="25"/>
      <c r="L60" s="1">
        <f>COUNTIF(N60:AH60,FALSE)</f>
        <v>0</v>
      </c>
      <c r="M60" s="226" t="str">
        <f>IF(L60=0,"","Expense - database validation failed")</f>
        <v/>
      </c>
      <c r="N60" s="270" t="str">
        <f t="shared" ref="N60:Z60" si="15">IF(ROUND(N59,2)&lt;&gt;ROUND(N100,2),N59-N100,"")</f>
        <v/>
      </c>
      <c r="O60" s="271" t="str">
        <f t="shared" si="15"/>
        <v/>
      </c>
      <c r="P60" s="271" t="str">
        <f t="shared" si="15"/>
        <v/>
      </c>
      <c r="Q60" s="271" t="str">
        <f t="shared" si="15"/>
        <v/>
      </c>
      <c r="R60" s="271" t="str">
        <f t="shared" si="15"/>
        <v/>
      </c>
      <c r="S60" s="271" t="str">
        <f t="shared" si="15"/>
        <v/>
      </c>
      <c r="T60" s="271" t="str">
        <f t="shared" si="15"/>
        <v/>
      </c>
      <c r="U60" s="271" t="str">
        <f t="shared" si="15"/>
        <v/>
      </c>
      <c r="V60" s="271" t="str">
        <f t="shared" si="15"/>
        <v/>
      </c>
      <c r="W60" s="271" t="str">
        <f t="shared" si="15"/>
        <v/>
      </c>
      <c r="X60" s="271" t="str">
        <f t="shared" si="15"/>
        <v/>
      </c>
      <c r="Y60" s="271" t="str">
        <f t="shared" si="15"/>
        <v/>
      </c>
      <c r="Z60" s="271" t="str">
        <f t="shared" si="15"/>
        <v/>
      </c>
      <c r="AA60" s="193" t="b">
        <f>Z60=""</f>
        <v>1</v>
      </c>
      <c r="AC60" s="270" t="str">
        <f>IF(ROUND(AC59,2)&lt;&gt;ROUND(AC100,2),AC59-AC100,"")</f>
        <v/>
      </c>
      <c r="AD60" s="228" t="b">
        <f>AC60=""</f>
        <v>1</v>
      </c>
      <c r="AE60" s="55"/>
      <c r="AF60" s="270" t="str">
        <f>IF(ROUND(AF59,2)&lt;&gt;ROUND(AF100,2),AF59-AF100,"")</f>
        <v/>
      </c>
      <c r="AG60" s="228" t="b">
        <f>AF60=""</f>
        <v>1</v>
      </c>
      <c r="AH60" s="55"/>
    </row>
    <row r="61" spans="1:38" ht="15.75" thickBot="1" x14ac:dyDescent="0.3">
      <c r="A61" s="6" t="s">
        <v>28</v>
      </c>
      <c r="B61" s="7"/>
      <c r="F61" s="15" t="s">
        <v>567</v>
      </c>
      <c r="I61" s="1"/>
      <c r="J61" s="1"/>
      <c r="L61" s="1"/>
      <c r="M61" s="25" t="e">
        <f ca="1">IF(_xll.EVDES(F61,$B$1)="#NODATA","",_xll.EVDES(F61,$B$1))</f>
        <v>#NAME?</v>
      </c>
      <c r="N61" s="62">
        <f t="shared" ref="N61:Y61" si="16">N43-N49-N59</f>
        <v>728294.34000000008</v>
      </c>
      <c r="O61" s="62">
        <f t="shared" si="16"/>
        <v>822557.36</v>
      </c>
      <c r="P61" s="62">
        <f t="shared" si="16"/>
        <v>761064.45000000019</v>
      </c>
      <c r="Q61" s="62">
        <f t="shared" si="16"/>
        <v>429310.13999999996</v>
      </c>
      <c r="R61" s="62">
        <f t="shared" si="16"/>
        <v>378591.01</v>
      </c>
      <c r="S61" s="62">
        <f t="shared" si="16"/>
        <v>227158.34000000003</v>
      </c>
      <c r="T61" s="62">
        <f t="shared" si="16"/>
        <v>201080.79000000004</v>
      </c>
      <c r="U61" s="62">
        <f t="shared" si="16"/>
        <v>91628.139999999956</v>
      </c>
      <c r="V61" s="62">
        <f t="shared" si="16"/>
        <v>27896.5</v>
      </c>
      <c r="W61" s="62">
        <f t="shared" si="16"/>
        <v>151945.72000000003</v>
      </c>
      <c r="X61" s="62">
        <f t="shared" si="16"/>
        <v>246877.21000000008</v>
      </c>
      <c r="Y61" s="62">
        <f t="shared" si="16"/>
        <v>671800.44000000006</v>
      </c>
      <c r="Z61" s="62">
        <f>SUM(N61:Y61)</f>
        <v>4738204.4400000013</v>
      </c>
      <c r="AA61" s="63">
        <f>IF(Z61=0,"",IFERROR(Z61/Z$43,""))</f>
        <v>0.36616140540983438</v>
      </c>
      <c r="AC61" s="62">
        <f>AC43-AC49-AC59</f>
        <v>7102881.4404739235</v>
      </c>
      <c r="AD61" s="63">
        <f>IF(AC61=0,"",IFERROR(AC61/AC$43,""))</f>
        <v>0.42806489591887859</v>
      </c>
      <c r="AE61" s="64">
        <f>IF(AND($Z61="",AC61=""),"",$Z61-AC61)</f>
        <v>-2364677.0004739221</v>
      </c>
      <c r="AF61" s="62">
        <f>AF43-AF49-AF59</f>
        <v>5863014.7700000005</v>
      </c>
      <c r="AG61" s="63">
        <f>IF(AF61=0,"",IFERROR(AF61/AF$43,""))</f>
        <v>0.39795822666978437</v>
      </c>
      <c r="AH61" s="64">
        <f>IF(AND($Z61="",AF61=""),"",$Z61-AF61)</f>
        <v>-1124810.3299999991</v>
      </c>
      <c r="AI61" s="538" t="str">
        <f>+IFERROR(ROUND(($AA61-AD61)*100,2)&amp;" pts.",0)</f>
        <v>-6.19 pts.</v>
      </c>
      <c r="AJ61" s="539"/>
      <c r="AK61" s="538" t="str">
        <f>+IFERROR(ROUND(($AA61-AG61)*100,2)&amp;" pts.",0)</f>
        <v>-3.18 pts.</v>
      </c>
      <c r="AL61" s="539"/>
    </row>
    <row r="62" spans="1:38" ht="15.75" thickTop="1" x14ac:dyDescent="0.25">
      <c r="A62" s="6" t="s">
        <v>29</v>
      </c>
      <c r="B62" s="7"/>
      <c r="I62" s="1"/>
      <c r="J62" s="1"/>
      <c r="L62" s="1">
        <f>COUNTIF(N62:AH62,FALSE)</f>
        <v>0</v>
      </c>
      <c r="M62" s="226" t="str">
        <f>IF(L62=0,"","GOP - database validation failed")</f>
        <v/>
      </c>
      <c r="N62" s="270" t="str">
        <f t="shared" ref="N62:Z62" si="17">IF(ROUND(N61,2)&lt;&gt;ROUND(N101,2),N61-N101,"")</f>
        <v/>
      </c>
      <c r="O62" s="271" t="str">
        <f t="shared" si="17"/>
        <v/>
      </c>
      <c r="P62" s="271" t="str">
        <f t="shared" si="17"/>
        <v/>
      </c>
      <c r="Q62" s="271" t="str">
        <f t="shared" si="17"/>
        <v/>
      </c>
      <c r="R62" s="271" t="str">
        <f t="shared" si="17"/>
        <v/>
      </c>
      <c r="S62" s="271" t="str">
        <f t="shared" si="17"/>
        <v/>
      </c>
      <c r="T62" s="271" t="str">
        <f t="shared" si="17"/>
        <v/>
      </c>
      <c r="U62" s="271" t="str">
        <f t="shared" si="17"/>
        <v/>
      </c>
      <c r="V62" s="271" t="str">
        <f t="shared" si="17"/>
        <v/>
      </c>
      <c r="W62" s="271" t="str">
        <f t="shared" si="17"/>
        <v/>
      </c>
      <c r="X62" s="271" t="str">
        <f t="shared" si="17"/>
        <v/>
      </c>
      <c r="Y62" s="271" t="str">
        <f t="shared" si="17"/>
        <v/>
      </c>
      <c r="Z62" s="271" t="str">
        <f t="shared" si="17"/>
        <v/>
      </c>
      <c r="AA62" s="193" t="b">
        <f>Z62=""</f>
        <v>1</v>
      </c>
      <c r="AC62" s="270" t="str">
        <f>IF(ROUND(AC61,2)&lt;&gt;ROUND(AC101,2),AC61-AC101,"")</f>
        <v/>
      </c>
      <c r="AD62" s="228" t="b">
        <f>AC62=""</f>
        <v>1</v>
      </c>
      <c r="AE62" s="55"/>
      <c r="AF62" s="270" t="str">
        <f>IF(ROUND(AF61,2)&lt;&gt;ROUND(AF101,2),AF61-AF101,"")</f>
        <v/>
      </c>
      <c r="AG62" s="228" t="b">
        <f>AF62=""</f>
        <v>1</v>
      </c>
      <c r="AH62" s="55"/>
    </row>
    <row r="63" spans="1:38" x14ac:dyDescent="0.25">
      <c r="A63" s="6" t="s">
        <v>30</v>
      </c>
      <c r="B63" s="7" t="s">
        <v>78</v>
      </c>
      <c r="G63" s="15" t="s">
        <v>516</v>
      </c>
      <c r="H63" s="15" t="s">
        <v>79</v>
      </c>
      <c r="I63" s="161" t="e">
        <f ca="1">_xll.EVPRO($B$1,$H63,"STYLE")</f>
        <v>#NAME?</v>
      </c>
      <c r="J63" s="161" t="e">
        <f ca="1">_xll.EVPRO($B$1,$H63,"CALC")</f>
        <v>#NAME?</v>
      </c>
      <c r="L63" s="1"/>
      <c r="M63" s="162" t="e">
        <f ca="1">IF(_xll.EVDES(G63,$B$1)="#NODATA","",_xll.EVDES(G63,$B$1))</f>
        <v>#NAME?</v>
      </c>
      <c r="N63" s="21">
        <v>40697.01</v>
      </c>
      <c r="O63" s="21">
        <v>48837.3</v>
      </c>
      <c r="P63" s="21">
        <v>48600.81</v>
      </c>
      <c r="Q63" s="21">
        <v>37083.230000000003</v>
      </c>
      <c r="R63" s="21">
        <v>34687.99</v>
      </c>
      <c r="S63" s="21">
        <v>29381.38</v>
      </c>
      <c r="T63" s="21">
        <v>27488.91</v>
      </c>
      <c r="U63" s="21">
        <v>23092</v>
      </c>
      <c r="V63" s="21">
        <v>19439.59</v>
      </c>
      <c r="W63" s="21">
        <v>24731.06</v>
      </c>
      <c r="X63" s="21">
        <v>28126.04</v>
      </c>
      <c r="Y63" s="21">
        <v>42438.29</v>
      </c>
      <c r="Z63" s="21">
        <f>SUM(N63:Y63)</f>
        <v>404603.61</v>
      </c>
      <c r="AA63" s="17">
        <f>IF(Z63=0,"",IFERROR(Z63/Z$43,""))</f>
        <v>3.1267166359645819E-2</v>
      </c>
      <c r="AC63" s="21">
        <v>531740.81724074995</v>
      </c>
      <c r="AD63" s="17">
        <f>IF(AC63=0,"",IFERROR(AC63/AC$43,""))</f>
        <v>3.2046089955964925E-2</v>
      </c>
      <c r="AE63" s="50">
        <f>IF(AND($Z63="",AC63=""),"",$Z63-AC63)</f>
        <v>-127137.20724074997</v>
      </c>
      <c r="AF63" s="21">
        <v>480729.23</v>
      </c>
      <c r="AG63" s="17">
        <f>IF(AF63=0,"",IFERROR(AF63/AF$43,""))</f>
        <v>3.2629996577533932E-2</v>
      </c>
      <c r="AH63" s="50">
        <f>IF(AND($Z63="",AF63=""),"",$Z63-AF63)</f>
        <v>-76125.62</v>
      </c>
      <c r="AI63" s="528" t="str">
        <f>+IFERROR(ROUND(($AA63-AD63)*100,2)&amp;" pts.",0)</f>
        <v>-0.08 pts.</v>
      </c>
      <c r="AJ63" s="529"/>
      <c r="AK63" s="528" t="str">
        <f>+IFERROR(ROUND(($AA63-AG63)*100,2)&amp;" pts.",0)</f>
        <v>-0.14 pts.</v>
      </c>
      <c r="AL63" s="529"/>
    </row>
    <row r="64" spans="1:38" x14ac:dyDescent="0.25">
      <c r="A64" s="6" t="s">
        <v>31</v>
      </c>
      <c r="B64" s="7" t="s">
        <v>78</v>
      </c>
      <c r="F64" s="15" t="s">
        <v>574</v>
      </c>
      <c r="I64" s="1"/>
      <c r="J64" s="1"/>
      <c r="L64" s="1"/>
      <c r="M64" s="25" t="e">
        <f ca="1">IF(_xll.EVDES(F64,$B$1)="#NODATA","",_xll.EVDES(F64,$B$1))</f>
        <v>#NAME?</v>
      </c>
      <c r="N64" s="164">
        <f t="shared" ref="N64:Y64" si="18">N61-N63</f>
        <v>687597.33000000007</v>
      </c>
      <c r="O64" s="164">
        <f t="shared" si="18"/>
        <v>773720.05999999994</v>
      </c>
      <c r="P64" s="164">
        <f t="shared" si="18"/>
        <v>712463.64000000013</v>
      </c>
      <c r="Q64" s="164">
        <f t="shared" si="18"/>
        <v>392226.91</v>
      </c>
      <c r="R64" s="164">
        <f t="shared" si="18"/>
        <v>343903.02</v>
      </c>
      <c r="S64" s="164">
        <f t="shared" si="18"/>
        <v>197776.96000000002</v>
      </c>
      <c r="T64" s="164">
        <f t="shared" si="18"/>
        <v>173591.88000000003</v>
      </c>
      <c r="U64" s="164">
        <f t="shared" si="18"/>
        <v>68536.139999999956</v>
      </c>
      <c r="V64" s="164">
        <f t="shared" si="18"/>
        <v>8456.91</v>
      </c>
      <c r="W64" s="164">
        <f t="shared" si="18"/>
        <v>127214.66000000003</v>
      </c>
      <c r="X64" s="164">
        <f t="shared" si="18"/>
        <v>218751.17000000007</v>
      </c>
      <c r="Y64" s="164">
        <f t="shared" si="18"/>
        <v>629362.15</v>
      </c>
      <c r="Z64" s="164">
        <f>SUM(N64:Y64)</f>
        <v>4333600.830000001</v>
      </c>
      <c r="AA64" s="175">
        <f>IF(Z64=0,"",IFERROR(Z64/Z$43,""))</f>
        <v>0.3348942390501885</v>
      </c>
      <c r="AC64" s="164">
        <f>AC61-AC63</f>
        <v>6571140.623233173</v>
      </c>
      <c r="AD64" s="175">
        <f>IF(AC64=0,"",IFERROR(AC64/AC$43,""))</f>
        <v>0.39601880596291361</v>
      </c>
      <c r="AE64" s="165">
        <f>IF(AND($Z64="",AC64=""),"",$Z64-AC64)</f>
        <v>-2237539.793233172</v>
      </c>
      <c r="AF64" s="164">
        <f>AF61-AF63</f>
        <v>5382285.540000001</v>
      </c>
      <c r="AG64" s="175">
        <f>IF(AF64=0,"",IFERROR(AF64/AF$43,""))</f>
        <v>0.36532823009225046</v>
      </c>
      <c r="AH64" s="165">
        <f>IF(AND($Z64="",AF64=""),"",$Z64-AF64)</f>
        <v>-1048684.71</v>
      </c>
      <c r="AI64" s="536" t="str">
        <f>+IFERROR(ROUND(($AA64-AD64)*100,2)&amp;" pts.",0)</f>
        <v>-6.11 pts.</v>
      </c>
      <c r="AJ64" s="537"/>
      <c r="AK64" s="536" t="str">
        <f>+IFERROR(ROUND(($AA64-AG64)*100,2)&amp;" pts.",0)</f>
        <v>-3.04 pts.</v>
      </c>
      <c r="AL64" s="537"/>
    </row>
    <row r="65" spans="1:38" x14ac:dyDescent="0.25">
      <c r="A65" s="6" t="s">
        <v>32</v>
      </c>
      <c r="B65" s="7"/>
      <c r="I65" s="1"/>
      <c r="J65" s="1"/>
      <c r="L65" s="1"/>
      <c r="M65" s="226"/>
      <c r="N65" s="227"/>
      <c r="O65" s="269"/>
      <c r="P65" s="269"/>
      <c r="Q65" s="269"/>
      <c r="R65" s="269"/>
      <c r="S65" s="269"/>
      <c r="T65" s="269"/>
      <c r="U65" s="269"/>
      <c r="V65" s="269"/>
      <c r="W65" s="269"/>
      <c r="X65" s="269"/>
      <c r="Y65" s="269"/>
      <c r="Z65" s="269"/>
      <c r="AA65" s="193"/>
      <c r="AC65" s="227"/>
      <c r="AD65" s="228"/>
      <c r="AE65" s="55"/>
      <c r="AF65" s="227"/>
      <c r="AG65" s="228"/>
      <c r="AH65" s="55"/>
    </row>
    <row r="66" spans="1:38" x14ac:dyDescent="0.25">
      <c r="A66" s="6" t="s">
        <v>33</v>
      </c>
      <c r="B66" s="7"/>
      <c r="H66" s="1" t="s">
        <v>575</v>
      </c>
      <c r="I66" s="11" t="e">
        <f ca="1">_xll.EVPRO($B$1,$H66,"STYLE")</f>
        <v>#NAME?</v>
      </c>
      <c r="J66" s="11" t="e">
        <f ca="1">_xll.EVPRO($B$1,$H66,"CALC")</f>
        <v>#NAME?</v>
      </c>
      <c r="L66" s="1"/>
      <c r="M66" s="40" t="e">
        <f ca="1">IF(_xll.EVDES(H66,$B$1)="#NODATA","",_xll.EVDES(H66,$B$1))</f>
        <v>#NAME?</v>
      </c>
      <c r="N66" s="43"/>
      <c r="O66" s="46"/>
      <c r="P66" s="46"/>
      <c r="Q66" s="46"/>
      <c r="R66" s="46"/>
      <c r="S66" s="46"/>
      <c r="T66" s="46"/>
      <c r="U66" s="46"/>
      <c r="V66" s="46"/>
      <c r="W66" s="46"/>
      <c r="X66" s="46"/>
      <c r="Y66" s="46"/>
      <c r="Z66" s="46"/>
      <c r="AA66" s="44"/>
      <c r="AC66" s="43"/>
      <c r="AD66" s="46"/>
      <c r="AE66" s="44"/>
      <c r="AF66" s="43"/>
      <c r="AG66" s="46"/>
      <c r="AH66" s="44"/>
    </row>
    <row r="67" spans="1:38" x14ac:dyDescent="0.25">
      <c r="A67" s="6" t="s">
        <v>34</v>
      </c>
      <c r="B67" s="7"/>
      <c r="G67" s="15" t="s">
        <v>519</v>
      </c>
      <c r="H67" s="15" t="s">
        <v>525</v>
      </c>
      <c r="I67" s="161" t="e">
        <f ca="1">_xll.EVPRO($B$1,$H67,"STYLE")</f>
        <v>#NAME?</v>
      </c>
      <c r="J67" s="161" t="e">
        <f ca="1">_xll.EVPRO($B$1,$H67,"CALC")</f>
        <v>#NAME?</v>
      </c>
      <c r="L67" s="1"/>
      <c r="M67" s="162" t="e">
        <f ca="1">IF(_xll.EVDES(H67,$B$1)="#NODATA","",REPLACE(_xll.EVDES(H67,$B$1),1,6,""))</f>
        <v>#NAME?</v>
      </c>
      <c r="N67" s="21"/>
      <c r="O67" s="21"/>
      <c r="P67" s="21"/>
      <c r="Q67" s="21"/>
      <c r="R67" s="21"/>
      <c r="S67" s="21"/>
      <c r="T67" s="21"/>
      <c r="U67" s="21"/>
      <c r="V67" s="21"/>
      <c r="W67" s="21"/>
      <c r="X67" s="21"/>
      <c r="Y67" s="21">
        <v>-9638.44</v>
      </c>
      <c r="Z67" s="21">
        <f t="shared" ref="Z67:Z72" si="19">SUM(N67:Y67)</f>
        <v>-9638.44</v>
      </c>
      <c r="AA67" s="17">
        <f t="shared" ref="AA67:AA72" si="20">IF(Z67=0,"",IFERROR(Z67/Z$43,""))</f>
        <v>-7.4484433524323892E-4</v>
      </c>
      <c r="AC67" s="21"/>
      <c r="AD67" s="17" t="str">
        <f t="shared" ref="AD67:AD72" si="21">IF(AC67=0,"",IFERROR(AC67/AC$43,""))</f>
        <v/>
      </c>
      <c r="AE67" s="50">
        <f t="shared" ref="AE67:AE72" si="22">IF(AND($Z67="",AC67=""),"",$Z67-AC67)</f>
        <v>-9638.44</v>
      </c>
      <c r="AF67" s="21"/>
      <c r="AG67" s="17" t="str">
        <f t="shared" ref="AG67:AG72" si="23">IF(AF67=0,"",IFERROR(AF67/AF$43,""))</f>
        <v/>
      </c>
      <c r="AH67" s="50">
        <f t="shared" ref="AH67:AH72" si="24">IF(AND($Z67="",AF67=""),"",$Z67-AF67)</f>
        <v>-9638.44</v>
      </c>
      <c r="AI67" s="528">
        <f t="shared" ref="AI67:AI72" si="25">+IFERROR(ROUND(($AA67-AD67)*100,2)&amp;" pts.",0)</f>
        <v>0</v>
      </c>
      <c r="AJ67" s="529"/>
      <c r="AK67" s="528">
        <f t="shared" ref="AK67:AK72" si="26">+IFERROR(ROUND(($AA67-AG67)*100,2)&amp;" pts.",0)</f>
        <v>0</v>
      </c>
      <c r="AL67" s="529"/>
    </row>
    <row r="68" spans="1:38" x14ac:dyDescent="0.25">
      <c r="A68" s="6" t="s">
        <v>35</v>
      </c>
      <c r="B68" s="7"/>
      <c r="G68" s="15" t="s">
        <v>519</v>
      </c>
      <c r="H68" s="15" t="s">
        <v>520</v>
      </c>
      <c r="I68" s="161" t="e">
        <f ca="1">_xll.EVPRO($B$1,$H68,"STYLE")</f>
        <v>#NAME?</v>
      </c>
      <c r="J68" s="161" t="e">
        <f ca="1">_xll.EVPRO($B$1,$H68,"CALC")</f>
        <v>#NAME?</v>
      </c>
      <c r="L68" s="1"/>
      <c r="M68" s="162" t="e">
        <f ca="1">IF(_xll.EVDES(H68,$B$1)="#NODATA","",REPLACE(_xll.EVDES(H68,$B$1),1,6,""))</f>
        <v>#NAME?</v>
      </c>
      <c r="N68" s="21">
        <v>1153.82</v>
      </c>
      <c r="O68" s="21">
        <v>1468.28</v>
      </c>
      <c r="P68" s="21">
        <v>1238.0899999999999</v>
      </c>
      <c r="Q68" s="21">
        <v>1840.54</v>
      </c>
      <c r="R68" s="21">
        <v>1332.2</v>
      </c>
      <c r="S68" s="21">
        <v>1055.81</v>
      </c>
      <c r="T68" s="21">
        <v>1204.47</v>
      </c>
      <c r="U68" s="21">
        <v>1805.23</v>
      </c>
      <c r="V68" s="21">
        <v>1823.21</v>
      </c>
      <c r="W68" s="21">
        <v>1089.72</v>
      </c>
      <c r="X68" s="21">
        <v>2440.4899999999998</v>
      </c>
      <c r="Y68" s="21">
        <v>1465.88</v>
      </c>
      <c r="Z68" s="21">
        <f t="shared" si="19"/>
        <v>17917.739999999998</v>
      </c>
      <c r="AA68" s="17">
        <f t="shared" si="20"/>
        <v>1.3846563488864577E-3</v>
      </c>
      <c r="AC68" s="21">
        <v>13600</v>
      </c>
      <c r="AD68" s="17">
        <f t="shared" si="21"/>
        <v>8.1962266064634047E-4</v>
      </c>
      <c r="AE68" s="50">
        <f t="shared" si="22"/>
        <v>4317.739999999998</v>
      </c>
      <c r="AF68" s="21">
        <v>18102.02</v>
      </c>
      <c r="AG68" s="17">
        <f t="shared" si="23"/>
        <v>1.2286934386046191E-3</v>
      </c>
      <c r="AH68" s="50">
        <f t="shared" si="24"/>
        <v>-184.28000000000247</v>
      </c>
      <c r="AI68" s="528" t="str">
        <f t="shared" si="25"/>
        <v>0.06 pts.</v>
      </c>
      <c r="AJ68" s="529"/>
      <c r="AK68" s="528" t="str">
        <f t="shared" si="26"/>
        <v>0.02 pts.</v>
      </c>
      <c r="AL68" s="529"/>
    </row>
    <row r="69" spans="1:38" x14ac:dyDescent="0.25">
      <c r="A69" s="6" t="s">
        <v>36</v>
      </c>
      <c r="B69" s="7"/>
      <c r="G69" s="15" t="s">
        <v>519</v>
      </c>
      <c r="H69" s="15" t="s">
        <v>521</v>
      </c>
      <c r="I69" s="161" t="e">
        <f ca="1">_xll.EVPRO($B$1,$H69,"STYLE")</f>
        <v>#NAME?</v>
      </c>
      <c r="J69" s="161" t="e">
        <f ca="1">_xll.EVPRO($B$1,$H69,"CALC")</f>
        <v>#NAME?</v>
      </c>
      <c r="L69" s="1"/>
      <c r="M69" s="162" t="e">
        <f ca="1">IF(_xll.EVDES(H69,$B$1)="#NODATA","",REPLACE(_xll.EVDES(H69,$B$1),1,6,""))</f>
        <v>#NAME?</v>
      </c>
      <c r="N69" s="21">
        <v>40030</v>
      </c>
      <c r="O69" s="21">
        <v>40030</v>
      </c>
      <c r="P69" s="21">
        <v>40030</v>
      </c>
      <c r="Q69" s="21">
        <v>56619</v>
      </c>
      <c r="R69" s="21">
        <v>40030</v>
      </c>
      <c r="S69" s="21">
        <v>40030</v>
      </c>
      <c r="T69" s="21">
        <v>40030</v>
      </c>
      <c r="U69" s="21">
        <v>40030</v>
      </c>
      <c r="V69" s="21">
        <v>40030.199999999997</v>
      </c>
      <c r="W69" s="21">
        <v>40030</v>
      </c>
      <c r="X69" s="21">
        <v>40030</v>
      </c>
      <c r="Y69" s="21">
        <v>40030</v>
      </c>
      <c r="Z69" s="21">
        <f t="shared" si="19"/>
        <v>496949.2</v>
      </c>
      <c r="AA69" s="17">
        <f t="shared" si="20"/>
        <v>3.8403496470762841E-2</v>
      </c>
      <c r="AC69" s="21">
        <v>499351</v>
      </c>
      <c r="AD69" s="17">
        <f t="shared" si="21"/>
        <v>3.0094073177677261E-2</v>
      </c>
      <c r="AE69" s="50">
        <f t="shared" si="22"/>
        <v>-2401.7999999999884</v>
      </c>
      <c r="AF69" s="21">
        <v>482955.76</v>
      </c>
      <c r="AG69" s="17">
        <f t="shared" si="23"/>
        <v>3.2781124617490595E-2</v>
      </c>
      <c r="AH69" s="50">
        <f t="shared" si="24"/>
        <v>13993.440000000002</v>
      </c>
      <c r="AI69" s="528" t="str">
        <f t="shared" si="25"/>
        <v>0.83 pts.</v>
      </c>
      <c r="AJ69" s="529"/>
      <c r="AK69" s="528" t="str">
        <f t="shared" si="26"/>
        <v>0.56 pts.</v>
      </c>
      <c r="AL69" s="529"/>
    </row>
    <row r="70" spans="1:38" x14ac:dyDescent="0.25">
      <c r="A70" s="6" t="s">
        <v>37</v>
      </c>
      <c r="B70" s="7"/>
      <c r="G70" s="15" t="s">
        <v>519</v>
      </c>
      <c r="H70" s="15" t="s">
        <v>537</v>
      </c>
      <c r="I70" s="161" t="e">
        <f ca="1">_xll.EVPRO($B$1,$H70,"STYLE")</f>
        <v>#NAME?</v>
      </c>
      <c r="J70" s="161" t="e">
        <f ca="1">_xll.EVPRO($B$1,$H70,"CALC")</f>
        <v>#NAME?</v>
      </c>
      <c r="L70" s="1"/>
      <c r="M70" s="162" t="e">
        <f ca="1">IF(_xll.EVDES(H70,$B$1)="#NODATA","",REPLACE(_xll.EVDES(H70,$B$1),1,6,""))</f>
        <v>#NAME?</v>
      </c>
      <c r="N70" s="21">
        <v>104943.08</v>
      </c>
      <c r="O70" s="21">
        <v>104943.08</v>
      </c>
      <c r="P70" s="21">
        <v>104943.08</v>
      </c>
      <c r="Q70" s="21">
        <v>103456.71</v>
      </c>
      <c r="R70" s="21">
        <v>104199.89</v>
      </c>
      <c r="S70" s="21">
        <v>105129.9</v>
      </c>
      <c r="T70" s="21">
        <v>103839.22</v>
      </c>
      <c r="U70" s="21">
        <v>124706.47</v>
      </c>
      <c r="V70" s="21">
        <v>123613.98</v>
      </c>
      <c r="W70" s="21">
        <v>124724.96</v>
      </c>
      <c r="X70" s="21">
        <v>123613.87</v>
      </c>
      <c r="Y70" s="21">
        <v>123613.87</v>
      </c>
      <c r="Z70" s="21">
        <f t="shared" si="19"/>
        <v>1351728.1099999999</v>
      </c>
      <c r="AA70" s="17">
        <f t="shared" si="20"/>
        <v>0.10445954174353418</v>
      </c>
      <c r="AC70" s="21">
        <v>1287403</v>
      </c>
      <c r="AD70" s="17">
        <f t="shared" si="21"/>
        <v>7.7587108248829459E-2</v>
      </c>
      <c r="AE70" s="50">
        <f t="shared" si="22"/>
        <v>64325.10999999987</v>
      </c>
      <c r="AF70" s="21">
        <v>1015240</v>
      </c>
      <c r="AG70" s="17">
        <f t="shared" si="23"/>
        <v>6.8910471130235934E-2</v>
      </c>
      <c r="AH70" s="50">
        <f t="shared" si="24"/>
        <v>336488.10999999987</v>
      </c>
      <c r="AI70" s="528" t="str">
        <f t="shared" si="25"/>
        <v>2.69 pts.</v>
      </c>
      <c r="AJ70" s="529"/>
      <c r="AK70" s="528" t="str">
        <f t="shared" si="26"/>
        <v>3.55 pts.</v>
      </c>
      <c r="AL70" s="529"/>
    </row>
    <row r="71" spans="1:38" x14ac:dyDescent="0.25">
      <c r="A71" s="6" t="s">
        <v>38</v>
      </c>
      <c r="B71" s="7"/>
      <c r="I71" s="1"/>
      <c r="J71" s="1"/>
      <c r="L71" s="1"/>
      <c r="M71" s="26" t="s">
        <v>586</v>
      </c>
      <c r="N71" s="21" t="str">
        <f t="shared" ref="N71:Y71" ca="1" si="27">N95</f>
        <v/>
      </c>
      <c r="O71" s="21" t="str">
        <f t="shared" ca="1" si="27"/>
        <v/>
      </c>
      <c r="P71" s="21" t="str">
        <f t="shared" ca="1" si="27"/>
        <v/>
      </c>
      <c r="Q71" s="21" t="str">
        <f t="shared" ca="1" si="27"/>
        <v/>
      </c>
      <c r="R71" s="21" t="str">
        <f t="shared" ca="1" si="27"/>
        <v/>
      </c>
      <c r="S71" s="21" t="str">
        <f t="shared" ca="1" si="27"/>
        <v/>
      </c>
      <c r="T71" s="21" t="str">
        <f t="shared" ca="1" si="27"/>
        <v/>
      </c>
      <c r="U71" s="21" t="str">
        <f t="shared" ca="1" si="27"/>
        <v/>
      </c>
      <c r="V71" s="21" t="str">
        <f t="shared" ca="1" si="27"/>
        <v/>
      </c>
      <c r="W71" s="21" t="str">
        <f t="shared" ca="1" si="27"/>
        <v/>
      </c>
      <c r="X71" s="21" t="str">
        <f t="shared" ca="1" si="27"/>
        <v/>
      </c>
      <c r="Y71" s="21" t="str">
        <f t="shared" ca="1" si="27"/>
        <v/>
      </c>
      <c r="Z71" s="21">
        <f t="shared" ca="1" si="19"/>
        <v>0</v>
      </c>
      <c r="AA71" s="17" t="str">
        <f t="shared" ca="1" si="20"/>
        <v/>
      </c>
      <c r="AC71" s="21" t="str">
        <f ca="1">AC95</f>
        <v/>
      </c>
      <c r="AD71" s="17" t="str">
        <f t="shared" ca="1" si="21"/>
        <v/>
      </c>
      <c r="AE71" s="50" t="e">
        <f t="shared" ca="1" si="22"/>
        <v>#VALUE!</v>
      </c>
      <c r="AF71" s="21" t="str">
        <f ca="1">AF95</f>
        <v/>
      </c>
      <c r="AG71" s="17" t="str">
        <f t="shared" ca="1" si="23"/>
        <v/>
      </c>
      <c r="AH71" s="50" t="e">
        <f t="shared" ca="1" si="24"/>
        <v>#VALUE!</v>
      </c>
      <c r="AI71" s="528">
        <f t="shared" ca="1" si="25"/>
        <v>0</v>
      </c>
      <c r="AJ71" s="529"/>
      <c r="AK71" s="528">
        <f t="shared" ca="1" si="26"/>
        <v>0</v>
      </c>
      <c r="AL71" s="529"/>
    </row>
    <row r="72" spans="1:38" x14ac:dyDescent="0.25">
      <c r="A72" s="6" t="s">
        <v>39</v>
      </c>
      <c r="B72" s="7"/>
      <c r="I72" s="1"/>
      <c r="J72" s="1"/>
      <c r="M72" s="25" t="e">
        <f ca="1">"Total "&amp;M66</f>
        <v>#NAME?</v>
      </c>
      <c r="N72" s="33">
        <f t="shared" ref="N72:Y72" ca="1" si="28">SUM(N67:N71)</f>
        <v>146126.9</v>
      </c>
      <c r="O72" s="33">
        <f t="shared" ca="1" si="28"/>
        <v>146441.35999999999</v>
      </c>
      <c r="P72" s="33">
        <f t="shared" ca="1" si="28"/>
        <v>146211.16999999998</v>
      </c>
      <c r="Q72" s="33">
        <f t="shared" ca="1" si="28"/>
        <v>161916.25</v>
      </c>
      <c r="R72" s="33">
        <f t="shared" ca="1" si="28"/>
        <v>145562.09</v>
      </c>
      <c r="S72" s="33">
        <f t="shared" ca="1" si="28"/>
        <v>146215.71</v>
      </c>
      <c r="T72" s="33">
        <f t="shared" ca="1" si="28"/>
        <v>145073.69</v>
      </c>
      <c r="U72" s="33">
        <f t="shared" ca="1" si="28"/>
        <v>166541.70000000001</v>
      </c>
      <c r="V72" s="33">
        <f t="shared" ca="1" si="28"/>
        <v>165467.38999999998</v>
      </c>
      <c r="W72" s="33">
        <f t="shared" ca="1" si="28"/>
        <v>165844.68</v>
      </c>
      <c r="X72" s="33">
        <f t="shared" ca="1" si="28"/>
        <v>166084.35999999999</v>
      </c>
      <c r="Y72" s="33">
        <f t="shared" ca="1" si="28"/>
        <v>155471.31</v>
      </c>
      <c r="Z72" s="33">
        <f t="shared" ca="1" si="19"/>
        <v>1856956.6099999999</v>
      </c>
      <c r="AA72" s="34">
        <f t="shared" ca="1" si="20"/>
        <v>0.14350285022794024</v>
      </c>
      <c r="AC72" s="33">
        <f ca="1">SUM(AC67:AC71)</f>
        <v>1800354</v>
      </c>
      <c r="AD72" s="34">
        <f t="shared" ca="1" si="21"/>
        <v>0.10850080408715305</v>
      </c>
      <c r="AE72" s="52">
        <f t="shared" ca="1" si="22"/>
        <v>56602.60999999987</v>
      </c>
      <c r="AF72" s="33">
        <f ca="1">SUM(AF67:AF71)</f>
        <v>1516297.78</v>
      </c>
      <c r="AG72" s="34">
        <f t="shared" ca="1" si="23"/>
        <v>0.10292028918633116</v>
      </c>
      <c r="AH72" s="52">
        <f t="shared" ca="1" si="24"/>
        <v>340658.82999999984</v>
      </c>
      <c r="AI72" s="534" t="str">
        <f t="shared" ca="1" si="25"/>
        <v>3.5 pts.</v>
      </c>
      <c r="AJ72" s="535"/>
      <c r="AK72" s="534" t="str">
        <f t="shared" ca="1" si="26"/>
        <v>4.06 pts.</v>
      </c>
      <c r="AL72" s="535"/>
    </row>
    <row r="73" spans="1:38" x14ac:dyDescent="0.25">
      <c r="A73" s="6" t="s">
        <v>40</v>
      </c>
      <c r="B73" s="7"/>
      <c r="N73" s="41"/>
      <c r="O73" s="45"/>
      <c r="P73" s="45"/>
      <c r="Q73" s="45"/>
      <c r="R73" s="45"/>
      <c r="S73" s="45"/>
      <c r="T73" s="45"/>
      <c r="U73" s="45"/>
      <c r="V73" s="45"/>
      <c r="W73" s="45"/>
      <c r="X73" s="45"/>
      <c r="Y73" s="45"/>
      <c r="Z73" s="45"/>
      <c r="AA73" s="42"/>
      <c r="AC73" s="41"/>
      <c r="AD73" s="45"/>
      <c r="AE73" s="42"/>
      <c r="AF73" s="41"/>
      <c r="AG73" s="45"/>
      <c r="AH73" s="42"/>
    </row>
    <row r="74" spans="1:38" ht="15.75" thickBot="1" x14ac:dyDescent="0.3">
      <c r="A74" s="6" t="s">
        <v>41</v>
      </c>
      <c r="B74" s="7"/>
      <c r="F74" s="15" t="s">
        <v>570</v>
      </c>
      <c r="I74" s="1"/>
      <c r="J74" s="1"/>
      <c r="L74" s="1"/>
      <c r="M74" s="25" t="e">
        <f ca="1">IF(_xll.EVDES(F74,$B$1)="#NODATA","",_xll.EVDES(F74,$B$1))</f>
        <v>#NAME?</v>
      </c>
      <c r="N74" s="62">
        <f t="shared" ref="N74:Y74" ca="1" si="29">N64-N72</f>
        <v>541470.43000000005</v>
      </c>
      <c r="O74" s="62">
        <f t="shared" ca="1" si="29"/>
        <v>627278.69999999995</v>
      </c>
      <c r="P74" s="62">
        <f t="shared" ca="1" si="29"/>
        <v>566252.4700000002</v>
      </c>
      <c r="Q74" s="62">
        <f t="shared" ca="1" si="29"/>
        <v>230310.65999999997</v>
      </c>
      <c r="R74" s="62">
        <f t="shared" ca="1" si="29"/>
        <v>198340.93000000002</v>
      </c>
      <c r="S74" s="62">
        <f t="shared" ca="1" si="29"/>
        <v>51561.250000000029</v>
      </c>
      <c r="T74" s="62">
        <f t="shared" ca="1" si="29"/>
        <v>28518.190000000031</v>
      </c>
      <c r="U74" s="62">
        <f t="shared" ca="1" si="29"/>
        <v>-98005.560000000056</v>
      </c>
      <c r="V74" s="62">
        <f t="shared" ca="1" si="29"/>
        <v>-157010.47999999998</v>
      </c>
      <c r="W74" s="62">
        <f t="shared" ca="1" si="29"/>
        <v>-38630.01999999996</v>
      </c>
      <c r="X74" s="62">
        <f t="shared" ca="1" si="29"/>
        <v>52666.810000000085</v>
      </c>
      <c r="Y74" s="62">
        <f t="shared" ca="1" si="29"/>
        <v>473890.84</v>
      </c>
      <c r="Z74" s="62">
        <f ca="1">SUM(N74:Y74)</f>
        <v>2476644.2199999997</v>
      </c>
      <c r="AA74" s="63">
        <f ca="1">IF(Z74=0,"",IFERROR(Z74/Z$43,""))</f>
        <v>0.19139138882224818</v>
      </c>
      <c r="AC74" s="62">
        <f ca="1">AC64-AC72</f>
        <v>4770786.623233173</v>
      </c>
      <c r="AD74" s="63">
        <f ca="1">IF(AC74=0,"",IFERROR(AC74/AC$43,""))</f>
        <v>0.28751800187576054</v>
      </c>
      <c r="AE74" s="64">
        <f ca="1">IF(AND($Z74="",AC74=""),"",$Z74-AC74)</f>
        <v>-2294142.4032331733</v>
      </c>
      <c r="AF74" s="62">
        <f ca="1">AF64-AF72</f>
        <v>3865987.7600000007</v>
      </c>
      <c r="AG74" s="63">
        <f ca="1">IF(AF74=0,"",IFERROR(AF74/AF$43,""))</f>
        <v>0.26240794090591935</v>
      </c>
      <c r="AH74" s="64">
        <f ca="1">IF(AND($Z74="",AF74=""),"",$Z74-AF74)</f>
        <v>-1389343.540000001</v>
      </c>
      <c r="AI74" s="538" t="str">
        <f ca="1">+IFERROR(ROUND(($AA74-AD74)*100,2)&amp;" pts.",0)</f>
        <v>-9.61 pts.</v>
      </c>
      <c r="AJ74" s="539"/>
      <c r="AK74" s="538" t="str">
        <f ca="1">+IFERROR(ROUND(($AA74-AG74)*100,2)&amp;" pts.",0)</f>
        <v>-7.1 pts.</v>
      </c>
      <c r="AL74" s="539"/>
    </row>
    <row r="75" spans="1:38" ht="15.75" thickTop="1" x14ac:dyDescent="0.25">
      <c r="A75" s="6" t="s">
        <v>42</v>
      </c>
      <c r="B75" s="7"/>
      <c r="H75" s="11"/>
      <c r="J75" s="1"/>
      <c r="L75" s="1">
        <f ca="1">COUNTIF(N75:AH75,FALSE)</f>
        <v>0</v>
      </c>
      <c r="M75" s="226" t="str">
        <f ca="1">IF(L75=0,"","EBITDA- database validation failed")</f>
        <v/>
      </c>
      <c r="N75" s="270" t="str">
        <f t="shared" ref="N75:Z75" ca="1" si="30">IF(ROUND(N74,2)&lt;&gt;ROUND(N103,2),N74-N103,"")</f>
        <v/>
      </c>
      <c r="O75" s="271" t="str">
        <f t="shared" ca="1" si="30"/>
        <v/>
      </c>
      <c r="P75" s="271" t="str">
        <f t="shared" ca="1" si="30"/>
        <v/>
      </c>
      <c r="Q75" s="271" t="str">
        <f t="shared" ca="1" si="30"/>
        <v/>
      </c>
      <c r="R75" s="271" t="str">
        <f t="shared" ca="1" si="30"/>
        <v/>
      </c>
      <c r="S75" s="271" t="str">
        <f t="shared" ca="1" si="30"/>
        <v/>
      </c>
      <c r="T75" s="271" t="str">
        <f t="shared" ca="1" si="30"/>
        <v/>
      </c>
      <c r="U75" s="271" t="str">
        <f t="shared" ca="1" si="30"/>
        <v/>
      </c>
      <c r="V75" s="271" t="str">
        <f t="shared" ca="1" si="30"/>
        <v/>
      </c>
      <c r="W75" s="271" t="str">
        <f t="shared" ca="1" si="30"/>
        <v/>
      </c>
      <c r="X75" s="271" t="str">
        <f t="shared" ca="1" si="30"/>
        <v/>
      </c>
      <c r="Y75" s="271" t="str">
        <f t="shared" ca="1" si="30"/>
        <v/>
      </c>
      <c r="Z75" s="271" t="str">
        <f t="shared" ca="1" si="30"/>
        <v/>
      </c>
      <c r="AA75" s="193" t="b">
        <f ca="1">Z75=""</f>
        <v>1</v>
      </c>
      <c r="AC75" s="270" t="str">
        <f ca="1">IF(ROUND(AC74,2)&lt;&gt;ROUND(AC103,2),AC74-AC103,"")</f>
        <v/>
      </c>
      <c r="AD75" s="228" t="b">
        <f ca="1">AC75=""</f>
        <v>1</v>
      </c>
      <c r="AE75" s="55"/>
      <c r="AF75" s="270" t="str">
        <f ca="1">IF(ROUND(AF74,2)&lt;&gt;ROUND(AF103,2),AF74-AF103,"")</f>
        <v/>
      </c>
      <c r="AG75" s="228" t="b">
        <f ca="1">AF75=""</f>
        <v>1</v>
      </c>
      <c r="AH75" s="55"/>
    </row>
    <row r="76" spans="1:38" x14ac:dyDescent="0.25">
      <c r="A76" s="6" t="s">
        <v>43</v>
      </c>
      <c r="B76" s="7"/>
      <c r="H76" s="1" t="s">
        <v>576</v>
      </c>
      <c r="I76" s="11" t="e">
        <f ca="1">_xll.EVPRO($B$1,$H76,"STYLE")</f>
        <v>#NAME?</v>
      </c>
      <c r="J76" s="11" t="e">
        <f ca="1">_xll.EVPRO($B$1,$H76,"CALC")</f>
        <v>#NAME?</v>
      </c>
      <c r="L76" s="1"/>
      <c r="M76" s="40" t="e">
        <f ca="1">IF(_xll.EVDES(H76,$B$1)="#NODATA","",_xll.EVDES(H76,$B$1))</f>
        <v>#NAME?</v>
      </c>
      <c r="N76" s="43"/>
      <c r="O76" s="46"/>
      <c r="P76" s="46"/>
      <c r="Q76" s="46"/>
      <c r="R76" s="46"/>
      <c r="S76" s="46"/>
      <c r="T76" s="46"/>
      <c r="U76" s="46"/>
      <c r="V76" s="46"/>
      <c r="W76" s="46"/>
      <c r="X76" s="46"/>
      <c r="Y76" s="46"/>
      <c r="Z76" s="46"/>
      <c r="AA76" s="44"/>
      <c r="AC76" s="43"/>
      <c r="AD76" s="46"/>
      <c r="AE76" s="44"/>
      <c r="AF76" s="43"/>
      <c r="AG76" s="46"/>
      <c r="AH76" s="44"/>
    </row>
    <row r="77" spans="1:38" x14ac:dyDescent="0.25">
      <c r="A77" s="6" t="s">
        <v>44</v>
      </c>
      <c r="B77" s="7"/>
      <c r="G77" s="15" t="s">
        <v>519</v>
      </c>
      <c r="H77" s="15" t="s">
        <v>571</v>
      </c>
      <c r="I77" s="161" t="e">
        <f ca="1">_xll.EVPRO($B$1,$H77,"STYLE")</f>
        <v>#NAME?</v>
      </c>
      <c r="J77" s="161" t="e">
        <f ca="1">_xll.EVPRO($B$1,$H77,"CALC")</f>
        <v>#NAME?</v>
      </c>
      <c r="L77" s="1"/>
      <c r="M77" s="162" t="e">
        <f ca="1">IF(_xll.EVDES(H77,$B$1)="#NODATA","",_xll.EVDES(H77,$B$1))</f>
        <v>#NAME?</v>
      </c>
      <c r="N77" s="21">
        <v>260136.5</v>
      </c>
      <c r="O77" s="21">
        <v>240573.67</v>
      </c>
      <c r="P77" s="21">
        <v>270983.92</v>
      </c>
      <c r="Q77" s="21">
        <v>267633.33</v>
      </c>
      <c r="R77" s="21">
        <v>283595.75</v>
      </c>
      <c r="S77" s="21">
        <v>276945</v>
      </c>
      <c r="T77" s="21">
        <v>287227.92</v>
      </c>
      <c r="U77" s="21">
        <v>292038.94</v>
      </c>
      <c r="V77" s="21">
        <v>283050</v>
      </c>
      <c r="W77" s="21">
        <v>292676.17</v>
      </c>
      <c r="X77" s="21">
        <v>282803.33</v>
      </c>
      <c r="Y77" s="21">
        <v>293377.11</v>
      </c>
      <c r="Z77" s="21">
        <f>SUM(N77:Y77)</f>
        <v>3331041.64</v>
      </c>
      <c r="AA77" s="17">
        <f>IF(Z77=0,"",IFERROR(Z77/Z$43,""))</f>
        <v>0.25741795311412929</v>
      </c>
      <c r="AC77" s="21">
        <v>3153617</v>
      </c>
      <c r="AD77" s="17">
        <f>IF(AC77=0,"",IFERROR(AC77/AC$43,""))</f>
        <v>0.19005705560290664</v>
      </c>
      <c r="AE77" s="50">
        <f>IF(AND($Z77="",AC77=""),"",$Z77-AC77)</f>
        <v>177424.64000000013</v>
      </c>
      <c r="AF77" s="21">
        <v>2138045.92</v>
      </c>
      <c r="AG77" s="17">
        <f>IF(AF77=0,"",IFERROR(AF77/AF$43,""))</f>
        <v>0.14512209097876239</v>
      </c>
      <c r="AH77" s="50">
        <f>IF(AND($Z77="",AF77=""),"",$Z77-AF77)</f>
        <v>1192995.7200000002</v>
      </c>
      <c r="AI77" s="528" t="str">
        <f>+IFERROR(ROUND(($AA77-AD77)*100,2)&amp;" pts.",0)</f>
        <v>6.74 pts.</v>
      </c>
      <c r="AJ77" s="529"/>
      <c r="AK77" s="528" t="str">
        <f>+IFERROR(ROUND(($AA77-AG77)*100,2)&amp;" pts.",0)</f>
        <v>11.23 pts.</v>
      </c>
      <c r="AL77" s="529"/>
    </row>
    <row r="78" spans="1:38" x14ac:dyDescent="0.25">
      <c r="A78" s="6" t="s">
        <v>45</v>
      </c>
      <c r="B78" s="7"/>
      <c r="G78" s="15" t="s">
        <v>519</v>
      </c>
      <c r="H78" s="15" t="s">
        <v>572</v>
      </c>
      <c r="I78" s="161" t="e">
        <f ca="1">_xll.EVPRO($B$1,$H78,"STYLE")</f>
        <v>#NAME?</v>
      </c>
      <c r="J78" s="161" t="e">
        <f ca="1">_xll.EVPRO($B$1,$H78,"CALC")</f>
        <v>#NAME?</v>
      </c>
      <c r="L78" s="1"/>
      <c r="M78" s="162" t="e">
        <f ca="1">IF(_xll.EVDES(H78,$B$1)="#NODATA","",_xll.EVDES(H78,$B$1))</f>
        <v>#NAME?</v>
      </c>
      <c r="N78" s="21">
        <v>40537.33</v>
      </c>
      <c r="O78" s="21">
        <v>40537.33</v>
      </c>
      <c r="P78" s="21">
        <v>40537.33</v>
      </c>
      <c r="Q78" s="21">
        <v>40537.33</v>
      </c>
      <c r="R78" s="21">
        <v>40537.33</v>
      </c>
      <c r="S78" s="21">
        <v>40537.33</v>
      </c>
      <c r="T78" s="21">
        <v>42107.73</v>
      </c>
      <c r="U78" s="21">
        <v>42107.73</v>
      </c>
      <c r="V78" s="21">
        <v>42107.73</v>
      </c>
      <c r="W78" s="21">
        <v>42107.73</v>
      </c>
      <c r="X78" s="21">
        <v>42107.73</v>
      </c>
      <c r="Y78" s="21">
        <v>42107.74</v>
      </c>
      <c r="Z78" s="21">
        <f>SUM(N78:Y78)</f>
        <v>495870.36999999994</v>
      </c>
      <c r="AA78" s="17">
        <f>IF(Z78=0,"",IFERROR(Z78/Z$43,""))</f>
        <v>3.832012608985156E-2</v>
      </c>
      <c r="AC78" s="21">
        <v>500424</v>
      </c>
      <c r="AD78" s="17">
        <f>IF(AC78=0,"",IFERROR(AC78/AC$43,""))</f>
        <v>3.0158738994947372E-2</v>
      </c>
      <c r="AE78" s="50">
        <f>IF(AND($Z78="",AC78=""),"",$Z78-AC78)</f>
        <v>-4553.6300000000629</v>
      </c>
      <c r="AF78" s="21">
        <v>500053.12</v>
      </c>
      <c r="AG78" s="17">
        <f>IF(AF78=0,"",IFERROR(AF78/AF$43,""))</f>
        <v>3.3941625713471105E-2</v>
      </c>
      <c r="AH78" s="50">
        <f>IF(AND($Z78="",AF78=""),"",$Z78-AF78)</f>
        <v>-4182.7500000000582</v>
      </c>
      <c r="AI78" s="528" t="str">
        <f>+IFERROR(ROUND(($AA78-AD78)*100,2)&amp;" pts.",0)</f>
        <v>0.82 pts.</v>
      </c>
      <c r="AJ78" s="529"/>
      <c r="AK78" s="528" t="str">
        <f>+IFERROR(ROUND(($AA78-AG78)*100,2)&amp;" pts.",0)</f>
        <v>0.44 pts.</v>
      </c>
      <c r="AL78" s="529"/>
    </row>
    <row r="79" spans="1:38" x14ac:dyDescent="0.25">
      <c r="A79" s="6" t="s">
        <v>46</v>
      </c>
      <c r="B79" s="7"/>
      <c r="G79" s="15" t="s">
        <v>519</v>
      </c>
      <c r="H79" s="15" t="s">
        <v>573</v>
      </c>
      <c r="I79" s="161" t="e">
        <f ca="1">_xll.EVPRO($B$1,$H79,"STYLE")</f>
        <v>#NAME?</v>
      </c>
      <c r="J79" s="161" t="e">
        <f ca="1">_xll.EVPRO($B$1,$H79,"CALC")</f>
        <v>#NAME?</v>
      </c>
      <c r="L79" s="1"/>
      <c r="M79" s="162" t="e">
        <f ca="1">IF(_xll.EVDES(H79,$B$1)="#NODATA","",_xll.EVDES(H79,$B$1))</f>
        <v>#NAME?</v>
      </c>
      <c r="N79" s="21"/>
      <c r="O79" s="21"/>
      <c r="P79" s="21"/>
      <c r="Q79" s="21"/>
      <c r="R79" s="21"/>
      <c r="S79" s="21"/>
      <c r="T79" s="21"/>
      <c r="U79" s="21"/>
      <c r="V79" s="21"/>
      <c r="W79" s="21"/>
      <c r="X79" s="21"/>
      <c r="Y79" s="21"/>
      <c r="Z79" s="21">
        <f>SUM(N79:Y79)</f>
        <v>0</v>
      </c>
      <c r="AA79" s="17" t="str">
        <f>IF(Z79=0,"",IFERROR(Z79/Z$43,""))</f>
        <v/>
      </c>
      <c r="AC79" s="21"/>
      <c r="AD79" s="17" t="str">
        <f>IF(AC79=0,"",IFERROR(AC79/AC$43,""))</f>
        <v/>
      </c>
      <c r="AE79" s="50">
        <f>IF(AND($Z79="",AC79=""),"",$Z79-AC79)</f>
        <v>0</v>
      </c>
      <c r="AF79" s="21"/>
      <c r="AG79" s="17" t="str">
        <f>IF(AF79=0,"",IFERROR(AF79/AF$43,""))</f>
        <v/>
      </c>
      <c r="AH79" s="50">
        <f>IF(AND($Z79="",AF79=""),"",$Z79-AF79)</f>
        <v>0</v>
      </c>
      <c r="AI79" s="528">
        <f>+IFERROR(ROUND(($AA79-AD79)*100,2)&amp;" pts.",0)</f>
        <v>0</v>
      </c>
      <c r="AJ79" s="529"/>
      <c r="AK79" s="528">
        <f>+IFERROR(ROUND(($AA79-AG79)*100,2)&amp;" pts.",0)</f>
        <v>0</v>
      </c>
      <c r="AL79" s="529"/>
    </row>
    <row r="80" spans="1:38" x14ac:dyDescent="0.25">
      <c r="I80" s="1"/>
      <c r="J80" s="1"/>
      <c r="L80" s="1"/>
      <c r="M80" s="25" t="e">
        <f ca="1">"Total "&amp;M76</f>
        <v>#NAME?</v>
      </c>
      <c r="N80" s="33">
        <f t="shared" ref="N80:Y80" si="31">SUM(N77:N79)</f>
        <v>300673.83</v>
      </c>
      <c r="O80" s="33">
        <f t="shared" si="31"/>
        <v>281111</v>
      </c>
      <c r="P80" s="33">
        <f t="shared" si="31"/>
        <v>311521.25</v>
      </c>
      <c r="Q80" s="33">
        <f t="shared" si="31"/>
        <v>308170.66000000003</v>
      </c>
      <c r="R80" s="33">
        <f t="shared" si="31"/>
        <v>324133.08</v>
      </c>
      <c r="S80" s="33">
        <f t="shared" si="31"/>
        <v>317482.33</v>
      </c>
      <c r="T80" s="33">
        <f t="shared" si="31"/>
        <v>329335.64999999997</v>
      </c>
      <c r="U80" s="33">
        <f t="shared" si="31"/>
        <v>334146.67</v>
      </c>
      <c r="V80" s="33">
        <f t="shared" si="31"/>
        <v>325157.73</v>
      </c>
      <c r="W80" s="33">
        <f t="shared" si="31"/>
        <v>334783.89999999997</v>
      </c>
      <c r="X80" s="33">
        <f t="shared" si="31"/>
        <v>324911.06</v>
      </c>
      <c r="Y80" s="33">
        <f t="shared" si="31"/>
        <v>335484.84999999998</v>
      </c>
      <c r="Z80" s="33">
        <f>SUM(N80:Y80)</f>
        <v>3826912.0100000002</v>
      </c>
      <c r="AA80" s="34">
        <f>IF(Z80=0,"",IFERROR(Z80/Z$43,""))</f>
        <v>0.29573807920398087</v>
      </c>
      <c r="AC80" s="33">
        <f>SUM(AC77:AC79)</f>
        <v>3654041</v>
      </c>
      <c r="AD80" s="34">
        <f>IF(AC80=0,"",IFERROR(AC80/AC$43,""))</f>
        <v>0.22021579459785401</v>
      </c>
      <c r="AE80" s="52">
        <f>IF(AND($Z80="",AC80=""),"",$Z80-AC80)</f>
        <v>172871.01000000024</v>
      </c>
      <c r="AF80" s="33">
        <f>SUM(AF77:AF79)</f>
        <v>2638099.04</v>
      </c>
      <c r="AG80" s="34">
        <f>IF(AF80=0,"",IFERROR(AF80/AF$43,""))</f>
        <v>0.1790637166922335</v>
      </c>
      <c r="AH80" s="52">
        <f>IF(AND($Z80="",AF80=""),"",$Z80-AF80)</f>
        <v>1188812.9700000002</v>
      </c>
      <c r="AI80" s="534" t="str">
        <f>+IFERROR(ROUND(($AA80-AD80)*100,2)&amp;" pts.",0)</f>
        <v>7.55 pts.</v>
      </c>
      <c r="AJ80" s="535"/>
      <c r="AK80" s="534" t="str">
        <f>+IFERROR(ROUND(($AA80-AG80)*100,2)&amp;" pts.",0)</f>
        <v>11.67 pts.</v>
      </c>
      <c r="AL80" s="535"/>
    </row>
    <row r="81" spans="6:38" x14ac:dyDescent="0.25">
      <c r="H81" s="11"/>
      <c r="J81" s="1"/>
      <c r="N81" s="41"/>
      <c r="O81" s="45"/>
      <c r="P81" s="45"/>
      <c r="Q81" s="45"/>
      <c r="R81" s="45"/>
      <c r="S81" s="45"/>
      <c r="T81" s="45"/>
      <c r="U81" s="45"/>
      <c r="V81" s="45"/>
      <c r="W81" s="45"/>
      <c r="X81" s="45"/>
      <c r="Y81" s="45"/>
      <c r="Z81" s="45"/>
      <c r="AA81" s="42"/>
      <c r="AC81" s="41"/>
      <c r="AD81" s="45"/>
      <c r="AE81" s="42"/>
      <c r="AF81" s="41"/>
      <c r="AG81" s="45"/>
      <c r="AH81" s="42"/>
    </row>
    <row r="82" spans="6:38" x14ac:dyDescent="0.25">
      <c r="F82" s="15" t="s">
        <v>577</v>
      </c>
      <c r="I82" s="1"/>
      <c r="J82" s="1"/>
      <c r="L82" s="1"/>
      <c r="M82" s="25" t="e">
        <f ca="1">IF(_xll.EVDES(F82,$B$1)="#NODATA","",_xll.EVDES(F82,$B$1))</f>
        <v>#NAME?</v>
      </c>
      <c r="N82" s="164">
        <f t="shared" ref="N82:Y82" ca="1" si="32">N74-N80</f>
        <v>240796.60000000003</v>
      </c>
      <c r="O82" s="164">
        <f t="shared" ca="1" si="32"/>
        <v>346167.69999999995</v>
      </c>
      <c r="P82" s="164">
        <f t="shared" ca="1" si="32"/>
        <v>254731.2200000002</v>
      </c>
      <c r="Q82" s="164">
        <f t="shared" ca="1" si="32"/>
        <v>-77860.000000000058</v>
      </c>
      <c r="R82" s="164">
        <f t="shared" ca="1" si="32"/>
        <v>-125792.15</v>
      </c>
      <c r="S82" s="164">
        <f t="shared" ca="1" si="32"/>
        <v>-265921.07999999996</v>
      </c>
      <c r="T82" s="164">
        <f t="shared" ca="1" si="32"/>
        <v>-300817.45999999996</v>
      </c>
      <c r="U82" s="164">
        <f t="shared" ca="1" si="32"/>
        <v>-432152.23000000004</v>
      </c>
      <c r="V82" s="164">
        <f t="shared" ca="1" si="32"/>
        <v>-482168.20999999996</v>
      </c>
      <c r="W82" s="164">
        <f t="shared" ca="1" si="32"/>
        <v>-373413.91999999993</v>
      </c>
      <c r="X82" s="164">
        <f t="shared" ca="1" si="32"/>
        <v>-272244.24999999988</v>
      </c>
      <c r="Y82" s="164">
        <f t="shared" ca="1" si="32"/>
        <v>138405.99000000005</v>
      </c>
      <c r="Z82" s="164">
        <f ca="1">SUM(N82:Y82)</f>
        <v>-1350267.7899999993</v>
      </c>
      <c r="AA82" s="175">
        <f ca="1">IF(Z82=0,"",IFERROR(Z82/Z$43,""))</f>
        <v>-0.1043466903817326</v>
      </c>
      <c r="AC82" s="164">
        <f ca="1">AC74-AC80</f>
        <v>1116745.623233173</v>
      </c>
      <c r="AD82" s="175">
        <f ca="1">IF(AC82=0,"",IFERROR(AC82/AC$43,""))</f>
        <v>6.7302207277906548E-2</v>
      </c>
      <c r="AE82" s="165">
        <f ca="1">IF(AND($Z82="",AC82=""),"",$Z82-AC82)</f>
        <v>-2467013.4132331721</v>
      </c>
      <c r="AF82" s="164">
        <f ca="1">AF74-AF80</f>
        <v>1227888.7200000007</v>
      </c>
      <c r="AG82" s="175">
        <f ca="1">IF(AF82=0,"",IFERROR(AF82/AF$43,""))</f>
        <v>8.3344224213685827E-2</v>
      </c>
      <c r="AH82" s="165">
        <f ca="1">IF(AND($Z82="",AF82=""),"",$Z82-AF82)</f>
        <v>-2578156.5099999998</v>
      </c>
      <c r="AI82" s="536" t="str">
        <f ca="1">+IFERROR(ROUND(($AA82-AD82)*100,2)&amp;" pts.",0)</f>
        <v>-17.16 pts.</v>
      </c>
      <c r="AJ82" s="537"/>
      <c r="AK82" s="536" t="str">
        <f ca="1">+IFERROR(ROUND(($AA82-AG82)*100,2)&amp;" pts.",0)</f>
        <v>-18.77 pts.</v>
      </c>
      <c r="AL82" s="537"/>
    </row>
    <row r="83" spans="6:38" x14ac:dyDescent="0.25">
      <c r="G83" s="15" t="s">
        <v>519</v>
      </c>
      <c r="H83" s="15" t="s">
        <v>578</v>
      </c>
      <c r="I83" s="161" t="e">
        <f ca="1">_xll.EVPRO($B$1,$H83,"STYLE")</f>
        <v>#NAME?</v>
      </c>
      <c r="J83" s="161" t="e">
        <f ca="1">_xll.EVPRO($B$1,$H83,"CALC")</f>
        <v>#NAME?</v>
      </c>
      <c r="L83" s="1"/>
      <c r="M83" s="162" t="e">
        <f ca="1">IF(_xll.EVDES(H83,$B$1)="#NODATA","",_xll.EVDES(H83,$B$1))</f>
        <v>#NAME?</v>
      </c>
      <c r="N83" s="21"/>
      <c r="O83" s="21"/>
      <c r="P83" s="21"/>
      <c r="Q83" s="21"/>
      <c r="R83" s="21"/>
      <c r="S83" s="21"/>
      <c r="T83" s="21"/>
      <c r="U83" s="21"/>
      <c r="V83" s="21"/>
      <c r="W83" s="21"/>
      <c r="X83" s="21"/>
      <c r="Y83" s="21"/>
      <c r="Z83" s="21">
        <f>SUM(N83:Y83)</f>
        <v>0</v>
      </c>
      <c r="AA83" s="17" t="str">
        <f>IF(Z83=0,"",IFERROR(Z83/Z$43,""))</f>
        <v/>
      </c>
      <c r="AC83" s="21"/>
      <c r="AD83" s="17" t="str">
        <f>IF(AC83=0,"",IFERROR(AC83/AC$43,""))</f>
        <v/>
      </c>
      <c r="AE83" s="50">
        <f>IF(AND($Z83="",AC83=""),"",$Z83-AC83)</f>
        <v>0</v>
      </c>
      <c r="AF83" s="21"/>
      <c r="AG83" s="17" t="str">
        <f>IF(AF83=0,"",IFERROR(AF83/AF$43,""))</f>
        <v/>
      </c>
      <c r="AH83" s="50">
        <f>IF(AND($Z83="",AF83=""),"",$Z83-AF83)</f>
        <v>0</v>
      </c>
      <c r="AI83" s="528">
        <f>+IFERROR(ROUND(($AA83-AD83)*100,2)&amp;" pts.",0)</f>
        <v>0</v>
      </c>
      <c r="AJ83" s="529"/>
      <c r="AK83" s="528">
        <f>+IFERROR(ROUND(($AA83-AG83)*100,2)&amp;" pts.",0)</f>
        <v>0</v>
      </c>
      <c r="AL83" s="529"/>
    </row>
    <row r="84" spans="6:38" ht="15.75" thickBot="1" x14ac:dyDescent="0.3">
      <c r="F84" s="15" t="s">
        <v>579</v>
      </c>
      <c r="I84" s="1"/>
      <c r="J84" s="1"/>
      <c r="L84" s="1"/>
      <c r="M84" s="25" t="e">
        <f ca="1">IF(_xll.EVDES(F84,$B$1)="#NODATA","",_xll.EVDES(F84,$B$1))</f>
        <v>#NAME?</v>
      </c>
      <c r="N84" s="62">
        <f t="shared" ref="N84:Y84" ca="1" si="33">N82-N83</f>
        <v>240796.60000000003</v>
      </c>
      <c r="O84" s="62">
        <f t="shared" ca="1" si="33"/>
        <v>346167.69999999995</v>
      </c>
      <c r="P84" s="62">
        <f t="shared" ca="1" si="33"/>
        <v>254731.2200000002</v>
      </c>
      <c r="Q84" s="62">
        <f t="shared" ca="1" si="33"/>
        <v>-77860.000000000058</v>
      </c>
      <c r="R84" s="62">
        <f t="shared" ca="1" si="33"/>
        <v>-125792.15</v>
      </c>
      <c r="S84" s="62">
        <f t="shared" ca="1" si="33"/>
        <v>-265921.07999999996</v>
      </c>
      <c r="T84" s="62">
        <f t="shared" ca="1" si="33"/>
        <v>-300817.45999999996</v>
      </c>
      <c r="U84" s="62">
        <f t="shared" ca="1" si="33"/>
        <v>-432152.23000000004</v>
      </c>
      <c r="V84" s="62">
        <f t="shared" ca="1" si="33"/>
        <v>-482168.20999999996</v>
      </c>
      <c r="W84" s="62">
        <f t="shared" ca="1" si="33"/>
        <v>-373413.91999999993</v>
      </c>
      <c r="X84" s="62">
        <f t="shared" ca="1" si="33"/>
        <v>-272244.24999999988</v>
      </c>
      <c r="Y84" s="62">
        <f t="shared" ca="1" si="33"/>
        <v>138405.99000000005</v>
      </c>
      <c r="Z84" s="62">
        <f ca="1">SUM(N84:Y84)</f>
        <v>-1350267.7899999993</v>
      </c>
      <c r="AA84" s="63">
        <f ca="1">IF(Z84=0,"",IFERROR(Z84/Z$43,""))</f>
        <v>-0.1043466903817326</v>
      </c>
      <c r="AC84" s="62">
        <f ca="1">AC82-AC83</f>
        <v>1116745.623233173</v>
      </c>
      <c r="AD84" s="63">
        <f ca="1">IF(AC84=0,"",IFERROR(AC84/AC$43,""))</f>
        <v>6.7302207277906548E-2</v>
      </c>
      <c r="AE84" s="64">
        <f ca="1">IF(AND($Z84="",AC84=""),"",$Z84-AC84)</f>
        <v>-2467013.4132331721</v>
      </c>
      <c r="AF84" s="62">
        <f ca="1">AF82-AF83</f>
        <v>1227888.7200000007</v>
      </c>
      <c r="AG84" s="63">
        <f ca="1">IF(AF84=0,"",IFERROR(AF84/AF$43,""))</f>
        <v>8.3344224213685827E-2</v>
      </c>
      <c r="AH84" s="64">
        <f ca="1">IF(AND($Z84="",AF84=""),"",$Z84-AF84)</f>
        <v>-2578156.5099999998</v>
      </c>
      <c r="AI84" s="538" t="str">
        <f ca="1">+IFERROR(ROUND(($AA84-AD84)*100,2)&amp;" pts.",0)</f>
        <v>-17.16 pts.</v>
      </c>
      <c r="AJ84" s="539"/>
      <c r="AK84" s="538" t="str">
        <f ca="1">+IFERROR(ROUND(($AA84-AG84)*100,2)&amp;" pts.",0)</f>
        <v>-18.77 pts.</v>
      </c>
      <c r="AL84" s="539"/>
    </row>
    <row r="85" spans="6:38" ht="15.75" thickTop="1" x14ac:dyDescent="0.25">
      <c r="H85" s="11"/>
      <c r="J85" s="1"/>
      <c r="L85" s="1">
        <f ca="1">COUNTIF(N85:AH85,FALSE)</f>
        <v>0</v>
      </c>
      <c r="M85" s="226" t="str">
        <f ca="1">IF(L85=0,"","Net Income - database validation failed")</f>
        <v/>
      </c>
      <c r="N85" s="270" t="str">
        <f t="shared" ref="N85:Z85" ca="1" si="34">IF(ROUND(N84,2)&lt;&gt;ROUND(N105,2),N84-N105,"")</f>
        <v/>
      </c>
      <c r="O85" s="270" t="str">
        <f t="shared" ca="1" si="34"/>
        <v/>
      </c>
      <c r="P85" s="270" t="str">
        <f t="shared" ca="1" si="34"/>
        <v/>
      </c>
      <c r="Q85" s="270" t="str">
        <f t="shared" ca="1" si="34"/>
        <v/>
      </c>
      <c r="R85" s="270" t="str">
        <f t="shared" ca="1" si="34"/>
        <v/>
      </c>
      <c r="S85" s="270" t="str">
        <f t="shared" ca="1" si="34"/>
        <v/>
      </c>
      <c r="T85" s="270" t="str">
        <f t="shared" ca="1" si="34"/>
        <v/>
      </c>
      <c r="U85" s="270" t="str">
        <f t="shared" ca="1" si="34"/>
        <v/>
      </c>
      <c r="V85" s="270" t="str">
        <f t="shared" ca="1" si="34"/>
        <v/>
      </c>
      <c r="W85" s="270" t="str">
        <f t="shared" ca="1" si="34"/>
        <v/>
      </c>
      <c r="X85" s="270" t="str">
        <f t="shared" ca="1" si="34"/>
        <v/>
      </c>
      <c r="Y85" s="270" t="str">
        <f t="shared" ca="1" si="34"/>
        <v/>
      </c>
      <c r="Z85" s="270" t="str">
        <f t="shared" ca="1" si="34"/>
        <v/>
      </c>
      <c r="AA85" s="193" t="b">
        <f ca="1">Z85=""</f>
        <v>1</v>
      </c>
      <c r="AC85" s="270" t="str">
        <f ca="1">IF(ROUND(AC84,2)&lt;&gt;ROUND(AC105,2),AC84-AC105,"")</f>
        <v/>
      </c>
      <c r="AD85" s="228" t="b">
        <f ca="1">AC85=""</f>
        <v>1</v>
      </c>
      <c r="AE85" s="55"/>
      <c r="AF85" s="270" t="str">
        <f ca="1">IF(ROUND(AF84,2)&lt;&gt;ROUND(AF105,2),AF84-AF105,"")</f>
        <v/>
      </c>
      <c r="AG85" s="228" t="b">
        <f ca="1">AF85=""</f>
        <v>1</v>
      </c>
      <c r="AH85" s="55"/>
    </row>
    <row r="86" spans="6:38" x14ac:dyDescent="0.25">
      <c r="F86" s="15" t="s">
        <v>570</v>
      </c>
      <c r="I86" s="1"/>
      <c r="J86" s="1"/>
      <c r="L86" s="1"/>
      <c r="M86" s="25" t="e">
        <f ca="1">IF(_xll.EVDES(F86,$B$1)="#NODATA","",_xll.EVDES(F86,$B$1))</f>
        <v>#NAME?</v>
      </c>
      <c r="N86" s="164">
        <f t="shared" ref="N86:Y86" ca="1" si="35">N74</f>
        <v>541470.43000000005</v>
      </c>
      <c r="O86" s="164">
        <f t="shared" ca="1" si="35"/>
        <v>627278.69999999995</v>
      </c>
      <c r="P86" s="164">
        <f t="shared" ca="1" si="35"/>
        <v>566252.4700000002</v>
      </c>
      <c r="Q86" s="164">
        <f t="shared" ca="1" si="35"/>
        <v>230310.65999999997</v>
      </c>
      <c r="R86" s="164">
        <f t="shared" ca="1" si="35"/>
        <v>198340.93000000002</v>
      </c>
      <c r="S86" s="164">
        <f t="shared" ca="1" si="35"/>
        <v>51561.250000000029</v>
      </c>
      <c r="T86" s="164">
        <f t="shared" ca="1" si="35"/>
        <v>28518.190000000031</v>
      </c>
      <c r="U86" s="164">
        <f t="shared" ca="1" si="35"/>
        <v>-98005.560000000056</v>
      </c>
      <c r="V86" s="164">
        <f t="shared" ca="1" si="35"/>
        <v>-157010.47999999998</v>
      </c>
      <c r="W86" s="164">
        <f t="shared" ca="1" si="35"/>
        <v>-38630.01999999996</v>
      </c>
      <c r="X86" s="164">
        <f t="shared" ca="1" si="35"/>
        <v>52666.810000000085</v>
      </c>
      <c r="Y86" s="164">
        <f t="shared" ca="1" si="35"/>
        <v>473890.84</v>
      </c>
      <c r="Z86" s="164">
        <f ca="1">SUM(N86:Y86)</f>
        <v>2476644.2199999997</v>
      </c>
      <c r="AA86" s="175">
        <f ca="1">IF(Z86=0,"",IFERROR(Z86/Z$43,""))</f>
        <v>0.19139138882224818</v>
      </c>
      <c r="AC86" s="164">
        <f ca="1">AC74</f>
        <v>4770786.623233173</v>
      </c>
      <c r="AD86" s="175">
        <f ca="1">IF(AC86=0,"",IFERROR(AC86/AC$43,""))</f>
        <v>0.28751800187576054</v>
      </c>
      <c r="AE86" s="165">
        <f ca="1">IF(AND($Z86="",AC86=""),"",$Z86-AC86)</f>
        <v>-2294142.4032331733</v>
      </c>
      <c r="AF86" s="164">
        <f ca="1">AF74</f>
        <v>3865987.7600000007</v>
      </c>
      <c r="AG86" s="175">
        <f ca="1">IF(AF86=0,"",IFERROR(AF86/AF$43,""))</f>
        <v>0.26240794090591935</v>
      </c>
      <c r="AH86" s="165">
        <f ca="1">IF(AND($Z86="",AF86=""),"",$Z86-AF86)</f>
        <v>-1389343.540000001</v>
      </c>
    </row>
    <row r="87" spans="6:38" x14ac:dyDescent="0.25">
      <c r="G87" s="15" t="s">
        <v>519</v>
      </c>
      <c r="H87" s="15" t="s">
        <v>580</v>
      </c>
      <c r="I87" s="161" t="e">
        <f ca="1">_xll.EVPRO($B$1,$H87,"STYLE")</f>
        <v>#NAME?</v>
      </c>
      <c r="J87" s="161" t="e">
        <f ca="1">_xll.EVPRO($B$1,$H87,"CALC")</f>
        <v>#NAME?</v>
      </c>
      <c r="M87" s="162" t="e">
        <f ca="1">IF(_xll.EVDES(H87,$B$1)="#NODATA","",_xll.EVDES(H87,$B$1))</f>
        <v>#NAME?</v>
      </c>
      <c r="N87" s="21">
        <v>50374.64</v>
      </c>
      <c r="O87" s="21">
        <v>60107.44</v>
      </c>
      <c r="P87" s="21">
        <v>59816.37</v>
      </c>
      <c r="Q87" s="21">
        <v>45640.89</v>
      </c>
      <c r="R87" s="21">
        <v>42692.91</v>
      </c>
      <c r="S87" s="21">
        <v>36161.699999999997</v>
      </c>
      <c r="T87" s="21">
        <v>33832.5</v>
      </c>
      <c r="U87" s="21">
        <v>28420.93</v>
      </c>
      <c r="V87" s="21">
        <v>23925.65</v>
      </c>
      <c r="W87" s="21">
        <v>30438.23</v>
      </c>
      <c r="X87" s="21">
        <v>34616.67</v>
      </c>
      <c r="Y87" s="21">
        <v>52231.76</v>
      </c>
      <c r="Z87" s="21">
        <f>SUM(N87:Y87)</f>
        <v>498259.69</v>
      </c>
      <c r="AA87" s="17">
        <f>IF(Z87=0,"",IFERROR(Z87/Z$43,""))</f>
        <v>3.8504769192582229E-2</v>
      </c>
      <c r="AC87" s="21">
        <v>654450.23660399998</v>
      </c>
      <c r="AD87" s="17">
        <f>IF(AC87=0,"",IFERROR(AC87/AC$43,""))</f>
        <v>3.9441341484264522E-2</v>
      </c>
      <c r="AE87" s="50">
        <f>IF(AND($Z87="",AC87=""),"",$Z87-AC87)</f>
        <v>-156190.54660399997</v>
      </c>
      <c r="AF87" s="21">
        <v>594198.03</v>
      </c>
      <c r="AG87" s="17">
        <f>IF(AF87=0,"",IFERROR(AF87/AF$43,""))</f>
        <v>4.0331809416451349E-2</v>
      </c>
      <c r="AH87" s="50">
        <f>IF(AND($Z87="",AF87=""),"",$Z87-AF87)</f>
        <v>-95938.340000000026</v>
      </c>
    </row>
    <row r="88" spans="6:38" ht="15.75" thickBot="1" x14ac:dyDescent="0.3">
      <c r="I88" s="1"/>
      <c r="J88" s="1"/>
      <c r="L88" s="1"/>
      <c r="M88" s="25" t="s">
        <v>581</v>
      </c>
      <c r="N88" s="62">
        <f ca="1">N86-N87</f>
        <v>491095.79000000004</v>
      </c>
      <c r="O88" s="62">
        <f t="shared" ref="O88:Y88" ca="1" si="36">O86-O87</f>
        <v>567171.26</v>
      </c>
      <c r="P88" s="62">
        <f t="shared" ca="1" si="36"/>
        <v>506436.10000000021</v>
      </c>
      <c r="Q88" s="62">
        <f t="shared" ca="1" si="36"/>
        <v>184669.76999999996</v>
      </c>
      <c r="R88" s="62">
        <f t="shared" ca="1" si="36"/>
        <v>155648.02000000002</v>
      </c>
      <c r="S88" s="62">
        <f t="shared" ca="1" si="36"/>
        <v>15399.550000000032</v>
      </c>
      <c r="T88" s="62">
        <f t="shared" ca="1" si="36"/>
        <v>-5314.3099999999686</v>
      </c>
      <c r="U88" s="62">
        <f t="shared" ca="1" si="36"/>
        <v>-126426.49000000005</v>
      </c>
      <c r="V88" s="62">
        <f t="shared" ca="1" si="36"/>
        <v>-180936.12999999998</v>
      </c>
      <c r="W88" s="62">
        <f t="shared" ca="1" si="36"/>
        <v>-69068.249999999956</v>
      </c>
      <c r="X88" s="62">
        <f t="shared" ca="1" si="36"/>
        <v>18050.140000000087</v>
      </c>
      <c r="Y88" s="62">
        <f t="shared" ca="1" si="36"/>
        <v>421659.08</v>
      </c>
      <c r="Z88" s="62">
        <f ca="1">SUM(N88:Y88)</f>
        <v>1978384.5300000007</v>
      </c>
      <c r="AA88" s="63">
        <f ca="1">IF(Z88=0,"",IFERROR(Z88/Z$43,""))</f>
        <v>0.15288661962966602</v>
      </c>
      <c r="AC88" s="62">
        <f ca="1">AC86-AC87</f>
        <v>4116336.3866291731</v>
      </c>
      <c r="AD88" s="63">
        <f ca="1">IF(AC88=0,"",IFERROR(AC88/AC$43,""))</f>
        <v>0.24807666039149603</v>
      </c>
      <c r="AE88" s="64">
        <f ca="1">IF(AND($Z88="",AC88=""),"",$Z88-AC88)</f>
        <v>-2137951.8566291723</v>
      </c>
      <c r="AF88" s="62">
        <f ca="1">AF86-AF87</f>
        <v>3271789.7300000004</v>
      </c>
      <c r="AG88" s="63">
        <f ca="1">IF(AF88=0,"",IFERROR(AF88/AF$43,""))</f>
        <v>0.22207613148946795</v>
      </c>
      <c r="AH88" s="64">
        <f ca="1">IF(AND($Z88="",AF88=""),"",$Z88-AF88)</f>
        <v>-1293405.1999999997</v>
      </c>
    </row>
    <row r="89" spans="6:38" ht="15.75" thickTop="1" x14ac:dyDescent="0.25">
      <c r="H89" s="11"/>
      <c r="J89" s="1"/>
      <c r="M89" s="8" t="s">
        <v>754</v>
      </c>
      <c r="AD89" s="172">
        <f>+IF(AND(AE43&gt;0,AE61&gt;0),+AE61/+AE43)+IF(AND(AE43&gt;0,AE61&lt;0),AE61/+AE43)+IF(AND(AE43&lt;0,AE61&lt;0),+(1-(AE61/+AE43)))+IF(AND(AE43&lt;0,AE61&gt;0),+(1-(AE61/+AE43)))</f>
        <v>0.35263888135485288</v>
      </c>
      <c r="AE89" s="196" t="str">
        <f>IF(AE43&lt;0,"Flex","")</f>
        <v>Flex</v>
      </c>
      <c r="AG89" s="172">
        <f>+IF(AND(AH43&gt;0,AH61&gt;0),+AH61/+AH43)+IF(AND(AH43&gt;0,AH61&lt;0),AH61/+AH43)+IF(AND(AH43&lt;0,AH61&lt;0),+(1-(AH61/+AH43)))+IF(AND(AH43&lt;0,AH61&gt;0),+(1-(AH61/+AH43)))</f>
        <v>0.3725019700484582</v>
      </c>
      <c r="AH89" s="196" t="str">
        <f>IF(AH43&lt;0,"Flex","")</f>
        <v>Flex</v>
      </c>
    </row>
    <row r="90" spans="6:38" x14ac:dyDescent="0.25">
      <c r="H90" s="11"/>
      <c r="J90" s="1"/>
    </row>
    <row r="91" spans="6:38" hidden="1" outlineLevel="1" x14ac:dyDescent="0.25">
      <c r="H91" s="11"/>
      <c r="J91" s="1"/>
      <c r="M91" s="8" t="e">
        <f ca="1">M66</f>
        <v>#NAME?</v>
      </c>
    </row>
    <row r="92" spans="6:38" hidden="1" outlineLevel="1" x14ac:dyDescent="0.25">
      <c r="H92" s="11"/>
      <c r="J92" s="1"/>
      <c r="M92" s="8" t="s">
        <v>587</v>
      </c>
    </row>
    <row r="93" spans="6:38" hidden="1" outlineLevel="1" x14ac:dyDescent="0.25">
      <c r="G93" s="15" t="s">
        <v>519</v>
      </c>
      <c r="H93" s="15" t="s">
        <v>542</v>
      </c>
      <c r="I93" s="161" t="e">
        <f ca="1">_xll.EVPRO($B$1,$H93,"STYLE")</f>
        <v>#NAME?</v>
      </c>
      <c r="J93" s="161" t="e">
        <f ca="1">_xll.EVPRO($B$1,$H93,"CALC")</f>
        <v>#NAME?</v>
      </c>
      <c r="L93" s="1"/>
      <c r="M93" s="218" t="e">
        <f ca="1">IF(_xll.EVDES(H93,$B$1)="#NODATA","",_xll.EVDES(H93,$B$1))</f>
        <v>#NAME?</v>
      </c>
      <c r="N93" s="219"/>
      <c r="O93" s="219"/>
      <c r="P93" s="219"/>
      <c r="Q93" s="219"/>
      <c r="R93" s="219"/>
      <c r="S93" s="219"/>
      <c r="T93" s="219"/>
      <c r="U93" s="219"/>
      <c r="V93" s="219"/>
      <c r="W93" s="219"/>
      <c r="X93" s="219"/>
      <c r="Y93" s="219"/>
      <c r="Z93" s="219">
        <f>SUM(N93:Y93)</f>
        <v>0</v>
      </c>
      <c r="AA93" s="220"/>
      <c r="AC93" s="219"/>
      <c r="AD93" s="220"/>
      <c r="AE93" s="219">
        <f>IF(AND($Z93="",AC93=""),"",$Z93-AC93)</f>
        <v>0</v>
      </c>
      <c r="AF93" s="219"/>
      <c r="AG93" s="220"/>
      <c r="AH93" s="219">
        <f>IF(AND($Z93="",AF93=""),"",$Z93-AF93)</f>
        <v>0</v>
      </c>
    </row>
    <row r="94" spans="6:38" hidden="1" outlineLevel="1" x14ac:dyDescent="0.25">
      <c r="G94" s="15" t="s">
        <v>583</v>
      </c>
      <c r="H94" s="15" t="s">
        <v>584</v>
      </c>
      <c r="I94" s="161" t="e">
        <f ca="1">_xll.EVPRO($B$1,$H94,"STYLE")</f>
        <v>#NAME?</v>
      </c>
      <c r="J94" s="161" t="e">
        <f ca="1">_xll.EVPRO($B$1,$H94,"CALC")</f>
        <v>#NAME?</v>
      </c>
      <c r="L94" s="1"/>
      <c r="M94" s="221" t="e">
        <f ca="1">IF(_xll.EVDES(H94,$B$1)="#NODATA","",_xll.EVDES(H94,$B$1))&amp;"-"&amp;_xll.EVDES(G94)</f>
        <v>#NAME?</v>
      </c>
      <c r="N94" s="222" t="e">
        <f ca="1">_xll.EVGTS($B$1,1,$B$3,$B$5,$B$7,$B$9,N$16,N$17,N$18,$G$94,$H$94)</f>
        <v>#NAME?</v>
      </c>
      <c r="O94" s="222" t="e">
        <f ca="1">_xll.EVGTS($B$1,1,$B$3,$B$5,$B$7,$B$9,O$16,O$17,O$18,$G$94,$H$94)</f>
        <v>#NAME?</v>
      </c>
      <c r="P94" s="222" t="e">
        <f ca="1">_xll.EVGTS($B$1,1,$B$3,$B$5,$B$7,$B$9,P$16,P$17,P$18,$G$94,$H$94)</f>
        <v>#NAME?</v>
      </c>
      <c r="Q94" s="222" t="e">
        <f ca="1">_xll.EVGTS($B$1,1,$B$3,$B$5,$B$7,$B$9,Q$16,Q$17,Q$18,$G$94,$H$94)</f>
        <v>#NAME?</v>
      </c>
      <c r="R94" s="222" t="e">
        <f ca="1">_xll.EVGTS($B$1,1,$B$3,$B$5,$B$7,$B$9,R$16,R$17,R$18,$G$94,$H$94)</f>
        <v>#NAME?</v>
      </c>
      <c r="S94" s="222" t="e">
        <f ca="1">_xll.EVGTS($B$1,1,$B$3,$B$5,$B$7,$B$9,S$16,S$17,S$18,$G$94,$H$94)</f>
        <v>#NAME?</v>
      </c>
      <c r="T94" s="222" t="e">
        <f ca="1">_xll.EVGTS($B$1,1,$B$3,$B$5,$B$7,$B$9,T$16,T$17,T$18,$G$94,$H$94)</f>
        <v>#NAME?</v>
      </c>
      <c r="U94" s="222" t="e">
        <f ca="1">_xll.EVGTS($B$1,1,$B$3,$B$5,$B$7,$B$9,U$16,U$17,U$18,$G$94,$H$94)</f>
        <v>#NAME?</v>
      </c>
      <c r="V94" s="222" t="e">
        <f ca="1">_xll.EVGTS($B$1,1,$B$3,$B$5,$B$7,$B$9,V$16,V$17,V$18,$G$94,$H$94)</f>
        <v>#NAME?</v>
      </c>
      <c r="W94" s="222" t="e">
        <f ca="1">_xll.EVGTS($B$1,1,$B$3,$B$5,$B$7,$B$9,W$16,W$17,W$18,$G$94,$H$94)</f>
        <v>#NAME?</v>
      </c>
      <c r="X94" s="222" t="e">
        <f ca="1">_xll.EVGTS($B$1,1,$B$3,$B$5,$B$7,$B$9,X$16,X$17,X$18,$G$94,$H$94)</f>
        <v>#NAME?</v>
      </c>
      <c r="Y94" s="222" t="e">
        <f ca="1">_xll.EVGTS($B$1,1,$B$3,$B$5,$B$7,$B$9,Y$16,Y$17,Y$18,$G$94,$H$94)</f>
        <v>#NAME?</v>
      </c>
      <c r="Z94" s="219" t="e">
        <f ca="1">SUM(N94:Y94)</f>
        <v>#NAME?</v>
      </c>
      <c r="AA94" s="223"/>
      <c r="AC94" s="222" t="e">
        <f ca="1">_xll.EVGTS($B$1,1,$B$3,$B$5,$B$7,$B$9,AC$16,AC$17,AC$18,$G$94,$H$94)</f>
        <v>#NAME?</v>
      </c>
      <c r="AD94" s="223"/>
      <c r="AE94" s="219" t="e">
        <f ca="1">IF(AND($Z94="",AC94=""),"",$Z94-AC94)</f>
        <v>#NAME?</v>
      </c>
      <c r="AF94" s="222" t="e">
        <f ca="1">_xll.EVGTS($B$1,1,$B$3,$B$5,$B$7,$B$9,AF$16,AF$17,AF$18,$G$94,$H$94)</f>
        <v>#NAME?</v>
      </c>
      <c r="AG94" s="223"/>
      <c r="AH94" s="219" t="e">
        <f ca="1">IF(AND($Z94="",AF94=""),"",$Z94-AF94)</f>
        <v>#NAME?</v>
      </c>
    </row>
    <row r="95" spans="6:38" hidden="1" outlineLevel="1" x14ac:dyDescent="0.25">
      <c r="I95" s="1"/>
      <c r="J95" s="1"/>
      <c r="L95" s="1"/>
      <c r="M95" s="218" t="s">
        <v>585</v>
      </c>
      <c r="N95" s="219" t="str">
        <f t="shared" ref="N95:Y95" ca="1" si="37">IFERROR(N93-N94,"")</f>
        <v/>
      </c>
      <c r="O95" s="219" t="str">
        <f t="shared" ca="1" si="37"/>
        <v/>
      </c>
      <c r="P95" s="219" t="str">
        <f t="shared" ca="1" si="37"/>
        <v/>
      </c>
      <c r="Q95" s="219" t="str">
        <f t="shared" ca="1" si="37"/>
        <v/>
      </c>
      <c r="R95" s="219" t="str">
        <f t="shared" ca="1" si="37"/>
        <v/>
      </c>
      <c r="S95" s="219" t="str">
        <f t="shared" ca="1" si="37"/>
        <v/>
      </c>
      <c r="T95" s="219" t="str">
        <f t="shared" ca="1" si="37"/>
        <v/>
      </c>
      <c r="U95" s="219" t="str">
        <f t="shared" ca="1" si="37"/>
        <v/>
      </c>
      <c r="V95" s="219" t="str">
        <f t="shared" ca="1" si="37"/>
        <v/>
      </c>
      <c r="W95" s="219" t="str">
        <f t="shared" ca="1" si="37"/>
        <v/>
      </c>
      <c r="X95" s="219" t="str">
        <f t="shared" ca="1" si="37"/>
        <v/>
      </c>
      <c r="Y95" s="219" t="str">
        <f t="shared" ca="1" si="37"/>
        <v/>
      </c>
      <c r="Z95" s="219">
        <f ca="1">SUM(N95:Y95)</f>
        <v>0</v>
      </c>
      <c r="AA95" s="220"/>
      <c r="AC95" s="219" t="str">
        <f ca="1">IFERROR(AC93-AC94,"")</f>
        <v/>
      </c>
      <c r="AD95" s="220"/>
      <c r="AE95" s="219" t="e">
        <f ca="1">IF(AND($Z95="",AC95=""),"",$Z95-AC95)</f>
        <v>#VALUE!</v>
      </c>
      <c r="AF95" s="219" t="str">
        <f ca="1">IFERROR(AF93-AF94,"")</f>
        <v/>
      </c>
      <c r="AG95" s="220"/>
      <c r="AH95" s="219" t="e">
        <f ca="1">IF(AND($Z95="",AF95=""),"",$Z95-AF95)</f>
        <v>#VALUE!</v>
      </c>
    </row>
    <row r="96" spans="6:38" hidden="1" outlineLevel="1" x14ac:dyDescent="0.25">
      <c r="I96" s="1"/>
      <c r="J96" s="1"/>
      <c r="L96" s="1"/>
    </row>
    <row r="97" spans="7:34" hidden="1" outlineLevel="1" x14ac:dyDescent="0.25">
      <c r="G97" s="15" t="s">
        <v>499</v>
      </c>
      <c r="H97" s="15">
        <v>400000</v>
      </c>
      <c r="I97" s="161" t="e">
        <f ca="1">_xll.EVPRO($B$1,$H97,"STYLE")</f>
        <v>#NAME?</v>
      </c>
      <c r="J97" s="161" t="e">
        <f ca="1">_xll.EVPRO($B$1,$H97,"CALC")</f>
        <v>#NAME?</v>
      </c>
      <c r="M97" s="162" t="e">
        <f ca="1">IF(_xll.EVDES(H97,$B$1)="#NODATA","",_xll.EVDES(H97,$B$1))</f>
        <v>#NAME?</v>
      </c>
      <c r="N97" s="21">
        <v>1462163.77</v>
      </c>
      <c r="O97" s="21">
        <v>1536607.44</v>
      </c>
      <c r="P97" s="21">
        <v>1534404.07</v>
      </c>
      <c r="Q97" s="21">
        <v>1170305.3999999999</v>
      </c>
      <c r="R97" s="21">
        <v>1083534.47</v>
      </c>
      <c r="S97" s="21">
        <v>874742.07</v>
      </c>
      <c r="T97" s="21">
        <v>843943.44</v>
      </c>
      <c r="U97" s="21">
        <v>720102.67</v>
      </c>
      <c r="V97" s="21">
        <v>617829.5</v>
      </c>
      <c r="W97" s="21">
        <v>778731.4</v>
      </c>
      <c r="X97" s="21">
        <v>879556.18</v>
      </c>
      <c r="Y97" s="21">
        <v>1438286.75</v>
      </c>
      <c r="Z97" s="21">
        <f t="shared" ref="Z97:Z105" si="38">SUM(N97:Y97)</f>
        <v>12940207.16</v>
      </c>
      <c r="AA97" s="17">
        <f t="shared" ref="AA97:AA105" si="39">IF(N97=0,"",IFERROR(N97/N$43,""))</f>
        <v>1</v>
      </c>
      <c r="AC97" s="21">
        <v>16593001.4542</v>
      </c>
      <c r="AD97" s="17">
        <f t="shared" ref="AD97:AD105" si="40">IF(AC97=0,"",IFERROR(AC97/AC$43,""))</f>
        <v>1</v>
      </c>
      <c r="AE97" s="50">
        <f t="shared" ref="AE97:AE105" si="41">IF(AND($Z97="",AC97=""),"",$Z97-AC97)</f>
        <v>-3652794.2941999994</v>
      </c>
      <c r="AF97" s="21">
        <v>14732739.210000001</v>
      </c>
      <c r="AG97" s="17">
        <f>IF(AF97=0,"",IFERROR(AF97/AF$43,""))</f>
        <v>1</v>
      </c>
      <c r="AH97" s="50">
        <f>IF(AND($Z97="",AF97=""),"",$Z97-AF97)</f>
        <v>-1792532.0500000007</v>
      </c>
    </row>
    <row r="98" spans="7:34" hidden="1" outlineLevel="1" x14ac:dyDescent="0.25">
      <c r="G98" s="15" t="s">
        <v>563</v>
      </c>
      <c r="H98" s="15" t="s">
        <v>464</v>
      </c>
      <c r="I98" s="161" t="e">
        <f ca="1">_xll.EVPRO($B$1,$H98,"STYLE")</f>
        <v>#NAME?</v>
      </c>
      <c r="J98" s="161" t="e">
        <f ca="1">_xll.EVPRO($B$1,$H98,"CALC")</f>
        <v>#NAME?</v>
      </c>
      <c r="M98" s="162" t="e">
        <f ca="1">IF(_xll.EVDES(H98,$B$1)="#NODATA","",_xll.EVDES(H98,$B$1))</f>
        <v>#NAME?</v>
      </c>
      <c r="N98" s="21">
        <v>443306.6</v>
      </c>
      <c r="O98" s="21">
        <v>416734.43</v>
      </c>
      <c r="P98" s="21">
        <v>456390.08</v>
      </c>
      <c r="Q98" s="21">
        <v>434138.35</v>
      </c>
      <c r="R98" s="21">
        <v>387013.86</v>
      </c>
      <c r="S98" s="21">
        <v>350446.54</v>
      </c>
      <c r="T98" s="21">
        <v>371126.6</v>
      </c>
      <c r="U98" s="21">
        <v>361928.61</v>
      </c>
      <c r="V98" s="21">
        <v>308018.18</v>
      </c>
      <c r="W98" s="21">
        <v>340703.43</v>
      </c>
      <c r="X98" s="21">
        <v>337329.85</v>
      </c>
      <c r="Y98" s="21">
        <v>433257.35</v>
      </c>
      <c r="Z98" s="21">
        <f t="shared" si="38"/>
        <v>4640393.88</v>
      </c>
      <c r="AA98" s="17">
        <f t="shared" si="39"/>
        <v>0.30318532649731839</v>
      </c>
      <c r="AC98" s="21">
        <v>5708666.0154605396</v>
      </c>
      <c r="AD98" s="17">
        <f t="shared" si="40"/>
        <v>0.34404059031861106</v>
      </c>
      <c r="AE98" s="50">
        <f t="shared" si="41"/>
        <v>-1068272.1354605397</v>
      </c>
      <c r="AF98" s="21">
        <v>5283053.33</v>
      </c>
      <c r="AG98" s="17">
        <f t="shared" ref="AG98:AG105" si="42">IF(AF98=0,"",IFERROR(AF98/AF$43,""))</f>
        <v>0.35859274060957191</v>
      </c>
      <c r="AH98" s="50">
        <f t="shared" ref="AH98:AH105" si="43">IF(AND($Z98="",AF98=""),"",$Z98-AF98)</f>
        <v>-642659.45000000019</v>
      </c>
    </row>
    <row r="99" spans="7:34" hidden="1" outlineLevel="1" x14ac:dyDescent="0.25">
      <c r="G99" s="15" t="s">
        <v>563</v>
      </c>
      <c r="H99" s="15" t="s">
        <v>56</v>
      </c>
      <c r="I99" s="161" t="e">
        <f ca="1">_xll.EVPRO($B$1,$H99,"STYLE")</f>
        <v>#NAME?</v>
      </c>
      <c r="J99" s="161" t="e">
        <f ca="1">_xll.EVPRO($B$1,$H99,"CALC")</f>
        <v>#NAME?</v>
      </c>
      <c r="L99" s="11" t="s">
        <v>591</v>
      </c>
      <c r="M99" s="162" t="e">
        <f ca="1">IF(_xll.EVDES(H99,$B$1)="#NODATA","",_xll.EVDES(H99,$B$1))</f>
        <v>#NAME?</v>
      </c>
      <c r="N99" s="21">
        <v>1018857.17</v>
      </c>
      <c r="O99" s="21">
        <v>1119873.01</v>
      </c>
      <c r="P99" s="21">
        <v>1078013.99</v>
      </c>
      <c r="Q99" s="21">
        <v>736167.049999999</v>
      </c>
      <c r="R99" s="21">
        <v>696520.61</v>
      </c>
      <c r="S99" s="21">
        <v>524295.53</v>
      </c>
      <c r="T99" s="21">
        <v>472816.84000000102</v>
      </c>
      <c r="U99" s="21">
        <v>358174.06</v>
      </c>
      <c r="V99" s="21">
        <v>309811.32</v>
      </c>
      <c r="W99" s="21">
        <v>438027.97</v>
      </c>
      <c r="X99" s="21">
        <v>542226.32999999996</v>
      </c>
      <c r="Y99" s="21">
        <v>1005029.4</v>
      </c>
      <c r="Z99" s="21">
        <f t="shared" si="38"/>
        <v>8299813.2800000003</v>
      </c>
      <c r="AA99" s="17">
        <f t="shared" si="39"/>
        <v>0.69681467350268156</v>
      </c>
      <c r="AC99" s="21">
        <v>10884335.438739499</v>
      </c>
      <c r="AD99" s="17">
        <f t="shared" si="40"/>
        <v>0.65595940968139133</v>
      </c>
      <c r="AE99" s="50">
        <f t="shared" si="41"/>
        <v>-2584522.1587394988</v>
      </c>
      <c r="AF99" s="21">
        <v>9449685.8800000008</v>
      </c>
      <c r="AG99" s="17">
        <f t="shared" si="42"/>
        <v>0.64140725939042809</v>
      </c>
      <c r="AH99" s="50">
        <f t="shared" si="43"/>
        <v>-1149872.6000000006</v>
      </c>
    </row>
    <row r="100" spans="7:34" hidden="1" outlineLevel="1" x14ac:dyDescent="0.25">
      <c r="G100" s="15" t="s">
        <v>566</v>
      </c>
      <c r="H100" s="15" t="s">
        <v>464</v>
      </c>
      <c r="I100" s="161" t="e">
        <f ca="1">_xll.EVPRO($B$1,$H100,"STYLE")</f>
        <v>#NAME?</v>
      </c>
      <c r="J100" s="161" t="e">
        <f ca="1">_xll.EVPRO($B$1,$H100,"CALC")</f>
        <v>#NAME?</v>
      </c>
      <c r="M100" s="162" t="e">
        <f ca="1">IF(_xll.EVDES(H100,$B$1)="#NODATA","",_xll.EVDES(H100,$B$1))</f>
        <v>#NAME?</v>
      </c>
      <c r="N100" s="21">
        <v>290562.83</v>
      </c>
      <c r="O100" s="21">
        <v>297315.65000000002</v>
      </c>
      <c r="P100" s="21">
        <v>316949.53999999998</v>
      </c>
      <c r="Q100" s="21">
        <v>306856.90999999997</v>
      </c>
      <c r="R100" s="21">
        <v>317929.59999999998</v>
      </c>
      <c r="S100" s="21">
        <v>297137.19</v>
      </c>
      <c r="T100" s="21">
        <v>271736.05</v>
      </c>
      <c r="U100" s="21">
        <v>266545.91999999998</v>
      </c>
      <c r="V100" s="21">
        <v>281914.82</v>
      </c>
      <c r="W100" s="21">
        <v>286082.25</v>
      </c>
      <c r="X100" s="21">
        <v>295349.12</v>
      </c>
      <c r="Y100" s="21">
        <v>333228.96000000002</v>
      </c>
      <c r="Z100" s="21">
        <f t="shared" si="38"/>
        <v>3561608.8399999994</v>
      </c>
      <c r="AA100" s="17">
        <f t="shared" si="39"/>
        <v>0.19872112547283263</v>
      </c>
      <c r="AC100" s="21">
        <v>3781453.9982655202</v>
      </c>
      <c r="AD100" s="17">
        <f t="shared" si="40"/>
        <v>0.22789451376250938</v>
      </c>
      <c r="AE100" s="50">
        <f t="shared" si="41"/>
        <v>-219845.15826552082</v>
      </c>
      <c r="AF100" s="21">
        <v>3586671.11</v>
      </c>
      <c r="AG100" s="17">
        <f t="shared" si="42"/>
        <v>0.24344903272064364</v>
      </c>
      <c r="AH100" s="50">
        <f t="shared" si="43"/>
        <v>-25062.270000000484</v>
      </c>
    </row>
    <row r="101" spans="7:34" hidden="1" outlineLevel="1" x14ac:dyDescent="0.25">
      <c r="G101" s="15" t="s">
        <v>568</v>
      </c>
      <c r="H101" s="15" t="s">
        <v>567</v>
      </c>
      <c r="I101" s="161" t="e">
        <f ca="1">_xll.EVPRO($B$1,$H101,"STYLE")</f>
        <v>#NAME?</v>
      </c>
      <c r="J101" s="161" t="e">
        <f ca="1">_xll.EVPRO($B$1,$H101,"CALC")</f>
        <v>#NAME?</v>
      </c>
      <c r="M101" s="162" t="e">
        <f ca="1">IF(_xll.EVDES(H101,$B$1)="#NODATA","",_xll.EVDES(H101,$B$1))</f>
        <v>#NAME?</v>
      </c>
      <c r="N101" s="21">
        <v>728294.34</v>
      </c>
      <c r="O101" s="21">
        <v>822557.36000000103</v>
      </c>
      <c r="P101" s="21">
        <v>761064.44999999902</v>
      </c>
      <c r="Q101" s="21">
        <v>429310.13999999902</v>
      </c>
      <c r="R101" s="21">
        <v>378591.01</v>
      </c>
      <c r="S101" s="21">
        <v>227158.34</v>
      </c>
      <c r="T101" s="21">
        <v>201080.790000001</v>
      </c>
      <c r="U101" s="21">
        <v>91628.139999999796</v>
      </c>
      <c r="V101" s="21">
        <v>27896.5</v>
      </c>
      <c r="W101" s="21">
        <v>151945.72</v>
      </c>
      <c r="X101" s="21">
        <v>246877.21</v>
      </c>
      <c r="Y101" s="21">
        <v>671800.43999999901</v>
      </c>
      <c r="Z101" s="21">
        <f t="shared" si="38"/>
        <v>4738204.4399999995</v>
      </c>
      <c r="AA101" s="17">
        <f t="shared" si="39"/>
        <v>0.4980935480298489</v>
      </c>
      <c r="AC101" s="21">
        <v>7102881.4404739402</v>
      </c>
      <c r="AD101" s="17">
        <f t="shared" si="40"/>
        <v>0.42806489591887958</v>
      </c>
      <c r="AE101" s="50">
        <f t="shared" si="41"/>
        <v>-2364677.0004739407</v>
      </c>
      <c r="AF101" s="21">
        <v>5863014.7699999996</v>
      </c>
      <c r="AG101" s="17">
        <f t="shared" si="42"/>
        <v>0.39795822666978431</v>
      </c>
      <c r="AH101" s="50">
        <f t="shared" si="43"/>
        <v>-1124810.33</v>
      </c>
    </row>
    <row r="102" spans="7:34" hidden="1" outlineLevel="1" x14ac:dyDescent="0.25">
      <c r="G102" s="15" t="s">
        <v>568</v>
      </c>
      <c r="H102" s="15" t="s">
        <v>574</v>
      </c>
      <c r="I102" s="161" t="e">
        <f ca="1">_xll.EVPRO($B$1,$H102,"STYLE")</f>
        <v>#NAME?</v>
      </c>
      <c r="J102" s="161" t="e">
        <f ca="1">_xll.EVPRO($B$1,$H102,"CALC")</f>
        <v>#NAME?</v>
      </c>
      <c r="M102" s="162" t="e">
        <f ca="1">IF(_xll.EVDES(H102,$B$1)="#NODATA","",_xll.EVDES(H102,$B$1))</f>
        <v>#NAME?</v>
      </c>
      <c r="N102" s="21">
        <v>687597.33</v>
      </c>
      <c r="O102" s="21">
        <v>773720.06000000099</v>
      </c>
      <c r="P102" s="21">
        <v>712463.63999999897</v>
      </c>
      <c r="Q102" s="21">
        <v>392226.90999999898</v>
      </c>
      <c r="R102" s="21">
        <v>343903.02</v>
      </c>
      <c r="S102" s="21">
        <v>197776.96</v>
      </c>
      <c r="T102" s="21">
        <v>173591.88000000099</v>
      </c>
      <c r="U102" s="21">
        <v>68536.139999999796</v>
      </c>
      <c r="V102" s="21">
        <v>8456.9100000000308</v>
      </c>
      <c r="W102" s="21">
        <v>127214.66</v>
      </c>
      <c r="X102" s="21">
        <v>218751.17</v>
      </c>
      <c r="Y102" s="21">
        <v>629362.14999999898</v>
      </c>
      <c r="Z102" s="21">
        <f t="shared" si="38"/>
        <v>4333600.8299999991</v>
      </c>
      <c r="AA102" s="17">
        <f t="shared" si="39"/>
        <v>0.47026013371949432</v>
      </c>
      <c r="AC102" s="21">
        <v>6571140.6232331898</v>
      </c>
      <c r="AD102" s="17">
        <f t="shared" si="40"/>
        <v>0.39601880596291461</v>
      </c>
      <c r="AE102" s="50">
        <f t="shared" si="41"/>
        <v>-2237539.7932331907</v>
      </c>
      <c r="AF102" s="21">
        <v>5382285.54</v>
      </c>
      <c r="AG102" s="17">
        <f t="shared" si="42"/>
        <v>0.36532823009225041</v>
      </c>
      <c r="AH102" s="50">
        <f t="shared" si="43"/>
        <v>-1048684.7100000009</v>
      </c>
    </row>
    <row r="103" spans="7:34" hidden="1" outlineLevel="1" x14ac:dyDescent="0.25">
      <c r="G103" s="15" t="s">
        <v>499</v>
      </c>
      <c r="H103" s="15" t="s">
        <v>570</v>
      </c>
      <c r="I103" s="161" t="e">
        <f ca="1">_xll.EVPRO($B$1,$H103,"STYLE")</f>
        <v>#NAME?</v>
      </c>
      <c r="J103" s="161" t="e">
        <f ca="1">_xll.EVPRO($B$1,$H103,"CALC")</f>
        <v>#NAME?</v>
      </c>
      <c r="M103" s="162" t="e">
        <f ca="1">IF(_xll.EVDES(H103,$B$1)="#NODATA","",_xll.EVDES(H103,$B$1))</f>
        <v>#NAME?</v>
      </c>
      <c r="N103" s="21">
        <v>541470.43000000098</v>
      </c>
      <c r="O103" s="21">
        <v>627278.69999999995</v>
      </c>
      <c r="P103" s="21">
        <v>566252.47</v>
      </c>
      <c r="Q103" s="21">
        <v>230310.66</v>
      </c>
      <c r="R103" s="21">
        <v>198340.93</v>
      </c>
      <c r="S103" s="21">
        <v>51561.249999999898</v>
      </c>
      <c r="T103" s="21">
        <v>28518.190000000101</v>
      </c>
      <c r="U103" s="21">
        <v>-98005.560000000201</v>
      </c>
      <c r="V103" s="21">
        <v>-157010.48000000001</v>
      </c>
      <c r="W103" s="21">
        <v>-38630.019999999997</v>
      </c>
      <c r="X103" s="21">
        <v>52666.809999999801</v>
      </c>
      <c r="Y103" s="21">
        <v>473890.84</v>
      </c>
      <c r="Z103" s="21">
        <f t="shared" si="38"/>
        <v>2476644.2200000007</v>
      </c>
      <c r="AA103" s="17">
        <f t="shared" si="39"/>
        <v>0.37032132864296108</v>
      </c>
      <c r="AC103" s="21">
        <v>4770786.6232331898</v>
      </c>
      <c r="AD103" s="17">
        <f t="shared" si="40"/>
        <v>0.28751800187576154</v>
      </c>
      <c r="AE103" s="50">
        <f t="shared" si="41"/>
        <v>-2294142.4032331891</v>
      </c>
      <c r="AF103" s="21">
        <v>3865987.76</v>
      </c>
      <c r="AG103" s="17">
        <f t="shared" si="42"/>
        <v>0.26240794090591923</v>
      </c>
      <c r="AH103" s="50">
        <f t="shared" si="43"/>
        <v>-1389343.5399999991</v>
      </c>
    </row>
    <row r="104" spans="7:34" hidden="1" outlineLevel="1" x14ac:dyDescent="0.25">
      <c r="G104" s="15" t="s">
        <v>499</v>
      </c>
      <c r="H104" s="15" t="s">
        <v>577</v>
      </c>
      <c r="I104" s="161" t="e">
        <f ca="1">_xll.EVPRO($B$1,$H104,"STYLE")</f>
        <v>#NAME?</v>
      </c>
      <c r="J104" s="161" t="e">
        <f ca="1">_xll.EVPRO($B$1,$H104,"CALC")</f>
        <v>#NAME?</v>
      </c>
      <c r="M104" s="162" t="e">
        <f ca="1">IF(_xll.EVDES(H104,$B$1)="#NODATA","",_xll.EVDES(H104,$B$1))</f>
        <v>#NAME?</v>
      </c>
      <c r="N104" s="21">
        <v>240796.600000001</v>
      </c>
      <c r="O104" s="21">
        <v>346167.7</v>
      </c>
      <c r="P104" s="21">
        <v>254731.22</v>
      </c>
      <c r="Q104" s="21">
        <v>-77860.000000000204</v>
      </c>
      <c r="R104" s="21">
        <v>-125792.15</v>
      </c>
      <c r="S104" s="21">
        <v>-265921.08</v>
      </c>
      <c r="T104" s="21">
        <v>-300817.46000000002</v>
      </c>
      <c r="U104" s="21">
        <v>-432152.23</v>
      </c>
      <c r="V104" s="21">
        <v>-482168.21</v>
      </c>
      <c r="W104" s="21">
        <v>-373413.92</v>
      </c>
      <c r="X104" s="21">
        <v>-272244.25</v>
      </c>
      <c r="Y104" s="21">
        <v>138405.99</v>
      </c>
      <c r="Z104" s="21">
        <f t="shared" si="38"/>
        <v>-1350267.7899999993</v>
      </c>
      <c r="AA104" s="17">
        <f t="shared" si="39"/>
        <v>0.16468510911058956</v>
      </c>
      <c r="AC104" s="21">
        <v>1116745.62323319</v>
      </c>
      <c r="AD104" s="17">
        <f t="shared" si="40"/>
        <v>6.7302207277907561E-2</v>
      </c>
      <c r="AE104" s="50">
        <f t="shared" si="41"/>
        <v>-2467013.4132331894</v>
      </c>
      <c r="AF104" s="21">
        <v>1227888.72</v>
      </c>
      <c r="AG104" s="17">
        <f t="shared" si="42"/>
        <v>8.3344224213685786E-2</v>
      </c>
      <c r="AH104" s="50">
        <f t="shared" si="43"/>
        <v>-2578156.5099999993</v>
      </c>
    </row>
    <row r="105" spans="7:34" hidden="1" outlineLevel="1" x14ac:dyDescent="0.25">
      <c r="G105" s="15" t="s">
        <v>499</v>
      </c>
      <c r="H105" s="15" t="s">
        <v>579</v>
      </c>
      <c r="I105" s="27" t="e">
        <f ca="1">_xll.EVPRO($B$1,$H105,"STYLE")</f>
        <v>#NAME?</v>
      </c>
      <c r="J105" s="27" t="e">
        <f ca="1">_xll.EVPRO($B$1,$H105,"CALC")</f>
        <v>#NAME?</v>
      </c>
      <c r="M105" s="162" t="e">
        <f ca="1">IF(_xll.EVDES(H105,$B$1)="#NODATA","",_xll.EVDES(H105,$B$1))</f>
        <v>#NAME?</v>
      </c>
      <c r="N105" s="21">
        <v>240796.600000001</v>
      </c>
      <c r="O105" s="21">
        <v>346167.7</v>
      </c>
      <c r="P105" s="21">
        <v>254731.22</v>
      </c>
      <c r="Q105" s="21">
        <v>-77860.000000000204</v>
      </c>
      <c r="R105" s="21">
        <v>-125792.15</v>
      </c>
      <c r="S105" s="21">
        <v>-265921.08</v>
      </c>
      <c r="T105" s="21">
        <v>-300817.46000000002</v>
      </c>
      <c r="U105" s="21">
        <v>-432152.23</v>
      </c>
      <c r="V105" s="21">
        <v>-482168.21</v>
      </c>
      <c r="W105" s="21">
        <v>-373413.92</v>
      </c>
      <c r="X105" s="21">
        <v>-272244.25</v>
      </c>
      <c r="Y105" s="21">
        <v>138405.99</v>
      </c>
      <c r="Z105" s="21">
        <f t="shared" si="38"/>
        <v>-1350267.7899999993</v>
      </c>
      <c r="AA105" s="17">
        <f t="shared" si="39"/>
        <v>0.16468510911058956</v>
      </c>
      <c r="AC105" s="21">
        <v>1116745.62323319</v>
      </c>
      <c r="AD105" s="17">
        <f t="shared" si="40"/>
        <v>6.7302207277907561E-2</v>
      </c>
      <c r="AE105" s="50">
        <f t="shared" si="41"/>
        <v>-2467013.4132331894</v>
      </c>
      <c r="AF105" s="21">
        <v>1227888.72</v>
      </c>
      <c r="AG105" s="17">
        <f t="shared" si="42"/>
        <v>8.3344224213685786E-2</v>
      </c>
      <c r="AH105" s="50">
        <f t="shared" si="43"/>
        <v>-2578156.5099999993</v>
      </c>
    </row>
    <row r="106" spans="7:34" collapsed="1" x14ac:dyDescent="0.25"/>
    <row r="107" spans="7:34" x14ac:dyDescent="0.25">
      <c r="M107" s="540" t="s">
        <v>826</v>
      </c>
      <c r="N107" s="540"/>
      <c r="O107" s="540"/>
      <c r="P107" s="540"/>
      <c r="Q107" s="540"/>
      <c r="R107" s="540"/>
      <c r="S107" s="540"/>
      <c r="T107" s="540"/>
      <c r="U107" s="540"/>
      <c r="V107" s="540"/>
      <c r="W107" s="540"/>
      <c r="X107" s="540"/>
      <c r="Y107" s="540"/>
      <c r="Z107" s="540"/>
      <c r="AA107" s="540"/>
      <c r="AB107" s="540"/>
      <c r="AC107" s="540"/>
      <c r="AD107" s="540"/>
      <c r="AE107" s="540"/>
      <c r="AF107" s="540"/>
      <c r="AG107" s="540"/>
      <c r="AH107" s="540"/>
    </row>
    <row r="108" spans="7:34" x14ac:dyDescent="0.25">
      <c r="M108" s="540"/>
      <c r="N108" s="540"/>
      <c r="O108" s="540"/>
      <c r="P108" s="540"/>
      <c r="Q108" s="540"/>
      <c r="R108" s="540"/>
      <c r="S108" s="540"/>
      <c r="T108" s="540"/>
      <c r="U108" s="540"/>
      <c r="V108" s="540"/>
      <c r="W108" s="540"/>
      <c r="X108" s="540"/>
      <c r="Y108" s="540"/>
      <c r="Z108" s="540"/>
      <c r="AA108" s="540"/>
      <c r="AB108" s="540"/>
      <c r="AC108" s="540"/>
      <c r="AD108" s="540"/>
      <c r="AE108" s="540"/>
      <c r="AF108" s="540"/>
      <c r="AG108" s="540"/>
      <c r="AH108" s="540"/>
    </row>
    <row r="109" spans="7:34" x14ac:dyDescent="0.25">
      <c r="M109" s="540"/>
      <c r="N109" s="540"/>
      <c r="O109" s="540"/>
      <c r="P109" s="540"/>
      <c r="Q109" s="540"/>
      <c r="R109" s="540"/>
      <c r="S109" s="540"/>
      <c r="T109" s="540"/>
      <c r="U109" s="540"/>
      <c r="V109" s="540"/>
      <c r="W109" s="540"/>
      <c r="X109" s="540"/>
      <c r="Y109" s="540"/>
      <c r="Z109" s="540"/>
      <c r="AA109" s="540"/>
      <c r="AB109" s="540"/>
      <c r="AC109" s="540"/>
      <c r="AD109" s="540"/>
      <c r="AE109" s="540"/>
      <c r="AF109" s="540"/>
      <c r="AG109" s="540"/>
      <c r="AH109" s="540"/>
    </row>
    <row r="110" spans="7:34" x14ac:dyDescent="0.25">
      <c r="M110" s="540"/>
      <c r="N110" s="540"/>
      <c r="O110" s="540"/>
      <c r="P110" s="540"/>
      <c r="Q110" s="540"/>
      <c r="R110" s="540"/>
      <c r="S110" s="540"/>
      <c r="T110" s="540"/>
      <c r="U110" s="540"/>
      <c r="V110" s="540"/>
      <c r="W110" s="540"/>
      <c r="X110" s="540"/>
      <c r="Y110" s="540"/>
      <c r="Z110" s="540"/>
      <c r="AA110" s="540"/>
      <c r="AB110" s="540"/>
      <c r="AC110" s="540"/>
      <c r="AD110" s="540"/>
      <c r="AE110" s="540"/>
      <c r="AF110" s="540"/>
      <c r="AG110" s="540"/>
      <c r="AH110" s="540"/>
    </row>
    <row r="111" spans="7:34" x14ac:dyDescent="0.25">
      <c r="M111" s="540"/>
      <c r="N111" s="540"/>
      <c r="O111" s="540"/>
      <c r="P111" s="540"/>
      <c r="Q111" s="540"/>
      <c r="R111" s="540"/>
      <c r="S111" s="540"/>
      <c r="T111" s="540"/>
      <c r="U111" s="540"/>
      <c r="V111" s="540"/>
      <c r="W111" s="540"/>
      <c r="X111" s="540"/>
      <c r="Y111" s="540"/>
      <c r="Z111" s="540"/>
      <c r="AA111" s="540"/>
      <c r="AB111" s="540"/>
      <c r="AC111" s="540"/>
      <c r="AD111" s="540"/>
      <c r="AE111" s="540"/>
      <c r="AF111" s="540"/>
      <c r="AG111" s="540"/>
      <c r="AH111" s="540"/>
    </row>
    <row r="112" spans="7:34" x14ac:dyDescent="0.25">
      <c r="M112" s="540"/>
      <c r="N112" s="540"/>
      <c r="O112" s="540"/>
      <c r="P112" s="540"/>
      <c r="Q112" s="540"/>
      <c r="R112" s="540"/>
      <c r="S112" s="540"/>
      <c r="T112" s="540"/>
      <c r="U112" s="540"/>
      <c r="V112" s="540"/>
      <c r="W112" s="540"/>
      <c r="X112" s="540"/>
      <c r="Y112" s="540"/>
      <c r="Z112" s="540"/>
      <c r="AA112" s="540"/>
      <c r="AB112" s="540"/>
      <c r="AC112" s="540"/>
      <c r="AD112" s="540"/>
      <c r="AE112" s="540"/>
      <c r="AF112" s="540"/>
      <c r="AG112" s="540"/>
      <c r="AH112" s="540"/>
    </row>
    <row r="113" spans="13:34" x14ac:dyDescent="0.25">
      <c r="M113" s="540"/>
      <c r="N113" s="540"/>
      <c r="O113" s="540"/>
      <c r="P113" s="540"/>
      <c r="Q113" s="540"/>
      <c r="R113" s="540"/>
      <c r="S113" s="540"/>
      <c r="T113" s="540"/>
      <c r="U113" s="540"/>
      <c r="V113" s="540"/>
      <c r="W113" s="540"/>
      <c r="X113" s="540"/>
      <c r="Y113" s="540"/>
      <c r="Z113" s="540"/>
      <c r="AA113" s="540"/>
      <c r="AB113" s="540"/>
      <c r="AC113" s="540"/>
      <c r="AD113" s="540"/>
      <c r="AE113" s="540"/>
      <c r="AF113" s="540"/>
      <c r="AG113" s="540"/>
      <c r="AH113" s="540"/>
    </row>
    <row r="114" spans="13:34" x14ac:dyDescent="0.25">
      <c r="N114" s="166"/>
      <c r="O114" s="166"/>
      <c r="P114" s="166"/>
      <c r="Q114" s="166"/>
      <c r="R114" s="166"/>
      <c r="S114" s="166"/>
      <c r="T114" s="166"/>
      <c r="U114" s="166"/>
      <c r="V114" s="166"/>
      <c r="W114" s="166"/>
      <c r="X114" s="166"/>
      <c r="Y114" s="166"/>
      <c r="Z114" s="166"/>
    </row>
  </sheetData>
  <mergeCells count="59">
    <mergeCell ref="M107:AH113"/>
    <mergeCell ref="AI83:AJ83"/>
    <mergeCell ref="AK83:AL83"/>
    <mergeCell ref="AI84:AJ84"/>
    <mergeCell ref="AK84:AL84"/>
    <mergeCell ref="AI79:AJ79"/>
    <mergeCell ref="AK79:AL79"/>
    <mergeCell ref="AI80:AJ80"/>
    <mergeCell ref="AK80:AL80"/>
    <mergeCell ref="AI82:AJ82"/>
    <mergeCell ref="AK82:AL82"/>
    <mergeCell ref="AI74:AJ74"/>
    <mergeCell ref="AK74:AL74"/>
    <mergeCell ref="AI77:AJ77"/>
    <mergeCell ref="AK77:AL77"/>
    <mergeCell ref="AI78:AJ78"/>
    <mergeCell ref="AK78:AL78"/>
    <mergeCell ref="AI70:AJ70"/>
    <mergeCell ref="AK70:AL70"/>
    <mergeCell ref="AI71:AJ71"/>
    <mergeCell ref="AK71:AL71"/>
    <mergeCell ref="AI72:AJ72"/>
    <mergeCell ref="AK72:AL72"/>
    <mergeCell ref="AI67:AJ67"/>
    <mergeCell ref="AK67:AL67"/>
    <mergeCell ref="AI68:AJ68"/>
    <mergeCell ref="AK68:AL68"/>
    <mergeCell ref="AI69:AJ69"/>
    <mergeCell ref="AK69:AL69"/>
    <mergeCell ref="AI61:AJ61"/>
    <mergeCell ref="AK61:AL61"/>
    <mergeCell ref="AI63:AJ63"/>
    <mergeCell ref="AK63:AL63"/>
    <mergeCell ref="AI64:AJ64"/>
    <mergeCell ref="AK64:AL64"/>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48:AJ48"/>
    <mergeCell ref="AK48:AL48"/>
    <mergeCell ref="AI54:AJ54"/>
    <mergeCell ref="AK54:AL54"/>
    <mergeCell ref="AI55:AJ55"/>
    <mergeCell ref="AK55:AL55"/>
    <mergeCell ref="AI46:AJ46"/>
    <mergeCell ref="AK46:AL46"/>
    <mergeCell ref="AI47:AJ47"/>
    <mergeCell ref="AK47:AL47"/>
    <mergeCell ref="AC31:AD31"/>
    <mergeCell ref="AF31:AG31"/>
  </mergeCells>
  <dataValidations disablePrompts="1" count="2">
    <dataValidation type="list" allowBlank="1" sqref="B28" xr:uid="{00000000-0002-0000-0200-000000000000}">
      <formula1>"ACCOUNT,BUSINESSUNIT,CATEGORY,DATASRC,DEPARTMENT,INTCO,MEASURES,RPTCURRENCY,TIME"</formula1>
    </dataValidation>
    <dataValidation type="list" allowBlank="1" sqref="B29" xr:uid="{00000000-0002-0000-02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dimension ref="A1:AO114"/>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Y67" sqref="Y67"/>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38.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8" width="9.140625" style="1" hidden="1" customWidth="1" outlineLevel="1"/>
    <col min="39" max="39" width="9.140625" style="1" collapsed="1"/>
    <col min="40" max="40" width="14.28515625" style="1" bestFit="1" customWidth="1"/>
    <col min="41" max="16384" width="9.140625" style="1"/>
  </cols>
  <sheetData>
    <row r="1" spans="1:34" hidden="1" outlineLevel="1" x14ac:dyDescent="0.25">
      <c r="A1" s="8" t="s">
        <v>48</v>
      </c>
      <c r="B1" s="2" t="s">
        <v>49</v>
      </c>
      <c r="C1" s="8" t="s">
        <v>979</v>
      </c>
      <c r="I1" s="1"/>
      <c r="J1" s="1"/>
      <c r="L1" s="1"/>
      <c r="M1" s="73"/>
    </row>
    <row r="2" spans="1:34" hidden="1" outlineLevel="1" x14ac:dyDescent="0.25">
      <c r="A2" s="8" t="s">
        <v>22</v>
      </c>
      <c r="B2" s="12" t="s">
        <v>56</v>
      </c>
      <c r="C2" s="1" t="s">
        <v>980</v>
      </c>
      <c r="I2" s="1"/>
      <c r="J2" s="1"/>
      <c r="L2" s="1"/>
    </row>
    <row r="3" spans="1:34" hidden="1" outlineLevel="1" x14ac:dyDescent="0.25">
      <c r="A3" s="8" t="s">
        <v>50</v>
      </c>
      <c r="B3" s="9" t="s">
        <v>978</v>
      </c>
      <c r="C3" s="1" t="s">
        <v>981</v>
      </c>
      <c r="I3" s="1"/>
      <c r="J3" s="1"/>
      <c r="L3" s="1"/>
    </row>
    <row r="4" spans="1:34" hidden="1" outlineLevel="1" x14ac:dyDescent="0.25">
      <c r="A4" s="8" t="s">
        <v>19</v>
      </c>
      <c r="B4" s="9" t="str">
        <f>SetUp!$D$6</f>
        <v>CURRENT</v>
      </c>
      <c r="C4" s="1" t="s">
        <v>959</v>
      </c>
      <c r="E4" s="49">
        <v>20240100</v>
      </c>
      <c r="F4" s="49">
        <v>20240100</v>
      </c>
    </row>
    <row r="5" spans="1:34" hidden="1" outlineLevel="1" x14ac:dyDescent="0.25">
      <c r="A5" s="8" t="s">
        <v>51</v>
      </c>
      <c r="B5" s="12" t="s">
        <v>59</v>
      </c>
      <c r="C5" s="1" t="s">
        <v>59</v>
      </c>
    </row>
    <row r="6" spans="1:34" hidden="1" outlineLevel="1" x14ac:dyDescent="0.25">
      <c r="A6" s="8" t="s">
        <v>52</v>
      </c>
      <c r="B6" s="12" t="s">
        <v>499</v>
      </c>
      <c r="C6" s="1" t="s">
        <v>982</v>
      </c>
      <c r="E6" s="49"/>
      <c r="F6" s="1" t="s">
        <v>278</v>
      </c>
    </row>
    <row r="7" spans="1:34" hidden="1" outlineLevel="1" x14ac:dyDescent="0.25">
      <c r="A7" s="8" t="s">
        <v>53</v>
      </c>
      <c r="B7" s="12" t="s">
        <v>61</v>
      </c>
      <c r="C7" s="1" t="s">
        <v>983</v>
      </c>
    </row>
    <row r="8" spans="1:34" hidden="1" outlineLevel="1" x14ac:dyDescent="0.25">
      <c r="A8" s="8" t="s">
        <v>20</v>
      </c>
      <c r="B8" s="12" t="s">
        <v>63</v>
      </c>
      <c r="C8" s="1" t="s">
        <v>984</v>
      </c>
    </row>
    <row r="9" spans="1:34" hidden="1" outlineLevel="1" x14ac:dyDescent="0.25">
      <c r="A9" s="8" t="s">
        <v>54</v>
      </c>
      <c r="B9" s="9" t="str">
        <f>SetUp!$D$10</f>
        <v>LC</v>
      </c>
      <c r="C9" s="1" t="s">
        <v>985</v>
      </c>
    </row>
    <row r="10" spans="1:34" hidden="1" outlineLevel="1" x14ac:dyDescent="0.25">
      <c r="A10" s="8" t="s">
        <v>18</v>
      </c>
      <c r="B10" s="9" t="str">
        <f>SetUp!$D$7</f>
        <v>2023.TOTAL</v>
      </c>
      <c r="C10" s="1" t="s">
        <v>986</v>
      </c>
      <c r="D10" s="234" t="s">
        <v>987</v>
      </c>
    </row>
    <row r="11" spans="1:34" hidden="1" outlineLevel="1" x14ac:dyDescent="0.25">
      <c r="B11" s="8"/>
      <c r="L11" s="49" t="str">
        <f>IF(LEFT(SetUp!$D$6,3)="ALT","Y","N")</f>
        <v>N</v>
      </c>
      <c r="M11" s="1" t="s">
        <v>800</v>
      </c>
      <c r="N11" s="13" t="s">
        <v>682</v>
      </c>
      <c r="O11" s="13" t="s">
        <v>682</v>
      </c>
      <c r="P11" s="13" t="s">
        <v>682</v>
      </c>
      <c r="Q11" s="13" t="s">
        <v>682</v>
      </c>
      <c r="R11" s="13" t="s">
        <v>682</v>
      </c>
      <c r="S11" s="13" t="s">
        <v>682</v>
      </c>
      <c r="T11" s="13" t="s">
        <v>682</v>
      </c>
      <c r="U11" s="13" t="s">
        <v>682</v>
      </c>
      <c r="V11" s="13" t="s">
        <v>682</v>
      </c>
      <c r="W11" s="13" t="s">
        <v>682</v>
      </c>
      <c r="X11" s="13" t="s">
        <v>682</v>
      </c>
      <c r="Y11" s="13" t="s">
        <v>682</v>
      </c>
    </row>
    <row r="12" spans="1:34" hidden="1" outlineLevel="1" x14ac:dyDescent="0.25">
      <c r="A12" s="1" t="s">
        <v>115</v>
      </c>
      <c r="B12" s="49">
        <v>2023</v>
      </c>
      <c r="M12" s="1" t="s">
        <v>597</v>
      </c>
      <c r="N12" s="235" t="s">
        <v>78</v>
      </c>
      <c r="O12" s="235" t="s">
        <v>78</v>
      </c>
      <c r="P12" s="235" t="s">
        <v>78</v>
      </c>
      <c r="Q12" s="235" t="s">
        <v>78</v>
      </c>
      <c r="R12" s="235" t="s">
        <v>78</v>
      </c>
      <c r="S12" s="235" t="s">
        <v>78</v>
      </c>
      <c r="T12" s="235" t="s">
        <v>78</v>
      </c>
      <c r="U12" s="235" t="s">
        <v>78</v>
      </c>
      <c r="V12" s="235" t="s">
        <v>78</v>
      </c>
      <c r="W12" s="235" t="s">
        <v>78</v>
      </c>
      <c r="X12" s="235" t="s">
        <v>78</v>
      </c>
      <c r="Y12" s="235" t="s">
        <v>78</v>
      </c>
      <c r="Z12" s="235"/>
      <c r="AC12" s="235"/>
      <c r="AF12" s="235"/>
    </row>
    <row r="13" spans="1:34" hidden="1" outlineLevel="1" x14ac:dyDescent="0.25">
      <c r="A13" s="1" t="s">
        <v>602</v>
      </c>
      <c r="B13" s="49">
        <v>2023</v>
      </c>
      <c r="M13" s="1" t="s">
        <v>598</v>
      </c>
      <c r="N13" s="236">
        <v>20230100</v>
      </c>
      <c r="O13" s="236">
        <v>20230200</v>
      </c>
      <c r="P13" s="236">
        <v>20230300</v>
      </c>
      <c r="Q13" s="236">
        <v>20230400</v>
      </c>
      <c r="R13" s="236">
        <v>20230500</v>
      </c>
      <c r="S13" s="236">
        <v>20230600</v>
      </c>
      <c r="T13" s="236">
        <v>20230700</v>
      </c>
      <c r="U13" s="236">
        <v>20230800</v>
      </c>
      <c r="V13" s="236">
        <v>20230900</v>
      </c>
      <c r="W13" s="236">
        <v>20231000</v>
      </c>
      <c r="X13" s="236">
        <v>20231100</v>
      </c>
      <c r="Y13" s="236">
        <v>20231200</v>
      </c>
      <c r="Z13" s="236">
        <v>10000182</v>
      </c>
      <c r="AC13" s="236">
        <v>10000182</v>
      </c>
      <c r="AF13" s="236">
        <v>10000177</v>
      </c>
    </row>
    <row r="14" spans="1:34" hidden="1" outlineLevel="1" x14ac:dyDescent="0.25">
      <c r="A14" s="4" t="s">
        <v>988</v>
      </c>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M16" s="1" t="s">
        <v>18</v>
      </c>
      <c r="N16" s="13" t="s">
        <v>989</v>
      </c>
      <c r="O16" s="13" t="s">
        <v>990</v>
      </c>
      <c r="P16" s="13" t="s">
        <v>991</v>
      </c>
      <c r="Q16" s="13" t="s">
        <v>992</v>
      </c>
      <c r="R16" s="13" t="s">
        <v>993</v>
      </c>
      <c r="S16" s="13" t="s">
        <v>994</v>
      </c>
      <c r="T16" s="13" t="s">
        <v>995</v>
      </c>
      <c r="U16" s="13" t="s">
        <v>996</v>
      </c>
      <c r="V16" s="13" t="s">
        <v>997</v>
      </c>
      <c r="W16" s="13" t="s">
        <v>998</v>
      </c>
      <c r="X16" s="13" t="s">
        <v>999</v>
      </c>
      <c r="Y16" s="13" t="str">
        <f>IF(SetUp!$O$1=TRUE,SetUp!$Q$6,IF($D$10="FY",LEFT($B$10,6)&amp;"."&amp;Y15,$B$12&amp;"."&amp;Y14))</f>
        <v>2023.DEC</v>
      </c>
      <c r="Z16" s="13" t="str">
        <f>IF($D$10="FY",LEFT($B$10,6)&amp;"."&amp;Z15,$B$12&amp;"."&amp;Z14)</f>
        <v>2023.TOTAL</v>
      </c>
      <c r="AA16" s="10"/>
      <c r="AB16" s="10"/>
      <c r="AC16" s="13" t="str">
        <f>IF(SetUp!$O$1=TRUE,SetUp!$Q$6,SetUp!$G$7)</f>
        <v>2023.TOTAL</v>
      </c>
      <c r="AD16" s="10"/>
      <c r="AE16" s="10"/>
      <c r="AF16" s="13" t="s">
        <v>954</v>
      </c>
      <c r="AG16" s="10"/>
      <c r="AH16" s="10"/>
    </row>
    <row r="17" spans="1:38" hidden="1" outlineLevel="1" x14ac:dyDescent="0.25">
      <c r="A17" s="6" t="s">
        <v>2</v>
      </c>
      <c r="B17" s="16" t="s">
        <v>1000</v>
      </c>
      <c r="M17" s="1" t="s">
        <v>19</v>
      </c>
      <c r="N17" s="13" t="s">
        <v>682</v>
      </c>
      <c r="O17" s="13" t="s">
        <v>682</v>
      </c>
      <c r="P17" s="13" t="s">
        <v>682</v>
      </c>
      <c r="Q17" s="13" t="s">
        <v>682</v>
      </c>
      <c r="R17" s="13" t="s">
        <v>682</v>
      </c>
      <c r="S17" s="13" t="s">
        <v>682</v>
      </c>
      <c r="T17" s="13" t="s">
        <v>682</v>
      </c>
      <c r="U17" s="13" t="s">
        <v>682</v>
      </c>
      <c r="V17" s="13" t="s">
        <v>682</v>
      </c>
      <c r="W17" s="13" t="s">
        <v>682</v>
      </c>
      <c r="X17" s="13" t="s">
        <v>682</v>
      </c>
      <c r="Y17" s="13" t="s">
        <v>682</v>
      </c>
      <c r="Z17" s="13"/>
      <c r="AA17" s="10"/>
      <c r="AB17" s="10"/>
      <c r="AC17" s="13" t="str">
        <f>SetUp!$G$6</f>
        <v>BUDGET</v>
      </c>
      <c r="AD17" s="10"/>
      <c r="AE17" s="10"/>
      <c r="AF17" s="13" t="str">
        <f>SetUp!$J$6</f>
        <v>ACTUAL_CON</v>
      </c>
      <c r="AG17" s="10"/>
      <c r="AH17" s="10"/>
    </row>
    <row r="18" spans="1:38" hidden="1" outlineLevel="1" x14ac:dyDescent="0.25">
      <c r="A18" s="6" t="s">
        <v>3</v>
      </c>
      <c r="B18" s="16" t="s">
        <v>1001</v>
      </c>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str">
        <f>IF(SetUp!$O$1=TRUE,"TRAILING12",IF(AC17="CURRENT","ROLLINGFORECAST","PERIODIC"))</f>
        <v>PERIODIC</v>
      </c>
      <c r="AD18" s="10"/>
      <c r="AE18" s="10"/>
      <c r="AF18" s="13" t="str">
        <f>IF(SetUp!$O$1=TRUE,"TRAILING12",IF(AF17="CURRENT","ROLLINGFORECAST","PERIODIC"))</f>
        <v>PERIODIC</v>
      </c>
      <c r="AG18" s="10"/>
      <c r="AH18" s="10"/>
    </row>
    <row r="19" spans="1:38" hidden="1" outlineLevel="1" x14ac:dyDescent="0.25">
      <c r="A19" s="6" t="s">
        <v>4</v>
      </c>
      <c r="B19" s="16" t="s">
        <v>1002</v>
      </c>
      <c r="G19" s="18" t="s">
        <v>499</v>
      </c>
      <c r="H19" s="18">
        <v>400000</v>
      </c>
      <c r="I19" s="19"/>
      <c r="J19" s="19"/>
      <c r="K19" s="18"/>
      <c r="L19" s="19"/>
      <c r="M19" s="18" t="s">
        <v>1003</v>
      </c>
      <c r="N19" s="20">
        <v>1462163.77</v>
      </c>
      <c r="O19" s="20">
        <v>1536607.44</v>
      </c>
      <c r="P19" s="20">
        <v>1534404.07</v>
      </c>
      <c r="Q19" s="20">
        <v>1170305.3999999999</v>
      </c>
      <c r="R19" s="20">
        <v>1083534.47</v>
      </c>
      <c r="S19" s="20">
        <v>874742.07</v>
      </c>
      <c r="T19" s="20">
        <v>843943.44</v>
      </c>
      <c r="U19" s="20">
        <v>720102.67</v>
      </c>
      <c r="V19" s="20">
        <v>617829.5</v>
      </c>
      <c r="W19" s="20">
        <v>778731.4</v>
      </c>
      <c r="X19" s="20">
        <v>879556.18</v>
      </c>
      <c r="Y19" s="20">
        <v>1438286.75</v>
      </c>
      <c r="Z19" s="20">
        <f>SUM(N19:Y19)</f>
        <v>12940207.16</v>
      </c>
      <c r="AA19" s="18"/>
      <c r="AB19" s="18"/>
      <c r="AC19" s="20">
        <v>16593001.4542</v>
      </c>
      <c r="AD19" s="18"/>
      <c r="AE19" s="18"/>
      <c r="AF19" s="20">
        <v>14732739.210000001</v>
      </c>
      <c r="AG19" s="18"/>
      <c r="AH19" s="18"/>
    </row>
    <row r="20" spans="1:38" hidden="1" outlineLevel="1" x14ac:dyDescent="0.25">
      <c r="A20" s="6" t="s">
        <v>5</v>
      </c>
      <c r="B20" s="7"/>
      <c r="I20" s="1"/>
      <c r="J20" s="1"/>
      <c r="L20" s="1"/>
    </row>
    <row r="21" spans="1:38" hidden="1" outlineLevel="1" x14ac:dyDescent="0.25">
      <c r="A21" s="6" t="s">
        <v>6</v>
      </c>
      <c r="B21" s="7"/>
    </row>
    <row r="22" spans="1:38" hidden="1" outlineLevel="1" x14ac:dyDescent="0.25">
      <c r="A22" s="6" t="s">
        <v>7</v>
      </c>
      <c r="B22" s="7"/>
    </row>
    <row r="23" spans="1:38" hidden="1" outlineLevel="1" x14ac:dyDescent="0.25">
      <c r="A23" s="6" t="s">
        <v>47</v>
      </c>
      <c r="B23" s="16" t="s">
        <v>1004</v>
      </c>
      <c r="K23" s="57"/>
    </row>
    <row r="24" spans="1:38" hidden="1" outlineLevel="1" x14ac:dyDescent="0.25">
      <c r="A24" s="6" t="s">
        <v>8</v>
      </c>
      <c r="B24" s="7"/>
    </row>
    <row r="25" spans="1:38" collapsed="1" x14ac:dyDescent="0.25"/>
    <row r="26" spans="1:38" ht="22.5" x14ac:dyDescent="0.3">
      <c r="A26" s="3" t="s">
        <v>9</v>
      </c>
      <c r="B26" s="5" t="s">
        <v>10</v>
      </c>
      <c r="M26" s="65" t="s">
        <v>981</v>
      </c>
    </row>
    <row r="27" spans="1:38" ht="18" x14ac:dyDescent="0.25">
      <c r="A27" s="6" t="s">
        <v>11</v>
      </c>
      <c r="B27" s="7" t="s">
        <v>21</v>
      </c>
      <c r="M27" s="70" t="s">
        <v>982</v>
      </c>
    </row>
    <row r="28" spans="1:38" ht="15.75" x14ac:dyDescent="0.25">
      <c r="A28" s="6" t="s">
        <v>12</v>
      </c>
      <c r="B28" s="7" t="s">
        <v>22</v>
      </c>
      <c r="M28" s="71" t="s">
        <v>1005</v>
      </c>
    </row>
    <row r="29" spans="1:38" ht="15" customHeight="1" x14ac:dyDescent="0.25">
      <c r="A29" s="6" t="s">
        <v>13</v>
      </c>
      <c r="B29" s="7" t="s">
        <v>293</v>
      </c>
      <c r="M29" s="71" t="s">
        <v>985</v>
      </c>
    </row>
    <row r="30" spans="1:38" x14ac:dyDescent="0.25">
      <c r="A30" s="6" t="s">
        <v>14</v>
      </c>
      <c r="B30" s="7"/>
      <c r="N30" s="230"/>
      <c r="O30" s="231"/>
      <c r="P30" s="231"/>
      <c r="Q30" s="231"/>
      <c r="R30" s="231"/>
      <c r="S30" s="231"/>
      <c r="T30" s="231"/>
      <c r="U30" s="231"/>
      <c r="V30" s="231"/>
      <c r="W30" s="231"/>
      <c r="X30" s="231"/>
      <c r="Y30" s="231"/>
      <c r="Z30" s="231"/>
      <c r="AA30" s="232"/>
      <c r="AC30" s="231"/>
      <c r="AD30" s="231"/>
      <c r="AE30" s="231"/>
      <c r="AF30" s="231"/>
      <c r="AG30" s="231"/>
      <c r="AH30" s="231"/>
      <c r="AI30" s="230"/>
      <c r="AJ30" s="231"/>
      <c r="AK30" s="231"/>
      <c r="AL30" s="232"/>
    </row>
    <row r="31" spans="1:38" x14ac:dyDescent="0.25">
      <c r="A31" s="6" t="s">
        <v>15</v>
      </c>
      <c r="B31" s="7"/>
      <c r="G31" s="14"/>
      <c r="N31" s="233" t="s">
        <v>603</v>
      </c>
      <c r="O31" s="233" t="s">
        <v>604</v>
      </c>
      <c r="P31" s="233" t="s">
        <v>605</v>
      </c>
      <c r="Q31" s="233" t="s">
        <v>606</v>
      </c>
      <c r="R31" s="233" t="s">
        <v>607</v>
      </c>
      <c r="S31" s="233" t="s">
        <v>608</v>
      </c>
      <c r="T31" s="233" t="s">
        <v>609</v>
      </c>
      <c r="U31" s="233" t="s">
        <v>610</v>
      </c>
      <c r="V31" s="233" t="s">
        <v>611</v>
      </c>
      <c r="W31" s="233" t="s">
        <v>612</v>
      </c>
      <c r="X31" s="233" t="s">
        <v>613</v>
      </c>
      <c r="Y31" s="233" t="s">
        <v>614</v>
      </c>
      <c r="Z31" s="233" t="str">
        <f>Z14</f>
        <v>TOTAL</v>
      </c>
      <c r="AA31" s="229"/>
      <c r="AC31" s="530" t="s">
        <v>986</v>
      </c>
      <c r="AD31" s="531"/>
      <c r="AE31" s="233" t="s">
        <v>631</v>
      </c>
      <c r="AF31" s="530" t="s">
        <v>1006</v>
      </c>
      <c r="AG31" s="531"/>
      <c r="AH31" s="233" t="s">
        <v>631</v>
      </c>
      <c r="AI31" s="72" t="s">
        <v>1007</v>
      </c>
      <c r="AJ31" s="262"/>
      <c r="AK31" s="72" t="s">
        <v>1008</v>
      </c>
      <c r="AL31" s="262"/>
    </row>
    <row r="32" spans="1:38" s="256" customFormat="1" ht="30" customHeight="1" x14ac:dyDescent="0.25">
      <c r="A32" s="254" t="s">
        <v>16</v>
      </c>
      <c r="B32" s="255"/>
      <c r="H32" s="257"/>
      <c r="I32" s="258"/>
      <c r="J32" s="258"/>
      <c r="L32" s="258"/>
      <c r="M32" s="260"/>
      <c r="N32" s="261" t="s">
        <v>956</v>
      </c>
      <c r="O32" s="261" t="s">
        <v>956</v>
      </c>
      <c r="P32" s="261" t="s">
        <v>956</v>
      </c>
      <c r="Q32" s="261" t="s">
        <v>956</v>
      </c>
      <c r="R32" s="261" t="s">
        <v>956</v>
      </c>
      <c r="S32" s="261" t="s">
        <v>956</v>
      </c>
      <c r="T32" s="261" t="s">
        <v>956</v>
      </c>
      <c r="U32" s="261" t="s">
        <v>956</v>
      </c>
      <c r="V32" s="261" t="s">
        <v>956</v>
      </c>
      <c r="W32" s="261" t="s">
        <v>956</v>
      </c>
      <c r="X32" s="261" t="s">
        <v>956</v>
      </c>
      <c r="Y32" s="261" t="s">
        <v>956</v>
      </c>
      <c r="Z32" s="262"/>
      <c r="AA32" s="262" t="s">
        <v>58</v>
      </c>
      <c r="AC32" s="261" t="s">
        <v>958</v>
      </c>
      <c r="AD32" s="262" t="s">
        <v>58</v>
      </c>
      <c r="AE32" s="261" t="s">
        <v>57</v>
      </c>
      <c r="AF32" s="261" t="s">
        <v>956</v>
      </c>
      <c r="AG32" s="262" t="s">
        <v>58</v>
      </c>
      <c r="AH32" s="261" t="s">
        <v>57</v>
      </c>
      <c r="AI32" s="262" t="s">
        <v>750</v>
      </c>
      <c r="AJ32" s="262"/>
      <c r="AK32" s="262" t="s">
        <v>750</v>
      </c>
      <c r="AL32" s="262"/>
    </row>
    <row r="33" spans="1:41" x14ac:dyDescent="0.25">
      <c r="A33" s="6" t="s">
        <v>17</v>
      </c>
      <c r="B33" s="7"/>
      <c r="G33" s="15" t="s">
        <v>60</v>
      </c>
      <c r="H33" s="15" t="s">
        <v>211</v>
      </c>
      <c r="I33" s="28" t="s">
        <v>1009</v>
      </c>
      <c r="J33" s="28" t="s">
        <v>1009</v>
      </c>
      <c r="M33" s="162" t="s">
        <v>1014</v>
      </c>
      <c r="N33" s="21">
        <v>4092</v>
      </c>
      <c r="O33" s="21">
        <v>3696</v>
      </c>
      <c r="P33" s="21">
        <v>4092</v>
      </c>
      <c r="Q33" s="21">
        <v>3960</v>
      </c>
      <c r="R33" s="21">
        <v>4092</v>
      </c>
      <c r="S33" s="21">
        <v>3960</v>
      </c>
      <c r="T33" s="21">
        <v>4092</v>
      </c>
      <c r="U33" s="21">
        <v>4092</v>
      </c>
      <c r="V33" s="21">
        <v>3960</v>
      </c>
      <c r="W33" s="21">
        <v>4092</v>
      </c>
      <c r="X33" s="21">
        <v>3960</v>
      </c>
      <c r="Y33" s="21">
        <v>4092</v>
      </c>
      <c r="Z33" s="21">
        <f>SUM(N33:Y33)</f>
        <v>48180</v>
      </c>
      <c r="AA33" s="214"/>
      <c r="AC33" s="21">
        <v>48180</v>
      </c>
      <c r="AD33" s="214"/>
      <c r="AE33" s="50">
        <f>IF(AND($Z33="",AC33=""),"",$Z33-AC33)</f>
        <v>0</v>
      </c>
      <c r="AF33" s="21">
        <v>48180</v>
      </c>
      <c r="AG33" s="214"/>
      <c r="AH33" s="50">
        <f>IF(AND($Z33="",AF33=""),"",$Z33-AF33)</f>
        <v>0</v>
      </c>
      <c r="AI33" s="384"/>
      <c r="AJ33" s="385"/>
      <c r="AK33" s="384"/>
      <c r="AL33" s="385"/>
    </row>
    <row r="34" spans="1:41" x14ac:dyDescent="0.25">
      <c r="G34" s="15" t="s">
        <v>60</v>
      </c>
      <c r="H34" s="15" t="s">
        <v>257</v>
      </c>
      <c r="I34" s="28" t="s">
        <v>1010</v>
      </c>
      <c r="J34" s="28" t="s">
        <v>78</v>
      </c>
      <c r="M34" s="162" t="s">
        <v>1015</v>
      </c>
      <c r="N34" s="21">
        <v>3863</v>
      </c>
      <c r="O34" s="21">
        <v>3471</v>
      </c>
      <c r="P34" s="21">
        <v>3750</v>
      </c>
      <c r="Q34" s="21">
        <v>3450</v>
      </c>
      <c r="R34" s="21">
        <v>3162</v>
      </c>
      <c r="S34" s="21">
        <v>3403</v>
      </c>
      <c r="T34" s="21">
        <v>3372</v>
      </c>
      <c r="U34" s="21">
        <v>2982</v>
      </c>
      <c r="V34" s="21">
        <v>2676</v>
      </c>
      <c r="W34" s="21">
        <v>3180</v>
      </c>
      <c r="X34" s="21">
        <v>2944</v>
      </c>
      <c r="Y34" s="21">
        <v>3443</v>
      </c>
      <c r="Z34" s="21">
        <f>SUM(N34:Y34)</f>
        <v>39696</v>
      </c>
      <c r="AA34" s="214"/>
      <c r="AC34" s="21">
        <v>41137</v>
      </c>
      <c r="AD34" s="214"/>
      <c r="AE34" s="50">
        <f>IF(AND($Z34="",AC34=""),"",$Z34-AC34)</f>
        <v>-1441</v>
      </c>
      <c r="AF34" s="21">
        <v>40967</v>
      </c>
      <c r="AG34" s="214"/>
      <c r="AH34" s="50">
        <f>IF(AND($Z34="",AF34=""),"",$Z34-AF34)</f>
        <v>-1271</v>
      </c>
      <c r="AI34" s="458">
        <f>IFERROR((Z34-AC34)/AC34,0)</f>
        <v>-3.5029292364538007E-2</v>
      </c>
      <c r="AJ34" s="509" t="s">
        <v>753</v>
      </c>
      <c r="AK34" s="458">
        <f>IFERROR((Z34-AF34)/AF34,0)</f>
        <v>-3.1024971318378208E-2</v>
      </c>
      <c r="AL34" s="509" t="s">
        <v>753</v>
      </c>
    </row>
    <row r="35" spans="1:41" x14ac:dyDescent="0.25">
      <c r="A35" s="22" t="s">
        <v>92</v>
      </c>
      <c r="B35" s="23" t="s">
        <v>93</v>
      </c>
      <c r="C35" s="23" t="s">
        <v>94</v>
      </c>
      <c r="D35" s="23" t="s">
        <v>95</v>
      </c>
      <c r="E35" s="23" t="s">
        <v>96</v>
      </c>
      <c r="F35" s="24" t="s">
        <v>97</v>
      </c>
      <c r="G35" s="15" t="s">
        <v>60</v>
      </c>
      <c r="H35" s="15" t="s">
        <v>495</v>
      </c>
      <c r="I35" s="28" t="s">
        <v>1010</v>
      </c>
      <c r="J35" s="28" t="s">
        <v>78</v>
      </c>
      <c r="M35" s="162" t="s">
        <v>1016</v>
      </c>
      <c r="N35" s="17">
        <v>0.94403714565004904</v>
      </c>
      <c r="O35" s="17">
        <v>0.93912337662337697</v>
      </c>
      <c r="P35" s="17">
        <v>0.91642228739002896</v>
      </c>
      <c r="Q35" s="17">
        <v>0.87121212121212099</v>
      </c>
      <c r="R35" s="17">
        <v>0.77272727272727304</v>
      </c>
      <c r="S35" s="17">
        <v>0.85934343434343397</v>
      </c>
      <c r="T35" s="17">
        <v>0.82404692082111397</v>
      </c>
      <c r="U35" s="17">
        <v>0.72873900293255101</v>
      </c>
      <c r="V35" s="17">
        <v>0.675757575757576</v>
      </c>
      <c r="W35" s="17">
        <v>0.77712609970674495</v>
      </c>
      <c r="X35" s="17">
        <v>0.743434343434343</v>
      </c>
      <c r="Y35" s="17">
        <v>0.84139784946236595</v>
      </c>
      <c r="Z35" s="17">
        <f>IFERROR(Z34/Z33,"")</f>
        <v>0.82391033623910337</v>
      </c>
      <c r="AA35" s="214"/>
      <c r="AC35" s="17">
        <v>0.85381901203819</v>
      </c>
      <c r="AD35" s="214"/>
      <c r="AE35" s="215">
        <f>IF(AND($Z35="",AC35=""),"",$Z35-AC35)</f>
        <v>-2.9908675799086626E-2</v>
      </c>
      <c r="AF35" s="17">
        <v>0.850290577002906</v>
      </c>
      <c r="AG35" s="214"/>
      <c r="AH35" s="215">
        <f>IF(AND($Z35="",AF35=""),"",$Z35-AF35)</f>
        <v>-2.6380240763802631E-2</v>
      </c>
      <c r="AI35" s="458">
        <f>IFERROR((Z35-AC35)/AC35,0)</f>
        <v>-3.5029292364537855E-2</v>
      </c>
      <c r="AJ35" s="509" t="s">
        <v>753</v>
      </c>
      <c r="AK35" s="458">
        <f>IFERROR((Z35-AF35)/AF35,0)</f>
        <v>-3.1024971318378461E-2</v>
      </c>
      <c r="AL35" s="509" t="s">
        <v>753</v>
      </c>
      <c r="AN35" s="456"/>
    </row>
    <row r="36" spans="1:41" x14ac:dyDescent="0.25">
      <c r="G36" s="15" t="s">
        <v>60</v>
      </c>
      <c r="H36" s="15" t="s">
        <v>208</v>
      </c>
      <c r="I36" s="28" t="s">
        <v>1010</v>
      </c>
      <c r="J36" s="28" t="s">
        <v>78</v>
      </c>
      <c r="M36" s="162" t="s">
        <v>1017</v>
      </c>
      <c r="N36" s="118">
        <v>281.22551643800199</v>
      </c>
      <c r="O36" s="118">
        <v>346.86283779890499</v>
      </c>
      <c r="P36" s="118">
        <v>314.57101066666701</v>
      </c>
      <c r="Q36" s="118">
        <v>263.63145217391298</v>
      </c>
      <c r="R36" s="118">
        <v>262.256654016445</v>
      </c>
      <c r="S36" s="118">
        <v>185.44804878048799</v>
      </c>
      <c r="T36" s="118">
        <v>185.47260379596699</v>
      </c>
      <c r="U36" s="118">
        <v>169.11653923541201</v>
      </c>
      <c r="V36" s="118">
        <v>162.19319506726501</v>
      </c>
      <c r="W36" s="118">
        <v>185.10631446540901</v>
      </c>
      <c r="X36" s="118">
        <v>228.61937160326099</v>
      </c>
      <c r="Y36" s="118">
        <v>331.89415045018899</v>
      </c>
      <c r="Z36" s="118">
        <f>IFERROR(Z$39/Z34,"")</f>
        <v>247.07762318621525</v>
      </c>
      <c r="AA36" s="214"/>
      <c r="AC36" s="118">
        <v>282.92107761868903</v>
      </c>
      <c r="AD36" s="214"/>
      <c r="AE36" s="217">
        <f>IF(AND($Z36="",AC36=""),"",$Z36-AC36)</f>
        <v>-35.843454432473777</v>
      </c>
      <c r="AF36" s="118">
        <v>275.60042229111201</v>
      </c>
      <c r="AG36" s="214"/>
      <c r="AH36" s="216">
        <f>IF(AND($Z36="",AF36=""),"",$Z36-AF36)</f>
        <v>-28.522799104896762</v>
      </c>
      <c r="AI36" s="458">
        <f>IFERROR((Z36-AC36)/AC36,0)</f>
        <v>-0.12669064720862655</v>
      </c>
      <c r="AJ36" s="509" t="s">
        <v>753</v>
      </c>
      <c r="AK36" s="458">
        <f>IFERROR((Z36-AF36)/AF36,0)</f>
        <v>-0.10349330696877024</v>
      </c>
      <c r="AL36" s="509" t="s">
        <v>753</v>
      </c>
      <c r="AN36" s="457"/>
    </row>
    <row r="37" spans="1:41" x14ac:dyDescent="0.25">
      <c r="A37" s="1" t="s">
        <v>105</v>
      </c>
      <c r="C37" s="26" t="s">
        <v>101</v>
      </c>
      <c r="D37" s="1" t="s">
        <v>106</v>
      </c>
      <c r="F37" s="1" t="s">
        <v>98</v>
      </c>
      <c r="G37" s="15" t="s">
        <v>60</v>
      </c>
      <c r="H37" s="15" t="s">
        <v>582</v>
      </c>
      <c r="I37" s="28" t="s">
        <v>1009</v>
      </c>
      <c r="J37" s="28" t="s">
        <v>78</v>
      </c>
      <c r="M37" s="162" t="s">
        <v>1018</v>
      </c>
      <c r="N37" s="118">
        <v>265.48733382209201</v>
      </c>
      <c r="O37" s="118">
        <v>325.74699945887397</v>
      </c>
      <c r="P37" s="118">
        <v>288.27988514174001</v>
      </c>
      <c r="Q37" s="118">
        <v>229.67891666666699</v>
      </c>
      <c r="R37" s="118">
        <v>202.65286901270801</v>
      </c>
      <c r="S37" s="118">
        <v>159.36356313131299</v>
      </c>
      <c r="T37" s="118">
        <v>152.83812805474099</v>
      </c>
      <c r="U37" s="118">
        <v>123.241818181818</v>
      </c>
      <c r="V37" s="118">
        <v>109.60328030303</v>
      </c>
      <c r="W37" s="118">
        <v>143.85094819159301</v>
      </c>
      <c r="X37" s="118">
        <v>169.96349242424199</v>
      </c>
      <c r="Y37" s="118">
        <v>279.255024437928</v>
      </c>
      <c r="Z37" s="118">
        <f>IFERROR(Z$39/Z33,"")</f>
        <v>203.56980759651307</v>
      </c>
      <c r="AA37" s="214"/>
      <c r="AC37" s="118">
        <v>241.563394977169</v>
      </c>
      <c r="AD37" s="214"/>
      <c r="AE37" s="217">
        <f>IF(AND($Z37="",AC37=""),"",$Z37-AC37)</f>
        <v>-37.993587380655924</v>
      </c>
      <c r="AF37" s="118">
        <v>234.34044209215401</v>
      </c>
      <c r="AG37" s="214"/>
      <c r="AH37" s="216">
        <f>IF(AND($Z37="",AF37=""),"",$Z37-AF37)</f>
        <v>-30.770634495640934</v>
      </c>
      <c r="AI37" s="458">
        <f>IFERROR((Z37-AC37)/AC37,0)</f>
        <v>-0.1572820558522405</v>
      </c>
      <c r="AJ37" s="509" t="s">
        <v>753</v>
      </c>
      <c r="AK37" s="458">
        <f>IFERROR((Z37-AF37)/AF37,0)</f>
        <v>-0.13130740140679786</v>
      </c>
      <c r="AL37" s="509" t="s">
        <v>753</v>
      </c>
      <c r="AN37" s="457"/>
      <c r="AO37" s="456"/>
    </row>
    <row r="38" spans="1:41" x14ac:dyDescent="0.25">
      <c r="A38" s="1" t="s">
        <v>102</v>
      </c>
      <c r="C38" s="26" t="s">
        <v>101</v>
      </c>
      <c r="D38" s="1" t="s">
        <v>106</v>
      </c>
      <c r="F38" s="1" t="s">
        <v>98</v>
      </c>
      <c r="H38" s="1" t="s">
        <v>69</v>
      </c>
      <c r="I38" s="11" t="s">
        <v>1011</v>
      </c>
      <c r="J38" s="11" t="s">
        <v>78</v>
      </c>
      <c r="M38" s="40" t="s">
        <v>1019</v>
      </c>
      <c r="N38" s="211"/>
      <c r="O38" s="213"/>
      <c r="P38" s="213"/>
      <c r="Q38" s="213"/>
      <c r="R38" s="213"/>
      <c r="S38" s="213"/>
      <c r="T38" s="213"/>
      <c r="U38" s="213"/>
      <c r="V38" s="213"/>
      <c r="W38" s="213"/>
      <c r="X38" s="213"/>
      <c r="Y38" s="213"/>
      <c r="Z38" s="213"/>
      <c r="AA38" s="212"/>
      <c r="AC38" s="211"/>
      <c r="AD38" s="213"/>
      <c r="AE38" s="212"/>
      <c r="AF38" s="211"/>
      <c r="AG38" s="213"/>
      <c r="AH38" s="212"/>
    </row>
    <row r="39" spans="1:41" x14ac:dyDescent="0.25">
      <c r="A39" s="1" t="s">
        <v>108</v>
      </c>
      <c r="C39" s="25" t="s">
        <v>101</v>
      </c>
      <c r="D39" s="1" t="s">
        <v>106</v>
      </c>
      <c r="F39" s="1" t="s">
        <v>98</v>
      </c>
      <c r="G39" s="15" t="s">
        <v>60</v>
      </c>
      <c r="H39" s="15" t="s">
        <v>280</v>
      </c>
      <c r="I39" s="28" t="s">
        <v>1012</v>
      </c>
      <c r="J39" s="28" t="s">
        <v>78</v>
      </c>
      <c r="K39" s="119"/>
      <c r="L39" s="25"/>
      <c r="M39" s="162" t="s">
        <v>1020</v>
      </c>
      <c r="N39" s="21">
        <v>1086374.17</v>
      </c>
      <c r="O39" s="21">
        <v>1203960.9099999999</v>
      </c>
      <c r="P39" s="21">
        <v>1179641.29</v>
      </c>
      <c r="Q39" s="21">
        <v>909528.51</v>
      </c>
      <c r="R39" s="21">
        <v>829255.54</v>
      </c>
      <c r="S39" s="21">
        <v>631079.71</v>
      </c>
      <c r="T39" s="21">
        <v>625413.62</v>
      </c>
      <c r="U39" s="21">
        <v>504305.52</v>
      </c>
      <c r="V39" s="21">
        <v>434028.99</v>
      </c>
      <c r="W39" s="21">
        <v>588638.07999999996</v>
      </c>
      <c r="X39" s="21">
        <v>673055.43</v>
      </c>
      <c r="Y39" s="21">
        <v>1142711.56</v>
      </c>
      <c r="Z39" s="21">
        <f>SUM(N39:Y39)</f>
        <v>9807993.3300000001</v>
      </c>
      <c r="AA39" s="17">
        <f>IF(Z39=0,"",IFERROR(Z39/Z$19,""))</f>
        <v>0.75794716488912839</v>
      </c>
      <c r="AC39" s="21">
        <v>11638524.369999999</v>
      </c>
      <c r="AD39" s="17">
        <f>IF(AC39=0,"",IFERROR(AC39/AC$19,""))</f>
        <v>0.70141164045122595</v>
      </c>
      <c r="AE39" s="50">
        <f>IF(AND($Z39="",AC39=""),"",$Z39-AC39)</f>
        <v>-1830531.0399999991</v>
      </c>
      <c r="AF39" s="21">
        <v>11290522.5</v>
      </c>
      <c r="AG39" s="17">
        <f>IF(AF39=0,"",IFERROR(AF39/AF$19,""))</f>
        <v>0.76635595995186279</v>
      </c>
      <c r="AH39" s="50">
        <f>IF(AND($Z39="",AF39=""),"",$Z39-AF39)</f>
        <v>-1482529.17</v>
      </c>
      <c r="AI39" s="458">
        <f>IFERROR((Z39-AC39)/AC39,0)</f>
        <v>-0.15728205585224025</v>
      </c>
      <c r="AJ39" s="509" t="s">
        <v>753</v>
      </c>
      <c r="AK39" s="458">
        <f>IFERROR((Z39-AF39)/AF39,0)</f>
        <v>-0.13130740140679936</v>
      </c>
      <c r="AL39" s="509" t="s">
        <v>753</v>
      </c>
      <c r="AN39" s="463"/>
    </row>
    <row r="40" spans="1:41" x14ac:dyDescent="0.25">
      <c r="A40" s="1" t="s">
        <v>108</v>
      </c>
      <c r="C40" s="29" t="s">
        <v>101</v>
      </c>
      <c r="D40" s="1" t="s">
        <v>107</v>
      </c>
      <c r="F40" s="1" t="s">
        <v>99</v>
      </c>
      <c r="G40" s="15" t="s">
        <v>358</v>
      </c>
      <c r="H40" s="15" t="s">
        <v>280</v>
      </c>
      <c r="I40" s="28" t="s">
        <v>1012</v>
      </c>
      <c r="J40" s="28" t="s">
        <v>78</v>
      </c>
      <c r="K40" s="119"/>
      <c r="L40" s="25"/>
      <c r="M40" s="162" t="s">
        <v>356</v>
      </c>
      <c r="N40" s="21">
        <v>271648.17</v>
      </c>
      <c r="O40" s="21">
        <v>243116.66</v>
      </c>
      <c r="P40" s="21">
        <v>262610.3</v>
      </c>
      <c r="Q40" s="21">
        <v>178741.51</v>
      </c>
      <c r="R40" s="21">
        <v>174452.86</v>
      </c>
      <c r="S40" s="21">
        <v>153035.34</v>
      </c>
      <c r="T40" s="21">
        <v>137140.69</v>
      </c>
      <c r="U40" s="21">
        <v>119985.83</v>
      </c>
      <c r="V40" s="21">
        <v>111020.89</v>
      </c>
      <c r="W40" s="21">
        <v>115318.67</v>
      </c>
      <c r="X40" s="21">
        <v>125378.51</v>
      </c>
      <c r="Y40" s="21">
        <v>219086.52</v>
      </c>
      <c r="Z40" s="21">
        <f>SUM(N40:Y40)</f>
        <v>2111535.9499999997</v>
      </c>
      <c r="AA40" s="17">
        <f>IF(Z40=0,"",IFERROR(Z40/Z$19,""))</f>
        <v>0.16317636370822983</v>
      </c>
      <c r="AC40" s="21">
        <v>3679690.8742</v>
      </c>
      <c r="AD40" s="17">
        <f>IF(AC40=0,"",IFERROR(AC40/AC$19,""))</f>
        <v>0.22176161946087225</v>
      </c>
      <c r="AE40" s="50">
        <f>IF(AND($Z40="",AC40=""),"",$Z40-AC40)</f>
        <v>-1568154.9242000002</v>
      </c>
      <c r="AF40" s="21">
        <v>2460440.2999999998</v>
      </c>
      <c r="AG40" s="17">
        <f>IF(AF40=0,"",IFERROR(AF40/AF$19,""))</f>
        <v>0.16700494490053489</v>
      </c>
      <c r="AH40" s="50">
        <f>IF(AND($Z40="",AF40=""),"",$Z40-AF40)</f>
        <v>-348904.35000000009</v>
      </c>
      <c r="AI40" s="458">
        <f>IFERROR((Z40-AC40)/AC40,0)</f>
        <v>-0.42616485400854009</v>
      </c>
      <c r="AJ40" s="509" t="s">
        <v>753</v>
      </c>
      <c r="AK40" s="458">
        <f>IFERROR((Z40-AF40)/AF40,0)</f>
        <v>-0.14180565567878242</v>
      </c>
      <c r="AL40" s="509" t="s">
        <v>753</v>
      </c>
      <c r="AN40" s="463"/>
    </row>
    <row r="41" spans="1:41" x14ac:dyDescent="0.25">
      <c r="G41" s="15" t="s">
        <v>463</v>
      </c>
      <c r="H41" s="15" t="s">
        <v>280</v>
      </c>
      <c r="I41" s="28" t="s">
        <v>1012</v>
      </c>
      <c r="J41" s="28" t="s">
        <v>78</v>
      </c>
      <c r="K41" s="119"/>
      <c r="L41" s="25"/>
      <c r="M41" s="162" t="s">
        <v>1021</v>
      </c>
      <c r="N41" s="21">
        <v>1876.85</v>
      </c>
      <c r="O41" s="21">
        <v>2263.09</v>
      </c>
      <c r="P41" s="21">
        <v>1369.74</v>
      </c>
      <c r="Q41" s="21">
        <v>2075.38</v>
      </c>
      <c r="R41" s="21">
        <v>1530.85</v>
      </c>
      <c r="S41" s="21">
        <v>1673.12</v>
      </c>
      <c r="T41" s="21">
        <v>1042.0899999999999</v>
      </c>
      <c r="U41" s="21">
        <v>785.26</v>
      </c>
      <c r="V41" s="21">
        <v>851.92</v>
      </c>
      <c r="W41" s="21">
        <v>1215.53</v>
      </c>
      <c r="X41" s="21">
        <v>1538.01</v>
      </c>
      <c r="Y41" s="21">
        <v>-336.23</v>
      </c>
      <c r="Z41" s="21">
        <f>SUM(N41:Y41)</f>
        <v>15885.61</v>
      </c>
      <c r="AA41" s="17">
        <f>IF(Z41=0,"",IFERROR(Z41/Z$19,""))</f>
        <v>1.227616359118628E-3</v>
      </c>
      <c r="AC41" s="21">
        <v>25008.17</v>
      </c>
      <c r="AD41" s="17">
        <f>IF(AC41=0,"",IFERROR(AC41/AC$19,""))</f>
        <v>1.5071516789188228E-3</v>
      </c>
      <c r="AE41" s="50">
        <f>IF(AND($Z41="",AC41=""),"",$Z41-AC41)</f>
        <v>-9122.5599999999977</v>
      </c>
      <c r="AF41" s="21">
        <v>27966.42</v>
      </c>
      <c r="AG41" s="17">
        <f>IF(AF41=0,"",IFERROR(AF41/AF$19,""))</f>
        <v>1.8982498503073684E-3</v>
      </c>
      <c r="AH41" s="50">
        <f>IF(AND($Z41="",AF41=""),"",$Z41-AF41)</f>
        <v>-12080.809999999998</v>
      </c>
      <c r="AI41" s="458">
        <f>IFERROR((Z41-AC41)/AC41,0)</f>
        <v>-0.3647831888538825</v>
      </c>
      <c r="AJ41" s="509" t="s">
        <v>753</v>
      </c>
      <c r="AK41" s="458">
        <f>IFERROR((Z41-AF41)/AF41,0)</f>
        <v>-0.4319755621205717</v>
      </c>
      <c r="AL41" s="509" t="s">
        <v>753</v>
      </c>
      <c r="AN41" s="463"/>
    </row>
    <row r="42" spans="1:41" x14ac:dyDescent="0.25">
      <c r="G42" s="15" t="s">
        <v>472</v>
      </c>
      <c r="H42" s="15" t="s">
        <v>280</v>
      </c>
      <c r="I42" s="28" t="s">
        <v>1012</v>
      </c>
      <c r="J42" s="28" t="s">
        <v>78</v>
      </c>
      <c r="K42" s="119"/>
      <c r="L42" s="25"/>
      <c r="M42" s="162" t="s">
        <v>1022</v>
      </c>
      <c r="N42" s="21">
        <v>102264.58</v>
      </c>
      <c r="O42" s="21">
        <v>87266.78</v>
      </c>
      <c r="P42" s="21">
        <v>90782.74</v>
      </c>
      <c r="Q42" s="21">
        <v>79960</v>
      </c>
      <c r="R42" s="21">
        <v>78295.22</v>
      </c>
      <c r="S42" s="21">
        <v>88953.9</v>
      </c>
      <c r="T42" s="21">
        <v>80347.039999999994</v>
      </c>
      <c r="U42" s="21">
        <v>95026.06</v>
      </c>
      <c r="V42" s="21">
        <v>71927.7</v>
      </c>
      <c r="W42" s="21">
        <v>73559.12</v>
      </c>
      <c r="X42" s="21">
        <v>79584.23</v>
      </c>
      <c r="Y42" s="21">
        <v>76824.899999999994</v>
      </c>
      <c r="Z42" s="21">
        <f>SUM(N42:Y42)</f>
        <v>1004792.27</v>
      </c>
      <c r="AA42" s="17">
        <f>IF(Z42=0,"",IFERROR(Z42/Z$19,""))</f>
        <v>7.7648855043523118E-2</v>
      </c>
      <c r="AC42" s="21">
        <v>1249778.04</v>
      </c>
      <c r="AD42" s="17">
        <f>IF(AC42=0,"",IFERROR(AC42/AC$19,""))</f>
        <v>7.5319588408982979E-2</v>
      </c>
      <c r="AE42" s="50">
        <f>IF(AND($Z42="",AC42=""),"",$Z42-AC42)</f>
        <v>-244985.77000000002</v>
      </c>
      <c r="AF42" s="21">
        <v>953809.99</v>
      </c>
      <c r="AG42" s="17">
        <f>IF(AF42=0,"",IFERROR(AF42/AF$19,""))</f>
        <v>6.4740845297294847E-2</v>
      </c>
      <c r="AH42" s="50">
        <f>IF(AND($Z42="",AF42=""),"",$Z42-AF42)</f>
        <v>50982.280000000028</v>
      </c>
      <c r="AI42" s="459">
        <f>IFERROR((Z42-AC42)/AC42,0)</f>
        <v>-0.19602342348726179</v>
      </c>
      <c r="AJ42" s="512" t="s">
        <v>753</v>
      </c>
      <c r="AK42" s="459">
        <f>IFERROR((Z42-AF42)/AF42,0)</f>
        <v>5.3451191049068411E-2</v>
      </c>
      <c r="AL42" s="512" t="s">
        <v>753</v>
      </c>
      <c r="AN42" s="463"/>
    </row>
    <row r="43" spans="1:41" x14ac:dyDescent="0.25">
      <c r="G43" s="119"/>
      <c r="H43" s="119"/>
      <c r="I43" s="119"/>
      <c r="J43" s="119"/>
      <c r="K43" s="119"/>
      <c r="L43" s="25"/>
      <c r="M43" s="25" t="str">
        <f>"Total "&amp;M38</f>
        <v>Total Revenues</v>
      </c>
      <c r="N43" s="33">
        <f t="shared" ref="N43:Y43" si="0">SUM(N39:N42)</f>
        <v>1462163.77</v>
      </c>
      <c r="O43" s="33">
        <f t="shared" si="0"/>
        <v>1536607.44</v>
      </c>
      <c r="P43" s="33">
        <f t="shared" si="0"/>
        <v>1534404.07</v>
      </c>
      <c r="Q43" s="33">
        <f t="shared" si="0"/>
        <v>1170305.3999999999</v>
      </c>
      <c r="R43" s="33">
        <f t="shared" si="0"/>
        <v>1083534.47</v>
      </c>
      <c r="S43" s="33">
        <f t="shared" si="0"/>
        <v>874742.07</v>
      </c>
      <c r="T43" s="33">
        <f t="shared" si="0"/>
        <v>843943.44000000006</v>
      </c>
      <c r="U43" s="33">
        <f t="shared" si="0"/>
        <v>720102.66999999993</v>
      </c>
      <c r="V43" s="33">
        <f t="shared" si="0"/>
        <v>617829.5</v>
      </c>
      <c r="W43" s="33">
        <f t="shared" si="0"/>
        <v>778731.4</v>
      </c>
      <c r="X43" s="33">
        <f t="shared" si="0"/>
        <v>879556.18</v>
      </c>
      <c r="Y43" s="33">
        <f t="shared" si="0"/>
        <v>1438286.75</v>
      </c>
      <c r="Z43" s="33">
        <f>SUM(N43:Y43)</f>
        <v>12940207.16</v>
      </c>
      <c r="AA43" s="34">
        <f>IF(Z43=0,"",IFERROR(Z43/Z$19,""))</f>
        <v>1</v>
      </c>
      <c r="AC43" s="33">
        <f>SUM(AC39:AC42)</f>
        <v>16593001.4542</v>
      </c>
      <c r="AD43" s="34">
        <f>IF(AC43=0,"",IFERROR(AC43/AC$19,""))</f>
        <v>1</v>
      </c>
      <c r="AE43" s="52">
        <f>IF(AND($Z43="",AC43=""),"",$Z43-AC43)</f>
        <v>-3652794.2941999994</v>
      </c>
      <c r="AF43" s="33">
        <f>SUM(AF39:AF42)</f>
        <v>14732739.210000001</v>
      </c>
      <c r="AG43" s="34">
        <f>IF(AF43=0,"",IFERROR(AF43/AF$19,""))</f>
        <v>1</v>
      </c>
      <c r="AH43" s="52">
        <f>IF(AND($Z43="",AF43=""),"",$Z43-AF43)</f>
        <v>-1792532.0500000007</v>
      </c>
      <c r="AI43" s="461">
        <f>IFERROR((Z43-AC43)/AC43,0)</f>
        <v>-0.22014066016220404</v>
      </c>
      <c r="AJ43" s="513" t="s">
        <v>753</v>
      </c>
      <c r="AK43" s="461">
        <f>IFERROR((Z43-AF43)/AF43,0)</f>
        <v>-0.12166997762257957</v>
      </c>
      <c r="AL43" s="513" t="s">
        <v>753</v>
      </c>
      <c r="AN43" s="463"/>
    </row>
    <row r="44" spans="1:41" x14ac:dyDescent="0.25">
      <c r="A44" s="4" t="s">
        <v>988</v>
      </c>
      <c r="G44" s="119"/>
      <c r="H44" s="119"/>
      <c r="I44" s="119"/>
      <c r="J44" s="119"/>
      <c r="K44" s="119"/>
      <c r="L44" s="1">
        <f>COUNTIF(N44:AH44,FALSE)</f>
        <v>0</v>
      </c>
      <c r="M44" s="226" t="str">
        <f>IF(L44=0,"","Revenue - database validation failed")</f>
        <v/>
      </c>
      <c r="N44" s="270" t="str">
        <f t="shared" ref="N44:Z44" si="1">IF(ROUND(N43,2)&lt;&gt;ROUND(N97,2),N43-N97,"")</f>
        <v/>
      </c>
      <c r="O44" s="271" t="str">
        <f t="shared" si="1"/>
        <v/>
      </c>
      <c r="P44" s="271" t="str">
        <f t="shared" si="1"/>
        <v/>
      </c>
      <c r="Q44" s="271" t="str">
        <f t="shared" si="1"/>
        <v/>
      </c>
      <c r="R44" s="271" t="str">
        <f t="shared" si="1"/>
        <v/>
      </c>
      <c r="S44" s="271" t="str">
        <f t="shared" si="1"/>
        <v/>
      </c>
      <c r="T44" s="271" t="str">
        <f t="shared" si="1"/>
        <v/>
      </c>
      <c r="U44" s="271" t="str">
        <f t="shared" si="1"/>
        <v/>
      </c>
      <c r="V44" s="271" t="str">
        <f t="shared" si="1"/>
        <v/>
      </c>
      <c r="W44" s="271" t="str">
        <f t="shared" si="1"/>
        <v/>
      </c>
      <c r="X44" s="271" t="str">
        <f t="shared" si="1"/>
        <v/>
      </c>
      <c r="Y44" s="271" t="str">
        <f t="shared" si="1"/>
        <v/>
      </c>
      <c r="Z44" s="271" t="str">
        <f t="shared" si="1"/>
        <v/>
      </c>
      <c r="AA44" s="180" t="b">
        <f>Z44=""</f>
        <v>1</v>
      </c>
      <c r="AC44" s="270" t="str">
        <f>IF(ROUND(AC43,2)&lt;&gt;ROUND(AC97,2),AC43-AC97,"")</f>
        <v/>
      </c>
      <c r="AD44" s="228" t="b">
        <f>AC44=""</f>
        <v>1</v>
      </c>
      <c r="AE44" s="55"/>
      <c r="AF44" s="271" t="str">
        <f>IF(ROUND(AF43,2)&lt;&gt;ROUND(AF97,2),AF43-AF97,"")</f>
        <v/>
      </c>
      <c r="AG44" s="228" t="b">
        <f>AF44=""</f>
        <v>1</v>
      </c>
      <c r="AH44" s="55"/>
    </row>
    <row r="45" spans="1:41" x14ac:dyDescent="0.25">
      <c r="H45" s="1" t="s">
        <v>564</v>
      </c>
      <c r="I45" s="11" t="s">
        <v>1011</v>
      </c>
      <c r="J45" s="11" t="s">
        <v>78</v>
      </c>
      <c r="M45" s="40" t="s">
        <v>1023</v>
      </c>
      <c r="N45" s="43"/>
      <c r="O45" s="46"/>
      <c r="P45" s="46"/>
      <c r="Q45" s="46"/>
      <c r="R45" s="46"/>
      <c r="S45" s="46"/>
      <c r="T45" s="46"/>
      <c r="U45" s="46"/>
      <c r="V45" s="46"/>
      <c r="W45" s="46"/>
      <c r="X45" s="46"/>
      <c r="Y45" s="46"/>
      <c r="Z45" s="46"/>
      <c r="AA45" s="44"/>
      <c r="AC45" s="43"/>
      <c r="AD45" s="46"/>
      <c r="AE45" s="44"/>
      <c r="AF45" s="43"/>
      <c r="AG45" s="46"/>
      <c r="AH45" s="44"/>
    </row>
    <row r="46" spans="1:41" x14ac:dyDescent="0.25">
      <c r="A46" s="3" t="s">
        <v>0</v>
      </c>
      <c r="B46" s="5" t="s">
        <v>1</v>
      </c>
      <c r="G46" s="15" t="s">
        <v>60</v>
      </c>
      <c r="H46" s="15" t="s">
        <v>464</v>
      </c>
      <c r="I46" s="28" t="s">
        <v>1012</v>
      </c>
      <c r="J46" s="28" t="s">
        <v>78</v>
      </c>
      <c r="K46" s="119"/>
      <c r="L46" s="25"/>
      <c r="M46" s="162" t="s">
        <v>1020</v>
      </c>
      <c r="N46" s="21">
        <v>237562.78</v>
      </c>
      <c r="O46" s="21">
        <v>222323.8</v>
      </c>
      <c r="P46" s="21">
        <v>240431.83</v>
      </c>
      <c r="Q46" s="21">
        <v>244110.22</v>
      </c>
      <c r="R46" s="21">
        <v>208185.68</v>
      </c>
      <c r="S46" s="21">
        <v>199280.41</v>
      </c>
      <c r="T46" s="21">
        <v>214887.5</v>
      </c>
      <c r="U46" s="21">
        <v>200317.04</v>
      </c>
      <c r="V46" s="21">
        <v>181970.93</v>
      </c>
      <c r="W46" s="21">
        <v>204640.28</v>
      </c>
      <c r="X46" s="21">
        <v>204793.19</v>
      </c>
      <c r="Y46" s="21">
        <v>234336.46</v>
      </c>
      <c r="Z46" s="21">
        <f>SUM(N46:Y46)</f>
        <v>2592840.1199999996</v>
      </c>
      <c r="AA46" s="17">
        <f>IF(Z46=0,"",IFERROR(Z46/Z39,""))</f>
        <v>0.26435989837688845</v>
      </c>
      <c r="AC46" s="21">
        <v>2816918.9013481801</v>
      </c>
      <c r="AD46" s="17">
        <f>IF(AC46=0,"",IFERROR(AC46/AC39,""))</f>
        <v>0.24203402525918158</v>
      </c>
      <c r="AE46" s="50">
        <f>IF(AND($Z46="",AC46=""),"",$Z46-AC46)</f>
        <v>-224078.78134818049</v>
      </c>
      <c r="AF46" s="21">
        <v>2825148</v>
      </c>
      <c r="AG46" s="17">
        <f>IF(AF46=0,"",IFERROR(AF46/AF39,""))</f>
        <v>0.25022296355195256</v>
      </c>
      <c r="AH46" s="50">
        <f>IF(AND($Z46="",AF46=""),"",$Z46-AF46)</f>
        <v>-232307.88000000035</v>
      </c>
      <c r="AI46" s="528" t="str">
        <f>+IFERROR(ROUND(($AA46-AD46)*100,2)&amp;" pts.",0)</f>
        <v>2.23 pts.</v>
      </c>
      <c r="AJ46" s="529"/>
      <c r="AK46" s="528" t="str">
        <f>+IFERROR(ROUND(($AA46-AG46)*100,2)&amp;" pts.",0)</f>
        <v>1.41 pts.</v>
      </c>
      <c r="AL46" s="529"/>
    </row>
    <row r="47" spans="1:41" x14ac:dyDescent="0.25">
      <c r="A47" s="6" t="s">
        <v>2</v>
      </c>
      <c r="B47" s="16" t="s">
        <v>1000</v>
      </c>
      <c r="G47" s="15" t="s">
        <v>358</v>
      </c>
      <c r="H47" s="15" t="s">
        <v>464</v>
      </c>
      <c r="I47" s="28" t="s">
        <v>1012</v>
      </c>
      <c r="J47" s="28" t="s">
        <v>78</v>
      </c>
      <c r="K47" s="119"/>
      <c r="L47" s="25"/>
      <c r="M47" s="162" t="s">
        <v>356</v>
      </c>
      <c r="N47" s="21">
        <v>205138.81</v>
      </c>
      <c r="O47" s="21">
        <v>193373.28</v>
      </c>
      <c r="P47" s="21">
        <v>214745.14</v>
      </c>
      <c r="Q47" s="21">
        <v>188933.91</v>
      </c>
      <c r="R47" s="21">
        <v>178110.53</v>
      </c>
      <c r="S47" s="21">
        <v>150465.09</v>
      </c>
      <c r="T47" s="21">
        <v>155783.07</v>
      </c>
      <c r="U47" s="21">
        <v>161441.03</v>
      </c>
      <c r="V47" s="21">
        <v>125622.76</v>
      </c>
      <c r="W47" s="21">
        <v>135880.32999999999</v>
      </c>
      <c r="X47" s="21">
        <v>131989.10999999999</v>
      </c>
      <c r="Y47" s="21">
        <v>198861.98</v>
      </c>
      <c r="Z47" s="21">
        <f>SUM(N47:Y47)</f>
        <v>2040345.04</v>
      </c>
      <c r="AA47" s="17">
        <f>IF(Z47=0,"",IFERROR(Z47/Z40,""))</f>
        <v>0.96628477483416764</v>
      </c>
      <c r="AC47" s="21">
        <v>2882658.0792123699</v>
      </c>
      <c r="AD47" s="17">
        <f>IF(AC47=0,"",IFERROR(AC47/AC40,""))</f>
        <v>0.78339680635240516</v>
      </c>
      <c r="AE47" s="50">
        <f>IF(AND($Z47="",AC47=""),"",$Z47-AC47)</f>
        <v>-842313.03921236983</v>
      </c>
      <c r="AF47" s="21">
        <v>2446506.0499999998</v>
      </c>
      <c r="AG47" s="17">
        <f>IF(AF47=0,"",IFERROR(AF47/AF40,""))</f>
        <v>0.99433668437311806</v>
      </c>
      <c r="AH47" s="50">
        <f>IF(AND($Z47="",AF47=""),"",$Z47-AF47)</f>
        <v>-406161.00999999978</v>
      </c>
      <c r="AI47" s="528" t="str">
        <f>+IFERROR(ROUND(($AA47-AD47)*100,2)&amp;" pts.",0)</f>
        <v>18.29 pts.</v>
      </c>
      <c r="AJ47" s="529"/>
      <c r="AK47" s="528" t="str">
        <f>+IFERROR(ROUND(($AA47-AG47)*100,2)&amp;" pts.",0)</f>
        <v>-2.81 pts.</v>
      </c>
      <c r="AL47" s="529"/>
    </row>
    <row r="48" spans="1:41" x14ac:dyDescent="0.25">
      <c r="A48" s="6" t="s">
        <v>3</v>
      </c>
      <c r="B48" s="16" t="s">
        <v>1001</v>
      </c>
      <c r="G48" s="15" t="s">
        <v>463</v>
      </c>
      <c r="H48" s="15" t="s">
        <v>464</v>
      </c>
      <c r="I48" s="28" t="s">
        <v>1012</v>
      </c>
      <c r="J48" s="28" t="s">
        <v>78</v>
      </c>
      <c r="K48" s="119"/>
      <c r="L48" s="25"/>
      <c r="M48" s="162" t="s">
        <v>1021</v>
      </c>
      <c r="N48" s="21">
        <v>605.01</v>
      </c>
      <c r="O48" s="21">
        <v>1037.3499999999999</v>
      </c>
      <c r="P48" s="21">
        <v>1213.1099999999999</v>
      </c>
      <c r="Q48" s="21">
        <v>1094.22</v>
      </c>
      <c r="R48" s="21">
        <v>717.65</v>
      </c>
      <c r="S48" s="21">
        <v>701.04</v>
      </c>
      <c r="T48" s="21">
        <v>456.03</v>
      </c>
      <c r="U48" s="21">
        <v>170.54</v>
      </c>
      <c r="V48" s="21">
        <v>424.49</v>
      </c>
      <c r="W48" s="21">
        <v>182.82</v>
      </c>
      <c r="X48" s="21">
        <v>547.54999999999995</v>
      </c>
      <c r="Y48" s="21">
        <v>58.91</v>
      </c>
      <c r="Z48" s="21">
        <f>SUM(N48:Y48)</f>
        <v>7208.7199999999984</v>
      </c>
      <c r="AA48" s="17">
        <f>IF(Z48=0,"",IFERROR(Z48/Z41,""))</f>
        <v>0.45378930994780797</v>
      </c>
      <c r="AC48" s="21">
        <v>9089.0349000000006</v>
      </c>
      <c r="AD48" s="17">
        <f>IF(AC48=0,"",IFERROR(AC48/AC41,""))</f>
        <v>0.36344262295081969</v>
      </c>
      <c r="AE48" s="50">
        <f>IF(AND($Z48="",AC48=""),"",$Z48-AC48)</f>
        <v>-1880.3149000000021</v>
      </c>
      <c r="AF48" s="21">
        <v>11399.28</v>
      </c>
      <c r="AG48" s="17">
        <f>IF(AF48=0,"",IFERROR(AF48/AF41,""))</f>
        <v>0.40760597888467676</v>
      </c>
      <c r="AH48" s="50">
        <f>IF(AND($Z48="",AF48=""),"",$Z48-AF48)</f>
        <v>-4190.5600000000022</v>
      </c>
      <c r="AI48" s="532" t="str">
        <f>+IFERROR(ROUND(($AA48-AD48)*100,2)&amp;" pts.",0)</f>
        <v>9.03 pts.</v>
      </c>
      <c r="AJ48" s="533"/>
      <c r="AK48" s="532" t="str">
        <f>+IFERROR(ROUND(($AA48-AG48)*100,2)&amp;" pts.",0)</f>
        <v>4.62 pts.</v>
      </c>
      <c r="AL48" s="533"/>
    </row>
    <row r="49" spans="1:38" x14ac:dyDescent="0.25">
      <c r="A49" s="6" t="s">
        <v>4</v>
      </c>
      <c r="B49" s="16" t="s">
        <v>1013</v>
      </c>
      <c r="I49" s="1"/>
      <c r="J49" s="1"/>
      <c r="L49" s="1"/>
      <c r="M49" s="25" t="str">
        <f>"Total "&amp;M45</f>
        <v>Total Departmental Expense</v>
      </c>
      <c r="N49" s="33">
        <f t="shared" ref="N49:Y49" si="2">SUM(N46:N48)</f>
        <v>443306.6</v>
      </c>
      <c r="O49" s="33">
        <f t="shared" si="2"/>
        <v>416734.42999999993</v>
      </c>
      <c r="P49" s="33">
        <f t="shared" si="2"/>
        <v>456390.07999999996</v>
      </c>
      <c r="Q49" s="33">
        <f t="shared" si="2"/>
        <v>434138.35</v>
      </c>
      <c r="R49" s="33">
        <f t="shared" si="2"/>
        <v>387013.86</v>
      </c>
      <c r="S49" s="33">
        <f t="shared" si="2"/>
        <v>350446.54</v>
      </c>
      <c r="T49" s="33">
        <f t="shared" si="2"/>
        <v>371126.60000000003</v>
      </c>
      <c r="U49" s="33">
        <f t="shared" si="2"/>
        <v>361928.61</v>
      </c>
      <c r="V49" s="33">
        <f t="shared" si="2"/>
        <v>308018.18</v>
      </c>
      <c r="W49" s="33">
        <f t="shared" si="2"/>
        <v>340703.43</v>
      </c>
      <c r="X49" s="33">
        <f t="shared" si="2"/>
        <v>337329.85</v>
      </c>
      <c r="Y49" s="33">
        <f t="shared" si="2"/>
        <v>433257.35</v>
      </c>
      <c r="Z49" s="33">
        <f>SUM(N49:Y49)</f>
        <v>4640393.88</v>
      </c>
      <c r="AA49" s="34">
        <f>IF(Z49=0,"",IFERROR(Z49/Z$43,""))</f>
        <v>0.35860275052969087</v>
      </c>
      <c r="AC49" s="33">
        <f>SUM(AC46:AC48)</f>
        <v>5708666.0154605508</v>
      </c>
      <c r="AD49" s="34">
        <f>IF(AC49=0,"",IFERROR(AC49/AC$43,""))</f>
        <v>0.34404059031861173</v>
      </c>
      <c r="AE49" s="52">
        <f>IF(AND($Z49="",AC49=""),"",$Z49-AC49)</f>
        <v>-1068272.1354605509</v>
      </c>
      <c r="AF49" s="33">
        <f>SUM(AF46:AF48)</f>
        <v>5283053.33</v>
      </c>
      <c r="AG49" s="34">
        <f>IF(AF49=0,"",IFERROR(AF49/AF$43,""))</f>
        <v>0.35859274060957191</v>
      </c>
      <c r="AH49" s="52">
        <f>IF(AND($Z49="",AF49=""),"",$Z49-AF49)</f>
        <v>-642659.45000000019</v>
      </c>
      <c r="AI49" s="534" t="str">
        <f>+IFERROR(ROUND(($AA49-AD49)*100,2)&amp;" pts.",0)</f>
        <v>1.46 pts.</v>
      </c>
      <c r="AJ49" s="535"/>
      <c r="AK49" s="534" t="str">
        <f>+IFERROR(ROUND(($AA49-AG49)*100,2)&amp;" pts.",0)</f>
        <v>0 pts.</v>
      </c>
      <c r="AL49" s="535"/>
    </row>
    <row r="50" spans="1:38" x14ac:dyDescent="0.25">
      <c r="A50" s="6" t="s">
        <v>5</v>
      </c>
      <c r="B50" s="7"/>
      <c r="I50" s="1"/>
      <c r="J50" s="1"/>
      <c r="L50" s="1">
        <f>COUNTIF(N50:AH50,FALSE)</f>
        <v>0</v>
      </c>
      <c r="M50" s="226" t="str">
        <f>IF(L50=0,"","Expense - database validation failed")</f>
        <v/>
      </c>
      <c r="N50" s="270" t="str">
        <f t="shared" ref="N50:Z50" si="3">IF(ROUND(N49,2)&lt;&gt;ROUND(N98,2),N49-N98,"")</f>
        <v/>
      </c>
      <c r="O50" s="271" t="str">
        <f t="shared" si="3"/>
        <v/>
      </c>
      <c r="P50" s="271" t="str">
        <f t="shared" si="3"/>
        <v/>
      </c>
      <c r="Q50" s="271" t="str">
        <f t="shared" si="3"/>
        <v/>
      </c>
      <c r="R50" s="271" t="str">
        <f t="shared" si="3"/>
        <v/>
      </c>
      <c r="S50" s="271" t="str">
        <f t="shared" si="3"/>
        <v/>
      </c>
      <c r="T50" s="271" t="str">
        <f t="shared" si="3"/>
        <v/>
      </c>
      <c r="U50" s="271" t="str">
        <f t="shared" si="3"/>
        <v/>
      </c>
      <c r="V50" s="271" t="str">
        <f t="shared" si="3"/>
        <v/>
      </c>
      <c r="W50" s="271" t="str">
        <f t="shared" si="3"/>
        <v/>
      </c>
      <c r="X50" s="271" t="str">
        <f t="shared" si="3"/>
        <v/>
      </c>
      <c r="Y50" s="271" t="str">
        <f t="shared" si="3"/>
        <v/>
      </c>
      <c r="Z50" s="271" t="str">
        <f t="shared" si="3"/>
        <v/>
      </c>
      <c r="AA50" s="193" t="b">
        <f>Z50=""</f>
        <v>1</v>
      </c>
      <c r="AC50" s="270" t="str">
        <f>IF(ROUND(AC49,2)&lt;&gt;ROUND(AC98,2),AC49-AC98,"")</f>
        <v/>
      </c>
      <c r="AD50" s="228" t="b">
        <f>AC50=""</f>
        <v>1</v>
      </c>
      <c r="AE50" s="55"/>
      <c r="AF50" s="270" t="str">
        <f>IF(ROUND(AF49,2)&lt;&gt;ROUND(AF98,2),AF49-AF98,"")</f>
        <v/>
      </c>
      <c r="AG50" s="228" t="b">
        <f>AF50=""</f>
        <v>1</v>
      </c>
      <c r="AH50" s="55"/>
    </row>
    <row r="51" spans="1:38" x14ac:dyDescent="0.25">
      <c r="A51" s="6" t="s">
        <v>6</v>
      </c>
      <c r="B51" s="7"/>
      <c r="G51" s="15"/>
      <c r="H51" s="15"/>
      <c r="I51" s="161"/>
      <c r="J51" s="161"/>
      <c r="L51" s="1"/>
      <c r="M51" s="25" t="s">
        <v>471</v>
      </c>
      <c r="N51" s="164">
        <f t="shared" ref="N51:Y51" si="4">N43-N49</f>
        <v>1018857.17</v>
      </c>
      <c r="O51" s="164">
        <f t="shared" si="4"/>
        <v>1119873.01</v>
      </c>
      <c r="P51" s="164">
        <f t="shared" si="4"/>
        <v>1078013.9900000002</v>
      </c>
      <c r="Q51" s="164">
        <f t="shared" si="4"/>
        <v>736167.04999999993</v>
      </c>
      <c r="R51" s="164">
        <f t="shared" si="4"/>
        <v>696520.61</v>
      </c>
      <c r="S51" s="164">
        <f t="shared" si="4"/>
        <v>524295.53</v>
      </c>
      <c r="T51" s="164">
        <f t="shared" si="4"/>
        <v>472816.84</v>
      </c>
      <c r="U51" s="164">
        <f t="shared" si="4"/>
        <v>358174.05999999994</v>
      </c>
      <c r="V51" s="164">
        <f t="shared" si="4"/>
        <v>309811.32</v>
      </c>
      <c r="W51" s="164">
        <f t="shared" si="4"/>
        <v>438027.97000000003</v>
      </c>
      <c r="X51" s="164">
        <f t="shared" si="4"/>
        <v>542226.33000000007</v>
      </c>
      <c r="Y51" s="164">
        <f t="shared" si="4"/>
        <v>1005029.4</v>
      </c>
      <c r="Z51" s="164">
        <f>SUM(N51:Y51)</f>
        <v>8299813.2800000003</v>
      </c>
      <c r="AA51" s="175">
        <f>IF(Z51=0,"",IFERROR(Z51/Z43,""))</f>
        <v>0.64139724947030907</v>
      </c>
      <c r="AC51" s="164">
        <f>AC43-AC49</f>
        <v>10884335.438739449</v>
      </c>
      <c r="AD51" s="175">
        <f>IF(AC51=0,"",IFERROR(AC51/AC43,""))</f>
        <v>0.65595940968138822</v>
      </c>
      <c r="AE51" s="165">
        <f>IF(AND($Z51="",AC51=""),"",$Z51-AC51)</f>
        <v>-2584522.1587394485</v>
      </c>
      <c r="AF51" s="164">
        <f>AF43-AF49</f>
        <v>9449685.8800000008</v>
      </c>
      <c r="AG51" s="175">
        <f>IF(AF51=0,"",IFERROR(AF51/AF43,""))</f>
        <v>0.64140725939042809</v>
      </c>
      <c r="AH51" s="165">
        <f>IF(AND($Z51="",AF51=""),"",$Z51-AF51)</f>
        <v>-1149872.6000000006</v>
      </c>
      <c r="AI51" s="536" t="str">
        <f>+IFERROR(ROUND(($AA51-AD51)*100,2)&amp;" pts.",0)</f>
        <v>-1.46 pts.</v>
      </c>
      <c r="AJ51" s="537"/>
      <c r="AK51" s="536" t="str">
        <f>+IFERROR(ROUND(($AA51-AG51)*100,2)&amp;" pts.",0)</f>
        <v>0 pts.</v>
      </c>
      <c r="AL51" s="537"/>
    </row>
    <row r="52" spans="1:38" x14ac:dyDescent="0.25">
      <c r="A52" s="6" t="s">
        <v>7</v>
      </c>
      <c r="B52" s="7"/>
      <c r="I52" s="1"/>
      <c r="J52" s="1"/>
      <c r="L52" s="1">
        <f>COUNTIF(N52:AH52,FALSE)</f>
        <v>0</v>
      </c>
      <c r="M52" s="226" t="str">
        <f>IF(L52=0,"","Profit - database validation failed")</f>
        <v/>
      </c>
      <c r="N52" s="270" t="str">
        <f t="shared" ref="N52:Z52" si="5">IF(ROUND(N51,2)&lt;&gt;ROUND(N99,2),N51-N99,"")</f>
        <v/>
      </c>
      <c r="O52" s="271" t="str">
        <f t="shared" si="5"/>
        <v/>
      </c>
      <c r="P52" s="271" t="str">
        <f t="shared" si="5"/>
        <v/>
      </c>
      <c r="Q52" s="271" t="str">
        <f t="shared" si="5"/>
        <v/>
      </c>
      <c r="R52" s="271" t="str">
        <f t="shared" si="5"/>
        <v/>
      </c>
      <c r="S52" s="271" t="str">
        <f t="shared" si="5"/>
        <v/>
      </c>
      <c r="T52" s="271" t="str">
        <f t="shared" si="5"/>
        <v/>
      </c>
      <c r="U52" s="271" t="str">
        <f t="shared" si="5"/>
        <v/>
      </c>
      <c r="V52" s="271" t="str">
        <f t="shared" si="5"/>
        <v/>
      </c>
      <c r="W52" s="271" t="str">
        <f t="shared" si="5"/>
        <v/>
      </c>
      <c r="X52" s="271" t="str">
        <f t="shared" si="5"/>
        <v/>
      </c>
      <c r="Y52" s="271" t="str">
        <f t="shared" si="5"/>
        <v/>
      </c>
      <c r="Z52" s="271" t="str">
        <f t="shared" si="5"/>
        <v/>
      </c>
      <c r="AA52" s="193" t="b">
        <f>Z52=""</f>
        <v>1</v>
      </c>
      <c r="AC52" s="270" t="str">
        <f>IF(ROUND(AC51,2)&lt;&gt;ROUND(AC99,2),AC51-AC99,"")</f>
        <v/>
      </c>
      <c r="AD52" s="228" t="b">
        <f>AC52=""</f>
        <v>1</v>
      </c>
      <c r="AE52" s="55"/>
      <c r="AF52" s="270" t="str">
        <f>IF(ROUND(AF51,2)&lt;&gt;ROUND(AF99,2),AF51-AF99,"")</f>
        <v/>
      </c>
      <c r="AG52" s="228" t="b">
        <f>AF52=""</f>
        <v>1</v>
      </c>
      <c r="AH52" s="55"/>
    </row>
    <row r="53" spans="1:38" x14ac:dyDescent="0.25">
      <c r="A53" s="6" t="s">
        <v>47</v>
      </c>
      <c r="B53" s="16" t="s">
        <v>1004</v>
      </c>
      <c r="H53" s="1" t="s">
        <v>565</v>
      </c>
      <c r="I53" s="11" t="s">
        <v>1011</v>
      </c>
      <c r="J53" s="11" t="s">
        <v>78</v>
      </c>
      <c r="L53" s="1"/>
      <c r="M53" s="40" t="s">
        <v>1024</v>
      </c>
      <c r="N53" s="43"/>
      <c r="O53" s="46"/>
      <c r="P53" s="46"/>
      <c r="Q53" s="46"/>
      <c r="R53" s="46"/>
      <c r="S53" s="46"/>
      <c r="T53" s="46"/>
      <c r="U53" s="46"/>
      <c r="V53" s="46"/>
      <c r="W53" s="46"/>
      <c r="X53" s="46"/>
      <c r="Y53" s="46"/>
      <c r="Z53" s="46"/>
      <c r="AA53" s="44"/>
      <c r="AC53" s="43"/>
      <c r="AD53" s="46"/>
      <c r="AE53" s="44"/>
      <c r="AF53" s="43"/>
      <c r="AG53" s="46"/>
      <c r="AH53" s="44"/>
    </row>
    <row r="54" spans="1:38" x14ac:dyDescent="0.25">
      <c r="A54" s="6" t="s">
        <v>8</v>
      </c>
      <c r="B54" s="7"/>
      <c r="G54" s="15" t="s">
        <v>497</v>
      </c>
      <c r="H54" s="15" t="s">
        <v>464</v>
      </c>
      <c r="I54" s="161" t="s">
        <v>1012</v>
      </c>
      <c r="J54" s="161" t="s">
        <v>78</v>
      </c>
      <c r="L54" s="1"/>
      <c r="M54" s="162" t="s">
        <v>1025</v>
      </c>
      <c r="N54" s="21">
        <v>115880.2</v>
      </c>
      <c r="O54" s="21">
        <v>107208.48</v>
      </c>
      <c r="P54" s="21">
        <v>104655.56</v>
      </c>
      <c r="Q54" s="21">
        <v>94139.64</v>
      </c>
      <c r="R54" s="21">
        <v>98595.93</v>
      </c>
      <c r="S54" s="21">
        <v>93588.6</v>
      </c>
      <c r="T54" s="21">
        <v>82988.539999999994</v>
      </c>
      <c r="U54" s="21">
        <v>83820.86</v>
      </c>
      <c r="V54" s="21">
        <v>101005.28</v>
      </c>
      <c r="W54" s="21">
        <v>105960.06</v>
      </c>
      <c r="X54" s="21">
        <v>105930.06</v>
      </c>
      <c r="Y54" s="21">
        <v>109592.66</v>
      </c>
      <c r="Z54" s="21">
        <f t="shared" ref="Z54:Z59" si="6">SUM(N54:Y54)</f>
        <v>1203365.8700000001</v>
      </c>
      <c r="AA54" s="17">
        <f t="shared" ref="AA54:AA59" si="7">IF(Z54=0,"",IFERROR(Z54/Z$43,""))</f>
        <v>9.2994328075347452E-2</v>
      </c>
      <c r="AC54" s="21">
        <v>1381107.5977425801</v>
      </c>
      <c r="AD54" s="17">
        <f t="shared" ref="AD54:AD59" si="8">IF(AC54=0,"",IFERROR(AC54/AC$43,""))</f>
        <v>8.3234344404459495E-2</v>
      </c>
      <c r="AE54" s="50">
        <f t="shared" ref="AE54:AE59" si="9">IF(AND($Z54="",AC54=""),"",$Z54-AC54)</f>
        <v>-177741.72774258</v>
      </c>
      <c r="AF54" s="21">
        <v>1346163.81</v>
      </c>
      <c r="AG54" s="17">
        <f t="shared" ref="AG54:AG59" si="10">IF(AF54=0,"",IFERROR(AF54/AF$43,""))</f>
        <v>9.1372268986223373E-2</v>
      </c>
      <c r="AH54" s="50">
        <f t="shared" ref="AH54:AH59" si="11">IF(AND($Z54="",AF54=""),"",$Z54-AF54)</f>
        <v>-142797.93999999994</v>
      </c>
      <c r="AI54" s="528" t="str">
        <f t="shared" ref="AI54:AI59" si="12">+IFERROR(ROUND(($AA54-AD54)*100,2)&amp;" pts.",0)</f>
        <v>0.98 pts.</v>
      </c>
      <c r="AJ54" s="529"/>
      <c r="AK54" s="528" t="str">
        <f t="shared" ref="AK54:AK59" si="13">+IFERROR(ROUND(($AA54-AG54)*100,2)&amp;" pts.",0)</f>
        <v>0.16 pts.</v>
      </c>
      <c r="AL54" s="529"/>
    </row>
    <row r="55" spans="1:38" x14ac:dyDescent="0.25">
      <c r="D55" s="1" t="s">
        <v>569</v>
      </c>
      <c r="G55" s="15" t="s">
        <v>500</v>
      </c>
      <c r="H55" s="15" t="s">
        <v>464</v>
      </c>
      <c r="I55" s="161" t="s">
        <v>1012</v>
      </c>
      <c r="J55" s="161" t="s">
        <v>78</v>
      </c>
      <c r="L55" s="1"/>
      <c r="M55" s="162" t="s">
        <v>1026</v>
      </c>
      <c r="N55" s="21">
        <v>19394.36</v>
      </c>
      <c r="O55" s="21">
        <v>18142.16</v>
      </c>
      <c r="P55" s="21">
        <v>16595.599999999999</v>
      </c>
      <c r="Q55" s="21">
        <v>21435.61</v>
      </c>
      <c r="R55" s="21">
        <v>24853.26</v>
      </c>
      <c r="S55" s="21">
        <v>16534.830000000002</v>
      </c>
      <c r="T55" s="21">
        <v>18872.71</v>
      </c>
      <c r="U55" s="21">
        <v>15451.6</v>
      </c>
      <c r="V55" s="21">
        <v>11924.04</v>
      </c>
      <c r="W55" s="21">
        <v>12640.45</v>
      </c>
      <c r="X55" s="21">
        <v>15845</v>
      </c>
      <c r="Y55" s="21">
        <v>18807.7</v>
      </c>
      <c r="Z55" s="21">
        <f t="shared" si="6"/>
        <v>210497.32000000004</v>
      </c>
      <c r="AA55" s="17">
        <f t="shared" si="7"/>
        <v>1.6266920413042292E-2</v>
      </c>
      <c r="AC55" s="21">
        <v>237263.16344815001</v>
      </c>
      <c r="AD55" s="17">
        <f t="shared" si="8"/>
        <v>1.4298990095495607E-2</v>
      </c>
      <c r="AE55" s="50">
        <f t="shared" si="9"/>
        <v>-26765.843448149972</v>
      </c>
      <c r="AF55" s="21">
        <v>209793.12</v>
      </c>
      <c r="AG55" s="17">
        <f t="shared" si="10"/>
        <v>1.4239926262836494E-2</v>
      </c>
      <c r="AH55" s="50">
        <f t="shared" si="11"/>
        <v>704.20000000004075</v>
      </c>
      <c r="AI55" s="528" t="str">
        <f t="shared" si="12"/>
        <v>0.2 pts.</v>
      </c>
      <c r="AJ55" s="529"/>
      <c r="AK55" s="528" t="str">
        <f t="shared" si="13"/>
        <v>0.2 pts.</v>
      </c>
      <c r="AL55" s="529"/>
    </row>
    <row r="56" spans="1:38" x14ac:dyDescent="0.25">
      <c r="G56" s="15" t="s">
        <v>512</v>
      </c>
      <c r="H56" s="15" t="s">
        <v>464</v>
      </c>
      <c r="I56" s="161" t="s">
        <v>1012</v>
      </c>
      <c r="J56" s="161" t="s">
        <v>78</v>
      </c>
      <c r="L56" s="1"/>
      <c r="M56" s="162" t="s">
        <v>1027</v>
      </c>
      <c r="N56" s="21">
        <v>96911.83</v>
      </c>
      <c r="O56" s="21">
        <v>100822.98</v>
      </c>
      <c r="P56" s="21">
        <v>117163.84</v>
      </c>
      <c r="Q56" s="21">
        <v>110587.55</v>
      </c>
      <c r="R56" s="21">
        <v>102044.08</v>
      </c>
      <c r="S56" s="21">
        <v>107479.52</v>
      </c>
      <c r="T56" s="21">
        <v>86703.54</v>
      </c>
      <c r="U56" s="21">
        <v>86089.7</v>
      </c>
      <c r="V56" s="21">
        <v>87934.38</v>
      </c>
      <c r="W56" s="21">
        <v>90430.13</v>
      </c>
      <c r="X56" s="21">
        <v>78008.490000000005</v>
      </c>
      <c r="Y56" s="21">
        <v>118170.36</v>
      </c>
      <c r="Z56" s="21">
        <f t="shared" si="6"/>
        <v>1182346.4000000001</v>
      </c>
      <c r="AA56" s="17">
        <f t="shared" si="7"/>
        <v>9.136997463648025E-2</v>
      </c>
      <c r="AC56" s="21">
        <v>1242154.97350971</v>
      </c>
      <c r="AD56" s="17">
        <f t="shared" si="8"/>
        <v>7.4860173847287728E-2</v>
      </c>
      <c r="AE56" s="50">
        <f t="shared" si="9"/>
        <v>-59808.57350970991</v>
      </c>
      <c r="AF56" s="21">
        <v>1147796.1200000001</v>
      </c>
      <c r="AG56" s="17">
        <f t="shared" si="10"/>
        <v>7.7907855670242332E-2</v>
      </c>
      <c r="AH56" s="50">
        <f t="shared" si="11"/>
        <v>34550.280000000028</v>
      </c>
      <c r="AI56" s="528" t="str">
        <f t="shared" si="12"/>
        <v>1.65 pts.</v>
      </c>
      <c r="AJ56" s="529"/>
      <c r="AK56" s="528" t="str">
        <f t="shared" si="13"/>
        <v>1.35 pts.</v>
      </c>
      <c r="AL56" s="529"/>
    </row>
    <row r="57" spans="1:38" x14ac:dyDescent="0.25">
      <c r="A57" s="3" t="s">
        <v>23</v>
      </c>
      <c r="B57" s="5" t="s">
        <v>24</v>
      </c>
      <c r="G57" s="15" t="s">
        <v>513</v>
      </c>
      <c r="H57" s="15" t="s">
        <v>464</v>
      </c>
      <c r="I57" s="161" t="s">
        <v>1012</v>
      </c>
      <c r="J57" s="161" t="s">
        <v>78</v>
      </c>
      <c r="L57" s="1"/>
      <c r="M57" s="162" t="s">
        <v>1028</v>
      </c>
      <c r="N57" s="21">
        <v>42991.76</v>
      </c>
      <c r="O57" s="21">
        <v>55685.14</v>
      </c>
      <c r="P57" s="21">
        <v>57325.17</v>
      </c>
      <c r="Q57" s="21">
        <v>62439.23</v>
      </c>
      <c r="R57" s="21">
        <v>73285.52</v>
      </c>
      <c r="S57" s="21">
        <v>59617.88</v>
      </c>
      <c r="T57" s="21">
        <v>61751.43</v>
      </c>
      <c r="U57" s="21">
        <v>61428.18</v>
      </c>
      <c r="V57" s="21">
        <v>59050.16</v>
      </c>
      <c r="W57" s="21">
        <v>59083.99</v>
      </c>
      <c r="X57" s="21">
        <v>72131.02</v>
      </c>
      <c r="Y57" s="21">
        <v>64254.13</v>
      </c>
      <c r="Z57" s="21">
        <f t="shared" si="6"/>
        <v>729043.61</v>
      </c>
      <c r="AA57" s="17">
        <f t="shared" si="7"/>
        <v>5.6339407938813861E-2</v>
      </c>
      <c r="AC57" s="21">
        <v>705861.33356508403</v>
      </c>
      <c r="AD57" s="17">
        <f t="shared" si="8"/>
        <v>4.2539701784116778E-2</v>
      </c>
      <c r="AE57" s="50">
        <f t="shared" si="9"/>
        <v>23182.276434915955</v>
      </c>
      <c r="AF57" s="21">
        <v>678879.62</v>
      </c>
      <c r="AG57" s="17">
        <f t="shared" si="10"/>
        <v>4.6079660429962907E-2</v>
      </c>
      <c r="AH57" s="50">
        <f t="shared" si="11"/>
        <v>50163.989999999991</v>
      </c>
      <c r="AI57" s="528" t="str">
        <f t="shared" si="12"/>
        <v>1.38 pts.</v>
      </c>
      <c r="AJ57" s="529"/>
      <c r="AK57" s="528" t="str">
        <f t="shared" si="13"/>
        <v>1.03 pts.</v>
      </c>
      <c r="AL57" s="529"/>
    </row>
    <row r="58" spans="1:38" x14ac:dyDescent="0.25">
      <c r="A58" s="6" t="s">
        <v>25</v>
      </c>
      <c r="B58" s="7"/>
      <c r="G58" s="15" t="s">
        <v>514</v>
      </c>
      <c r="H58" s="15" t="s">
        <v>464</v>
      </c>
      <c r="I58" s="161" t="s">
        <v>1012</v>
      </c>
      <c r="J58" s="161" t="s">
        <v>78</v>
      </c>
      <c r="L58" s="1"/>
      <c r="M58" s="162" t="s">
        <v>1029</v>
      </c>
      <c r="N58" s="21">
        <v>15384.68</v>
      </c>
      <c r="O58" s="21">
        <v>15456.89</v>
      </c>
      <c r="P58" s="21">
        <v>21209.37</v>
      </c>
      <c r="Q58" s="21">
        <v>18254.88</v>
      </c>
      <c r="R58" s="21">
        <v>19150.810000000001</v>
      </c>
      <c r="S58" s="21">
        <v>19916.36</v>
      </c>
      <c r="T58" s="21">
        <v>21419.83</v>
      </c>
      <c r="U58" s="21">
        <v>19755.580000000002</v>
      </c>
      <c r="V58" s="21">
        <v>22000.959999999999</v>
      </c>
      <c r="W58" s="21">
        <v>17967.62</v>
      </c>
      <c r="X58" s="21">
        <v>23434.55</v>
      </c>
      <c r="Y58" s="21">
        <v>22404.11</v>
      </c>
      <c r="Z58" s="21">
        <f t="shared" si="6"/>
        <v>236355.64</v>
      </c>
      <c r="AA58" s="17">
        <f t="shared" si="7"/>
        <v>1.8265212996791003E-2</v>
      </c>
      <c r="AC58" s="21">
        <v>215066.93</v>
      </c>
      <c r="AD58" s="17">
        <f t="shared" si="8"/>
        <v>1.2961303631150018E-2</v>
      </c>
      <c r="AE58" s="50">
        <f t="shared" si="9"/>
        <v>21288.710000000021</v>
      </c>
      <c r="AF58" s="21">
        <v>204038.44</v>
      </c>
      <c r="AG58" s="17">
        <f t="shared" si="10"/>
        <v>1.3849321371378568E-2</v>
      </c>
      <c r="AH58" s="50">
        <f t="shared" si="11"/>
        <v>32317.200000000012</v>
      </c>
      <c r="AI58" s="528" t="str">
        <f t="shared" si="12"/>
        <v>0.53 pts.</v>
      </c>
      <c r="AJ58" s="529"/>
      <c r="AK58" s="528" t="str">
        <f t="shared" si="13"/>
        <v>0.44 pts.</v>
      </c>
      <c r="AL58" s="529"/>
    </row>
    <row r="59" spans="1:38" x14ac:dyDescent="0.25">
      <c r="A59" s="6" t="s">
        <v>26</v>
      </c>
      <c r="B59" s="7"/>
      <c r="I59" s="1"/>
      <c r="J59" s="1"/>
      <c r="L59" s="1"/>
      <c r="M59" s="25" t="str">
        <f>"Total "&amp;M53</f>
        <v>Total Undistributed Expenses</v>
      </c>
      <c r="N59" s="33">
        <f t="shared" ref="N59:Y59" si="14">SUM(N54:N58)</f>
        <v>290562.83</v>
      </c>
      <c r="O59" s="33">
        <f t="shared" si="14"/>
        <v>297315.65000000002</v>
      </c>
      <c r="P59" s="33">
        <f t="shared" si="14"/>
        <v>316949.53999999998</v>
      </c>
      <c r="Q59" s="33">
        <f t="shared" si="14"/>
        <v>306856.90999999997</v>
      </c>
      <c r="R59" s="33">
        <f t="shared" si="14"/>
        <v>317929.59999999998</v>
      </c>
      <c r="S59" s="33">
        <f t="shared" si="14"/>
        <v>297137.19</v>
      </c>
      <c r="T59" s="33">
        <f t="shared" si="14"/>
        <v>271736.05</v>
      </c>
      <c r="U59" s="33">
        <f t="shared" si="14"/>
        <v>266545.91999999998</v>
      </c>
      <c r="V59" s="33">
        <f t="shared" si="14"/>
        <v>281914.82</v>
      </c>
      <c r="W59" s="33">
        <f t="shared" si="14"/>
        <v>286082.25</v>
      </c>
      <c r="X59" s="33">
        <f t="shared" si="14"/>
        <v>295349.12</v>
      </c>
      <c r="Y59" s="33">
        <f t="shared" si="14"/>
        <v>333228.95999999996</v>
      </c>
      <c r="Z59" s="33">
        <f t="shared" si="6"/>
        <v>3561608.8399999994</v>
      </c>
      <c r="AA59" s="34">
        <f t="shared" si="7"/>
        <v>0.2752358440604748</v>
      </c>
      <c r="AC59" s="33">
        <f>SUM(AC54:AC58)</f>
        <v>3781453.9982655249</v>
      </c>
      <c r="AD59" s="34">
        <f t="shared" si="8"/>
        <v>0.22789451376250969</v>
      </c>
      <c r="AE59" s="52">
        <f t="shared" si="9"/>
        <v>-219845.15826552548</v>
      </c>
      <c r="AF59" s="33">
        <f>SUM(AF54:AF58)</f>
        <v>3586671.1100000003</v>
      </c>
      <c r="AG59" s="34">
        <f t="shared" si="10"/>
        <v>0.24344903272064369</v>
      </c>
      <c r="AH59" s="52">
        <f t="shared" si="11"/>
        <v>-25062.27000000095</v>
      </c>
      <c r="AI59" s="534" t="str">
        <f t="shared" si="12"/>
        <v>4.73 pts.</v>
      </c>
      <c r="AJ59" s="535"/>
      <c r="AK59" s="534" t="str">
        <f t="shared" si="13"/>
        <v>3.18 pts.</v>
      </c>
      <c r="AL59" s="535"/>
    </row>
    <row r="60" spans="1:38" x14ac:dyDescent="0.25">
      <c r="A60" s="6" t="s">
        <v>27</v>
      </c>
      <c r="B60" s="7"/>
      <c r="G60" s="25"/>
      <c r="H60" s="25"/>
      <c r="I60" s="25"/>
      <c r="J60" s="25"/>
      <c r="L60" s="1">
        <f>COUNTIF(N60:AH60,FALSE)</f>
        <v>0</v>
      </c>
      <c r="M60" s="226" t="str">
        <f>IF(L60=0,"","Expense - database validation failed")</f>
        <v/>
      </c>
      <c r="N60" s="270" t="str">
        <f t="shared" ref="N60:Z60" si="15">IF(ROUND(N59,2)&lt;&gt;ROUND(N100,2),N59-N100,"")</f>
        <v/>
      </c>
      <c r="O60" s="271" t="str">
        <f t="shared" si="15"/>
        <v/>
      </c>
      <c r="P60" s="271" t="str">
        <f t="shared" si="15"/>
        <v/>
      </c>
      <c r="Q60" s="271" t="str">
        <f t="shared" si="15"/>
        <v/>
      </c>
      <c r="R60" s="271" t="str">
        <f t="shared" si="15"/>
        <v/>
      </c>
      <c r="S60" s="271" t="str">
        <f t="shared" si="15"/>
        <v/>
      </c>
      <c r="T60" s="271" t="str">
        <f t="shared" si="15"/>
        <v/>
      </c>
      <c r="U60" s="271" t="str">
        <f t="shared" si="15"/>
        <v/>
      </c>
      <c r="V60" s="271" t="str">
        <f t="shared" si="15"/>
        <v/>
      </c>
      <c r="W60" s="271" t="str">
        <f t="shared" si="15"/>
        <v/>
      </c>
      <c r="X60" s="271" t="str">
        <f t="shared" si="15"/>
        <v/>
      </c>
      <c r="Y60" s="271" t="str">
        <f t="shared" si="15"/>
        <v/>
      </c>
      <c r="Z60" s="271" t="str">
        <f t="shared" si="15"/>
        <v/>
      </c>
      <c r="AA60" s="193" t="b">
        <f>Z60=""</f>
        <v>1</v>
      </c>
      <c r="AC60" s="270" t="str">
        <f>IF(ROUND(AC59,2)&lt;&gt;ROUND(AC100,2),AC59-AC100,"")</f>
        <v/>
      </c>
      <c r="AD60" s="228" t="b">
        <f>AC60=""</f>
        <v>1</v>
      </c>
      <c r="AE60" s="55"/>
      <c r="AF60" s="270" t="str">
        <f>IF(ROUND(AF59,2)&lt;&gt;ROUND(AF100,2),AF59-AF100,"")</f>
        <v/>
      </c>
      <c r="AG60" s="228" t="b">
        <f>AF60=""</f>
        <v>1</v>
      </c>
      <c r="AH60" s="55"/>
    </row>
    <row r="61" spans="1:38" ht="15.75" thickBot="1" x14ac:dyDescent="0.3">
      <c r="A61" s="6" t="s">
        <v>28</v>
      </c>
      <c r="B61" s="7"/>
      <c r="F61" s="15" t="s">
        <v>567</v>
      </c>
      <c r="I61" s="1"/>
      <c r="J61" s="1"/>
      <c r="L61" s="1"/>
      <c r="M61" s="25" t="s">
        <v>1030</v>
      </c>
      <c r="N61" s="62">
        <f t="shared" ref="N61:Y61" si="16">N43-N49-N59</f>
        <v>728294.34000000008</v>
      </c>
      <c r="O61" s="62">
        <f t="shared" si="16"/>
        <v>822557.36</v>
      </c>
      <c r="P61" s="62">
        <f t="shared" si="16"/>
        <v>761064.45000000019</v>
      </c>
      <c r="Q61" s="62">
        <f t="shared" si="16"/>
        <v>429310.13999999996</v>
      </c>
      <c r="R61" s="62">
        <f t="shared" si="16"/>
        <v>378591.01</v>
      </c>
      <c r="S61" s="62">
        <f t="shared" si="16"/>
        <v>227158.34000000003</v>
      </c>
      <c r="T61" s="62">
        <f t="shared" si="16"/>
        <v>201080.79000000004</v>
      </c>
      <c r="U61" s="62">
        <f t="shared" si="16"/>
        <v>91628.139999999956</v>
      </c>
      <c r="V61" s="62">
        <f t="shared" si="16"/>
        <v>27896.5</v>
      </c>
      <c r="W61" s="62">
        <f t="shared" si="16"/>
        <v>151945.72000000003</v>
      </c>
      <c r="X61" s="62">
        <f t="shared" si="16"/>
        <v>246877.21000000008</v>
      </c>
      <c r="Y61" s="62">
        <f t="shared" si="16"/>
        <v>671800.44000000006</v>
      </c>
      <c r="Z61" s="62">
        <f>SUM(N61:Y61)</f>
        <v>4738204.4400000013</v>
      </c>
      <c r="AA61" s="63">
        <f>IF(Z61=0,"",IFERROR(Z61/Z$43,""))</f>
        <v>0.36616140540983438</v>
      </c>
      <c r="AC61" s="62">
        <f>AC43-AC49-AC59</f>
        <v>7102881.4404739235</v>
      </c>
      <c r="AD61" s="63">
        <f>IF(AC61=0,"",IFERROR(AC61/AC$43,""))</f>
        <v>0.42806489591887859</v>
      </c>
      <c r="AE61" s="64">
        <f>IF(AND($Z61="",AC61=""),"",$Z61-AC61)</f>
        <v>-2364677.0004739221</v>
      </c>
      <c r="AF61" s="62">
        <f>AF43-AF49-AF59</f>
        <v>5863014.7700000005</v>
      </c>
      <c r="AG61" s="63">
        <f>IF(AF61=0,"",IFERROR(AF61/AF$43,""))</f>
        <v>0.39795822666978437</v>
      </c>
      <c r="AH61" s="64">
        <f>IF(AND($Z61="",AF61=""),"",$Z61-AF61)</f>
        <v>-1124810.3299999991</v>
      </c>
      <c r="AI61" s="538" t="str">
        <f>+IFERROR(ROUND(($AA61-AD61)*100,2)&amp;" pts.",0)</f>
        <v>-6.19 pts.</v>
      </c>
      <c r="AJ61" s="539"/>
      <c r="AK61" s="538" t="str">
        <f>+IFERROR(ROUND(($AA61-AG61)*100,2)&amp;" pts.",0)</f>
        <v>-3.18 pts.</v>
      </c>
      <c r="AL61" s="539"/>
    </row>
    <row r="62" spans="1:38" ht="15.75" thickTop="1" x14ac:dyDescent="0.25">
      <c r="A62" s="6" t="s">
        <v>29</v>
      </c>
      <c r="B62" s="7"/>
      <c r="I62" s="1"/>
      <c r="J62" s="1"/>
      <c r="L62" s="1">
        <f>COUNTIF(N62:AH62,FALSE)</f>
        <v>0</v>
      </c>
      <c r="M62" s="226" t="str">
        <f>IF(L62=0,"","GOP - database validation failed")</f>
        <v/>
      </c>
      <c r="N62" s="270" t="str">
        <f t="shared" ref="N62:Z62" si="17">IF(ROUND(N61,2)&lt;&gt;ROUND(N101,2),N61-N101,"")</f>
        <v/>
      </c>
      <c r="O62" s="271" t="str">
        <f t="shared" si="17"/>
        <v/>
      </c>
      <c r="P62" s="271" t="str">
        <f t="shared" si="17"/>
        <v/>
      </c>
      <c r="Q62" s="271" t="str">
        <f t="shared" si="17"/>
        <v/>
      </c>
      <c r="R62" s="271" t="str">
        <f t="shared" si="17"/>
        <v/>
      </c>
      <c r="S62" s="271" t="str">
        <f t="shared" si="17"/>
        <v/>
      </c>
      <c r="T62" s="271" t="str">
        <f t="shared" si="17"/>
        <v/>
      </c>
      <c r="U62" s="271" t="str">
        <f t="shared" si="17"/>
        <v/>
      </c>
      <c r="V62" s="271" t="str">
        <f t="shared" si="17"/>
        <v/>
      </c>
      <c r="W62" s="271" t="str">
        <f t="shared" si="17"/>
        <v/>
      </c>
      <c r="X62" s="271" t="str">
        <f t="shared" si="17"/>
        <v/>
      </c>
      <c r="Y62" s="271" t="str">
        <f t="shared" si="17"/>
        <v/>
      </c>
      <c r="Z62" s="271" t="str">
        <f t="shared" si="17"/>
        <v/>
      </c>
      <c r="AA62" s="193" t="b">
        <f>Z62=""</f>
        <v>1</v>
      </c>
      <c r="AC62" s="270" t="str">
        <f>IF(ROUND(AC61,2)&lt;&gt;ROUND(AC101,2),AC61-AC101,"")</f>
        <v/>
      </c>
      <c r="AD62" s="228" t="b">
        <f>AC62=""</f>
        <v>1</v>
      </c>
      <c r="AE62" s="55"/>
      <c r="AF62" s="270" t="str">
        <f>IF(ROUND(AF61,2)&lt;&gt;ROUND(AF101,2),AF61-AF101,"")</f>
        <v/>
      </c>
      <c r="AG62" s="228" t="b">
        <f>AF62=""</f>
        <v>1</v>
      </c>
      <c r="AH62" s="55"/>
    </row>
    <row r="63" spans="1:38" x14ac:dyDescent="0.25">
      <c r="A63" s="6" t="s">
        <v>30</v>
      </c>
      <c r="B63" s="7" t="s">
        <v>78</v>
      </c>
      <c r="G63" s="15" t="s">
        <v>516</v>
      </c>
      <c r="H63" s="15" t="s">
        <v>79</v>
      </c>
      <c r="I63" s="161" t="s">
        <v>1012</v>
      </c>
      <c r="J63" s="161" t="s">
        <v>78</v>
      </c>
      <c r="L63" s="1"/>
      <c r="M63" s="162" t="s">
        <v>1031</v>
      </c>
      <c r="N63" s="21">
        <v>40697.01</v>
      </c>
      <c r="O63" s="21">
        <v>48837.3</v>
      </c>
      <c r="P63" s="21">
        <v>48600.81</v>
      </c>
      <c r="Q63" s="21">
        <v>37083.230000000003</v>
      </c>
      <c r="R63" s="21">
        <v>34687.99</v>
      </c>
      <c r="S63" s="21">
        <v>29381.38</v>
      </c>
      <c r="T63" s="21">
        <v>27488.91</v>
      </c>
      <c r="U63" s="21">
        <v>23092</v>
      </c>
      <c r="V63" s="21">
        <v>19439.59</v>
      </c>
      <c r="W63" s="21">
        <v>24731.06</v>
      </c>
      <c r="X63" s="21">
        <v>28126.04</v>
      </c>
      <c r="Y63" s="21">
        <v>42438.29</v>
      </c>
      <c r="Z63" s="21">
        <f>SUM(N63:Y63)</f>
        <v>404603.61</v>
      </c>
      <c r="AA63" s="17">
        <f>IF(Z63=0,"",IFERROR(Z63/Z$43,""))</f>
        <v>3.1267166359645819E-2</v>
      </c>
      <c r="AC63" s="21">
        <v>531740.81724074995</v>
      </c>
      <c r="AD63" s="17">
        <f>IF(AC63=0,"",IFERROR(AC63/AC$43,""))</f>
        <v>3.2046089955964925E-2</v>
      </c>
      <c r="AE63" s="50">
        <f>IF(AND($Z63="",AC63=""),"",$Z63-AC63)</f>
        <v>-127137.20724074997</v>
      </c>
      <c r="AF63" s="21">
        <v>480729.23</v>
      </c>
      <c r="AG63" s="17">
        <f>IF(AF63=0,"",IFERROR(AF63/AF$43,""))</f>
        <v>3.2629996577533932E-2</v>
      </c>
      <c r="AH63" s="50">
        <f>IF(AND($Z63="",AF63=""),"",$Z63-AF63)</f>
        <v>-76125.62</v>
      </c>
      <c r="AI63" s="528" t="str">
        <f>+IFERROR(ROUND(($AA63-AD63)*100,2)&amp;" pts.",0)</f>
        <v>-0.08 pts.</v>
      </c>
      <c r="AJ63" s="529"/>
      <c r="AK63" s="528" t="str">
        <f>+IFERROR(ROUND(($AA63-AG63)*100,2)&amp;" pts.",0)</f>
        <v>-0.14 pts.</v>
      </c>
      <c r="AL63" s="529"/>
    </row>
    <row r="64" spans="1:38" x14ac:dyDescent="0.25">
      <c r="A64" s="6" t="s">
        <v>31</v>
      </c>
      <c r="B64" s="7" t="s">
        <v>78</v>
      </c>
      <c r="F64" s="15" t="s">
        <v>574</v>
      </c>
      <c r="I64" s="1"/>
      <c r="J64" s="1"/>
      <c r="L64" s="1"/>
      <c r="M64" s="25" t="s">
        <v>1032</v>
      </c>
      <c r="N64" s="164">
        <f t="shared" ref="N64:Y64" si="18">N61-N63</f>
        <v>687597.33000000007</v>
      </c>
      <c r="O64" s="164">
        <f t="shared" si="18"/>
        <v>773720.05999999994</v>
      </c>
      <c r="P64" s="164">
        <f t="shared" si="18"/>
        <v>712463.64000000013</v>
      </c>
      <c r="Q64" s="164">
        <f t="shared" si="18"/>
        <v>392226.91</v>
      </c>
      <c r="R64" s="164">
        <f t="shared" si="18"/>
        <v>343903.02</v>
      </c>
      <c r="S64" s="164">
        <f t="shared" si="18"/>
        <v>197776.96000000002</v>
      </c>
      <c r="T64" s="164">
        <f t="shared" si="18"/>
        <v>173591.88000000003</v>
      </c>
      <c r="U64" s="164">
        <f t="shared" si="18"/>
        <v>68536.139999999956</v>
      </c>
      <c r="V64" s="164">
        <f t="shared" si="18"/>
        <v>8456.91</v>
      </c>
      <c r="W64" s="164">
        <f t="shared" si="18"/>
        <v>127214.66000000003</v>
      </c>
      <c r="X64" s="164">
        <f t="shared" si="18"/>
        <v>218751.17000000007</v>
      </c>
      <c r="Y64" s="164">
        <f t="shared" si="18"/>
        <v>629362.15</v>
      </c>
      <c r="Z64" s="164">
        <f>SUM(N64:Y64)</f>
        <v>4333600.830000001</v>
      </c>
      <c r="AA64" s="175">
        <f>IF(Z64=0,"",IFERROR(Z64/Z$43,""))</f>
        <v>0.3348942390501885</v>
      </c>
      <c r="AC64" s="164">
        <f>AC61-AC63</f>
        <v>6571140.623233173</v>
      </c>
      <c r="AD64" s="175">
        <f>IF(AC64=0,"",IFERROR(AC64/AC$43,""))</f>
        <v>0.39601880596291361</v>
      </c>
      <c r="AE64" s="165">
        <f>IF(AND($Z64="",AC64=""),"",$Z64-AC64)</f>
        <v>-2237539.793233172</v>
      </c>
      <c r="AF64" s="164">
        <f>AF61-AF63</f>
        <v>5382285.540000001</v>
      </c>
      <c r="AG64" s="175">
        <f>IF(AF64=0,"",IFERROR(AF64/AF$43,""))</f>
        <v>0.36532823009225046</v>
      </c>
      <c r="AH64" s="165">
        <f>IF(AND($Z64="",AF64=""),"",$Z64-AF64)</f>
        <v>-1048684.71</v>
      </c>
      <c r="AI64" s="536" t="str">
        <f>+IFERROR(ROUND(($AA64-AD64)*100,2)&amp;" pts.",0)</f>
        <v>-6.11 pts.</v>
      </c>
      <c r="AJ64" s="537"/>
      <c r="AK64" s="536" t="str">
        <f>+IFERROR(ROUND(($AA64-AG64)*100,2)&amp;" pts.",0)</f>
        <v>-3.04 pts.</v>
      </c>
      <c r="AL64" s="537"/>
    </row>
    <row r="65" spans="1:38" x14ac:dyDescent="0.25">
      <c r="A65" s="6" t="s">
        <v>32</v>
      </c>
      <c r="B65" s="7"/>
      <c r="I65" s="1"/>
      <c r="J65" s="1"/>
      <c r="L65" s="1"/>
      <c r="M65" s="226"/>
      <c r="N65" s="227"/>
      <c r="O65" s="269"/>
      <c r="P65" s="269"/>
      <c r="Q65" s="269"/>
      <c r="R65" s="269"/>
      <c r="S65" s="269"/>
      <c r="T65" s="269"/>
      <c r="U65" s="269"/>
      <c r="V65" s="269"/>
      <c r="W65" s="269"/>
      <c r="X65" s="269"/>
      <c r="Y65" s="269"/>
      <c r="Z65" s="269"/>
      <c r="AA65" s="193"/>
      <c r="AC65" s="227"/>
      <c r="AD65" s="228"/>
      <c r="AE65" s="55"/>
      <c r="AF65" s="227"/>
      <c r="AG65" s="228"/>
      <c r="AH65" s="55"/>
    </row>
    <row r="66" spans="1:38" x14ac:dyDescent="0.25">
      <c r="A66" s="6" t="s">
        <v>33</v>
      </c>
      <c r="B66" s="7"/>
      <c r="H66" s="1" t="s">
        <v>575</v>
      </c>
      <c r="I66" s="11" t="s">
        <v>1011</v>
      </c>
      <c r="J66" s="11" t="s">
        <v>78</v>
      </c>
      <c r="L66" s="1"/>
      <c r="M66" s="40" t="s">
        <v>1033</v>
      </c>
      <c r="N66" s="43"/>
      <c r="O66" s="46"/>
      <c r="P66" s="46"/>
      <c r="Q66" s="46"/>
      <c r="R66" s="46"/>
      <c r="S66" s="46"/>
      <c r="T66" s="46"/>
      <c r="U66" s="46"/>
      <c r="V66" s="46"/>
      <c r="W66" s="46"/>
      <c r="X66" s="46"/>
      <c r="Y66" s="46"/>
      <c r="Z66" s="46"/>
      <c r="AA66" s="44"/>
      <c r="AC66" s="43"/>
      <c r="AD66" s="46"/>
      <c r="AE66" s="44"/>
      <c r="AF66" s="43"/>
      <c r="AG66" s="46"/>
      <c r="AH66" s="44"/>
    </row>
    <row r="67" spans="1:38" x14ac:dyDescent="0.25">
      <c r="A67" s="6" t="s">
        <v>34</v>
      </c>
      <c r="B67" s="7"/>
      <c r="G67" s="15" t="s">
        <v>519</v>
      </c>
      <c r="H67" s="15" t="s">
        <v>525</v>
      </c>
      <c r="I67" s="161" t="s">
        <v>1012</v>
      </c>
      <c r="J67" s="161" t="s">
        <v>78</v>
      </c>
      <c r="L67" s="1"/>
      <c r="M67" s="162" t="s">
        <v>1034</v>
      </c>
      <c r="N67" s="21"/>
      <c r="O67" s="21"/>
      <c r="P67" s="21"/>
      <c r="Q67" s="21"/>
      <c r="R67" s="21"/>
      <c r="S67" s="21"/>
      <c r="T67" s="21"/>
      <c r="U67" s="21"/>
      <c r="V67" s="21"/>
      <c r="W67" s="21"/>
      <c r="X67" s="21"/>
      <c r="Y67" s="21">
        <v>-9638.44</v>
      </c>
      <c r="Z67" s="21">
        <f t="shared" ref="Z67:Z72" si="19">SUM(N67:Y67)</f>
        <v>-9638.44</v>
      </c>
      <c r="AA67" s="17">
        <f t="shared" ref="AA67:AA72" si="20">IF(Z67=0,"",IFERROR(Z67/Z$43,""))</f>
        <v>-7.4484433524323892E-4</v>
      </c>
      <c r="AC67" s="21"/>
      <c r="AD67" s="17" t="str">
        <f t="shared" ref="AD67:AD72" si="21">IF(AC67=0,"",IFERROR(AC67/AC$43,""))</f>
        <v/>
      </c>
      <c r="AE67" s="50">
        <f t="shared" ref="AE67:AE72" si="22">IF(AND($Z67="",AC67=""),"",$Z67-AC67)</f>
        <v>-9638.44</v>
      </c>
      <c r="AF67" s="21"/>
      <c r="AG67" s="17" t="str">
        <f t="shared" ref="AG67:AG72" si="23">IF(AF67=0,"",IFERROR(AF67/AF$43,""))</f>
        <v/>
      </c>
      <c r="AH67" s="50">
        <f t="shared" ref="AH67:AH72" si="24">IF(AND($Z67="",AF67=""),"",$Z67-AF67)</f>
        <v>-9638.44</v>
      </c>
      <c r="AI67" s="528">
        <f t="shared" ref="AI67:AI72" si="25">+IFERROR(ROUND(($AA67-AD67)*100,2)&amp;" pts.",0)</f>
        <v>0</v>
      </c>
      <c r="AJ67" s="529"/>
      <c r="AK67" s="528">
        <f t="shared" ref="AK67:AK72" si="26">+IFERROR(ROUND(($AA67-AG67)*100,2)&amp;" pts.",0)</f>
        <v>0</v>
      </c>
      <c r="AL67" s="529"/>
    </row>
    <row r="68" spans="1:38" x14ac:dyDescent="0.25">
      <c r="A68" s="6" t="s">
        <v>35</v>
      </c>
      <c r="B68" s="7"/>
      <c r="G68" s="15" t="s">
        <v>519</v>
      </c>
      <c r="H68" s="15" t="s">
        <v>520</v>
      </c>
      <c r="I68" s="161" t="s">
        <v>1012</v>
      </c>
      <c r="J68" s="161" t="s">
        <v>78</v>
      </c>
      <c r="L68" s="1"/>
      <c r="M68" s="162" t="s">
        <v>1035</v>
      </c>
      <c r="N68" s="21">
        <v>1153.82</v>
      </c>
      <c r="O68" s="21">
        <v>1468.28</v>
      </c>
      <c r="P68" s="21">
        <v>1238.0899999999999</v>
      </c>
      <c r="Q68" s="21">
        <v>1840.54</v>
      </c>
      <c r="R68" s="21">
        <v>1332.2</v>
      </c>
      <c r="S68" s="21">
        <v>1055.81</v>
      </c>
      <c r="T68" s="21">
        <v>1204.47</v>
      </c>
      <c r="U68" s="21">
        <v>1805.23</v>
      </c>
      <c r="V68" s="21">
        <v>1823.21</v>
      </c>
      <c r="W68" s="21">
        <v>1089.72</v>
      </c>
      <c r="X68" s="21">
        <v>2440.4899999999998</v>
      </c>
      <c r="Y68" s="21">
        <v>1465.88</v>
      </c>
      <c r="Z68" s="21">
        <f t="shared" si="19"/>
        <v>17917.739999999998</v>
      </c>
      <c r="AA68" s="17">
        <f t="shared" si="20"/>
        <v>1.3846563488864577E-3</v>
      </c>
      <c r="AC68" s="21">
        <v>13600</v>
      </c>
      <c r="AD68" s="17">
        <f t="shared" si="21"/>
        <v>8.1962266064634047E-4</v>
      </c>
      <c r="AE68" s="50">
        <f t="shared" si="22"/>
        <v>4317.739999999998</v>
      </c>
      <c r="AF68" s="21">
        <v>18102.02</v>
      </c>
      <c r="AG68" s="17">
        <f t="shared" si="23"/>
        <v>1.2286934386046191E-3</v>
      </c>
      <c r="AH68" s="50">
        <f t="shared" si="24"/>
        <v>-184.28000000000247</v>
      </c>
      <c r="AI68" s="528" t="str">
        <f t="shared" si="25"/>
        <v>0.06 pts.</v>
      </c>
      <c r="AJ68" s="529"/>
      <c r="AK68" s="528" t="str">
        <f t="shared" si="26"/>
        <v>0.02 pts.</v>
      </c>
      <c r="AL68" s="529"/>
    </row>
    <row r="69" spans="1:38" x14ac:dyDescent="0.25">
      <c r="A69" s="6" t="s">
        <v>36</v>
      </c>
      <c r="B69" s="7"/>
      <c r="G69" s="15" t="s">
        <v>519</v>
      </c>
      <c r="H69" s="15" t="s">
        <v>521</v>
      </c>
      <c r="I69" s="161" t="s">
        <v>1012</v>
      </c>
      <c r="J69" s="161" t="s">
        <v>78</v>
      </c>
      <c r="L69" s="1"/>
      <c r="M69" s="162" t="s">
        <v>1036</v>
      </c>
      <c r="N69" s="21">
        <v>40030</v>
      </c>
      <c r="O69" s="21">
        <v>40030</v>
      </c>
      <c r="P69" s="21">
        <v>40030</v>
      </c>
      <c r="Q69" s="21">
        <v>56619</v>
      </c>
      <c r="R69" s="21">
        <v>40030</v>
      </c>
      <c r="S69" s="21">
        <v>40030</v>
      </c>
      <c r="T69" s="21">
        <v>40030</v>
      </c>
      <c r="U69" s="21">
        <v>40030</v>
      </c>
      <c r="V69" s="21">
        <v>40030.199999999997</v>
      </c>
      <c r="W69" s="21">
        <v>40030</v>
      </c>
      <c r="X69" s="21">
        <v>40030</v>
      </c>
      <c r="Y69" s="21">
        <v>40030</v>
      </c>
      <c r="Z69" s="21">
        <f t="shared" si="19"/>
        <v>496949.2</v>
      </c>
      <c r="AA69" s="17">
        <f t="shared" si="20"/>
        <v>3.8403496470762841E-2</v>
      </c>
      <c r="AC69" s="21">
        <v>499351</v>
      </c>
      <c r="AD69" s="17">
        <f t="shared" si="21"/>
        <v>3.0094073177677261E-2</v>
      </c>
      <c r="AE69" s="50">
        <f t="shared" si="22"/>
        <v>-2401.7999999999884</v>
      </c>
      <c r="AF69" s="21">
        <v>482955.76</v>
      </c>
      <c r="AG69" s="17">
        <f t="shared" si="23"/>
        <v>3.2781124617490595E-2</v>
      </c>
      <c r="AH69" s="50">
        <f t="shared" si="24"/>
        <v>13993.440000000002</v>
      </c>
      <c r="AI69" s="528" t="str">
        <f t="shared" si="25"/>
        <v>0.83 pts.</v>
      </c>
      <c r="AJ69" s="529"/>
      <c r="AK69" s="528" t="str">
        <f t="shared" si="26"/>
        <v>0.56 pts.</v>
      </c>
      <c r="AL69" s="529"/>
    </row>
    <row r="70" spans="1:38" x14ac:dyDescent="0.25">
      <c r="A70" s="6" t="s">
        <v>37</v>
      </c>
      <c r="B70" s="7"/>
      <c r="G70" s="15" t="s">
        <v>519</v>
      </c>
      <c r="H70" s="15" t="s">
        <v>537</v>
      </c>
      <c r="I70" s="161" t="s">
        <v>1012</v>
      </c>
      <c r="J70" s="161" t="s">
        <v>78</v>
      </c>
      <c r="L70" s="1"/>
      <c r="M70" s="162" t="s">
        <v>1037</v>
      </c>
      <c r="N70" s="21">
        <v>104943.08</v>
      </c>
      <c r="O70" s="21">
        <v>104943.08</v>
      </c>
      <c r="P70" s="21">
        <v>104943.08</v>
      </c>
      <c r="Q70" s="21">
        <v>103456.71</v>
      </c>
      <c r="R70" s="21">
        <v>104199.89</v>
      </c>
      <c r="S70" s="21">
        <v>105129.9</v>
      </c>
      <c r="T70" s="21">
        <v>103839.22</v>
      </c>
      <c r="U70" s="21">
        <v>124706.47</v>
      </c>
      <c r="V70" s="21">
        <v>123613.98</v>
      </c>
      <c r="W70" s="21">
        <v>124724.96</v>
      </c>
      <c r="X70" s="21">
        <v>123613.87</v>
      </c>
      <c r="Y70" s="21">
        <v>123613.87</v>
      </c>
      <c r="Z70" s="21">
        <f t="shared" si="19"/>
        <v>1351728.1099999999</v>
      </c>
      <c r="AA70" s="17">
        <f t="shared" si="20"/>
        <v>0.10445954174353418</v>
      </c>
      <c r="AC70" s="21">
        <v>1287403</v>
      </c>
      <c r="AD70" s="17">
        <f t="shared" si="21"/>
        <v>7.7587108248829459E-2</v>
      </c>
      <c r="AE70" s="50">
        <f t="shared" si="22"/>
        <v>64325.10999999987</v>
      </c>
      <c r="AF70" s="21">
        <v>1015240</v>
      </c>
      <c r="AG70" s="17">
        <f t="shared" si="23"/>
        <v>6.8910471130235934E-2</v>
      </c>
      <c r="AH70" s="50">
        <f t="shared" si="24"/>
        <v>336488.10999999987</v>
      </c>
      <c r="AI70" s="528" t="str">
        <f t="shared" si="25"/>
        <v>2.69 pts.</v>
      </c>
      <c r="AJ70" s="529"/>
      <c r="AK70" s="528" t="str">
        <f t="shared" si="26"/>
        <v>3.55 pts.</v>
      </c>
      <c r="AL70" s="529"/>
    </row>
    <row r="71" spans="1:38" x14ac:dyDescent="0.25">
      <c r="A71" s="6" t="s">
        <v>38</v>
      </c>
      <c r="B71" s="7"/>
      <c r="I71" s="1"/>
      <c r="J71" s="1"/>
      <c r="L71" s="1"/>
      <c r="M71" s="26" t="s">
        <v>586</v>
      </c>
      <c r="N71" s="21">
        <f t="shared" ref="N71:Y71" si="27">N95</f>
        <v>0</v>
      </c>
      <c r="O71" s="21">
        <f t="shared" si="27"/>
        <v>0</v>
      </c>
      <c r="P71" s="21">
        <f t="shared" si="27"/>
        <v>0</v>
      </c>
      <c r="Q71" s="21">
        <f t="shared" si="27"/>
        <v>0</v>
      </c>
      <c r="R71" s="21">
        <f t="shared" si="27"/>
        <v>0</v>
      </c>
      <c r="S71" s="21">
        <f t="shared" si="27"/>
        <v>0</v>
      </c>
      <c r="T71" s="21">
        <f t="shared" si="27"/>
        <v>0</v>
      </c>
      <c r="U71" s="21">
        <f t="shared" si="27"/>
        <v>0</v>
      </c>
      <c r="V71" s="21">
        <f t="shared" si="27"/>
        <v>0</v>
      </c>
      <c r="W71" s="21">
        <f t="shared" si="27"/>
        <v>0</v>
      </c>
      <c r="X71" s="21">
        <f t="shared" si="27"/>
        <v>0</v>
      </c>
      <c r="Y71" s="21">
        <f t="shared" si="27"/>
        <v>0</v>
      </c>
      <c r="Z71" s="21">
        <f t="shared" si="19"/>
        <v>0</v>
      </c>
      <c r="AA71" s="17" t="str">
        <f t="shared" si="20"/>
        <v/>
      </c>
      <c r="AC71" s="21">
        <f>AC95</f>
        <v>0</v>
      </c>
      <c r="AD71" s="17" t="str">
        <f t="shared" si="21"/>
        <v/>
      </c>
      <c r="AE71" s="50">
        <f t="shared" si="22"/>
        <v>0</v>
      </c>
      <c r="AF71" s="21">
        <f>AF95</f>
        <v>0</v>
      </c>
      <c r="AG71" s="17" t="str">
        <f t="shared" si="23"/>
        <v/>
      </c>
      <c r="AH71" s="50">
        <f t="shared" si="24"/>
        <v>0</v>
      </c>
      <c r="AI71" s="528">
        <f t="shared" si="25"/>
        <v>0</v>
      </c>
      <c r="AJ71" s="529"/>
      <c r="AK71" s="528">
        <f t="shared" si="26"/>
        <v>0</v>
      </c>
      <c r="AL71" s="529"/>
    </row>
    <row r="72" spans="1:38" x14ac:dyDescent="0.25">
      <c r="A72" s="6" t="s">
        <v>39</v>
      </c>
      <c r="B72" s="7"/>
      <c r="I72" s="1"/>
      <c r="J72" s="1"/>
      <c r="M72" s="25" t="str">
        <f>"Total "&amp;M66</f>
        <v>Total Non-Operating Income &amp; Expenses</v>
      </c>
      <c r="N72" s="33">
        <f t="shared" ref="N72:Y72" si="28">SUM(N67:N71)</f>
        <v>146126.9</v>
      </c>
      <c r="O72" s="33">
        <f t="shared" si="28"/>
        <v>146441.35999999999</v>
      </c>
      <c r="P72" s="33">
        <f t="shared" si="28"/>
        <v>146211.16999999998</v>
      </c>
      <c r="Q72" s="33">
        <f t="shared" si="28"/>
        <v>161916.25</v>
      </c>
      <c r="R72" s="33">
        <f t="shared" si="28"/>
        <v>145562.09</v>
      </c>
      <c r="S72" s="33">
        <f t="shared" si="28"/>
        <v>146215.71</v>
      </c>
      <c r="T72" s="33">
        <f t="shared" si="28"/>
        <v>145073.69</v>
      </c>
      <c r="U72" s="33">
        <f t="shared" si="28"/>
        <v>166541.70000000001</v>
      </c>
      <c r="V72" s="33">
        <f t="shared" si="28"/>
        <v>165467.38999999998</v>
      </c>
      <c r="W72" s="33">
        <f t="shared" si="28"/>
        <v>165844.68</v>
      </c>
      <c r="X72" s="33">
        <f t="shared" si="28"/>
        <v>166084.35999999999</v>
      </c>
      <c r="Y72" s="33">
        <f t="shared" si="28"/>
        <v>155471.31</v>
      </c>
      <c r="Z72" s="33">
        <f t="shared" si="19"/>
        <v>1856956.6099999999</v>
      </c>
      <c r="AA72" s="34">
        <f t="shared" si="20"/>
        <v>0.14350285022794024</v>
      </c>
      <c r="AC72" s="33">
        <f>SUM(AC67:AC71)</f>
        <v>1800354</v>
      </c>
      <c r="AD72" s="34">
        <f t="shared" si="21"/>
        <v>0.10850080408715305</v>
      </c>
      <c r="AE72" s="52">
        <f t="shared" si="22"/>
        <v>56602.60999999987</v>
      </c>
      <c r="AF72" s="33">
        <f>SUM(AF67:AF71)</f>
        <v>1516297.78</v>
      </c>
      <c r="AG72" s="34">
        <f t="shared" si="23"/>
        <v>0.10292028918633116</v>
      </c>
      <c r="AH72" s="52">
        <f t="shared" si="24"/>
        <v>340658.82999999984</v>
      </c>
      <c r="AI72" s="534" t="str">
        <f t="shared" si="25"/>
        <v>3.5 pts.</v>
      </c>
      <c r="AJ72" s="535"/>
      <c r="AK72" s="534" t="str">
        <f t="shared" si="26"/>
        <v>4.06 pts.</v>
      </c>
      <c r="AL72" s="535"/>
    </row>
    <row r="73" spans="1:38" x14ac:dyDescent="0.25">
      <c r="A73" s="6" t="s">
        <v>40</v>
      </c>
      <c r="B73" s="7"/>
      <c r="N73" s="41"/>
      <c r="O73" s="45"/>
      <c r="P73" s="45"/>
      <c r="Q73" s="45"/>
      <c r="R73" s="45"/>
      <c r="S73" s="45"/>
      <c r="T73" s="45"/>
      <c r="U73" s="45"/>
      <c r="V73" s="45"/>
      <c r="W73" s="45"/>
      <c r="X73" s="45"/>
      <c r="Y73" s="45"/>
      <c r="Z73" s="45"/>
      <c r="AA73" s="42"/>
      <c r="AC73" s="41"/>
      <c r="AD73" s="45"/>
      <c r="AE73" s="42"/>
      <c r="AF73" s="41"/>
      <c r="AG73" s="45"/>
      <c r="AH73" s="42"/>
    </row>
    <row r="74" spans="1:38" ht="15.75" thickBot="1" x14ac:dyDescent="0.3">
      <c r="A74" s="6" t="s">
        <v>41</v>
      </c>
      <c r="B74" s="7"/>
      <c r="F74" s="15" t="s">
        <v>570</v>
      </c>
      <c r="I74" s="1"/>
      <c r="J74" s="1"/>
      <c r="L74" s="1"/>
      <c r="M74" s="25" t="s">
        <v>570</v>
      </c>
      <c r="N74" s="62">
        <f t="shared" ref="N74:Y74" si="29">N64-N72</f>
        <v>541470.43000000005</v>
      </c>
      <c r="O74" s="62">
        <f t="shared" si="29"/>
        <v>627278.69999999995</v>
      </c>
      <c r="P74" s="62">
        <f t="shared" si="29"/>
        <v>566252.4700000002</v>
      </c>
      <c r="Q74" s="62">
        <f t="shared" si="29"/>
        <v>230310.65999999997</v>
      </c>
      <c r="R74" s="62">
        <f t="shared" si="29"/>
        <v>198340.93000000002</v>
      </c>
      <c r="S74" s="62">
        <f t="shared" si="29"/>
        <v>51561.250000000029</v>
      </c>
      <c r="T74" s="62">
        <f t="shared" si="29"/>
        <v>28518.190000000031</v>
      </c>
      <c r="U74" s="62">
        <f t="shared" si="29"/>
        <v>-98005.560000000056</v>
      </c>
      <c r="V74" s="62">
        <f t="shared" si="29"/>
        <v>-157010.47999999998</v>
      </c>
      <c r="W74" s="62">
        <f t="shared" si="29"/>
        <v>-38630.01999999996</v>
      </c>
      <c r="X74" s="62">
        <f t="shared" si="29"/>
        <v>52666.810000000085</v>
      </c>
      <c r="Y74" s="62">
        <f t="shared" si="29"/>
        <v>473890.84</v>
      </c>
      <c r="Z74" s="62">
        <f>SUM(N74:Y74)</f>
        <v>2476644.2199999997</v>
      </c>
      <c r="AA74" s="63">
        <f>IF(Z74=0,"",IFERROR(Z74/Z$43,""))</f>
        <v>0.19139138882224818</v>
      </c>
      <c r="AC74" s="62">
        <f>AC64-AC72</f>
        <v>4770786.623233173</v>
      </c>
      <c r="AD74" s="63">
        <f>IF(AC74=0,"",IFERROR(AC74/AC$43,""))</f>
        <v>0.28751800187576054</v>
      </c>
      <c r="AE74" s="64">
        <f>IF(AND($Z74="",AC74=""),"",$Z74-AC74)</f>
        <v>-2294142.4032331733</v>
      </c>
      <c r="AF74" s="62">
        <f>AF64-AF72</f>
        <v>3865987.7600000007</v>
      </c>
      <c r="AG74" s="63">
        <f>IF(AF74=0,"",IFERROR(AF74/AF$43,""))</f>
        <v>0.26240794090591935</v>
      </c>
      <c r="AH74" s="64">
        <f>IF(AND($Z74="",AF74=""),"",$Z74-AF74)</f>
        <v>-1389343.540000001</v>
      </c>
      <c r="AI74" s="538" t="str">
        <f>+IFERROR(ROUND(($AA74-AD74)*100,2)&amp;" pts.",0)</f>
        <v>-9.61 pts.</v>
      </c>
      <c r="AJ74" s="539"/>
      <c r="AK74" s="538" t="str">
        <f>+IFERROR(ROUND(($AA74-AG74)*100,2)&amp;" pts.",0)</f>
        <v>-7.1 pts.</v>
      </c>
      <c r="AL74" s="539"/>
    </row>
    <row r="75" spans="1:38" ht="15.75" thickTop="1" x14ac:dyDescent="0.25">
      <c r="A75" s="6" t="s">
        <v>42</v>
      </c>
      <c r="B75" s="7"/>
      <c r="H75" s="11"/>
      <c r="J75" s="1"/>
      <c r="L75" s="1">
        <f>COUNTIF(N75:AH75,FALSE)</f>
        <v>0</v>
      </c>
      <c r="M75" s="226" t="str">
        <f>IF(L75=0,"","EBITDA- database validation failed")</f>
        <v/>
      </c>
      <c r="N75" s="270" t="str">
        <f t="shared" ref="N75:Z75" si="30">IF(ROUND(N74,2)&lt;&gt;ROUND(N103,2),N74-N103,"")</f>
        <v/>
      </c>
      <c r="O75" s="271" t="str">
        <f t="shared" si="30"/>
        <v/>
      </c>
      <c r="P75" s="271" t="str">
        <f t="shared" si="30"/>
        <v/>
      </c>
      <c r="Q75" s="271" t="str">
        <f t="shared" si="30"/>
        <v/>
      </c>
      <c r="R75" s="271" t="str">
        <f t="shared" si="30"/>
        <v/>
      </c>
      <c r="S75" s="271" t="str">
        <f t="shared" si="30"/>
        <v/>
      </c>
      <c r="T75" s="271" t="str">
        <f t="shared" si="30"/>
        <v/>
      </c>
      <c r="U75" s="271" t="str">
        <f t="shared" si="30"/>
        <v/>
      </c>
      <c r="V75" s="271" t="str">
        <f t="shared" si="30"/>
        <v/>
      </c>
      <c r="W75" s="271" t="str">
        <f t="shared" si="30"/>
        <v/>
      </c>
      <c r="X75" s="271" t="str">
        <f t="shared" si="30"/>
        <v/>
      </c>
      <c r="Y75" s="271" t="str">
        <f t="shared" si="30"/>
        <v/>
      </c>
      <c r="Z75" s="271" t="str">
        <f t="shared" si="30"/>
        <v/>
      </c>
      <c r="AA75" s="193" t="b">
        <f>Z75=""</f>
        <v>1</v>
      </c>
      <c r="AC75" s="270" t="str">
        <f>IF(ROUND(AC74,2)&lt;&gt;ROUND(AC103,2),AC74-AC103,"")</f>
        <v/>
      </c>
      <c r="AD75" s="228" t="b">
        <f>AC75=""</f>
        <v>1</v>
      </c>
      <c r="AE75" s="55"/>
      <c r="AF75" s="270" t="str">
        <f>IF(ROUND(AF74,2)&lt;&gt;ROUND(AF103,2),AF74-AF103,"")</f>
        <v/>
      </c>
      <c r="AG75" s="228" t="b">
        <f>AF75=""</f>
        <v>1</v>
      </c>
      <c r="AH75" s="55"/>
    </row>
    <row r="76" spans="1:38" x14ac:dyDescent="0.25">
      <c r="A76" s="6" t="s">
        <v>43</v>
      </c>
      <c r="B76" s="7"/>
      <c r="H76" s="1" t="s">
        <v>576</v>
      </c>
      <c r="I76" s="11" t="s">
        <v>1011</v>
      </c>
      <c r="J76" s="11" t="s">
        <v>78</v>
      </c>
      <c r="L76" s="1"/>
      <c r="M76" s="40" t="s">
        <v>1038</v>
      </c>
      <c r="N76" s="43"/>
      <c r="O76" s="46"/>
      <c r="P76" s="46"/>
      <c r="Q76" s="46"/>
      <c r="R76" s="46"/>
      <c r="S76" s="46"/>
      <c r="T76" s="46"/>
      <c r="U76" s="46"/>
      <c r="V76" s="46"/>
      <c r="W76" s="46"/>
      <c r="X76" s="46"/>
      <c r="Y76" s="46"/>
      <c r="Z76" s="46"/>
      <c r="AA76" s="44"/>
      <c r="AC76" s="43"/>
      <c r="AD76" s="46"/>
      <c r="AE76" s="44"/>
      <c r="AF76" s="43"/>
      <c r="AG76" s="46"/>
      <c r="AH76" s="44"/>
    </row>
    <row r="77" spans="1:38" x14ac:dyDescent="0.25">
      <c r="A77" s="6" t="s">
        <v>44</v>
      </c>
      <c r="B77" s="7"/>
      <c r="G77" s="15" t="s">
        <v>519</v>
      </c>
      <c r="H77" s="15" t="s">
        <v>571</v>
      </c>
      <c r="I77" s="161" t="s">
        <v>1012</v>
      </c>
      <c r="J77" s="161" t="s">
        <v>78</v>
      </c>
      <c r="L77" s="1"/>
      <c r="M77" s="162" t="s">
        <v>1039</v>
      </c>
      <c r="N77" s="21">
        <v>260136.5</v>
      </c>
      <c r="O77" s="21">
        <v>240573.67</v>
      </c>
      <c r="P77" s="21">
        <v>270983.92</v>
      </c>
      <c r="Q77" s="21">
        <v>267633.33</v>
      </c>
      <c r="R77" s="21">
        <v>283595.75</v>
      </c>
      <c r="S77" s="21">
        <v>276945</v>
      </c>
      <c r="T77" s="21">
        <v>287227.92</v>
      </c>
      <c r="U77" s="21">
        <v>292038.94</v>
      </c>
      <c r="V77" s="21">
        <v>283050</v>
      </c>
      <c r="W77" s="21">
        <v>292676.17</v>
      </c>
      <c r="X77" s="21">
        <v>282803.33</v>
      </c>
      <c r="Y77" s="21">
        <v>293377.11</v>
      </c>
      <c r="Z77" s="21">
        <f>SUM(N77:Y77)</f>
        <v>3331041.64</v>
      </c>
      <c r="AA77" s="17">
        <f>IF(Z77=0,"",IFERROR(Z77/Z$43,""))</f>
        <v>0.25741795311412929</v>
      </c>
      <c r="AC77" s="21">
        <v>3153617</v>
      </c>
      <c r="AD77" s="17">
        <f>IF(AC77=0,"",IFERROR(AC77/AC$43,""))</f>
        <v>0.19005705560290664</v>
      </c>
      <c r="AE77" s="50">
        <f>IF(AND($Z77="",AC77=""),"",$Z77-AC77)</f>
        <v>177424.64000000013</v>
      </c>
      <c r="AF77" s="21">
        <v>2138045.92</v>
      </c>
      <c r="AG77" s="17">
        <f>IF(AF77=0,"",IFERROR(AF77/AF$43,""))</f>
        <v>0.14512209097876239</v>
      </c>
      <c r="AH77" s="50">
        <f>IF(AND($Z77="",AF77=""),"",$Z77-AF77)</f>
        <v>1192995.7200000002</v>
      </c>
      <c r="AI77" s="528" t="str">
        <f>+IFERROR(ROUND(($AA77-AD77)*100,2)&amp;" pts.",0)</f>
        <v>6.74 pts.</v>
      </c>
      <c r="AJ77" s="529"/>
      <c r="AK77" s="528" t="str">
        <f>+IFERROR(ROUND(($AA77-AG77)*100,2)&amp;" pts.",0)</f>
        <v>11.23 pts.</v>
      </c>
      <c r="AL77" s="529"/>
    </row>
    <row r="78" spans="1:38" x14ac:dyDescent="0.25">
      <c r="A78" s="6" t="s">
        <v>45</v>
      </c>
      <c r="B78" s="7"/>
      <c r="G78" s="15" t="s">
        <v>519</v>
      </c>
      <c r="H78" s="15" t="s">
        <v>572</v>
      </c>
      <c r="I78" s="161" t="s">
        <v>1012</v>
      </c>
      <c r="J78" s="161" t="s">
        <v>78</v>
      </c>
      <c r="L78" s="1"/>
      <c r="M78" s="162" t="s">
        <v>1040</v>
      </c>
      <c r="N78" s="21">
        <v>40537.33</v>
      </c>
      <c r="O78" s="21">
        <v>40537.33</v>
      </c>
      <c r="P78" s="21">
        <v>40537.33</v>
      </c>
      <c r="Q78" s="21">
        <v>40537.33</v>
      </c>
      <c r="R78" s="21">
        <v>40537.33</v>
      </c>
      <c r="S78" s="21">
        <v>40537.33</v>
      </c>
      <c r="T78" s="21">
        <v>42107.73</v>
      </c>
      <c r="U78" s="21">
        <v>42107.73</v>
      </c>
      <c r="V78" s="21">
        <v>42107.73</v>
      </c>
      <c r="W78" s="21">
        <v>42107.73</v>
      </c>
      <c r="X78" s="21">
        <v>42107.73</v>
      </c>
      <c r="Y78" s="21">
        <v>42107.74</v>
      </c>
      <c r="Z78" s="21">
        <f>SUM(N78:Y78)</f>
        <v>495870.36999999994</v>
      </c>
      <c r="AA78" s="17">
        <f>IF(Z78=0,"",IFERROR(Z78/Z$43,""))</f>
        <v>3.832012608985156E-2</v>
      </c>
      <c r="AC78" s="21">
        <v>500424</v>
      </c>
      <c r="AD78" s="17">
        <f>IF(AC78=0,"",IFERROR(AC78/AC$43,""))</f>
        <v>3.0158738994947372E-2</v>
      </c>
      <c r="AE78" s="50">
        <f>IF(AND($Z78="",AC78=""),"",$Z78-AC78)</f>
        <v>-4553.6300000000629</v>
      </c>
      <c r="AF78" s="21">
        <v>500053.12</v>
      </c>
      <c r="AG78" s="17">
        <f>IF(AF78=0,"",IFERROR(AF78/AF$43,""))</f>
        <v>3.3941625713471105E-2</v>
      </c>
      <c r="AH78" s="50">
        <f>IF(AND($Z78="",AF78=""),"",$Z78-AF78)</f>
        <v>-4182.7500000000582</v>
      </c>
      <c r="AI78" s="528" t="str">
        <f>+IFERROR(ROUND(($AA78-AD78)*100,2)&amp;" pts.",0)</f>
        <v>0.82 pts.</v>
      </c>
      <c r="AJ78" s="529"/>
      <c r="AK78" s="528" t="str">
        <f>+IFERROR(ROUND(($AA78-AG78)*100,2)&amp;" pts.",0)</f>
        <v>0.44 pts.</v>
      </c>
      <c r="AL78" s="529"/>
    </row>
    <row r="79" spans="1:38" x14ac:dyDescent="0.25">
      <c r="A79" s="6" t="s">
        <v>46</v>
      </c>
      <c r="B79" s="7"/>
      <c r="G79" s="15" t="s">
        <v>519</v>
      </c>
      <c r="H79" s="15" t="s">
        <v>573</v>
      </c>
      <c r="I79" s="161" t="s">
        <v>1012</v>
      </c>
      <c r="J79" s="161" t="s">
        <v>78</v>
      </c>
      <c r="L79" s="1"/>
      <c r="M79" s="162" t="s">
        <v>1041</v>
      </c>
      <c r="N79" s="21"/>
      <c r="O79" s="21"/>
      <c r="P79" s="21"/>
      <c r="Q79" s="21"/>
      <c r="R79" s="21"/>
      <c r="S79" s="21"/>
      <c r="T79" s="21"/>
      <c r="U79" s="21"/>
      <c r="V79" s="21"/>
      <c r="W79" s="21"/>
      <c r="X79" s="21"/>
      <c r="Y79" s="21"/>
      <c r="Z79" s="21">
        <f>SUM(N79:Y79)</f>
        <v>0</v>
      </c>
      <c r="AA79" s="17" t="str">
        <f>IF(Z79=0,"",IFERROR(Z79/Z$43,""))</f>
        <v/>
      </c>
      <c r="AC79" s="21"/>
      <c r="AD79" s="17" t="str">
        <f>IF(AC79=0,"",IFERROR(AC79/AC$43,""))</f>
        <v/>
      </c>
      <c r="AE79" s="50">
        <f>IF(AND($Z79="",AC79=""),"",$Z79-AC79)</f>
        <v>0</v>
      </c>
      <c r="AF79" s="21"/>
      <c r="AG79" s="17" t="str">
        <f>IF(AF79=0,"",IFERROR(AF79/AF$43,""))</f>
        <v/>
      </c>
      <c r="AH79" s="50">
        <f>IF(AND($Z79="",AF79=""),"",$Z79-AF79)</f>
        <v>0</v>
      </c>
      <c r="AI79" s="528">
        <f>+IFERROR(ROUND(($AA79-AD79)*100,2)&amp;" pts.",0)</f>
        <v>0</v>
      </c>
      <c r="AJ79" s="529"/>
      <c r="AK79" s="528">
        <f>+IFERROR(ROUND(($AA79-AG79)*100,2)&amp;" pts.",0)</f>
        <v>0</v>
      </c>
      <c r="AL79" s="529"/>
    </row>
    <row r="80" spans="1:38" x14ac:dyDescent="0.25">
      <c r="I80" s="1"/>
      <c r="J80" s="1"/>
      <c r="L80" s="1"/>
      <c r="M80" s="25" t="str">
        <f>"Total "&amp;M76</f>
        <v>Total Interest, Depreciation &amp; Amortization</v>
      </c>
      <c r="N80" s="33">
        <f t="shared" ref="N80:Y80" si="31">SUM(N77:N79)</f>
        <v>300673.83</v>
      </c>
      <c r="O80" s="33">
        <f t="shared" si="31"/>
        <v>281111</v>
      </c>
      <c r="P80" s="33">
        <f t="shared" si="31"/>
        <v>311521.25</v>
      </c>
      <c r="Q80" s="33">
        <f t="shared" si="31"/>
        <v>308170.66000000003</v>
      </c>
      <c r="R80" s="33">
        <f t="shared" si="31"/>
        <v>324133.08</v>
      </c>
      <c r="S80" s="33">
        <f t="shared" si="31"/>
        <v>317482.33</v>
      </c>
      <c r="T80" s="33">
        <f t="shared" si="31"/>
        <v>329335.64999999997</v>
      </c>
      <c r="U80" s="33">
        <f t="shared" si="31"/>
        <v>334146.67</v>
      </c>
      <c r="V80" s="33">
        <f t="shared" si="31"/>
        <v>325157.73</v>
      </c>
      <c r="W80" s="33">
        <f t="shared" si="31"/>
        <v>334783.89999999997</v>
      </c>
      <c r="X80" s="33">
        <f t="shared" si="31"/>
        <v>324911.06</v>
      </c>
      <c r="Y80" s="33">
        <f t="shared" si="31"/>
        <v>335484.84999999998</v>
      </c>
      <c r="Z80" s="33">
        <f>SUM(N80:Y80)</f>
        <v>3826912.0100000002</v>
      </c>
      <c r="AA80" s="34">
        <f>IF(Z80=0,"",IFERROR(Z80/Z$43,""))</f>
        <v>0.29573807920398087</v>
      </c>
      <c r="AC80" s="33">
        <f>SUM(AC77:AC79)</f>
        <v>3654041</v>
      </c>
      <c r="AD80" s="34">
        <f>IF(AC80=0,"",IFERROR(AC80/AC$43,""))</f>
        <v>0.22021579459785401</v>
      </c>
      <c r="AE80" s="52">
        <f>IF(AND($Z80="",AC80=""),"",$Z80-AC80)</f>
        <v>172871.01000000024</v>
      </c>
      <c r="AF80" s="33">
        <f>SUM(AF77:AF79)</f>
        <v>2638099.04</v>
      </c>
      <c r="AG80" s="34">
        <f>IF(AF80=0,"",IFERROR(AF80/AF$43,""))</f>
        <v>0.1790637166922335</v>
      </c>
      <c r="AH80" s="52">
        <f>IF(AND($Z80="",AF80=""),"",$Z80-AF80)</f>
        <v>1188812.9700000002</v>
      </c>
      <c r="AI80" s="534" t="str">
        <f>+IFERROR(ROUND(($AA80-AD80)*100,2)&amp;" pts.",0)</f>
        <v>7.55 pts.</v>
      </c>
      <c r="AJ80" s="535"/>
      <c r="AK80" s="534" t="str">
        <f>+IFERROR(ROUND(($AA80-AG80)*100,2)&amp;" pts.",0)</f>
        <v>11.67 pts.</v>
      </c>
      <c r="AL80" s="535"/>
    </row>
    <row r="81" spans="6:38" x14ac:dyDescent="0.25">
      <c r="H81" s="11"/>
      <c r="J81" s="1"/>
      <c r="N81" s="41"/>
      <c r="O81" s="45"/>
      <c r="P81" s="45"/>
      <c r="Q81" s="45"/>
      <c r="R81" s="45"/>
      <c r="S81" s="45"/>
      <c r="T81" s="45"/>
      <c r="U81" s="45"/>
      <c r="V81" s="45"/>
      <c r="W81" s="45"/>
      <c r="X81" s="45"/>
      <c r="Y81" s="45"/>
      <c r="Z81" s="45"/>
      <c r="AA81" s="42"/>
      <c r="AC81" s="41"/>
      <c r="AD81" s="45"/>
      <c r="AE81" s="42"/>
      <c r="AF81" s="41"/>
      <c r="AG81" s="45"/>
      <c r="AH81" s="42"/>
    </row>
    <row r="82" spans="6:38" x14ac:dyDescent="0.25">
      <c r="F82" s="15" t="s">
        <v>577</v>
      </c>
      <c r="I82" s="1"/>
      <c r="J82" s="1"/>
      <c r="L82" s="1"/>
      <c r="M82" s="25" t="s">
        <v>1042</v>
      </c>
      <c r="N82" s="164">
        <f t="shared" ref="N82:Y82" si="32">N74-N80</f>
        <v>240796.60000000003</v>
      </c>
      <c r="O82" s="164">
        <f t="shared" si="32"/>
        <v>346167.69999999995</v>
      </c>
      <c r="P82" s="164">
        <f t="shared" si="32"/>
        <v>254731.2200000002</v>
      </c>
      <c r="Q82" s="164">
        <f t="shared" si="32"/>
        <v>-77860.000000000058</v>
      </c>
      <c r="R82" s="164">
        <f t="shared" si="32"/>
        <v>-125792.15</v>
      </c>
      <c r="S82" s="164">
        <f t="shared" si="32"/>
        <v>-265921.07999999996</v>
      </c>
      <c r="T82" s="164">
        <f t="shared" si="32"/>
        <v>-300817.45999999996</v>
      </c>
      <c r="U82" s="164">
        <f t="shared" si="32"/>
        <v>-432152.23000000004</v>
      </c>
      <c r="V82" s="164">
        <f t="shared" si="32"/>
        <v>-482168.20999999996</v>
      </c>
      <c r="W82" s="164">
        <f t="shared" si="32"/>
        <v>-373413.91999999993</v>
      </c>
      <c r="X82" s="164">
        <f t="shared" si="32"/>
        <v>-272244.24999999988</v>
      </c>
      <c r="Y82" s="164">
        <f t="shared" si="32"/>
        <v>138405.99000000005</v>
      </c>
      <c r="Z82" s="164">
        <f>SUM(N82:Y82)</f>
        <v>-1350267.7899999993</v>
      </c>
      <c r="AA82" s="175">
        <f>IF(Z82=0,"",IFERROR(Z82/Z$43,""))</f>
        <v>-0.1043466903817326</v>
      </c>
      <c r="AC82" s="164">
        <f>AC74-AC80</f>
        <v>1116745.623233173</v>
      </c>
      <c r="AD82" s="175">
        <f>IF(AC82=0,"",IFERROR(AC82/AC$43,""))</f>
        <v>6.7302207277906548E-2</v>
      </c>
      <c r="AE82" s="165">
        <f>IF(AND($Z82="",AC82=""),"",$Z82-AC82)</f>
        <v>-2467013.4132331721</v>
      </c>
      <c r="AF82" s="164">
        <f>AF74-AF80</f>
        <v>1227888.7200000007</v>
      </c>
      <c r="AG82" s="175">
        <f>IF(AF82=0,"",IFERROR(AF82/AF$43,""))</f>
        <v>8.3344224213685827E-2</v>
      </c>
      <c r="AH82" s="165">
        <f>IF(AND($Z82="",AF82=""),"",$Z82-AF82)</f>
        <v>-2578156.5099999998</v>
      </c>
      <c r="AI82" s="536" t="str">
        <f>+IFERROR(ROUND(($AA82-AD82)*100,2)&amp;" pts.",0)</f>
        <v>-17.16 pts.</v>
      </c>
      <c r="AJ82" s="537"/>
      <c r="AK82" s="536" t="str">
        <f>+IFERROR(ROUND(($AA82-AG82)*100,2)&amp;" pts.",0)</f>
        <v>-18.77 pts.</v>
      </c>
      <c r="AL82" s="537"/>
    </row>
    <row r="83" spans="6:38" x14ac:dyDescent="0.25">
      <c r="G83" s="15" t="s">
        <v>519</v>
      </c>
      <c r="H83" s="15" t="s">
        <v>578</v>
      </c>
      <c r="I83" s="161" t="s">
        <v>1012</v>
      </c>
      <c r="J83" s="161" t="s">
        <v>78</v>
      </c>
      <c r="L83" s="1"/>
      <c r="M83" s="162" t="s">
        <v>1043</v>
      </c>
      <c r="N83" s="21"/>
      <c r="O83" s="21"/>
      <c r="P83" s="21"/>
      <c r="Q83" s="21"/>
      <c r="R83" s="21"/>
      <c r="S83" s="21"/>
      <c r="T83" s="21"/>
      <c r="U83" s="21"/>
      <c r="V83" s="21"/>
      <c r="W83" s="21"/>
      <c r="X83" s="21"/>
      <c r="Y83" s="21"/>
      <c r="Z83" s="21">
        <f>SUM(N83:Y83)</f>
        <v>0</v>
      </c>
      <c r="AA83" s="17" t="str">
        <f>IF(Z83=0,"",IFERROR(Z83/Z$43,""))</f>
        <v/>
      </c>
      <c r="AC83" s="21"/>
      <c r="AD83" s="17" t="str">
        <f>IF(AC83=0,"",IFERROR(AC83/AC$43,""))</f>
        <v/>
      </c>
      <c r="AE83" s="50">
        <f>IF(AND($Z83="",AC83=""),"",$Z83-AC83)</f>
        <v>0</v>
      </c>
      <c r="AF83" s="21"/>
      <c r="AG83" s="17" t="str">
        <f>IF(AF83=0,"",IFERROR(AF83/AF$43,""))</f>
        <v/>
      </c>
      <c r="AH83" s="50">
        <f>IF(AND($Z83="",AF83=""),"",$Z83-AF83)</f>
        <v>0</v>
      </c>
      <c r="AI83" s="528">
        <f>+IFERROR(ROUND(($AA83-AD83)*100,2)&amp;" pts.",0)</f>
        <v>0</v>
      </c>
      <c r="AJ83" s="529"/>
      <c r="AK83" s="528">
        <f>+IFERROR(ROUND(($AA83-AG83)*100,2)&amp;" pts.",0)</f>
        <v>0</v>
      </c>
      <c r="AL83" s="529"/>
    </row>
    <row r="84" spans="6:38" ht="15.75" thickBot="1" x14ac:dyDescent="0.3">
      <c r="F84" s="15" t="s">
        <v>579</v>
      </c>
      <c r="I84" s="1"/>
      <c r="J84" s="1"/>
      <c r="L84" s="1"/>
      <c r="M84" s="25" t="s">
        <v>1044</v>
      </c>
      <c r="N84" s="62">
        <f t="shared" ref="N84:Y84" si="33">N82-N83</f>
        <v>240796.60000000003</v>
      </c>
      <c r="O84" s="62">
        <f t="shared" si="33"/>
        <v>346167.69999999995</v>
      </c>
      <c r="P84" s="62">
        <f t="shared" si="33"/>
        <v>254731.2200000002</v>
      </c>
      <c r="Q84" s="62">
        <f t="shared" si="33"/>
        <v>-77860.000000000058</v>
      </c>
      <c r="R84" s="62">
        <f t="shared" si="33"/>
        <v>-125792.15</v>
      </c>
      <c r="S84" s="62">
        <f t="shared" si="33"/>
        <v>-265921.07999999996</v>
      </c>
      <c r="T84" s="62">
        <f t="shared" si="33"/>
        <v>-300817.45999999996</v>
      </c>
      <c r="U84" s="62">
        <f t="shared" si="33"/>
        <v>-432152.23000000004</v>
      </c>
      <c r="V84" s="62">
        <f t="shared" si="33"/>
        <v>-482168.20999999996</v>
      </c>
      <c r="W84" s="62">
        <f t="shared" si="33"/>
        <v>-373413.91999999993</v>
      </c>
      <c r="X84" s="62">
        <f t="shared" si="33"/>
        <v>-272244.24999999988</v>
      </c>
      <c r="Y84" s="62">
        <f t="shared" si="33"/>
        <v>138405.99000000005</v>
      </c>
      <c r="Z84" s="62">
        <f>SUM(N84:Y84)</f>
        <v>-1350267.7899999993</v>
      </c>
      <c r="AA84" s="63">
        <f>IF(Z84=0,"",IFERROR(Z84/Z$43,""))</f>
        <v>-0.1043466903817326</v>
      </c>
      <c r="AC84" s="62">
        <f>AC82-AC83</f>
        <v>1116745.623233173</v>
      </c>
      <c r="AD84" s="63">
        <f>IF(AC84=0,"",IFERROR(AC84/AC$43,""))</f>
        <v>6.7302207277906548E-2</v>
      </c>
      <c r="AE84" s="64">
        <f>IF(AND($Z84="",AC84=""),"",$Z84-AC84)</f>
        <v>-2467013.4132331721</v>
      </c>
      <c r="AF84" s="62">
        <f>AF82-AF83</f>
        <v>1227888.7200000007</v>
      </c>
      <c r="AG84" s="63">
        <f>IF(AF84=0,"",IFERROR(AF84/AF$43,""))</f>
        <v>8.3344224213685827E-2</v>
      </c>
      <c r="AH84" s="64">
        <f>IF(AND($Z84="",AF84=""),"",$Z84-AF84)</f>
        <v>-2578156.5099999998</v>
      </c>
      <c r="AI84" s="538" t="str">
        <f>+IFERROR(ROUND(($AA84-AD84)*100,2)&amp;" pts.",0)</f>
        <v>-17.16 pts.</v>
      </c>
      <c r="AJ84" s="539"/>
      <c r="AK84" s="538" t="str">
        <f>+IFERROR(ROUND(($AA84-AG84)*100,2)&amp;" pts.",0)</f>
        <v>-18.77 pts.</v>
      </c>
      <c r="AL84" s="539"/>
    </row>
    <row r="85" spans="6:38" ht="15.75" thickTop="1" x14ac:dyDescent="0.25">
      <c r="H85" s="11"/>
      <c r="J85" s="1"/>
      <c r="L85" s="1">
        <f>COUNTIF(N85:AH85,FALSE)</f>
        <v>0</v>
      </c>
      <c r="M85" s="226" t="str">
        <f>IF(L85=0,"","Net Income - database validation failed")</f>
        <v/>
      </c>
      <c r="N85" s="270" t="str">
        <f t="shared" ref="N85:Z85" si="34">IF(ROUND(N84,2)&lt;&gt;ROUND(N105,2),N84-N105,"")</f>
        <v/>
      </c>
      <c r="O85" s="270" t="str">
        <f t="shared" si="34"/>
        <v/>
      </c>
      <c r="P85" s="270" t="str">
        <f t="shared" si="34"/>
        <v/>
      </c>
      <c r="Q85" s="270" t="str">
        <f t="shared" si="34"/>
        <v/>
      </c>
      <c r="R85" s="270" t="str">
        <f t="shared" si="34"/>
        <v/>
      </c>
      <c r="S85" s="270" t="str">
        <f t="shared" si="34"/>
        <v/>
      </c>
      <c r="T85" s="270" t="str">
        <f t="shared" si="34"/>
        <v/>
      </c>
      <c r="U85" s="270" t="str">
        <f t="shared" si="34"/>
        <v/>
      </c>
      <c r="V85" s="270" t="str">
        <f t="shared" si="34"/>
        <v/>
      </c>
      <c r="W85" s="270" t="str">
        <f t="shared" si="34"/>
        <v/>
      </c>
      <c r="X85" s="270" t="str">
        <f t="shared" si="34"/>
        <v/>
      </c>
      <c r="Y85" s="270" t="str">
        <f t="shared" si="34"/>
        <v/>
      </c>
      <c r="Z85" s="270" t="str">
        <f t="shared" si="34"/>
        <v/>
      </c>
      <c r="AA85" s="193" t="b">
        <f>Z85=""</f>
        <v>1</v>
      </c>
      <c r="AC85" s="270" t="str">
        <f>IF(ROUND(AC84,2)&lt;&gt;ROUND(AC105,2),AC84-AC105,"")</f>
        <v/>
      </c>
      <c r="AD85" s="228" t="b">
        <f>AC85=""</f>
        <v>1</v>
      </c>
      <c r="AE85" s="55"/>
      <c r="AF85" s="270" t="str">
        <f>IF(ROUND(AF84,2)&lt;&gt;ROUND(AF105,2),AF84-AF105,"")</f>
        <v/>
      </c>
      <c r="AG85" s="228" t="b">
        <f>AF85=""</f>
        <v>1</v>
      </c>
      <c r="AH85" s="55"/>
    </row>
    <row r="86" spans="6:38" x14ac:dyDescent="0.25">
      <c r="F86" s="15" t="s">
        <v>570</v>
      </c>
      <c r="I86" s="1"/>
      <c r="J86" s="1"/>
      <c r="L86" s="1"/>
      <c r="M86" s="25" t="s">
        <v>570</v>
      </c>
      <c r="N86" s="164">
        <f t="shared" ref="N86:Y86" si="35">N74</f>
        <v>541470.43000000005</v>
      </c>
      <c r="O86" s="164">
        <f t="shared" si="35"/>
        <v>627278.69999999995</v>
      </c>
      <c r="P86" s="164">
        <f t="shared" si="35"/>
        <v>566252.4700000002</v>
      </c>
      <c r="Q86" s="164">
        <f t="shared" si="35"/>
        <v>230310.65999999997</v>
      </c>
      <c r="R86" s="164">
        <f t="shared" si="35"/>
        <v>198340.93000000002</v>
      </c>
      <c r="S86" s="164">
        <f t="shared" si="35"/>
        <v>51561.250000000029</v>
      </c>
      <c r="T86" s="164">
        <f t="shared" si="35"/>
        <v>28518.190000000031</v>
      </c>
      <c r="U86" s="164">
        <f t="shared" si="35"/>
        <v>-98005.560000000056</v>
      </c>
      <c r="V86" s="164">
        <f t="shared" si="35"/>
        <v>-157010.47999999998</v>
      </c>
      <c r="W86" s="164">
        <f t="shared" si="35"/>
        <v>-38630.01999999996</v>
      </c>
      <c r="X86" s="164">
        <f t="shared" si="35"/>
        <v>52666.810000000085</v>
      </c>
      <c r="Y86" s="164">
        <f t="shared" si="35"/>
        <v>473890.84</v>
      </c>
      <c r="Z86" s="164">
        <f>SUM(N86:Y86)</f>
        <v>2476644.2199999997</v>
      </c>
      <c r="AA86" s="175">
        <f>IF(Z86=0,"",IFERROR(Z86/Z$43,""))</f>
        <v>0.19139138882224818</v>
      </c>
      <c r="AC86" s="164">
        <f>AC74</f>
        <v>4770786.623233173</v>
      </c>
      <c r="AD86" s="175">
        <f>IF(AC86=0,"",IFERROR(AC86/AC$43,""))</f>
        <v>0.28751800187576054</v>
      </c>
      <c r="AE86" s="165">
        <f>IF(AND($Z86="",AC86=""),"",$Z86-AC86)</f>
        <v>-2294142.4032331733</v>
      </c>
      <c r="AF86" s="164">
        <f>AF74</f>
        <v>3865987.7600000007</v>
      </c>
      <c r="AG86" s="175">
        <f>IF(AF86=0,"",IFERROR(AF86/AF$43,""))</f>
        <v>0.26240794090591935</v>
      </c>
      <c r="AH86" s="165">
        <f>IF(AND($Z86="",AF86=""),"",$Z86-AF86)</f>
        <v>-1389343.540000001</v>
      </c>
    </row>
    <row r="87" spans="6:38" x14ac:dyDescent="0.25">
      <c r="G87" s="15" t="s">
        <v>519</v>
      </c>
      <c r="H87" s="15" t="s">
        <v>580</v>
      </c>
      <c r="I87" s="161" t="s">
        <v>1012</v>
      </c>
      <c r="J87" s="161" t="s">
        <v>78</v>
      </c>
      <c r="M87" s="162" t="s">
        <v>1045</v>
      </c>
      <c r="N87" s="21">
        <v>50374.64</v>
      </c>
      <c r="O87" s="21">
        <v>60107.44</v>
      </c>
      <c r="P87" s="21">
        <v>59816.37</v>
      </c>
      <c r="Q87" s="21">
        <v>45640.89</v>
      </c>
      <c r="R87" s="21">
        <v>42692.91</v>
      </c>
      <c r="S87" s="21">
        <v>36161.699999999997</v>
      </c>
      <c r="T87" s="21">
        <v>33832.5</v>
      </c>
      <c r="U87" s="21">
        <v>28420.93</v>
      </c>
      <c r="V87" s="21">
        <v>23925.65</v>
      </c>
      <c r="W87" s="21">
        <v>30438.23</v>
      </c>
      <c r="X87" s="21">
        <v>34616.67</v>
      </c>
      <c r="Y87" s="21">
        <v>52231.76</v>
      </c>
      <c r="Z87" s="21">
        <f>SUM(N87:Y87)</f>
        <v>498259.69</v>
      </c>
      <c r="AA87" s="17">
        <f>IF(Z87=0,"",IFERROR(Z87/Z$43,""))</f>
        <v>3.8504769192582229E-2</v>
      </c>
      <c r="AC87" s="21">
        <v>654450.23660399998</v>
      </c>
      <c r="AD87" s="17">
        <f>IF(AC87=0,"",IFERROR(AC87/AC$43,""))</f>
        <v>3.9441341484264522E-2</v>
      </c>
      <c r="AE87" s="50">
        <f>IF(AND($Z87="",AC87=""),"",$Z87-AC87)</f>
        <v>-156190.54660399997</v>
      </c>
      <c r="AF87" s="21">
        <v>594198.03</v>
      </c>
      <c r="AG87" s="17">
        <f>IF(AF87=0,"",IFERROR(AF87/AF$43,""))</f>
        <v>4.0331809416451349E-2</v>
      </c>
      <c r="AH87" s="50">
        <f>IF(AND($Z87="",AF87=""),"",$Z87-AF87)</f>
        <v>-95938.340000000026</v>
      </c>
    </row>
    <row r="88" spans="6:38" ht="15.75" thickBot="1" x14ac:dyDescent="0.3">
      <c r="I88" s="1"/>
      <c r="J88" s="1"/>
      <c r="L88" s="1"/>
      <c r="M88" s="25" t="s">
        <v>581</v>
      </c>
      <c r="N88" s="62">
        <f t="shared" ref="N88:Y88" si="36">N86-N87</f>
        <v>491095.79000000004</v>
      </c>
      <c r="O88" s="62">
        <f t="shared" si="36"/>
        <v>567171.26</v>
      </c>
      <c r="P88" s="62">
        <f t="shared" si="36"/>
        <v>506436.10000000021</v>
      </c>
      <c r="Q88" s="62">
        <f t="shared" si="36"/>
        <v>184669.76999999996</v>
      </c>
      <c r="R88" s="62">
        <f t="shared" si="36"/>
        <v>155648.02000000002</v>
      </c>
      <c r="S88" s="62">
        <f t="shared" si="36"/>
        <v>15399.550000000032</v>
      </c>
      <c r="T88" s="62">
        <f t="shared" si="36"/>
        <v>-5314.3099999999686</v>
      </c>
      <c r="U88" s="62">
        <f t="shared" si="36"/>
        <v>-126426.49000000005</v>
      </c>
      <c r="V88" s="62">
        <f t="shared" si="36"/>
        <v>-180936.12999999998</v>
      </c>
      <c r="W88" s="62">
        <f t="shared" si="36"/>
        <v>-69068.249999999956</v>
      </c>
      <c r="X88" s="62">
        <f t="shared" si="36"/>
        <v>18050.140000000087</v>
      </c>
      <c r="Y88" s="62">
        <f t="shared" si="36"/>
        <v>421659.08</v>
      </c>
      <c r="Z88" s="62">
        <f>SUM(N88:Y88)</f>
        <v>1978384.5300000007</v>
      </c>
      <c r="AA88" s="63">
        <f>IF(Z88=0,"",IFERROR(Z88/Z$43,""))</f>
        <v>0.15288661962966602</v>
      </c>
      <c r="AC88" s="62">
        <f>AC86-AC87</f>
        <v>4116336.3866291731</v>
      </c>
      <c r="AD88" s="63">
        <f>IF(AC88=0,"",IFERROR(AC88/AC$43,""))</f>
        <v>0.24807666039149603</v>
      </c>
      <c r="AE88" s="64">
        <f>IF(AND($Z88="",AC88=""),"",$Z88-AC88)</f>
        <v>-2137951.8566291723</v>
      </c>
      <c r="AF88" s="62">
        <f>AF86-AF87</f>
        <v>3271789.7300000004</v>
      </c>
      <c r="AG88" s="63">
        <f>IF(AF88=0,"",IFERROR(AF88/AF$43,""))</f>
        <v>0.22207613148946795</v>
      </c>
      <c r="AH88" s="64">
        <f>IF(AND($Z88="",AF88=""),"",$Z88-AF88)</f>
        <v>-1293405.1999999997</v>
      </c>
    </row>
    <row r="89" spans="6:38" ht="15.75" thickTop="1" x14ac:dyDescent="0.25">
      <c r="H89" s="11"/>
      <c r="J89" s="1"/>
      <c r="M89" s="8" t="s">
        <v>754</v>
      </c>
      <c r="AD89" s="172">
        <f>+IF(AND(AE43&gt;0,AE61&gt;0),+AE61/+AE43)+IF(AND(AE43&gt;0,AE61&lt;0),AE61/+AE43)+IF(AND(AE43&lt;0,AE61&lt;0),+(1-(AE61/+AE43)))+IF(AND(AE43&lt;0,AE61&gt;0),+(1-(AE61/+AE43)))</f>
        <v>0.35263888135485288</v>
      </c>
      <c r="AE89" s="196" t="str">
        <f>IF(AE43&lt;0,"Flex","")</f>
        <v>Flex</v>
      </c>
      <c r="AG89" s="172">
        <f>+IF(AND(AH43&gt;0,AH61&gt;0),+AH61/+AH43)+IF(AND(AH43&gt;0,AH61&lt;0),AH61/+AH43)+IF(AND(AH43&lt;0,AH61&lt;0),+(1-(AH61/+AH43)))+IF(AND(AH43&lt;0,AH61&gt;0),+(1-(AH61/+AH43)))</f>
        <v>0.3725019700484582</v>
      </c>
      <c r="AH89" s="196" t="str">
        <f>IF(AH43&lt;0,"Flex","")</f>
        <v>Flex</v>
      </c>
    </row>
    <row r="90" spans="6:38" x14ac:dyDescent="0.25">
      <c r="H90" s="11"/>
      <c r="J90" s="1"/>
    </row>
    <row r="91" spans="6:38" hidden="1" outlineLevel="1" x14ac:dyDescent="0.25">
      <c r="H91" s="11"/>
      <c r="J91" s="1"/>
      <c r="M91" s="8" t="str">
        <f>M66</f>
        <v>Non-Operating Income &amp; Expenses</v>
      </c>
    </row>
    <row r="92" spans="6:38" hidden="1" outlineLevel="1" x14ac:dyDescent="0.25">
      <c r="H92" s="11"/>
      <c r="J92" s="1"/>
      <c r="M92" s="8" t="s">
        <v>587</v>
      </c>
    </row>
    <row r="93" spans="6:38" hidden="1" outlineLevel="1" x14ac:dyDescent="0.25">
      <c r="G93" s="15" t="s">
        <v>519</v>
      </c>
      <c r="H93" s="15" t="s">
        <v>542</v>
      </c>
      <c r="I93" s="161" t="s">
        <v>1012</v>
      </c>
      <c r="J93" s="161" t="s">
        <v>78</v>
      </c>
      <c r="L93" s="1"/>
      <c r="M93" s="218" t="s">
        <v>1047</v>
      </c>
      <c r="N93" s="219"/>
      <c r="O93" s="219"/>
      <c r="P93" s="219"/>
      <c r="Q93" s="219"/>
      <c r="R93" s="219"/>
      <c r="S93" s="219"/>
      <c r="T93" s="219"/>
      <c r="U93" s="219"/>
      <c r="V93" s="219"/>
      <c r="W93" s="219"/>
      <c r="X93" s="219"/>
      <c r="Y93" s="219"/>
      <c r="Z93" s="219">
        <f>SUM(N93:Y93)</f>
        <v>0</v>
      </c>
      <c r="AA93" s="220"/>
      <c r="AC93" s="219"/>
      <c r="AD93" s="220"/>
      <c r="AE93" s="219">
        <f>IF(AND($Z93="",AC93=""),"",$Z93-AC93)</f>
        <v>0</v>
      </c>
      <c r="AF93" s="219"/>
      <c r="AG93" s="220"/>
      <c r="AH93" s="219">
        <f>IF(AND($Z93="",AF93=""),"",$Z93-AF93)</f>
        <v>0</v>
      </c>
    </row>
    <row r="94" spans="6:38" hidden="1" outlineLevel="1" x14ac:dyDescent="0.25">
      <c r="G94" s="15" t="s">
        <v>583</v>
      </c>
      <c r="H94" s="15" t="s">
        <v>584</v>
      </c>
      <c r="I94" s="161" t="s">
        <v>1046</v>
      </c>
      <c r="J94" s="161" t="s">
        <v>78</v>
      </c>
      <c r="L94" s="1"/>
      <c r="M94" s="221" t="s">
        <v>1048</v>
      </c>
      <c r="N94" s="222">
        <v>0</v>
      </c>
      <c r="O94" s="222">
        <v>0</v>
      </c>
      <c r="P94" s="222">
        <v>0</v>
      </c>
      <c r="Q94" s="222">
        <v>0</v>
      </c>
      <c r="R94" s="222">
        <v>0</v>
      </c>
      <c r="S94" s="222">
        <v>0</v>
      </c>
      <c r="T94" s="222">
        <v>0</v>
      </c>
      <c r="U94" s="222">
        <v>0</v>
      </c>
      <c r="V94" s="222">
        <v>0</v>
      </c>
      <c r="W94" s="222">
        <v>0</v>
      </c>
      <c r="X94" s="222">
        <v>0</v>
      </c>
      <c r="Y94" s="222">
        <v>0</v>
      </c>
      <c r="Z94" s="219">
        <f>SUM(N94:Y94)</f>
        <v>0</v>
      </c>
      <c r="AA94" s="223"/>
      <c r="AC94" s="222">
        <v>0</v>
      </c>
      <c r="AD94" s="223"/>
      <c r="AE94" s="219">
        <f>IF(AND($Z94="",AC94=""),"",$Z94-AC94)</f>
        <v>0</v>
      </c>
      <c r="AF94" s="222">
        <v>0</v>
      </c>
      <c r="AG94" s="223"/>
      <c r="AH94" s="219">
        <f>IF(AND($Z94="",AF94=""),"",$Z94-AF94)</f>
        <v>0</v>
      </c>
    </row>
    <row r="95" spans="6:38" hidden="1" outlineLevel="1" x14ac:dyDescent="0.25">
      <c r="I95" s="1"/>
      <c r="J95" s="1"/>
      <c r="L95" s="1"/>
      <c r="M95" s="218" t="s">
        <v>585</v>
      </c>
      <c r="N95" s="219">
        <f t="shared" ref="N95:Y95" si="37">IFERROR(N93-N94,"")</f>
        <v>0</v>
      </c>
      <c r="O95" s="219">
        <f t="shared" si="37"/>
        <v>0</v>
      </c>
      <c r="P95" s="219">
        <f t="shared" si="37"/>
        <v>0</v>
      </c>
      <c r="Q95" s="219">
        <f t="shared" si="37"/>
        <v>0</v>
      </c>
      <c r="R95" s="219">
        <f t="shared" si="37"/>
        <v>0</v>
      </c>
      <c r="S95" s="219">
        <f t="shared" si="37"/>
        <v>0</v>
      </c>
      <c r="T95" s="219">
        <f t="shared" si="37"/>
        <v>0</v>
      </c>
      <c r="U95" s="219">
        <f t="shared" si="37"/>
        <v>0</v>
      </c>
      <c r="V95" s="219">
        <f t="shared" si="37"/>
        <v>0</v>
      </c>
      <c r="W95" s="219">
        <f t="shared" si="37"/>
        <v>0</v>
      </c>
      <c r="X95" s="219">
        <f t="shared" si="37"/>
        <v>0</v>
      </c>
      <c r="Y95" s="219">
        <f t="shared" si="37"/>
        <v>0</v>
      </c>
      <c r="Z95" s="219">
        <f>SUM(N95:Y95)</f>
        <v>0</v>
      </c>
      <c r="AA95" s="220"/>
      <c r="AC95" s="219">
        <f>IFERROR(AC93-AC94,"")</f>
        <v>0</v>
      </c>
      <c r="AD95" s="220"/>
      <c r="AE95" s="219">
        <f>IF(AND($Z95="",AC95=""),"",$Z95-AC95)</f>
        <v>0</v>
      </c>
      <c r="AF95" s="219">
        <f>IFERROR(AF93-AF94,"")</f>
        <v>0</v>
      </c>
      <c r="AG95" s="220"/>
      <c r="AH95" s="219">
        <f>IF(AND($Z95="",AF95=""),"",$Z95-AF95)</f>
        <v>0</v>
      </c>
    </row>
    <row r="96" spans="6:38" hidden="1" outlineLevel="1" x14ac:dyDescent="0.25">
      <c r="I96" s="1"/>
      <c r="J96" s="1"/>
      <c r="L96" s="1"/>
    </row>
    <row r="97" spans="7:34" hidden="1" outlineLevel="1" x14ac:dyDescent="0.25">
      <c r="G97" s="15" t="s">
        <v>499</v>
      </c>
      <c r="H97" s="15">
        <v>400000</v>
      </c>
      <c r="I97" s="161" t="s">
        <v>1012</v>
      </c>
      <c r="J97" s="161" t="s">
        <v>78</v>
      </c>
      <c r="M97" s="162" t="s">
        <v>1003</v>
      </c>
      <c r="N97" s="21">
        <v>1462163.77</v>
      </c>
      <c r="O97" s="21">
        <v>1536607.44</v>
      </c>
      <c r="P97" s="21">
        <v>1534404.07</v>
      </c>
      <c r="Q97" s="21">
        <v>1170305.3999999999</v>
      </c>
      <c r="R97" s="21">
        <v>1083534.47</v>
      </c>
      <c r="S97" s="21">
        <v>874742.07</v>
      </c>
      <c r="T97" s="21">
        <v>843943.44</v>
      </c>
      <c r="U97" s="21">
        <v>720102.67</v>
      </c>
      <c r="V97" s="21">
        <v>617829.5</v>
      </c>
      <c r="W97" s="21">
        <v>778731.4</v>
      </c>
      <c r="X97" s="21">
        <v>879556.18</v>
      </c>
      <c r="Y97" s="21">
        <v>1438286.75</v>
      </c>
      <c r="Z97" s="21">
        <f t="shared" ref="Z97:Z105" si="38">SUM(N97:Y97)</f>
        <v>12940207.16</v>
      </c>
      <c r="AA97" s="17">
        <f t="shared" ref="AA97:AA105" si="39">IF(N97=0,"",IFERROR(N97/N$43,""))</f>
        <v>1</v>
      </c>
      <c r="AC97" s="21">
        <v>16593001.4542</v>
      </c>
      <c r="AD97" s="17">
        <f t="shared" ref="AD97:AD105" si="40">IF(AC97=0,"",IFERROR(AC97/AC$43,""))</f>
        <v>1</v>
      </c>
      <c r="AE97" s="50">
        <f t="shared" ref="AE97:AE105" si="41">IF(AND($Z97="",AC97=""),"",$Z97-AC97)</f>
        <v>-3652794.2941999994</v>
      </c>
      <c r="AF97" s="21">
        <v>14732739.210000001</v>
      </c>
      <c r="AG97" s="17">
        <f t="shared" ref="AG97:AG105" si="42">IF(AF97=0,"",IFERROR(AF97/AF$43,""))</f>
        <v>1</v>
      </c>
      <c r="AH97" s="50">
        <f t="shared" ref="AH97:AH105" si="43">IF(AND($Z97="",AF97=""),"",$Z97-AF97)</f>
        <v>-1792532.0500000007</v>
      </c>
    </row>
    <row r="98" spans="7:34" hidden="1" outlineLevel="1" x14ac:dyDescent="0.25">
      <c r="G98" s="15" t="s">
        <v>563</v>
      </c>
      <c r="H98" s="15" t="s">
        <v>464</v>
      </c>
      <c r="I98" s="161" t="s">
        <v>1012</v>
      </c>
      <c r="J98" s="161" t="s">
        <v>78</v>
      </c>
      <c r="M98" s="162" t="s">
        <v>1049</v>
      </c>
      <c r="N98" s="21">
        <v>443306.6</v>
      </c>
      <c r="O98" s="21">
        <v>416734.43</v>
      </c>
      <c r="P98" s="21">
        <v>456390.08</v>
      </c>
      <c r="Q98" s="21">
        <v>434138.35</v>
      </c>
      <c r="R98" s="21">
        <v>387013.86</v>
      </c>
      <c r="S98" s="21">
        <v>350446.54</v>
      </c>
      <c r="T98" s="21">
        <v>371126.6</v>
      </c>
      <c r="U98" s="21">
        <v>361928.61</v>
      </c>
      <c r="V98" s="21">
        <v>308018.18</v>
      </c>
      <c r="W98" s="21">
        <v>340703.43</v>
      </c>
      <c r="X98" s="21">
        <v>337329.85</v>
      </c>
      <c r="Y98" s="21">
        <v>433257.35</v>
      </c>
      <c r="Z98" s="21">
        <f t="shared" si="38"/>
        <v>4640393.88</v>
      </c>
      <c r="AA98" s="17">
        <f t="shared" si="39"/>
        <v>0.30318532649731839</v>
      </c>
      <c r="AC98" s="21">
        <v>5708666.0154605396</v>
      </c>
      <c r="AD98" s="17">
        <f t="shared" si="40"/>
        <v>0.34404059031861106</v>
      </c>
      <c r="AE98" s="50">
        <f t="shared" si="41"/>
        <v>-1068272.1354605397</v>
      </c>
      <c r="AF98" s="21">
        <v>5283053.33</v>
      </c>
      <c r="AG98" s="17">
        <f t="shared" si="42"/>
        <v>0.35859274060957191</v>
      </c>
      <c r="AH98" s="50">
        <f t="shared" si="43"/>
        <v>-642659.45000000019</v>
      </c>
    </row>
    <row r="99" spans="7:34" hidden="1" outlineLevel="1" x14ac:dyDescent="0.25">
      <c r="G99" s="15" t="s">
        <v>563</v>
      </c>
      <c r="H99" s="15" t="s">
        <v>56</v>
      </c>
      <c r="I99" s="161" t="s">
        <v>1010</v>
      </c>
      <c r="J99" s="161" t="s">
        <v>78</v>
      </c>
      <c r="L99" s="11" t="s">
        <v>591</v>
      </c>
      <c r="M99" s="162" t="s">
        <v>980</v>
      </c>
      <c r="N99" s="21">
        <v>1018857.17</v>
      </c>
      <c r="O99" s="21">
        <v>1119873.01</v>
      </c>
      <c r="P99" s="21">
        <v>1078013.99</v>
      </c>
      <c r="Q99" s="21">
        <v>736167.049999999</v>
      </c>
      <c r="R99" s="21">
        <v>696520.61</v>
      </c>
      <c r="S99" s="21">
        <v>524295.53</v>
      </c>
      <c r="T99" s="21">
        <v>472816.84000000102</v>
      </c>
      <c r="U99" s="21">
        <v>358174.06</v>
      </c>
      <c r="V99" s="21">
        <v>309811.32</v>
      </c>
      <c r="W99" s="21">
        <v>438027.97</v>
      </c>
      <c r="X99" s="21">
        <v>542226.32999999996</v>
      </c>
      <c r="Y99" s="21">
        <v>1005029.4</v>
      </c>
      <c r="Z99" s="21">
        <f t="shared" si="38"/>
        <v>8299813.2800000003</v>
      </c>
      <c r="AA99" s="17">
        <f t="shared" si="39"/>
        <v>0.69681467350268156</v>
      </c>
      <c r="AC99" s="21">
        <v>10884335.438739499</v>
      </c>
      <c r="AD99" s="17">
        <f t="shared" si="40"/>
        <v>0.65595940968139133</v>
      </c>
      <c r="AE99" s="50">
        <f t="shared" si="41"/>
        <v>-2584522.1587394988</v>
      </c>
      <c r="AF99" s="21">
        <v>9449685.8800000008</v>
      </c>
      <c r="AG99" s="17">
        <f t="shared" si="42"/>
        <v>0.64140725939042809</v>
      </c>
      <c r="AH99" s="50">
        <f t="shared" si="43"/>
        <v>-1149872.6000000006</v>
      </c>
    </row>
    <row r="100" spans="7:34" hidden="1" outlineLevel="1" x14ac:dyDescent="0.25">
      <c r="G100" s="15" t="s">
        <v>566</v>
      </c>
      <c r="H100" s="15" t="s">
        <v>464</v>
      </c>
      <c r="I100" s="161" t="s">
        <v>1012</v>
      </c>
      <c r="J100" s="161" t="s">
        <v>78</v>
      </c>
      <c r="M100" s="162" t="s">
        <v>1049</v>
      </c>
      <c r="N100" s="21">
        <v>290562.83</v>
      </c>
      <c r="O100" s="21">
        <v>297315.65000000002</v>
      </c>
      <c r="P100" s="21">
        <v>316949.53999999998</v>
      </c>
      <c r="Q100" s="21">
        <v>306856.90999999997</v>
      </c>
      <c r="R100" s="21">
        <v>317929.59999999998</v>
      </c>
      <c r="S100" s="21">
        <v>297137.19</v>
      </c>
      <c r="T100" s="21">
        <v>271736.05</v>
      </c>
      <c r="U100" s="21">
        <v>266545.91999999998</v>
      </c>
      <c r="V100" s="21">
        <v>281914.82</v>
      </c>
      <c r="W100" s="21">
        <v>286082.25</v>
      </c>
      <c r="X100" s="21">
        <v>295349.12</v>
      </c>
      <c r="Y100" s="21">
        <v>333228.96000000002</v>
      </c>
      <c r="Z100" s="21">
        <f t="shared" si="38"/>
        <v>3561608.8399999994</v>
      </c>
      <c r="AA100" s="17">
        <f t="shared" si="39"/>
        <v>0.19872112547283263</v>
      </c>
      <c r="AC100" s="21">
        <v>3781453.9982655202</v>
      </c>
      <c r="AD100" s="17">
        <f t="shared" si="40"/>
        <v>0.22789451376250938</v>
      </c>
      <c r="AE100" s="50">
        <f t="shared" si="41"/>
        <v>-219845.15826552082</v>
      </c>
      <c r="AF100" s="21">
        <v>3586671.11</v>
      </c>
      <c r="AG100" s="17">
        <f t="shared" si="42"/>
        <v>0.24344903272064364</v>
      </c>
      <c r="AH100" s="50">
        <f t="shared" si="43"/>
        <v>-25062.270000000484</v>
      </c>
    </row>
    <row r="101" spans="7:34" hidden="1" outlineLevel="1" x14ac:dyDescent="0.25">
      <c r="G101" s="15" t="s">
        <v>568</v>
      </c>
      <c r="H101" s="15" t="s">
        <v>567</v>
      </c>
      <c r="I101" s="161" t="s">
        <v>1012</v>
      </c>
      <c r="J101" s="161" t="s">
        <v>78</v>
      </c>
      <c r="M101" s="162" t="s">
        <v>1030</v>
      </c>
      <c r="N101" s="21">
        <v>728294.34</v>
      </c>
      <c r="O101" s="21">
        <v>822557.36000000103</v>
      </c>
      <c r="P101" s="21">
        <v>761064.44999999902</v>
      </c>
      <c r="Q101" s="21">
        <v>429310.13999999902</v>
      </c>
      <c r="R101" s="21">
        <v>378591.01</v>
      </c>
      <c r="S101" s="21">
        <v>227158.34</v>
      </c>
      <c r="T101" s="21">
        <v>201080.790000001</v>
      </c>
      <c r="U101" s="21">
        <v>91628.139999999796</v>
      </c>
      <c r="V101" s="21">
        <v>27896.5</v>
      </c>
      <c r="W101" s="21">
        <v>151945.72</v>
      </c>
      <c r="X101" s="21">
        <v>246877.21</v>
      </c>
      <c r="Y101" s="21">
        <v>671800.43999999901</v>
      </c>
      <c r="Z101" s="21">
        <f t="shared" si="38"/>
        <v>4738204.4399999995</v>
      </c>
      <c r="AA101" s="17">
        <f t="shared" si="39"/>
        <v>0.4980935480298489</v>
      </c>
      <c r="AC101" s="21">
        <v>7102881.4404739402</v>
      </c>
      <c r="AD101" s="17">
        <f t="shared" si="40"/>
        <v>0.42806489591887958</v>
      </c>
      <c r="AE101" s="50">
        <f t="shared" si="41"/>
        <v>-2364677.0004739407</v>
      </c>
      <c r="AF101" s="21">
        <v>5863014.7699999996</v>
      </c>
      <c r="AG101" s="17">
        <f t="shared" si="42"/>
        <v>0.39795822666978431</v>
      </c>
      <c r="AH101" s="50">
        <f t="shared" si="43"/>
        <v>-1124810.33</v>
      </c>
    </row>
    <row r="102" spans="7:34" hidden="1" outlineLevel="1" x14ac:dyDescent="0.25">
      <c r="G102" s="15" t="s">
        <v>568</v>
      </c>
      <c r="H102" s="15" t="s">
        <v>574</v>
      </c>
      <c r="I102" s="161" t="s">
        <v>1012</v>
      </c>
      <c r="J102" s="161" t="s">
        <v>78</v>
      </c>
      <c r="M102" s="162" t="s">
        <v>1032</v>
      </c>
      <c r="N102" s="21">
        <v>687597.33</v>
      </c>
      <c r="O102" s="21">
        <v>773720.06000000099</v>
      </c>
      <c r="P102" s="21">
        <v>712463.63999999897</v>
      </c>
      <c r="Q102" s="21">
        <v>392226.90999999898</v>
      </c>
      <c r="R102" s="21">
        <v>343903.02</v>
      </c>
      <c r="S102" s="21">
        <v>197776.96</v>
      </c>
      <c r="T102" s="21">
        <v>173591.88000000099</v>
      </c>
      <c r="U102" s="21">
        <v>68536.139999999796</v>
      </c>
      <c r="V102" s="21">
        <v>8456.9100000000308</v>
      </c>
      <c r="W102" s="21">
        <v>127214.66</v>
      </c>
      <c r="X102" s="21">
        <v>218751.17</v>
      </c>
      <c r="Y102" s="21">
        <v>629362.14999999898</v>
      </c>
      <c r="Z102" s="21">
        <f t="shared" si="38"/>
        <v>4333600.8299999991</v>
      </c>
      <c r="AA102" s="17">
        <f t="shared" si="39"/>
        <v>0.47026013371949432</v>
      </c>
      <c r="AC102" s="21">
        <v>6571140.6232331898</v>
      </c>
      <c r="AD102" s="17">
        <f t="shared" si="40"/>
        <v>0.39601880596291461</v>
      </c>
      <c r="AE102" s="50">
        <f t="shared" si="41"/>
        <v>-2237539.7932331907</v>
      </c>
      <c r="AF102" s="21">
        <v>5382285.54</v>
      </c>
      <c r="AG102" s="17">
        <f t="shared" si="42"/>
        <v>0.36532823009225041</v>
      </c>
      <c r="AH102" s="50">
        <f t="shared" si="43"/>
        <v>-1048684.7100000009</v>
      </c>
    </row>
    <row r="103" spans="7:34" hidden="1" outlineLevel="1" x14ac:dyDescent="0.25">
      <c r="G103" s="15" t="s">
        <v>499</v>
      </c>
      <c r="H103" s="15" t="s">
        <v>570</v>
      </c>
      <c r="I103" s="161" t="s">
        <v>1012</v>
      </c>
      <c r="J103" s="161" t="s">
        <v>78</v>
      </c>
      <c r="M103" s="162" t="s">
        <v>570</v>
      </c>
      <c r="N103" s="21">
        <v>541470.43000000098</v>
      </c>
      <c r="O103" s="21">
        <v>627278.69999999995</v>
      </c>
      <c r="P103" s="21">
        <v>566252.47</v>
      </c>
      <c r="Q103" s="21">
        <v>230310.66</v>
      </c>
      <c r="R103" s="21">
        <v>198340.93</v>
      </c>
      <c r="S103" s="21">
        <v>51561.249999999898</v>
      </c>
      <c r="T103" s="21">
        <v>28518.190000000101</v>
      </c>
      <c r="U103" s="21">
        <v>-98005.560000000201</v>
      </c>
      <c r="V103" s="21">
        <v>-157010.48000000001</v>
      </c>
      <c r="W103" s="21">
        <v>-38630.019999999997</v>
      </c>
      <c r="X103" s="21">
        <v>52666.809999999801</v>
      </c>
      <c r="Y103" s="21">
        <v>473890.84</v>
      </c>
      <c r="Z103" s="21">
        <f t="shared" si="38"/>
        <v>2476644.2200000007</v>
      </c>
      <c r="AA103" s="17">
        <f t="shared" si="39"/>
        <v>0.37032132864296108</v>
      </c>
      <c r="AC103" s="21">
        <v>4770786.6232331898</v>
      </c>
      <c r="AD103" s="17">
        <f t="shared" si="40"/>
        <v>0.28751800187576154</v>
      </c>
      <c r="AE103" s="50">
        <f t="shared" si="41"/>
        <v>-2294142.4032331891</v>
      </c>
      <c r="AF103" s="21">
        <v>3865987.76</v>
      </c>
      <c r="AG103" s="17">
        <f t="shared" si="42"/>
        <v>0.26240794090591923</v>
      </c>
      <c r="AH103" s="50">
        <f t="shared" si="43"/>
        <v>-1389343.5399999991</v>
      </c>
    </row>
    <row r="104" spans="7:34" hidden="1" outlineLevel="1" x14ac:dyDescent="0.25">
      <c r="G104" s="15" t="s">
        <v>499</v>
      </c>
      <c r="H104" s="15" t="s">
        <v>577</v>
      </c>
      <c r="I104" s="161" t="s">
        <v>1012</v>
      </c>
      <c r="J104" s="161" t="s">
        <v>78</v>
      </c>
      <c r="M104" s="162" t="s">
        <v>1042</v>
      </c>
      <c r="N104" s="21">
        <v>240796.600000001</v>
      </c>
      <c r="O104" s="21">
        <v>346167.7</v>
      </c>
      <c r="P104" s="21">
        <v>254731.22</v>
      </c>
      <c r="Q104" s="21">
        <v>-77860.000000000204</v>
      </c>
      <c r="R104" s="21">
        <v>-125792.15</v>
      </c>
      <c r="S104" s="21">
        <v>-265921.08</v>
      </c>
      <c r="T104" s="21">
        <v>-300817.46000000002</v>
      </c>
      <c r="U104" s="21">
        <v>-432152.23</v>
      </c>
      <c r="V104" s="21">
        <v>-482168.21</v>
      </c>
      <c r="W104" s="21">
        <v>-373413.92</v>
      </c>
      <c r="X104" s="21">
        <v>-272244.25</v>
      </c>
      <c r="Y104" s="21">
        <v>138405.99</v>
      </c>
      <c r="Z104" s="21">
        <f t="shared" si="38"/>
        <v>-1350267.7899999993</v>
      </c>
      <c r="AA104" s="17">
        <f t="shared" si="39"/>
        <v>0.16468510911058956</v>
      </c>
      <c r="AC104" s="21">
        <v>1116745.62323319</v>
      </c>
      <c r="AD104" s="17">
        <f t="shared" si="40"/>
        <v>6.7302207277907561E-2</v>
      </c>
      <c r="AE104" s="50">
        <f t="shared" si="41"/>
        <v>-2467013.4132331894</v>
      </c>
      <c r="AF104" s="21">
        <v>1227888.72</v>
      </c>
      <c r="AG104" s="17">
        <f t="shared" si="42"/>
        <v>8.3344224213685786E-2</v>
      </c>
      <c r="AH104" s="50">
        <f t="shared" si="43"/>
        <v>-2578156.5099999993</v>
      </c>
    </row>
    <row r="105" spans="7:34" hidden="1" outlineLevel="1" x14ac:dyDescent="0.25">
      <c r="G105" s="15" t="s">
        <v>499</v>
      </c>
      <c r="H105" s="15" t="s">
        <v>579</v>
      </c>
      <c r="I105" s="27" t="s">
        <v>1046</v>
      </c>
      <c r="J105" s="27" t="s">
        <v>78</v>
      </c>
      <c r="M105" s="162" t="s">
        <v>1044</v>
      </c>
      <c r="N105" s="21">
        <v>240796.600000001</v>
      </c>
      <c r="O105" s="21">
        <v>346167.7</v>
      </c>
      <c r="P105" s="21">
        <v>254731.22</v>
      </c>
      <c r="Q105" s="21">
        <v>-77860.000000000204</v>
      </c>
      <c r="R105" s="21">
        <v>-125792.15</v>
      </c>
      <c r="S105" s="21">
        <v>-265921.08</v>
      </c>
      <c r="T105" s="21">
        <v>-300817.46000000002</v>
      </c>
      <c r="U105" s="21">
        <v>-432152.23</v>
      </c>
      <c r="V105" s="21">
        <v>-482168.21</v>
      </c>
      <c r="W105" s="21">
        <v>-373413.92</v>
      </c>
      <c r="X105" s="21">
        <v>-272244.25</v>
      </c>
      <c r="Y105" s="21">
        <v>138405.99</v>
      </c>
      <c r="Z105" s="21">
        <f t="shared" si="38"/>
        <v>-1350267.7899999993</v>
      </c>
      <c r="AA105" s="17">
        <f t="shared" si="39"/>
        <v>0.16468510911058956</v>
      </c>
      <c r="AC105" s="21">
        <v>1116745.62323319</v>
      </c>
      <c r="AD105" s="17">
        <f t="shared" si="40"/>
        <v>6.7302207277907561E-2</v>
      </c>
      <c r="AE105" s="50">
        <f t="shared" si="41"/>
        <v>-2467013.4132331894</v>
      </c>
      <c r="AF105" s="21">
        <v>1227888.72</v>
      </c>
      <c r="AG105" s="17">
        <f t="shared" si="42"/>
        <v>8.3344224213685786E-2</v>
      </c>
      <c r="AH105" s="50">
        <f t="shared" si="43"/>
        <v>-2578156.5099999993</v>
      </c>
    </row>
    <row r="106" spans="7:34" collapsed="1" x14ac:dyDescent="0.25"/>
    <row r="107" spans="7:34" x14ac:dyDescent="0.25">
      <c r="M107" s="540" t="s">
        <v>826</v>
      </c>
      <c r="N107" s="540"/>
      <c r="O107" s="540"/>
      <c r="P107" s="540"/>
      <c r="Q107" s="540"/>
      <c r="R107" s="540"/>
      <c r="S107" s="540"/>
      <c r="T107" s="540"/>
      <c r="U107" s="540"/>
      <c r="V107" s="540"/>
      <c r="W107" s="540"/>
      <c r="X107" s="540"/>
      <c r="Y107" s="540"/>
      <c r="Z107" s="540"/>
      <c r="AA107" s="540"/>
      <c r="AB107" s="540"/>
      <c r="AC107" s="540"/>
      <c r="AD107" s="540"/>
      <c r="AE107" s="540"/>
      <c r="AF107" s="540"/>
      <c r="AG107" s="540"/>
      <c r="AH107" s="540"/>
    </row>
    <row r="108" spans="7:34" x14ac:dyDescent="0.25">
      <c r="M108" s="540"/>
      <c r="N108" s="540"/>
      <c r="O108" s="540"/>
      <c r="P108" s="540"/>
      <c r="Q108" s="540"/>
      <c r="R108" s="540"/>
      <c r="S108" s="540"/>
      <c r="T108" s="540"/>
      <c r="U108" s="540"/>
      <c r="V108" s="540"/>
      <c r="W108" s="540"/>
      <c r="X108" s="540"/>
      <c r="Y108" s="540"/>
      <c r="Z108" s="540"/>
      <c r="AA108" s="540"/>
      <c r="AB108" s="540"/>
      <c r="AC108" s="540"/>
      <c r="AD108" s="540"/>
      <c r="AE108" s="540"/>
      <c r="AF108" s="540"/>
      <c r="AG108" s="540"/>
      <c r="AH108" s="540"/>
    </row>
    <row r="109" spans="7:34" x14ac:dyDescent="0.25">
      <c r="M109" s="540"/>
      <c r="N109" s="540"/>
      <c r="O109" s="540"/>
      <c r="P109" s="540"/>
      <c r="Q109" s="540"/>
      <c r="R109" s="540"/>
      <c r="S109" s="540"/>
      <c r="T109" s="540"/>
      <c r="U109" s="540"/>
      <c r="V109" s="540"/>
      <c r="W109" s="540"/>
      <c r="X109" s="540"/>
      <c r="Y109" s="540"/>
      <c r="Z109" s="540"/>
      <c r="AA109" s="540"/>
      <c r="AB109" s="540"/>
      <c r="AC109" s="540"/>
      <c r="AD109" s="540"/>
      <c r="AE109" s="540"/>
      <c r="AF109" s="540"/>
      <c r="AG109" s="540"/>
      <c r="AH109" s="540"/>
    </row>
    <row r="110" spans="7:34" x14ac:dyDescent="0.25">
      <c r="M110" s="540"/>
      <c r="N110" s="540"/>
      <c r="O110" s="540"/>
      <c r="P110" s="540"/>
      <c r="Q110" s="540"/>
      <c r="R110" s="540"/>
      <c r="S110" s="540"/>
      <c r="T110" s="540"/>
      <c r="U110" s="540"/>
      <c r="V110" s="540"/>
      <c r="W110" s="540"/>
      <c r="X110" s="540"/>
      <c r="Y110" s="540"/>
      <c r="Z110" s="540"/>
      <c r="AA110" s="540"/>
      <c r="AB110" s="540"/>
      <c r="AC110" s="540"/>
      <c r="AD110" s="540"/>
      <c r="AE110" s="540"/>
      <c r="AF110" s="540"/>
      <c r="AG110" s="540"/>
      <c r="AH110" s="540"/>
    </row>
    <row r="111" spans="7:34" x14ac:dyDescent="0.25">
      <c r="M111" s="540"/>
      <c r="N111" s="540"/>
      <c r="O111" s="540"/>
      <c r="P111" s="540"/>
      <c r="Q111" s="540"/>
      <c r="R111" s="540"/>
      <c r="S111" s="540"/>
      <c r="T111" s="540"/>
      <c r="U111" s="540"/>
      <c r="V111" s="540"/>
      <c r="W111" s="540"/>
      <c r="X111" s="540"/>
      <c r="Y111" s="540"/>
      <c r="Z111" s="540"/>
      <c r="AA111" s="540"/>
      <c r="AB111" s="540"/>
      <c r="AC111" s="540"/>
      <c r="AD111" s="540"/>
      <c r="AE111" s="540"/>
      <c r="AF111" s="540"/>
      <c r="AG111" s="540"/>
      <c r="AH111" s="540"/>
    </row>
    <row r="112" spans="7:34" x14ac:dyDescent="0.25">
      <c r="M112" s="540"/>
      <c r="N112" s="540"/>
      <c r="O112" s="540"/>
      <c r="P112" s="540"/>
      <c r="Q112" s="540"/>
      <c r="R112" s="540"/>
      <c r="S112" s="540"/>
      <c r="T112" s="540"/>
      <c r="U112" s="540"/>
      <c r="V112" s="540"/>
      <c r="W112" s="540"/>
      <c r="X112" s="540"/>
      <c r="Y112" s="540"/>
      <c r="Z112" s="540"/>
      <c r="AA112" s="540"/>
      <c r="AB112" s="540"/>
      <c r="AC112" s="540"/>
      <c r="AD112" s="540"/>
      <c r="AE112" s="540"/>
      <c r="AF112" s="540"/>
      <c r="AG112" s="540"/>
      <c r="AH112" s="540"/>
    </row>
    <row r="113" spans="13:34" x14ac:dyDescent="0.25">
      <c r="M113" s="540"/>
      <c r="N113" s="540"/>
      <c r="O113" s="540"/>
      <c r="P113" s="540"/>
      <c r="Q113" s="540"/>
      <c r="R113" s="540"/>
      <c r="S113" s="540"/>
      <c r="T113" s="540"/>
      <c r="U113" s="540"/>
      <c r="V113" s="540"/>
      <c r="W113" s="540"/>
      <c r="X113" s="540"/>
      <c r="Y113" s="540"/>
      <c r="Z113" s="540"/>
      <c r="AA113" s="540"/>
      <c r="AB113" s="540"/>
      <c r="AC113" s="540"/>
      <c r="AD113" s="540"/>
      <c r="AE113" s="540"/>
      <c r="AF113" s="540"/>
      <c r="AG113" s="540"/>
      <c r="AH113" s="540"/>
    </row>
    <row r="114" spans="13:34" x14ac:dyDescent="0.25">
      <c r="N114" s="166"/>
      <c r="O114" s="166"/>
      <c r="P114" s="166"/>
      <c r="Q114" s="166"/>
      <c r="R114" s="166"/>
      <c r="S114" s="166"/>
      <c r="T114" s="166"/>
      <c r="U114" s="166"/>
      <c r="V114" s="166"/>
      <c r="W114" s="166"/>
      <c r="X114" s="166"/>
      <c r="Y114" s="166"/>
      <c r="Z114" s="166"/>
    </row>
  </sheetData>
  <mergeCells count="59">
    <mergeCell ref="AC31:AD31"/>
    <mergeCell ref="AF31:AG31"/>
    <mergeCell ref="AI46:AJ46"/>
    <mergeCell ref="AK46:AL46"/>
    <mergeCell ref="AI47:AJ47"/>
    <mergeCell ref="AK47:AL47"/>
    <mergeCell ref="AI48:AJ48"/>
    <mergeCell ref="AK48:AL48"/>
    <mergeCell ref="AI49:AJ49"/>
    <mergeCell ref="AK49:AL49"/>
    <mergeCell ref="AI51:AJ51"/>
    <mergeCell ref="AK51:AL51"/>
    <mergeCell ref="AI54:AJ54"/>
    <mergeCell ref="AK54:AL54"/>
    <mergeCell ref="AI55:AJ55"/>
    <mergeCell ref="AK55:AL55"/>
    <mergeCell ref="AI56:AJ56"/>
    <mergeCell ref="AK56:AL56"/>
    <mergeCell ref="AI57:AJ57"/>
    <mergeCell ref="AK57:AL57"/>
    <mergeCell ref="AI58:AJ58"/>
    <mergeCell ref="AK58:AL58"/>
    <mergeCell ref="AI59:AJ59"/>
    <mergeCell ref="AK59:AL59"/>
    <mergeCell ref="AI61:AJ61"/>
    <mergeCell ref="AK61:AL61"/>
    <mergeCell ref="AI63:AJ63"/>
    <mergeCell ref="AK63:AL63"/>
    <mergeCell ref="AI64:AJ64"/>
    <mergeCell ref="AK64:AL64"/>
    <mergeCell ref="AI67:AJ67"/>
    <mergeCell ref="AK67:AL67"/>
    <mergeCell ref="AI68:AJ68"/>
    <mergeCell ref="AK68:AL68"/>
    <mergeCell ref="AI69:AJ69"/>
    <mergeCell ref="AK69:AL69"/>
    <mergeCell ref="AI70:AJ70"/>
    <mergeCell ref="AK70:AL70"/>
    <mergeCell ref="AI71:AJ71"/>
    <mergeCell ref="AK71:AL71"/>
    <mergeCell ref="AI72:AJ72"/>
    <mergeCell ref="AK72:AL72"/>
    <mergeCell ref="AI74:AJ74"/>
    <mergeCell ref="AK74:AL74"/>
    <mergeCell ref="AI77:AJ77"/>
    <mergeCell ref="AK77:AL77"/>
    <mergeCell ref="AI78:AJ78"/>
    <mergeCell ref="AK78:AL78"/>
    <mergeCell ref="AI79:AJ79"/>
    <mergeCell ref="AK79:AL79"/>
    <mergeCell ref="AI80:AJ80"/>
    <mergeCell ref="AK80:AL80"/>
    <mergeCell ref="AI82:AJ82"/>
    <mergeCell ref="AK82:AL82"/>
    <mergeCell ref="AI83:AJ83"/>
    <mergeCell ref="AK83:AL83"/>
    <mergeCell ref="AI84:AJ84"/>
    <mergeCell ref="AK84:AL84"/>
    <mergeCell ref="M107:AH113"/>
  </mergeCells>
  <dataValidations count="2">
    <dataValidation type="list" allowBlank="1" sqref="B29" xr:uid="{00000000-0002-0000-0300-000000000000}">
      <formula1>"SELF,ALL,BAS,DEP,BASMEMBERS,MEMBERS,NOEXPAND,GDEP"</formula1>
    </dataValidation>
    <dataValidation type="list" allowBlank="1" sqref="B28" xr:uid="{00000000-0002-0000-0300-000001000000}">
      <formula1>"ACCOUNT,BUSINESSUNIT,CATEGORY,DATASRC,DEPARTMENT,INTCO,MEASURES,RPTCURRENCY,TIME"</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1779" r:id="rId5" name="FPMExcelClientSheetOptionstb1">
          <controlPr defaultSize="0" autoLine="0" r:id="rId6">
            <anchor moveWithCells="1" sizeWithCells="1">
              <from>
                <xdr:col>0</xdr:col>
                <xdr:colOff>0</xdr:colOff>
                <xdr:row>0</xdr:row>
                <xdr:rowOff>0</xdr:rowOff>
              </from>
              <to>
                <xdr:col>12</xdr:col>
                <xdr:colOff>657225</xdr:colOff>
                <xdr:row>0</xdr:row>
                <xdr:rowOff>0</xdr:rowOff>
              </to>
            </anchor>
          </controlPr>
        </control>
      </mc:Choice>
      <mc:Fallback>
        <control shapeId="331779" r:id="rId5"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5" tint="0.39997558519241921"/>
    <pageSetUpPr fitToPage="1"/>
  </sheetPr>
  <dimension ref="A1:AO12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60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_xll.EVRNG(H35:H51)</f>
        <v>#NAME?</v>
      </c>
      <c r="G19" s="18" t="str">
        <f>$B$6</f>
        <v>D_ROOMS_CON</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_xll.EVRNG(A36:F41)</f>
        <v>#NAME?</v>
      </c>
    </row>
    <row r="23" spans="1:40" hidden="1" outlineLevel="1" x14ac:dyDescent="0.25">
      <c r="A23" s="6" t="s">
        <v>47</v>
      </c>
      <c r="B23" s="7" t="e">
        <f ca="1">_xll.EVRNG($A$89:$B$110)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118</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33"/>
      <c r="AM31" s="262" t="e">
        <f ca="1">_xll.EVPRO($B$1,AG$16,"YEAR")</f>
        <v>#NAME?</v>
      </c>
      <c r="AN31" s="233"/>
    </row>
    <row r="32" spans="1:40" s="256" customFormat="1" ht="30" customHeight="1" x14ac:dyDescent="0.25">
      <c r="A32" s="254" t="s">
        <v>16</v>
      </c>
      <c r="B32" s="255"/>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s">
        <v>747</v>
      </c>
      <c r="AM32" s="261" t="e">
        <f ca="1">AG32</f>
        <v>#NAME?</v>
      </c>
      <c r="AN32" s="261" t="s">
        <v>747</v>
      </c>
    </row>
    <row r="33" spans="1:40" x14ac:dyDescent="0.25">
      <c r="A33" s="6" t="s">
        <v>17</v>
      </c>
      <c r="B33" s="7"/>
      <c r="H33" s="1" t="s">
        <v>69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70</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83</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21">
        <v>407136.39</v>
      </c>
      <c r="P35" s="21">
        <v>565849.89</v>
      </c>
      <c r="Q35" s="21">
        <v>398776.14</v>
      </c>
      <c r="R35" s="21">
        <v>332247.36</v>
      </c>
      <c r="S35" s="21">
        <v>270387.58</v>
      </c>
      <c r="T35" s="21">
        <v>193194.02</v>
      </c>
      <c r="U35" s="21">
        <v>228912.98</v>
      </c>
      <c r="V35" s="21">
        <v>245190</v>
      </c>
      <c r="W35" s="21">
        <v>239283.95</v>
      </c>
      <c r="X35" s="21">
        <v>310406.18</v>
      </c>
      <c r="Y35" s="21">
        <v>287189</v>
      </c>
      <c r="Z35" s="21">
        <v>521546.37</v>
      </c>
      <c r="AA35" s="310" t="e">
        <f t="shared" ref="AA35:AA51" ca="1" si="0">IF($I35="B1","",SUM(O35:Z35))</f>
        <v>#NAME?</v>
      </c>
      <c r="AB35" s="17" t="e">
        <f t="shared" ref="AB35:AB51" ca="1" si="1">IF(AA35=0,"",IFERROR(AA35/AA$19,""))</f>
        <v>#NAME?</v>
      </c>
      <c r="AD35" s="21">
        <v>4010043.55</v>
      </c>
      <c r="AE35" s="17" t="str">
        <f t="shared" ref="AE35:AE51" ca="1" si="2">IF(AD35=0,"",IFERROR(AD35/AD$19,""))</f>
        <v/>
      </c>
      <c r="AF35" s="50" t="e">
        <f t="shared" ref="AF35:AF51" ca="1" si="3">IF(AND($AA35="",AD35=""),"",$AA35-AD35)</f>
        <v>#NAME?</v>
      </c>
      <c r="AG35" s="21">
        <v>4370687.8499999996</v>
      </c>
      <c r="AH35" s="17" t="str">
        <f ca="1">IF(AG35=0,"",IFERROR(AG35/AG$19,""))</f>
        <v/>
      </c>
      <c r="AI35" s="50" t="e">
        <f ca="1">IF(AND($AA35="",AG35=""),"",$AA35-AG35)</f>
        <v>#NAME?</v>
      </c>
      <c r="AJ35" s="350">
        <f ca="1">IFERROR(AA35/AA$20,0)</f>
        <v>0</v>
      </c>
      <c r="AK35" s="351">
        <f ca="1">IFERROR(AD35/AD$20,0)</f>
        <v>0</v>
      </c>
      <c r="AL35" s="140">
        <f ca="1">AJ35-AK35</f>
        <v>0</v>
      </c>
      <c r="AM35" s="352">
        <f ca="1">IFERROR(AG35/AG$20,0)</f>
        <v>0</v>
      </c>
      <c r="AN35" s="140">
        <f ca="1">AJ35-AM35</f>
        <v>0</v>
      </c>
    </row>
    <row r="36" spans="1:40" x14ac:dyDescent="0.25">
      <c r="H36" s="149" t="s">
        <v>84</v>
      </c>
      <c r="I36" s="161" t="e">
        <f ca="1">_xll.EVPRO($B$1,$H36,"STYLE")</f>
        <v>#NAME?</v>
      </c>
      <c r="J36" s="161" t="e">
        <f ca="1">_xll.EVPRO($B$1,$H36,"CALC")</f>
        <v>#NAME?</v>
      </c>
      <c r="K36" s="68" t="e">
        <f t="shared" ref="K36:K51" ca="1" si="4">IF(AND(I36&gt;="T5"),"&gt;","")</f>
        <v>#NAME?</v>
      </c>
      <c r="L36" s="162" t="e">
        <f ca="1">_xll.EVPRO($B$1,H36,"JDEID")</f>
        <v>#NAME?</v>
      </c>
      <c r="M36" s="162" t="e">
        <f ca="1">IF(AND(I36="N",J36="N"),_xll.EVPRO($B$1,H36,"PSFTID"),"")</f>
        <v>#NAME?</v>
      </c>
      <c r="N36" s="162" t="e">
        <f ca="1">IF(_xll.EVDES(H36,$B$1)="#NODATA","",_xll.EVDES(H36,$B$1))</f>
        <v>#NAME?</v>
      </c>
      <c r="O36" s="21">
        <v>396776.67</v>
      </c>
      <c r="P36" s="21">
        <v>379081.35</v>
      </c>
      <c r="Q36" s="21">
        <v>463242.91</v>
      </c>
      <c r="R36" s="21">
        <v>366216.33</v>
      </c>
      <c r="S36" s="21">
        <v>297001.78999999998</v>
      </c>
      <c r="T36" s="21">
        <v>270502.09000000003</v>
      </c>
      <c r="U36" s="21">
        <v>290647.64</v>
      </c>
      <c r="V36" s="21">
        <v>143559.88</v>
      </c>
      <c r="W36" s="21">
        <v>117901.97</v>
      </c>
      <c r="X36" s="21">
        <v>150281.64000000001</v>
      </c>
      <c r="Y36" s="21">
        <v>160609.42000000001</v>
      </c>
      <c r="Z36" s="21">
        <v>297206.81</v>
      </c>
      <c r="AA36" s="310" t="e">
        <f t="shared" ca="1" si="0"/>
        <v>#NAME?</v>
      </c>
      <c r="AB36" s="17" t="e">
        <f t="shared" ca="1" si="1"/>
        <v>#NAME?</v>
      </c>
      <c r="AD36" s="21">
        <v>4606458.05</v>
      </c>
      <c r="AE36" s="17" t="str">
        <f t="shared" ca="1" si="2"/>
        <v/>
      </c>
      <c r="AF36" s="50" t="e">
        <f t="shared" ca="1" si="3"/>
        <v>#NAME?</v>
      </c>
      <c r="AG36" s="21">
        <v>4467764.45</v>
      </c>
      <c r="AH36" s="17" t="str">
        <f t="shared" ref="AH36:AH51" ca="1" si="5">IF(AG36=0,"",IFERROR(AG36/AG$19,""))</f>
        <v/>
      </c>
      <c r="AI36" s="50" t="e">
        <f t="shared" ref="AI36:AI51" ca="1" si="6">IF(AND($AA36="",AG36=""),"",$AA36-AG36)</f>
        <v>#NAME?</v>
      </c>
      <c r="AJ36" s="350">
        <f t="shared" ref="AJ36:AJ51" ca="1" si="7">IFERROR(AA36/AA$20,0)</f>
        <v>0</v>
      </c>
      <c r="AK36" s="351">
        <f t="shared" ref="AK36:AK51" ca="1" si="8">IFERROR(AD36/AD$20,0)</f>
        <v>0</v>
      </c>
      <c r="AL36" s="140">
        <f t="shared" ref="AL36:AL51" ca="1" si="9">AJ36-AK36</f>
        <v>0</v>
      </c>
      <c r="AM36" s="352">
        <f t="shared" ref="AM36:AM51" ca="1" si="10">IFERROR(AG36/AG$20,0)</f>
        <v>0</v>
      </c>
      <c r="AN36" s="140">
        <f t="shared" ref="AN36:AN51" ca="1" si="11">AJ36-AM36</f>
        <v>0</v>
      </c>
    </row>
    <row r="37" spans="1:40" x14ac:dyDescent="0.25">
      <c r="A37" s="1" t="s">
        <v>105</v>
      </c>
      <c r="C37" s="26" t="s">
        <v>101</v>
      </c>
      <c r="D37" s="1" t="s">
        <v>103</v>
      </c>
      <c r="F37" s="1" t="s">
        <v>98</v>
      </c>
      <c r="H37" s="149" t="s">
        <v>85</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v>29045.79</v>
      </c>
      <c r="P37" s="21">
        <v>34901.53</v>
      </c>
      <c r="Q37" s="21">
        <v>73753.33</v>
      </c>
      <c r="R37" s="21">
        <v>38470.370000000003</v>
      </c>
      <c r="S37" s="21">
        <v>16132.03</v>
      </c>
      <c r="T37" s="21">
        <v>32468.01</v>
      </c>
      <c r="U37" s="21">
        <v>18281.759999999998</v>
      </c>
      <c r="V37" s="21">
        <v>18980.04</v>
      </c>
      <c r="W37" s="21">
        <v>17393.57</v>
      </c>
      <c r="X37" s="21">
        <v>23218.3</v>
      </c>
      <c r="Y37" s="21">
        <v>34769.050000000003</v>
      </c>
      <c r="Z37" s="21">
        <v>28607.78</v>
      </c>
      <c r="AA37" s="310" t="e">
        <f t="shared" ca="1" si="0"/>
        <v>#NAME?</v>
      </c>
      <c r="AB37" s="17" t="e">
        <f t="shared" ca="1" si="1"/>
        <v>#NAME?</v>
      </c>
      <c r="AD37" s="21">
        <v>463149.29</v>
      </c>
      <c r="AE37" s="17" t="str">
        <f t="shared" ca="1" si="2"/>
        <v/>
      </c>
      <c r="AF37" s="50" t="e">
        <f t="shared" ca="1" si="3"/>
        <v>#NAME?</v>
      </c>
      <c r="AG37" s="21">
        <v>431690.63</v>
      </c>
      <c r="AH37" s="17" t="str">
        <f t="shared" ca="1" si="5"/>
        <v/>
      </c>
      <c r="AI37" s="50" t="e">
        <f t="shared" ca="1" si="6"/>
        <v>#NAME?</v>
      </c>
      <c r="AJ37" s="350">
        <f t="shared" ca="1" si="7"/>
        <v>0</v>
      </c>
      <c r="AK37" s="351">
        <f t="shared" ca="1" si="8"/>
        <v>0</v>
      </c>
      <c r="AL37" s="140">
        <f t="shared" ca="1" si="9"/>
        <v>0</v>
      </c>
      <c r="AM37" s="352">
        <f t="shared" ca="1" si="10"/>
        <v>0</v>
      </c>
      <c r="AN37" s="140">
        <f t="shared" ca="1" si="11"/>
        <v>0</v>
      </c>
    </row>
    <row r="38" spans="1:40" x14ac:dyDescent="0.25">
      <c r="A38" s="1" t="s">
        <v>104</v>
      </c>
      <c r="C38" s="26" t="s">
        <v>101</v>
      </c>
      <c r="D38" s="1" t="s">
        <v>106</v>
      </c>
      <c r="F38" s="1" t="s">
        <v>98</v>
      </c>
      <c r="H38" s="15" t="s">
        <v>86</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12897.45</v>
      </c>
      <c r="P38" s="21">
        <v>13772.79</v>
      </c>
      <c r="Q38" s="21">
        <v>19137.62</v>
      </c>
      <c r="R38" s="21">
        <v>19722.97</v>
      </c>
      <c r="S38" s="21">
        <v>6273.83</v>
      </c>
      <c r="T38" s="21">
        <v>9065.98</v>
      </c>
      <c r="U38" s="21">
        <v>19315.46</v>
      </c>
      <c r="V38" s="21">
        <v>17526.02</v>
      </c>
      <c r="W38" s="21">
        <v>11783.75</v>
      </c>
      <c r="X38" s="21">
        <v>14355.46</v>
      </c>
      <c r="Y38" s="21">
        <v>21457.599999999999</v>
      </c>
      <c r="Z38" s="21">
        <v>12188.2</v>
      </c>
      <c r="AA38" s="310" t="e">
        <f t="shared" ca="1" si="0"/>
        <v>#NAME?</v>
      </c>
      <c r="AB38" s="17" t="e">
        <f t="shared" ca="1" si="1"/>
        <v>#NAME?</v>
      </c>
      <c r="AD38" s="21">
        <v>280730.15999999997</v>
      </c>
      <c r="AE38" s="17" t="str">
        <f t="shared" ca="1" si="2"/>
        <v/>
      </c>
      <c r="AF38" s="50" t="e">
        <f t="shared" ca="1" si="3"/>
        <v>#NAME?</v>
      </c>
      <c r="AG38" s="21">
        <v>170733.47</v>
      </c>
      <c r="AH38" s="17" t="str">
        <f t="shared" ca="1" si="5"/>
        <v/>
      </c>
      <c r="AI38" s="50" t="e">
        <f t="shared" ca="1" si="6"/>
        <v>#NAME?</v>
      </c>
      <c r="AJ38" s="350">
        <f t="shared" ca="1" si="7"/>
        <v>0</v>
      </c>
      <c r="AK38" s="351">
        <f t="shared" ca="1" si="8"/>
        <v>0</v>
      </c>
      <c r="AL38" s="140">
        <f t="shared" ca="1" si="9"/>
        <v>0</v>
      </c>
      <c r="AM38" s="352">
        <f t="shared" ca="1" si="10"/>
        <v>0</v>
      </c>
      <c r="AN38" s="140">
        <f t="shared" ca="1" si="11"/>
        <v>0</v>
      </c>
    </row>
    <row r="39" spans="1:40" x14ac:dyDescent="0.25">
      <c r="A39" s="1" t="s">
        <v>100</v>
      </c>
      <c r="C39" s="8" t="s">
        <v>101</v>
      </c>
      <c r="D39" s="1" t="s">
        <v>106</v>
      </c>
      <c r="F39" s="1" t="s">
        <v>98</v>
      </c>
      <c r="H39" s="15" t="s">
        <v>65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0">
        <v>28182.16</v>
      </c>
      <c r="P39" s="30">
        <v>15615.17</v>
      </c>
      <c r="Q39" s="30">
        <v>86710.27</v>
      </c>
      <c r="R39" s="30">
        <v>85758.27</v>
      </c>
      <c r="S39" s="30">
        <v>50316.57</v>
      </c>
      <c r="T39" s="30">
        <v>62175.48</v>
      </c>
      <c r="U39" s="30">
        <v>58692.39</v>
      </c>
      <c r="V39" s="30">
        <v>59986.87</v>
      </c>
      <c r="W39" s="30">
        <v>27140.560000000001</v>
      </c>
      <c r="X39" s="30">
        <v>32925.74</v>
      </c>
      <c r="Y39" s="30">
        <v>40050.120000000003</v>
      </c>
      <c r="Z39" s="30">
        <v>71125.86</v>
      </c>
      <c r="AA39" s="324" t="e">
        <f t="shared" ca="1" si="0"/>
        <v>#NAME?</v>
      </c>
      <c r="AB39" s="31" t="e">
        <f t="shared" ca="1" si="1"/>
        <v>#NAME?</v>
      </c>
      <c r="AD39" s="30">
        <v>621721</v>
      </c>
      <c r="AE39" s="31" t="str">
        <f t="shared" ca="1" si="2"/>
        <v/>
      </c>
      <c r="AF39" s="51" t="e">
        <f t="shared" ca="1" si="3"/>
        <v>#NAME?</v>
      </c>
      <c r="AG39" s="30">
        <v>468968.04</v>
      </c>
      <c r="AH39" s="31" t="str">
        <f t="shared" ca="1" si="5"/>
        <v/>
      </c>
      <c r="AI39" s="51" t="e">
        <f t="shared" ca="1" si="6"/>
        <v>#NAME?</v>
      </c>
      <c r="AJ39" s="357">
        <f t="shared" ca="1" si="7"/>
        <v>0</v>
      </c>
      <c r="AK39" s="358">
        <f t="shared" ca="1" si="8"/>
        <v>0</v>
      </c>
      <c r="AL39" s="141">
        <f t="shared" ca="1" si="9"/>
        <v>0</v>
      </c>
      <c r="AM39" s="359">
        <f t="shared" ca="1" si="10"/>
        <v>0</v>
      </c>
      <c r="AN39" s="141">
        <f t="shared" ca="1" si="11"/>
        <v>0</v>
      </c>
    </row>
    <row r="40" spans="1:40" x14ac:dyDescent="0.25">
      <c r="A40" s="1" t="s">
        <v>102</v>
      </c>
      <c r="C40" s="25" t="s">
        <v>101</v>
      </c>
      <c r="D40" s="1" t="s">
        <v>106</v>
      </c>
      <c r="F40" s="1" t="s">
        <v>98</v>
      </c>
      <c r="H40" s="15" t="s">
        <v>66</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134">
        <v>874038.46</v>
      </c>
      <c r="P40" s="134">
        <v>1009220.73</v>
      </c>
      <c r="Q40" s="134">
        <v>1041620.27</v>
      </c>
      <c r="R40" s="134">
        <v>842415.3</v>
      </c>
      <c r="S40" s="134">
        <v>640111.80000000005</v>
      </c>
      <c r="T40" s="134">
        <v>567405.57999999996</v>
      </c>
      <c r="U40" s="134">
        <v>615850.23</v>
      </c>
      <c r="V40" s="134">
        <v>485242.81</v>
      </c>
      <c r="W40" s="134">
        <v>413503.8</v>
      </c>
      <c r="X40" s="134">
        <v>531187.31999999995</v>
      </c>
      <c r="Y40" s="134">
        <v>544075.18999999994</v>
      </c>
      <c r="Z40" s="134">
        <v>930675.02</v>
      </c>
      <c r="AA40" s="134" t="e">
        <f t="shared" ca="1" si="0"/>
        <v>#NAME?</v>
      </c>
      <c r="AB40" s="135" t="e">
        <f t="shared" ca="1" si="1"/>
        <v>#NAME?</v>
      </c>
      <c r="AC40" s="137"/>
      <c r="AD40" s="134">
        <v>9982102.0500000007</v>
      </c>
      <c r="AE40" s="135" t="str">
        <f t="shared" ca="1" si="2"/>
        <v/>
      </c>
      <c r="AF40" s="136" t="e">
        <f t="shared" ca="1" si="3"/>
        <v>#NAME?</v>
      </c>
      <c r="AG40" s="134">
        <v>9909844.4399999995</v>
      </c>
      <c r="AH40" s="135" t="str">
        <f t="shared" ca="1" si="5"/>
        <v/>
      </c>
      <c r="AI40" s="136" t="e">
        <f t="shared" ca="1" si="6"/>
        <v>#NAME?</v>
      </c>
      <c r="AJ40" s="360">
        <f t="shared" ca="1" si="7"/>
        <v>0</v>
      </c>
      <c r="AK40" s="361">
        <f t="shared" ca="1" si="8"/>
        <v>0</v>
      </c>
      <c r="AL40" s="362">
        <f t="shared" ca="1" si="9"/>
        <v>0</v>
      </c>
      <c r="AM40" s="363">
        <f t="shared" ca="1" si="10"/>
        <v>0</v>
      </c>
      <c r="AN40" s="362">
        <f t="shared" ca="1" si="11"/>
        <v>0</v>
      </c>
    </row>
    <row r="41" spans="1:40" x14ac:dyDescent="0.25">
      <c r="A41" s="1" t="s">
        <v>102</v>
      </c>
      <c r="C41" s="151" t="s">
        <v>101</v>
      </c>
      <c r="D41" s="1" t="s">
        <v>107</v>
      </c>
      <c r="F41" s="1" t="s">
        <v>99</v>
      </c>
      <c r="H41" s="15" t="s">
        <v>71</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8"/>
      <c r="P41" s="38"/>
      <c r="Q41" s="38"/>
      <c r="R41" s="38"/>
      <c r="S41" s="38"/>
      <c r="T41" s="38"/>
      <c r="U41" s="38"/>
      <c r="V41" s="38"/>
      <c r="W41" s="38"/>
      <c r="X41" s="38"/>
      <c r="Y41" s="38"/>
      <c r="Z41" s="38"/>
      <c r="AA41" s="315" t="e">
        <f t="shared" ca="1" si="0"/>
        <v>#NAME?</v>
      </c>
      <c r="AB41" s="39" t="e">
        <f t="shared" ca="1" si="1"/>
        <v>#NAME?</v>
      </c>
      <c r="AD41" s="38"/>
      <c r="AE41" s="39" t="str">
        <f t="shared" si="2"/>
        <v/>
      </c>
      <c r="AF41" s="132" t="e">
        <f t="shared" ca="1" si="3"/>
        <v>#NAME?</v>
      </c>
      <c r="AG41" s="38"/>
      <c r="AH41" s="39" t="str">
        <f t="shared" si="5"/>
        <v/>
      </c>
      <c r="AI41" s="132" t="e">
        <f t="shared" ca="1" si="6"/>
        <v>#NAME?</v>
      </c>
      <c r="AJ41" s="353">
        <f t="shared" ca="1" si="7"/>
        <v>0</v>
      </c>
      <c r="AK41" s="354">
        <f t="shared" ca="1" si="8"/>
        <v>0</v>
      </c>
      <c r="AL41" s="355">
        <f t="shared" ca="1" si="9"/>
        <v>0</v>
      </c>
      <c r="AM41" s="356">
        <f t="shared" ca="1" si="10"/>
        <v>0</v>
      </c>
      <c r="AN41" s="355">
        <f t="shared" ca="1" si="11"/>
        <v>0</v>
      </c>
    </row>
    <row r="42" spans="1:40" x14ac:dyDescent="0.25">
      <c r="H42" s="15" t="s">
        <v>87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v>188372</v>
      </c>
      <c r="P42" s="21">
        <v>185434.97</v>
      </c>
      <c r="Q42" s="21">
        <v>118614.47</v>
      </c>
      <c r="R42" s="21">
        <v>44425.82</v>
      </c>
      <c r="S42" s="21">
        <v>176450.39</v>
      </c>
      <c r="T42" s="21">
        <v>16615</v>
      </c>
      <c r="U42" s="21">
        <v>2067</v>
      </c>
      <c r="V42" s="21">
        <v>3549</v>
      </c>
      <c r="W42" s="21">
        <v>5699</v>
      </c>
      <c r="X42" s="21">
        <v>46527.3</v>
      </c>
      <c r="Y42" s="21">
        <v>92828.82</v>
      </c>
      <c r="Z42" s="21">
        <v>201989</v>
      </c>
      <c r="AA42" s="310" t="e">
        <f t="shared" ca="1" si="0"/>
        <v>#NAME?</v>
      </c>
      <c r="AB42" s="17" t="e">
        <f t="shared" ca="1" si="1"/>
        <v>#NAME?</v>
      </c>
      <c r="AD42" s="21">
        <v>1330422.3</v>
      </c>
      <c r="AE42" s="17" t="str">
        <f t="shared" ca="1" si="2"/>
        <v/>
      </c>
      <c r="AF42" s="50" t="e">
        <f t="shared" ca="1" si="3"/>
        <v>#NAME?</v>
      </c>
      <c r="AG42" s="21">
        <v>1152221.83</v>
      </c>
      <c r="AH42" s="17" t="str">
        <f t="shared" ca="1" si="5"/>
        <v/>
      </c>
      <c r="AI42" s="50" t="e">
        <f t="shared" ca="1" si="6"/>
        <v>#NAME?</v>
      </c>
      <c r="AJ42" s="350">
        <f t="shared" ca="1" si="7"/>
        <v>0</v>
      </c>
      <c r="AK42" s="351">
        <f t="shared" ca="1" si="8"/>
        <v>0</v>
      </c>
      <c r="AL42" s="140">
        <f t="shared" ca="1" si="9"/>
        <v>0</v>
      </c>
      <c r="AM42" s="352">
        <f t="shared" ca="1" si="10"/>
        <v>0</v>
      </c>
      <c r="AN42" s="140">
        <f t="shared" ca="1" si="11"/>
        <v>0</v>
      </c>
    </row>
    <row r="43" spans="1:40" x14ac:dyDescent="0.25">
      <c r="H43" s="15" t="s">
        <v>88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c r="P43" s="21"/>
      <c r="Q43" s="21"/>
      <c r="R43" s="21">
        <v>5133</v>
      </c>
      <c r="S43" s="21"/>
      <c r="T43" s="21">
        <v>32469</v>
      </c>
      <c r="U43" s="21">
        <v>0.06</v>
      </c>
      <c r="V43" s="21">
        <v>0.1</v>
      </c>
      <c r="W43" s="21">
        <v>0.04</v>
      </c>
      <c r="X43" s="21">
        <v>0.2</v>
      </c>
      <c r="Y43" s="21">
        <v>498.29</v>
      </c>
      <c r="Z43" s="21">
        <v>0.26</v>
      </c>
      <c r="AA43" s="310" t="e">
        <f t="shared" ca="1" si="0"/>
        <v>#NAME?</v>
      </c>
      <c r="AB43" s="17" t="e">
        <f t="shared" ca="1" si="1"/>
        <v>#NAME?</v>
      </c>
      <c r="AD43" s="21">
        <v>147592.14000000001</v>
      </c>
      <c r="AE43" s="17" t="str">
        <f t="shared" ca="1" si="2"/>
        <v/>
      </c>
      <c r="AF43" s="50" t="e">
        <f t="shared" ca="1" si="3"/>
        <v>#NAME?</v>
      </c>
      <c r="AG43" s="21">
        <v>70104</v>
      </c>
      <c r="AH43" s="17" t="str">
        <f t="shared" ca="1" si="5"/>
        <v/>
      </c>
      <c r="AI43" s="50" t="e">
        <f t="shared" ca="1" si="6"/>
        <v>#NAME?</v>
      </c>
      <c r="AJ43" s="350">
        <f t="shared" ca="1" si="7"/>
        <v>0</v>
      </c>
      <c r="AK43" s="351">
        <f t="shared" ca="1" si="8"/>
        <v>0</v>
      </c>
      <c r="AL43" s="140">
        <f t="shared" ca="1" si="9"/>
        <v>0</v>
      </c>
      <c r="AM43" s="352">
        <f t="shared" ca="1" si="10"/>
        <v>0</v>
      </c>
      <c r="AN43" s="140">
        <f t="shared" ca="1" si="11"/>
        <v>0</v>
      </c>
    </row>
    <row r="44" spans="1:40" x14ac:dyDescent="0.25">
      <c r="A44" s="4" t="e">
        <f ca="1">_xll.EVDRE($B$1,A47:B54,A57:B63)</f>
        <v>#NAME?</v>
      </c>
      <c r="H44" s="15" t="s">
        <v>89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310" t="e">
        <f t="shared" ca="1" si="0"/>
        <v>#NAME?</v>
      </c>
      <c r="AB44" s="17" t="e">
        <f t="shared" ca="1" si="1"/>
        <v>#NAME?</v>
      </c>
      <c r="AD44" s="21"/>
      <c r="AE44" s="17" t="str">
        <f t="shared" si="2"/>
        <v/>
      </c>
      <c r="AF44" s="50" t="e">
        <f t="shared" ca="1" si="3"/>
        <v>#NAME?</v>
      </c>
      <c r="AG44" s="21"/>
      <c r="AH44" s="17" t="str">
        <f t="shared" si="5"/>
        <v/>
      </c>
      <c r="AI44" s="50" t="e">
        <f t="shared" ca="1" si="6"/>
        <v>#NAME?</v>
      </c>
      <c r="AJ44" s="350">
        <f t="shared" ca="1" si="7"/>
        <v>0</v>
      </c>
      <c r="AK44" s="351">
        <f t="shared" ca="1" si="8"/>
        <v>0</v>
      </c>
      <c r="AL44" s="140">
        <f t="shared" ca="1" si="9"/>
        <v>0</v>
      </c>
      <c r="AM44" s="352">
        <f t="shared" ca="1" si="10"/>
        <v>0</v>
      </c>
      <c r="AN44" s="140">
        <f t="shared" ca="1" si="11"/>
        <v>0</v>
      </c>
    </row>
    <row r="45" spans="1:40" x14ac:dyDescent="0.25">
      <c r="H45" s="15" t="s">
        <v>90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310" t="e">
        <f t="shared" ca="1" si="0"/>
        <v>#NAME?</v>
      </c>
      <c r="AB45" s="17" t="e">
        <f t="shared" ca="1" si="1"/>
        <v>#NAME?</v>
      </c>
      <c r="AD45" s="21"/>
      <c r="AE45" s="17" t="str">
        <f t="shared" si="2"/>
        <v/>
      </c>
      <c r="AF45" s="50" t="e">
        <f t="shared" ca="1" si="3"/>
        <v>#NAME?</v>
      </c>
      <c r="AG45" s="21"/>
      <c r="AH45" s="17" t="str">
        <f t="shared" si="5"/>
        <v/>
      </c>
      <c r="AI45" s="50" t="e">
        <f t="shared" ca="1" si="6"/>
        <v>#NAME?</v>
      </c>
      <c r="AJ45" s="350">
        <f t="shared" ca="1" si="7"/>
        <v>0</v>
      </c>
      <c r="AK45" s="351">
        <f t="shared" ca="1" si="8"/>
        <v>0</v>
      </c>
      <c r="AL45" s="140">
        <f t="shared" ca="1" si="9"/>
        <v>0</v>
      </c>
      <c r="AM45" s="352">
        <f t="shared" ca="1" si="10"/>
        <v>0</v>
      </c>
      <c r="AN45" s="140">
        <f t="shared" ca="1" si="11"/>
        <v>0</v>
      </c>
    </row>
    <row r="46" spans="1:40" x14ac:dyDescent="0.25">
      <c r="A46" s="3" t="s">
        <v>0</v>
      </c>
      <c r="B46" s="5" t="s">
        <v>1</v>
      </c>
      <c r="H46" s="15" t="s">
        <v>68</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0">
        <v>20190</v>
      </c>
      <c r="P46" s="30">
        <v>1914</v>
      </c>
      <c r="Q46" s="30"/>
      <c r="R46" s="30">
        <v>3237</v>
      </c>
      <c r="S46" s="30"/>
      <c r="T46" s="30">
        <v>11405</v>
      </c>
      <c r="U46" s="30"/>
      <c r="V46" s="30">
        <v>6416</v>
      </c>
      <c r="W46" s="30">
        <v>5936</v>
      </c>
      <c r="X46" s="30">
        <v>1611</v>
      </c>
      <c r="Y46" s="30">
        <v>23431.68</v>
      </c>
      <c r="Z46" s="30">
        <v>2561.9899999999998</v>
      </c>
      <c r="AA46" s="324" t="e">
        <f t="shared" ca="1" si="0"/>
        <v>#NAME?</v>
      </c>
      <c r="AB46" s="31" t="e">
        <f t="shared" ca="1" si="1"/>
        <v>#NAME?</v>
      </c>
      <c r="AD46" s="30">
        <v>118126.67</v>
      </c>
      <c r="AE46" s="31" t="str">
        <f t="shared" ca="1" si="2"/>
        <v/>
      </c>
      <c r="AF46" s="51" t="e">
        <f t="shared" ca="1" si="3"/>
        <v>#NAME?</v>
      </c>
      <c r="AG46" s="30">
        <v>88455.47</v>
      </c>
      <c r="AH46" s="31" t="str">
        <f t="shared" ca="1" si="5"/>
        <v/>
      </c>
      <c r="AI46" s="51" t="e">
        <f t="shared" ca="1" si="6"/>
        <v>#NAME?</v>
      </c>
      <c r="AJ46" s="357">
        <f t="shared" ca="1" si="7"/>
        <v>0</v>
      </c>
      <c r="AK46" s="358">
        <f t="shared" ca="1" si="8"/>
        <v>0</v>
      </c>
      <c r="AL46" s="141">
        <f t="shared" ca="1" si="9"/>
        <v>0</v>
      </c>
      <c r="AM46" s="359">
        <f t="shared" ca="1" si="10"/>
        <v>0</v>
      </c>
      <c r="AN46" s="141">
        <f t="shared" ca="1" si="11"/>
        <v>0</v>
      </c>
    </row>
    <row r="47" spans="1:40" x14ac:dyDescent="0.25">
      <c r="A47" s="6" t="s">
        <v>2</v>
      </c>
      <c r="B47" s="7" t="e">
        <f ca="1">_xll.EVRNG($B$2:$B$10)</f>
        <v>#NAME?</v>
      </c>
      <c r="H47" s="15" t="s">
        <v>64</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134">
        <v>208562</v>
      </c>
      <c r="P47" s="134">
        <v>187348.97</v>
      </c>
      <c r="Q47" s="134">
        <v>118614.47</v>
      </c>
      <c r="R47" s="134">
        <v>52795.82</v>
      </c>
      <c r="S47" s="134">
        <v>176450.39</v>
      </c>
      <c r="T47" s="134">
        <v>60489</v>
      </c>
      <c r="U47" s="134">
        <v>2067.06</v>
      </c>
      <c r="V47" s="134">
        <v>9965.1</v>
      </c>
      <c r="W47" s="134">
        <v>11635.04</v>
      </c>
      <c r="X47" s="134">
        <v>48138.5</v>
      </c>
      <c r="Y47" s="134">
        <v>116758.79</v>
      </c>
      <c r="Z47" s="134">
        <v>204551.25</v>
      </c>
      <c r="AA47" s="134" t="e">
        <f t="shared" ca="1" si="0"/>
        <v>#NAME?</v>
      </c>
      <c r="AB47" s="135" t="e">
        <f t="shared" ca="1" si="1"/>
        <v>#NAME?</v>
      </c>
      <c r="AC47" s="137"/>
      <c r="AD47" s="134">
        <v>1596141.11</v>
      </c>
      <c r="AE47" s="135" t="str">
        <f t="shared" ca="1" si="2"/>
        <v/>
      </c>
      <c r="AF47" s="136" t="e">
        <f t="shared" ca="1" si="3"/>
        <v>#NAME?</v>
      </c>
      <c r="AG47" s="134">
        <v>1310781.3</v>
      </c>
      <c r="AH47" s="135" t="str">
        <f t="shared" ca="1" si="5"/>
        <v/>
      </c>
      <c r="AI47" s="136" t="e">
        <f t="shared" ca="1" si="6"/>
        <v>#NAME?</v>
      </c>
      <c r="AJ47" s="360">
        <f t="shared" ca="1" si="7"/>
        <v>0</v>
      </c>
      <c r="AK47" s="361">
        <f t="shared" ca="1" si="8"/>
        <v>0</v>
      </c>
      <c r="AL47" s="362">
        <f t="shared" ca="1" si="9"/>
        <v>0</v>
      </c>
      <c r="AM47" s="363">
        <f t="shared" ca="1" si="10"/>
        <v>0</v>
      </c>
      <c r="AN47" s="362">
        <f t="shared" ca="1" si="11"/>
        <v>0</v>
      </c>
    </row>
    <row r="48" spans="1:40" x14ac:dyDescent="0.25">
      <c r="A48" s="6" t="s">
        <v>3</v>
      </c>
      <c r="B48" s="7" t="e">
        <f ca="1">_xll.EVRNG($O$16:$AN$18)</f>
        <v>#NAME?</v>
      </c>
      <c r="H48" s="15" t="s">
        <v>119</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8"/>
      <c r="P48" s="38"/>
      <c r="Q48" s="38"/>
      <c r="R48" s="38"/>
      <c r="S48" s="38"/>
      <c r="T48" s="38"/>
      <c r="U48" s="38"/>
      <c r="V48" s="38"/>
      <c r="W48" s="38"/>
      <c r="X48" s="38"/>
      <c r="Y48" s="38"/>
      <c r="Z48" s="38"/>
      <c r="AA48" s="315" t="e">
        <f t="shared" ca="1" si="0"/>
        <v>#NAME?</v>
      </c>
      <c r="AB48" s="39" t="e">
        <f t="shared" ca="1" si="1"/>
        <v>#NAME?</v>
      </c>
      <c r="AD48" s="38"/>
      <c r="AE48" s="39" t="str">
        <f t="shared" si="2"/>
        <v/>
      </c>
      <c r="AF48" s="132" t="e">
        <f t="shared" ca="1" si="3"/>
        <v>#NAME?</v>
      </c>
      <c r="AG48" s="38"/>
      <c r="AH48" s="39" t="str">
        <f t="shared" si="5"/>
        <v/>
      </c>
      <c r="AI48" s="132" t="e">
        <f t="shared" ca="1" si="6"/>
        <v>#NAME?</v>
      </c>
      <c r="AJ48" s="353">
        <f t="shared" ca="1" si="7"/>
        <v>0</v>
      </c>
      <c r="AK48" s="354">
        <f t="shared" ca="1" si="8"/>
        <v>0</v>
      </c>
      <c r="AL48" s="355">
        <f t="shared" ca="1" si="9"/>
        <v>0</v>
      </c>
      <c r="AM48" s="356">
        <f t="shared" ca="1" si="10"/>
        <v>0</v>
      </c>
      <c r="AN48" s="355">
        <f t="shared" ca="1" si="11"/>
        <v>0</v>
      </c>
    </row>
    <row r="49" spans="1:40" x14ac:dyDescent="0.25">
      <c r="A49" s="6" t="s">
        <v>4</v>
      </c>
      <c r="B49" s="7" t="e">
        <f ca="1">_xll.EVRNG(H55:H56,H58:H68,H71:H93)</f>
        <v>#NAME?</v>
      </c>
      <c r="H49" s="15" t="s">
        <v>67</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21">
        <v>5852.09</v>
      </c>
      <c r="P49" s="21">
        <v>8302.25</v>
      </c>
      <c r="Q49" s="21">
        <v>20759.419999999998</v>
      </c>
      <c r="R49" s="21">
        <v>18701.37</v>
      </c>
      <c r="S49" s="21">
        <v>16230.75</v>
      </c>
      <c r="T49" s="21">
        <v>8497.84</v>
      </c>
      <c r="U49" s="21">
        <v>9870.2800000000007</v>
      </c>
      <c r="V49" s="21">
        <v>10152.99</v>
      </c>
      <c r="W49" s="21">
        <v>11777.16</v>
      </c>
      <c r="X49" s="21">
        <v>10992.01</v>
      </c>
      <c r="Y49" s="21">
        <v>12277.5</v>
      </c>
      <c r="Z49" s="21">
        <v>12560.47</v>
      </c>
      <c r="AA49" s="310" t="e">
        <f t="shared" ca="1" si="0"/>
        <v>#NAME?</v>
      </c>
      <c r="AB49" s="17" t="e">
        <f t="shared" ca="1" si="1"/>
        <v>#NAME?</v>
      </c>
      <c r="AD49" s="21">
        <v>99787.21</v>
      </c>
      <c r="AE49" s="17" t="str">
        <f t="shared" ca="1" si="2"/>
        <v/>
      </c>
      <c r="AF49" s="50" t="e">
        <f t="shared" ca="1" si="3"/>
        <v>#NAME?</v>
      </c>
      <c r="AG49" s="21">
        <v>105058.86</v>
      </c>
      <c r="AH49" s="17" t="str">
        <f t="shared" ca="1" si="5"/>
        <v/>
      </c>
      <c r="AI49" s="50" t="e">
        <f t="shared" ca="1" si="6"/>
        <v>#NAME?</v>
      </c>
      <c r="AJ49" s="350">
        <f t="shared" ca="1" si="7"/>
        <v>0</v>
      </c>
      <c r="AK49" s="351">
        <f t="shared" ca="1" si="8"/>
        <v>0</v>
      </c>
      <c r="AL49" s="140">
        <f t="shared" ca="1" si="9"/>
        <v>0</v>
      </c>
      <c r="AM49" s="352">
        <f t="shared" ca="1" si="10"/>
        <v>0</v>
      </c>
      <c r="AN49" s="140">
        <f t="shared" ca="1" si="11"/>
        <v>0</v>
      </c>
    </row>
    <row r="50" spans="1:40" x14ac:dyDescent="0.25">
      <c r="A50" s="6" t="s">
        <v>5</v>
      </c>
      <c r="B50" s="7"/>
      <c r="H50" s="15" t="s">
        <v>91</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0">
        <v>-2078.38</v>
      </c>
      <c r="P50" s="30">
        <v>-911.04</v>
      </c>
      <c r="Q50" s="30">
        <v>-1352.87</v>
      </c>
      <c r="R50" s="30">
        <v>-4383.9799999999996</v>
      </c>
      <c r="S50" s="30">
        <v>-3537.4</v>
      </c>
      <c r="T50" s="30">
        <v>-5312.71</v>
      </c>
      <c r="U50" s="30">
        <v>-2373.9499999999998</v>
      </c>
      <c r="V50" s="30">
        <v>-1055.3800000000001</v>
      </c>
      <c r="W50" s="30">
        <v>-2887.01</v>
      </c>
      <c r="X50" s="30">
        <v>-1679.75</v>
      </c>
      <c r="Y50" s="30">
        <v>-56.05</v>
      </c>
      <c r="Z50" s="30">
        <v>-5075.18</v>
      </c>
      <c r="AA50" s="324" t="e">
        <f t="shared" ca="1" si="0"/>
        <v>#NAME?</v>
      </c>
      <c r="AB50" s="31" t="e">
        <f t="shared" ca="1" si="1"/>
        <v>#NAME?</v>
      </c>
      <c r="AD50" s="30">
        <v>-39506</v>
      </c>
      <c r="AE50" s="31" t="str">
        <f t="shared" ca="1" si="2"/>
        <v/>
      </c>
      <c r="AF50" s="51" t="e">
        <f t="shared" ca="1" si="3"/>
        <v>#NAME?</v>
      </c>
      <c r="AG50" s="30">
        <v>-35162.1</v>
      </c>
      <c r="AH50" s="31" t="str">
        <f t="shared" ca="1" si="5"/>
        <v/>
      </c>
      <c r="AI50" s="51" t="e">
        <f t="shared" ca="1" si="6"/>
        <v>#NAME?</v>
      </c>
      <c r="AJ50" s="357">
        <f t="shared" ca="1" si="7"/>
        <v>0</v>
      </c>
      <c r="AK50" s="358">
        <f t="shared" ca="1" si="8"/>
        <v>0</v>
      </c>
      <c r="AL50" s="141">
        <f t="shared" ca="1" si="9"/>
        <v>0</v>
      </c>
      <c r="AM50" s="359">
        <f t="shared" ca="1" si="10"/>
        <v>0</v>
      </c>
      <c r="AN50" s="141">
        <f t="shared" ca="1" si="11"/>
        <v>0</v>
      </c>
    </row>
    <row r="51" spans="1:40" x14ac:dyDescent="0.25">
      <c r="A51" s="6" t="s">
        <v>6</v>
      </c>
      <c r="B51" s="7"/>
      <c r="H51" s="15" t="s">
        <v>72</v>
      </c>
      <c r="I51" s="479" t="e">
        <f ca="1">_xll.EVPRO($B$1,$H51,"STYLE")</f>
        <v>#NAME?</v>
      </c>
      <c r="J51" s="479" t="e">
        <f ca="1">_xll.EVPRO($B$1,$H51,"CALC")</f>
        <v>#NAME?</v>
      </c>
      <c r="K51" s="480" t="e">
        <f t="shared" ca="1" si="4"/>
        <v>#NAME?</v>
      </c>
      <c r="L51" s="170" t="e">
        <f ca="1">_xll.EVPRO($B$1,H51,"JDEID")</f>
        <v>#NAME?</v>
      </c>
      <c r="M51" s="170" t="e">
        <f ca="1">IF(AND(I51="N",J51="N"),_xll.EVPRO($B$1,H51,"PSFTID"),"")</f>
        <v>#NAME?</v>
      </c>
      <c r="N51" s="170" t="e">
        <f ca="1">IF(_xll.EVDES(H51,$B$1)="#NODATA","",_xll.EVDES(H51,$B$1))</f>
        <v>#NAME?</v>
      </c>
      <c r="O51" s="134">
        <v>1086374.17</v>
      </c>
      <c r="P51" s="134">
        <v>1203960.9099999999</v>
      </c>
      <c r="Q51" s="134">
        <v>1179641.29</v>
      </c>
      <c r="R51" s="134">
        <v>909528.51</v>
      </c>
      <c r="S51" s="134">
        <v>829255.54</v>
      </c>
      <c r="T51" s="134">
        <v>631079.71</v>
      </c>
      <c r="U51" s="134">
        <v>625413.62</v>
      </c>
      <c r="V51" s="134">
        <v>504305.52</v>
      </c>
      <c r="W51" s="134">
        <v>434028.99</v>
      </c>
      <c r="X51" s="134">
        <v>588638.07999999996</v>
      </c>
      <c r="Y51" s="134">
        <v>673055.43</v>
      </c>
      <c r="Z51" s="134">
        <v>1142711.56</v>
      </c>
      <c r="AA51" s="134" t="e">
        <f t="shared" ca="1" si="0"/>
        <v>#NAME?</v>
      </c>
      <c r="AB51" s="135" t="e">
        <f t="shared" ca="1" si="1"/>
        <v>#NAME?</v>
      </c>
      <c r="AC51" s="137"/>
      <c r="AD51" s="134">
        <v>11638524.369999999</v>
      </c>
      <c r="AE51" s="135" t="str">
        <f t="shared" ca="1" si="2"/>
        <v/>
      </c>
      <c r="AF51" s="136" t="e">
        <f t="shared" ca="1" si="3"/>
        <v>#NAME?</v>
      </c>
      <c r="AG51" s="134">
        <v>11290522.5</v>
      </c>
      <c r="AH51" s="135" t="str">
        <f t="shared" ca="1" si="5"/>
        <v/>
      </c>
      <c r="AI51" s="136" t="e">
        <f t="shared" ca="1" si="6"/>
        <v>#NAME?</v>
      </c>
      <c r="AJ51" s="360">
        <f t="shared" ca="1" si="7"/>
        <v>0</v>
      </c>
      <c r="AK51" s="361">
        <f t="shared" ca="1" si="8"/>
        <v>0</v>
      </c>
      <c r="AL51" s="362">
        <f t="shared" ca="1" si="9"/>
        <v>0</v>
      </c>
      <c r="AM51" s="363">
        <f t="shared" ca="1" si="10"/>
        <v>0</v>
      </c>
      <c r="AN51" s="362">
        <f t="shared" ca="1" si="11"/>
        <v>0</v>
      </c>
    </row>
    <row r="52" spans="1:40" x14ac:dyDescent="0.25">
      <c r="A52" s="6" t="s">
        <v>7</v>
      </c>
      <c r="B52" s="7" t="e">
        <f ca="1">_xll.EVRNG(A66:F72)</f>
        <v>#NAME?</v>
      </c>
      <c r="G52" s="14"/>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7" t="e">
        <f ca="1">_xll.EVRNG($A$89:$B$110)</f>
        <v>#NAME?</v>
      </c>
      <c r="H53" s="1" t="s">
        <v>73</v>
      </c>
      <c r="I53" s="11" t="e">
        <f ca="1">_xll.EVPRO($B$1,$H53,"STYLE")</f>
        <v>#NAME?</v>
      </c>
      <c r="J53" s="11" t="e">
        <f ca="1">_xll.EVPRO($B$1,$H53,"CALC")</f>
        <v>#NAME?</v>
      </c>
      <c r="M53" s="162"/>
      <c r="N53" s="40" t="e">
        <f ca="1">IF(_xll.EVDES(H53,$B$1)="#NODATA","",_xll.EVDES(H53,$B$1))</f>
        <v>#NAME?</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H54" s="1" t="s">
        <v>74</v>
      </c>
      <c r="I54" s="11" t="e">
        <f ca="1">_xll.EVPRO($B$1,$H54,"STYLE")</f>
        <v>#NAME?</v>
      </c>
      <c r="J54" s="11" t="e">
        <f ca="1">_xll.EVPRO($B$1,$H54,"CALC")</f>
        <v>#NAME?</v>
      </c>
      <c r="M54" s="162"/>
      <c r="N54" s="8" t="e">
        <f ca="1">IF(_xll.EVDES(H54,$B$1)="#NODATA","",_xll.EVDES(H54,$B$1))</f>
        <v>#NAME?</v>
      </c>
      <c r="O54" s="43"/>
      <c r="P54" s="46"/>
      <c r="Q54" s="46"/>
      <c r="R54" s="46"/>
      <c r="S54" s="46"/>
      <c r="T54" s="46"/>
      <c r="U54" s="46"/>
      <c r="V54" s="46"/>
      <c r="W54" s="46"/>
      <c r="X54" s="46"/>
      <c r="Y54" s="46"/>
      <c r="Z54" s="46"/>
      <c r="AA54" s="46"/>
      <c r="AB54" s="44"/>
      <c r="AD54" s="43"/>
      <c r="AE54" s="46"/>
      <c r="AF54" s="44"/>
      <c r="AG54" s="43"/>
      <c r="AH54" s="46"/>
      <c r="AI54" s="44"/>
    </row>
    <row r="55" spans="1:40" x14ac:dyDescent="0.25">
      <c r="H55" s="15" t="s">
        <v>855</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38">
        <v>12367.45</v>
      </c>
      <c r="P55" s="38">
        <v>11009.91</v>
      </c>
      <c r="Q55" s="38">
        <v>11945.67</v>
      </c>
      <c r="R55" s="38">
        <v>11641.28</v>
      </c>
      <c r="S55" s="38">
        <v>11392.55</v>
      </c>
      <c r="T55" s="38">
        <v>10542.36</v>
      </c>
      <c r="U55" s="38">
        <v>12718.2</v>
      </c>
      <c r="V55" s="38">
        <v>11679.84</v>
      </c>
      <c r="W55" s="38">
        <v>8153.83</v>
      </c>
      <c r="X55" s="38">
        <v>6807.83</v>
      </c>
      <c r="Y55" s="38">
        <v>6461.68</v>
      </c>
      <c r="Z55" s="38">
        <v>7154.13</v>
      </c>
      <c r="AA55" s="21" t="e">
        <f ca="1">IF($I55="B1","",SUM(O55:Z55))</f>
        <v>#NAME?</v>
      </c>
      <c r="AB55" s="39" t="e">
        <f ca="1">IF(AA55=0,"",IFERROR(AA55/AA$19,""))</f>
        <v>#NAME?</v>
      </c>
      <c r="AD55" s="21">
        <v>138104.88667499699</v>
      </c>
      <c r="AE55" s="17" t="str">
        <f ca="1">IF(AD55=0,"",IFERROR(AD55/AD$19,""))</f>
        <v/>
      </c>
      <c r="AF55" s="50" t="e">
        <f ca="1">IF(AND($AA55="",AD55=""),"",$AA55-AD55)</f>
        <v>#NAME?</v>
      </c>
      <c r="AG55" s="21">
        <v>151510.10999999999</v>
      </c>
      <c r="AH55" s="17" t="str">
        <f ca="1">IF(AG55=0,"",IFERROR(AG55/AG$19,""))</f>
        <v/>
      </c>
      <c r="AI55" s="50" t="e">
        <f ca="1">IF(AND($AA55="",AG55=""),"",$AA55-AG55)</f>
        <v>#NAME?</v>
      </c>
      <c r="AJ55" s="350">
        <f ca="1">IFERROR(AA55/AA$20,0)</f>
        <v>0</v>
      </c>
      <c r="AK55" s="351">
        <f ca="1">IFERROR(AD55/AD$20,0)</f>
        <v>0</v>
      </c>
      <c r="AL55" s="140">
        <f ca="1">AJ55-AK55</f>
        <v>0</v>
      </c>
      <c r="AM55" s="352">
        <f ca="1">IFERROR(AG55/AG$20,0)</f>
        <v>0</v>
      </c>
      <c r="AN55" s="140">
        <f ca="1">AJ55-AM55</f>
        <v>0</v>
      </c>
    </row>
    <row r="56" spans="1:40" hidden="1" x14ac:dyDescent="0.25">
      <c r="A56" s="3" t="s">
        <v>9</v>
      </c>
      <c r="B56" s="5" t="s">
        <v>10</v>
      </c>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38"/>
      <c r="P56" s="38"/>
      <c r="Q56" s="38"/>
      <c r="R56" s="38"/>
      <c r="S56" s="38"/>
      <c r="T56" s="38"/>
      <c r="U56" s="38"/>
      <c r="V56" s="38"/>
      <c r="W56" s="38"/>
      <c r="X56" s="38"/>
      <c r="Y56" s="38"/>
      <c r="Z56" s="38"/>
      <c r="AA56" s="21" t="e">
        <f ca="1">IF($I56="B1","",SUM(O56:Z56))</f>
        <v>#NAME?</v>
      </c>
      <c r="AB56" s="39" t="e">
        <f ca="1">IF(AA56=0,"",IFERROR(AA56/AA$19,""))</f>
        <v>#NAME?</v>
      </c>
      <c r="AD56" s="21"/>
      <c r="AE56" s="17" t="str">
        <f>IF(AD56=0,"",IFERROR(AD56/AD$19,""))</f>
        <v/>
      </c>
      <c r="AF56" s="50" t="e">
        <f ca="1">IF(AND($AA56="",AD56=""),"",$AA56-AD56)</f>
        <v>#NAME?</v>
      </c>
      <c r="AG56" s="21"/>
      <c r="AH56" s="17" t="str">
        <f>IF(AG56=0,"",IFERROR(AG56/AG$19,""))</f>
        <v/>
      </c>
      <c r="AI56" s="50" t="e">
        <f ca="1">IF(AND($AA56="",AG56=""),"",$AA56-AG56)</f>
        <v>#NAME?</v>
      </c>
      <c r="AJ56" s="350">
        <f ca="1">IFERROR(AA56/AA$20,0)</f>
        <v>0</v>
      </c>
      <c r="AK56" s="351">
        <f ca="1">IFERROR(AD56/AD$20,0)</f>
        <v>0</v>
      </c>
      <c r="AL56" s="140">
        <f ca="1">AJ56-AK56</f>
        <v>0</v>
      </c>
      <c r="AM56" s="352">
        <f ca="1">IFERROR(AG56/AG$20,0)</f>
        <v>0</v>
      </c>
      <c r="AN56" s="140">
        <f ca="1">AJ56-AM56</f>
        <v>0</v>
      </c>
    </row>
    <row r="57" spans="1:40" x14ac:dyDescent="0.25">
      <c r="A57" s="6" t="s">
        <v>11</v>
      </c>
      <c r="B57" s="7" t="s">
        <v>21</v>
      </c>
      <c r="H57" s="15" t="s">
        <v>75</v>
      </c>
      <c r="I57" s="161" t="e">
        <f ca="1">_xll.EVPRO($B$1,$H57,"STYLE")</f>
        <v>#NAME?</v>
      </c>
      <c r="J57" s="161" t="e">
        <f ca="1">_xll.EVPRO($B$1,$H57,"CALC")</f>
        <v>#NAME?</v>
      </c>
      <c r="K57" s="68" t="e">
        <f ca="1">IF(AND(I57&gt;="T3"),"&gt;","")</f>
        <v>#NAME?</v>
      </c>
      <c r="L57" s="162"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21"/>
      <c r="AB57" s="39"/>
      <c r="AD57" s="21"/>
      <c r="AE57" s="17"/>
      <c r="AF57" s="50"/>
      <c r="AG57" s="21"/>
      <c r="AH57" s="17"/>
      <c r="AI57" s="50"/>
      <c r="AJ57" s="350">
        <f ca="1">IFERROR(AA57/AA$20,0)</f>
        <v>0</v>
      </c>
      <c r="AK57" s="351">
        <f ca="1">IFERROR(AD57/AD$20,0)</f>
        <v>0</v>
      </c>
      <c r="AL57" s="140">
        <f ca="1">AJ57-AK57</f>
        <v>0</v>
      </c>
      <c r="AM57" s="352">
        <f ca="1">IFERROR(AG57/AG$20,0)</f>
        <v>0</v>
      </c>
      <c r="AN57" s="140">
        <f ca="1">AJ57-AM57</f>
        <v>0</v>
      </c>
    </row>
    <row r="58" spans="1:40" x14ac:dyDescent="0.25">
      <c r="A58" s="6" t="s">
        <v>12</v>
      </c>
      <c r="B58" s="7" t="s">
        <v>22</v>
      </c>
      <c r="H58" s="15" t="s">
        <v>938</v>
      </c>
      <c r="I58" s="161" t="e">
        <f ca="1">_xll.EVPRO($B$1,$H58,"STYLE")</f>
        <v>#NAME?</v>
      </c>
      <c r="J58" s="161" t="e">
        <f ca="1">_xll.EVPRO($B$1,$H58,"CALC")</f>
        <v>#NAME?</v>
      </c>
      <c r="K58" s="68" t="e">
        <f ca="1">IF(AND(I58&gt;="T3"),"&gt;","")</f>
        <v>#NAME?</v>
      </c>
      <c r="L58" s="162" t="e">
        <f ca="1">_xll.EVPRO($B$1,H58,"JDEID")</f>
        <v>#NAME?</v>
      </c>
      <c r="M58" s="162" t="e">
        <f ca="1">IF(AND(I58="N",J58="N"),_xll.EVPRO($B$1,H58,"PSFTID"),"")</f>
        <v>#NAME?</v>
      </c>
      <c r="N58" s="162" t="e">
        <f ca="1">IF(_xll.EVDES(H58,$B$1)="#NODATA","",_xll.EVDES(H58,$B$1))</f>
        <v>#NAME?</v>
      </c>
      <c r="O58" s="47">
        <v>13324.79</v>
      </c>
      <c r="P58" s="47">
        <v>12334.65</v>
      </c>
      <c r="Q58" s="47">
        <v>14595.74</v>
      </c>
      <c r="R58" s="47">
        <v>11654.84</v>
      </c>
      <c r="S58" s="47">
        <v>11828.93</v>
      </c>
      <c r="T58" s="47">
        <v>11892.86</v>
      </c>
      <c r="U58" s="47">
        <v>12743.06</v>
      </c>
      <c r="V58" s="47">
        <v>9979.5300000000007</v>
      </c>
      <c r="W58" s="47">
        <v>9185.98</v>
      </c>
      <c r="X58" s="47">
        <v>9654.64</v>
      </c>
      <c r="Y58" s="47">
        <v>10488.91</v>
      </c>
      <c r="Z58" s="47">
        <v>9491.5300000000007</v>
      </c>
      <c r="AA58" s="30" t="e">
        <f t="shared" ref="AA58:AA68" ca="1" si="12">IF($I58="B1","",SUM(O58:Z58))</f>
        <v>#NAME?</v>
      </c>
      <c r="AB58" s="48" t="e">
        <f t="shared" ref="AB58:AB68" ca="1" si="13">IF(AA58=0,"",IFERROR(AA58/AA$19,""))</f>
        <v>#NAME?</v>
      </c>
      <c r="AD58" s="30">
        <v>315701.71428571403</v>
      </c>
      <c r="AE58" s="31" t="str">
        <f t="shared" ref="AE58:AE68" ca="1" si="14">IF(AD58=0,"",IFERROR(AD58/AD$19,""))</f>
        <v/>
      </c>
      <c r="AF58" s="51" t="e">
        <f t="shared" ref="AF58:AF68" ca="1" si="15">IF(AND($AA58="",AD58=""),"",$AA58-AD58)</f>
        <v>#NAME?</v>
      </c>
      <c r="AG58" s="30">
        <v>129419.91</v>
      </c>
      <c r="AH58" s="31" t="str">
        <f ca="1">IF(AG58=0,"",IFERROR(AG58/AG$19,""))</f>
        <v/>
      </c>
      <c r="AI58" s="51" t="e">
        <f ca="1">IF(AND($AA58="",AG58=""),"",$AA58-AG58)</f>
        <v>#NAME?</v>
      </c>
      <c r="AJ58" s="350">
        <f ca="1">IFERROR(AA58/AA$20,0)</f>
        <v>0</v>
      </c>
      <c r="AK58" s="351">
        <f ca="1">IFERROR(AD58/AD$20,0)</f>
        <v>0</v>
      </c>
      <c r="AL58" s="140">
        <f ca="1">AJ58-AK58</f>
        <v>0</v>
      </c>
      <c r="AM58" s="352">
        <f ca="1">IFERROR(AG58/AG$20,0)</f>
        <v>0</v>
      </c>
      <c r="AN58" s="140">
        <f ca="1">AJ58-AM58</f>
        <v>0</v>
      </c>
    </row>
    <row r="59" spans="1:40" x14ac:dyDescent="0.25">
      <c r="A59" s="6" t="s">
        <v>13</v>
      </c>
      <c r="B59" s="7" t="s">
        <v>735</v>
      </c>
      <c r="H59" s="15" t="s">
        <v>939</v>
      </c>
      <c r="I59" s="161" t="e">
        <f ca="1">_xll.EVPRO($B$1,$H59,"STYLE")</f>
        <v>#NAME?</v>
      </c>
      <c r="J59" s="161" t="e">
        <f ca="1">_xll.EVPRO($B$1,$H59,"CALC")</f>
        <v>#NAME?</v>
      </c>
      <c r="K59" s="68" t="e">
        <f t="shared" ref="K59:K68" ca="1" si="16">IF(AND(I59&gt;="T3"),"&gt;","")</f>
        <v>#NAME?</v>
      </c>
      <c r="L59" s="162" t="e">
        <f ca="1">_xll.EVPRO($B$1,H59,"JDEID")</f>
        <v>#NAME?</v>
      </c>
      <c r="M59" s="162" t="e">
        <f ca="1">IF(AND(I59="N",J59="N"),_xll.EVPRO($B$1,H59,"PSFTID"),"")</f>
        <v>#NAME?</v>
      </c>
      <c r="N59" s="162" t="e">
        <f ca="1">IF(_xll.EVDES(H59,$B$1)="#NODATA","",_xll.EVDES(H59,$B$1))</f>
        <v>#NAME?</v>
      </c>
      <c r="O59" s="47">
        <v>17571.09</v>
      </c>
      <c r="P59" s="47">
        <v>17435.759999999998</v>
      </c>
      <c r="Q59" s="47">
        <v>18728.669999999998</v>
      </c>
      <c r="R59" s="47">
        <v>13564.98</v>
      </c>
      <c r="S59" s="47">
        <v>12631.52</v>
      </c>
      <c r="T59" s="47">
        <v>13805.19</v>
      </c>
      <c r="U59" s="47">
        <v>12557.14</v>
      </c>
      <c r="V59" s="47">
        <v>13045.69</v>
      </c>
      <c r="W59" s="47">
        <v>13453.1</v>
      </c>
      <c r="X59" s="47">
        <v>14886.33</v>
      </c>
      <c r="Y59" s="47">
        <v>14020.22</v>
      </c>
      <c r="Z59" s="47">
        <v>15747.52</v>
      </c>
      <c r="AA59" s="30" t="e">
        <f t="shared" ca="1" si="12"/>
        <v>#NAME?</v>
      </c>
      <c r="AB59" s="48" t="e">
        <f t="shared" ca="1" si="13"/>
        <v>#NAME?</v>
      </c>
      <c r="AD59" s="30">
        <v>206513.89285714299</v>
      </c>
      <c r="AE59" s="31" t="str">
        <f t="shared" ca="1" si="14"/>
        <v/>
      </c>
      <c r="AF59" s="51" t="e">
        <f t="shared" ca="1" si="15"/>
        <v>#NAME?</v>
      </c>
      <c r="AG59" s="30">
        <v>107030.67</v>
      </c>
      <c r="AH59" s="31" t="str">
        <f t="shared" ref="AH59:AH68" ca="1" si="17">IF(AG59=0,"",IFERROR(AG59/AG$19,""))</f>
        <v/>
      </c>
      <c r="AI59" s="51" t="e">
        <f t="shared" ref="AI59:AI68" ca="1" si="18">IF(AND($AA59="",AG59=""),"",$AA59-AG59)</f>
        <v>#NAME?</v>
      </c>
      <c r="AJ59" s="357">
        <f t="shared" ref="AJ59:AJ68" ca="1" si="19">IFERROR(AA59/AA$20,0)</f>
        <v>0</v>
      </c>
      <c r="AK59" s="358">
        <f t="shared" ref="AK59:AK68" ca="1" si="20">IFERROR(AD59/AD$20,0)</f>
        <v>0</v>
      </c>
      <c r="AL59" s="141">
        <f t="shared" ref="AL59:AL68" ca="1" si="21">AJ59-AK59</f>
        <v>0</v>
      </c>
      <c r="AM59" s="359">
        <f t="shared" ref="AM59:AM68" ca="1" si="22">IFERROR(AG59/AG$20,0)</f>
        <v>0</v>
      </c>
      <c r="AN59" s="141">
        <f t="shared" ref="AN59:AN68" ca="1" si="23">AJ59-AM59</f>
        <v>0</v>
      </c>
    </row>
    <row r="60" spans="1:40" x14ac:dyDescent="0.25">
      <c r="A60" s="6" t="s">
        <v>14</v>
      </c>
      <c r="B60" s="7"/>
      <c r="H60" s="15" t="s">
        <v>848</v>
      </c>
      <c r="I60" s="479" t="e">
        <f ca="1">_xll.EVPRO($B$1,$H60,"STYLE")</f>
        <v>#NAME?</v>
      </c>
      <c r="J60" s="479" t="e">
        <f ca="1">_xll.EVPRO($B$1,$H60,"CALC")</f>
        <v>#NAME?</v>
      </c>
      <c r="K60" s="480" t="e">
        <f t="shared" ca="1" si="16"/>
        <v>#NAME?</v>
      </c>
      <c r="L60" s="170" t="e">
        <f ca="1">_xll.EVPRO($B$1,H60,"JDEID")</f>
        <v>#NAME?</v>
      </c>
      <c r="M60" s="170" t="e">
        <f ca="1">IF(AND(I60="N",J60="N"),_xll.EVPRO($B$1,H60,"PSFTID"),"")</f>
        <v>#NAME?</v>
      </c>
      <c r="N60" s="170" t="e">
        <f ca="1">IF(_xll.EVDES(H60,$B$1)="#NODATA","",_xll.EVDES(H60,$B$1))</f>
        <v>#NAME?</v>
      </c>
      <c r="O60" s="134">
        <v>43263.33</v>
      </c>
      <c r="P60" s="134">
        <v>40780.32</v>
      </c>
      <c r="Q60" s="134">
        <v>45270.080000000002</v>
      </c>
      <c r="R60" s="134">
        <v>36861.1</v>
      </c>
      <c r="S60" s="134">
        <v>35853</v>
      </c>
      <c r="T60" s="134">
        <v>36240.410000000003</v>
      </c>
      <c r="U60" s="134">
        <v>38018.400000000001</v>
      </c>
      <c r="V60" s="134">
        <v>34705.06</v>
      </c>
      <c r="W60" s="134">
        <v>30792.91</v>
      </c>
      <c r="X60" s="134">
        <v>31348.799999999999</v>
      </c>
      <c r="Y60" s="134">
        <v>30970.81</v>
      </c>
      <c r="Z60" s="134">
        <v>32393.18</v>
      </c>
      <c r="AA60" s="134" t="e">
        <f t="shared" ca="1" si="12"/>
        <v>#NAME?</v>
      </c>
      <c r="AB60" s="135" t="e">
        <f t="shared" ca="1" si="13"/>
        <v>#NAME?</v>
      </c>
      <c r="AC60" s="137"/>
      <c r="AD60" s="134">
        <v>660320.49381785397</v>
      </c>
      <c r="AE60" s="135" t="str">
        <f t="shared" ca="1" si="14"/>
        <v/>
      </c>
      <c r="AF60" s="136" t="e">
        <f t="shared" ca="1" si="15"/>
        <v>#NAME?</v>
      </c>
      <c r="AG60" s="134">
        <v>387960.69</v>
      </c>
      <c r="AH60" s="135" t="str">
        <f t="shared" ca="1" si="17"/>
        <v/>
      </c>
      <c r="AI60" s="136" t="e">
        <f t="shared" ca="1" si="18"/>
        <v>#NAME?</v>
      </c>
      <c r="AJ60" s="360">
        <f t="shared" ca="1" si="19"/>
        <v>0</v>
      </c>
      <c r="AK60" s="361">
        <f t="shared" ca="1" si="20"/>
        <v>0</v>
      </c>
      <c r="AL60" s="362">
        <f t="shared" ca="1" si="21"/>
        <v>0</v>
      </c>
      <c r="AM60" s="363">
        <f t="shared" ca="1" si="22"/>
        <v>0</v>
      </c>
      <c r="AN60" s="362">
        <f t="shared" ca="1" si="23"/>
        <v>0</v>
      </c>
    </row>
    <row r="61" spans="1:40" x14ac:dyDescent="0.25">
      <c r="A61" s="6" t="s">
        <v>15</v>
      </c>
      <c r="B61" s="7"/>
      <c r="H61" s="15" t="s">
        <v>865</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47">
        <v>62468.25</v>
      </c>
      <c r="P61" s="47">
        <v>53317.82</v>
      </c>
      <c r="Q61" s="47">
        <v>63630.5</v>
      </c>
      <c r="R61" s="47">
        <v>67017.91</v>
      </c>
      <c r="S61" s="47">
        <v>61016.45</v>
      </c>
      <c r="T61" s="47">
        <v>64255.43</v>
      </c>
      <c r="U61" s="47">
        <v>69265.06</v>
      </c>
      <c r="V61" s="47">
        <v>65149.41</v>
      </c>
      <c r="W61" s="47">
        <v>62664.22</v>
      </c>
      <c r="X61" s="47">
        <v>65219.22</v>
      </c>
      <c r="Y61" s="47">
        <v>62674.95</v>
      </c>
      <c r="Z61" s="47">
        <v>70950.58</v>
      </c>
      <c r="AA61" s="47" t="e">
        <f t="shared" ca="1" si="12"/>
        <v>#NAME?</v>
      </c>
      <c r="AB61" s="48" t="e">
        <f t="shared" ca="1" si="13"/>
        <v>#NAME?</v>
      </c>
      <c r="AD61" s="47">
        <v>655266.96</v>
      </c>
      <c r="AE61" s="48" t="str">
        <f t="shared" ca="1" si="14"/>
        <v/>
      </c>
      <c r="AF61" s="150" t="e">
        <f t="shared" ca="1" si="15"/>
        <v>#NAME?</v>
      </c>
      <c r="AG61" s="47">
        <v>954629.16</v>
      </c>
      <c r="AH61" s="48" t="str">
        <f t="shared" ca="1" si="17"/>
        <v/>
      </c>
      <c r="AI61" s="150" t="e">
        <f t="shared" ca="1" si="18"/>
        <v>#NAME?</v>
      </c>
      <c r="AJ61" s="353">
        <f t="shared" ca="1" si="19"/>
        <v>0</v>
      </c>
      <c r="AK61" s="354">
        <f t="shared" ca="1" si="20"/>
        <v>0</v>
      </c>
      <c r="AL61" s="355">
        <f t="shared" ca="1" si="21"/>
        <v>0</v>
      </c>
      <c r="AM61" s="356">
        <f t="shared" ca="1" si="22"/>
        <v>0</v>
      </c>
      <c r="AN61" s="355">
        <f t="shared" ca="1" si="23"/>
        <v>0</v>
      </c>
    </row>
    <row r="62" spans="1:40" x14ac:dyDescent="0.25">
      <c r="A62" s="6" t="s">
        <v>16</v>
      </c>
      <c r="B62" s="7" t="s">
        <v>78</v>
      </c>
      <c r="H62" s="15" t="s">
        <v>849</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47">
        <v>-576.57000000000005</v>
      </c>
      <c r="P62" s="47">
        <v>943.96</v>
      </c>
      <c r="Q62" s="47">
        <v>4120.66</v>
      </c>
      <c r="R62" s="47">
        <v>2994.9</v>
      </c>
      <c r="S62" s="47">
        <v>1120.55</v>
      </c>
      <c r="T62" s="47">
        <v>2522.12</v>
      </c>
      <c r="U62" s="47">
        <v>362.76</v>
      </c>
      <c r="V62" s="47">
        <v>-196.96</v>
      </c>
      <c r="W62" s="47">
        <v>1780.48</v>
      </c>
      <c r="X62" s="47">
        <v>4590.58</v>
      </c>
      <c r="Y62" s="47">
        <v>4104.4799999999996</v>
      </c>
      <c r="Z62" s="47">
        <v>5197.76</v>
      </c>
      <c r="AA62" s="30" t="e">
        <f t="shared" ca="1" si="12"/>
        <v>#NAME?</v>
      </c>
      <c r="AB62" s="48" t="e">
        <f t="shared" ca="1" si="13"/>
        <v>#NAME?</v>
      </c>
      <c r="AD62" s="30">
        <v>19307.396337939601</v>
      </c>
      <c r="AE62" s="31" t="str">
        <f t="shared" ca="1" si="14"/>
        <v/>
      </c>
      <c r="AF62" s="51" t="e">
        <f t="shared" ca="1" si="15"/>
        <v>#NAME?</v>
      </c>
      <c r="AG62" s="30">
        <v>30571.71</v>
      </c>
      <c r="AH62" s="31" t="str">
        <f t="shared" ca="1" si="17"/>
        <v/>
      </c>
      <c r="AI62" s="51" t="e">
        <f t="shared" ca="1" si="18"/>
        <v>#NAME?</v>
      </c>
      <c r="AJ62" s="357">
        <f t="shared" ca="1" si="19"/>
        <v>0</v>
      </c>
      <c r="AK62" s="358">
        <f t="shared" ca="1" si="20"/>
        <v>0</v>
      </c>
      <c r="AL62" s="141">
        <f t="shared" ca="1" si="21"/>
        <v>0</v>
      </c>
      <c r="AM62" s="359">
        <f t="shared" ca="1" si="22"/>
        <v>0</v>
      </c>
      <c r="AN62" s="141">
        <f t="shared" ca="1" si="23"/>
        <v>0</v>
      </c>
    </row>
    <row r="63" spans="1:40" x14ac:dyDescent="0.25">
      <c r="A63" s="6" t="s">
        <v>17</v>
      </c>
      <c r="B63" s="7"/>
      <c r="H63" s="15" t="s">
        <v>850</v>
      </c>
      <c r="I63" s="479" t="e">
        <f ca="1">_xll.EVPRO($B$1,$H63,"STYLE")</f>
        <v>#NAME?</v>
      </c>
      <c r="J63" s="479" t="e">
        <f ca="1">_xll.EVPRO($B$1,$H63,"CALC")</f>
        <v>#NAME?</v>
      </c>
      <c r="K63" s="480" t="e">
        <f t="shared" ca="1" si="16"/>
        <v>#NAME?</v>
      </c>
      <c r="L63" s="170" t="e">
        <f ca="1">_xll.EVPRO($B$1,H63,"JDEID")</f>
        <v>#NAME?</v>
      </c>
      <c r="M63" s="170" t="e">
        <f ca="1">IF(AND(I63="N",J63="N"),_xll.EVPRO($B$1,H63,"PSFTID"),"")</f>
        <v>#NAME?</v>
      </c>
      <c r="N63" s="170" t="e">
        <f ca="1">IF(_xll.EVDES(H63,$B$1)="#NODATA","",_xll.EVDES(H63,$B$1))</f>
        <v>#NAME?</v>
      </c>
      <c r="O63" s="134">
        <v>105155.01</v>
      </c>
      <c r="P63" s="134">
        <v>95042.1</v>
      </c>
      <c r="Q63" s="134">
        <v>113021.24</v>
      </c>
      <c r="R63" s="134">
        <v>106873.91</v>
      </c>
      <c r="S63" s="134">
        <v>97990</v>
      </c>
      <c r="T63" s="134">
        <v>103017.96</v>
      </c>
      <c r="U63" s="134">
        <v>107646.22</v>
      </c>
      <c r="V63" s="134">
        <v>99657.51</v>
      </c>
      <c r="W63" s="134">
        <v>95237.61</v>
      </c>
      <c r="X63" s="134">
        <v>101158.6</v>
      </c>
      <c r="Y63" s="134">
        <v>97750.24</v>
      </c>
      <c r="Z63" s="134">
        <v>108541.52</v>
      </c>
      <c r="AA63" s="134" t="e">
        <f t="shared" ca="1" si="12"/>
        <v>#NAME?</v>
      </c>
      <c r="AB63" s="135" t="e">
        <f t="shared" ca="1" si="13"/>
        <v>#NAME?</v>
      </c>
      <c r="AC63" s="137"/>
      <c r="AD63" s="134">
        <v>1334894.8501557901</v>
      </c>
      <c r="AE63" s="135" t="str">
        <f t="shared" ca="1" si="14"/>
        <v/>
      </c>
      <c r="AF63" s="136" t="e">
        <f t="shared" ca="1" si="15"/>
        <v>#NAME?</v>
      </c>
      <c r="AG63" s="134">
        <v>1373161.56</v>
      </c>
      <c r="AH63" s="135" t="str">
        <f t="shared" ca="1" si="17"/>
        <v/>
      </c>
      <c r="AI63" s="136" t="e">
        <f t="shared" ca="1" si="18"/>
        <v>#NAME?</v>
      </c>
      <c r="AJ63" s="360">
        <f t="shared" ca="1" si="19"/>
        <v>0</v>
      </c>
      <c r="AK63" s="361">
        <f t="shared" ca="1" si="20"/>
        <v>0</v>
      </c>
      <c r="AL63" s="362">
        <f t="shared" ca="1" si="21"/>
        <v>0</v>
      </c>
      <c r="AM63" s="363">
        <f t="shared" ca="1" si="22"/>
        <v>0</v>
      </c>
      <c r="AN63" s="362">
        <f t="shared" ca="1" si="23"/>
        <v>0</v>
      </c>
    </row>
    <row r="64" spans="1:40" x14ac:dyDescent="0.25">
      <c r="H64" s="15" t="s">
        <v>851</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47">
        <v>3737.5</v>
      </c>
      <c r="P64" s="47">
        <v>3164.88</v>
      </c>
      <c r="Q64" s="47">
        <v>3228.15</v>
      </c>
      <c r="R64" s="47">
        <v>2700.83</v>
      </c>
      <c r="S64" s="47">
        <v>2481.0700000000002</v>
      </c>
      <c r="T64" s="47">
        <v>2454.15</v>
      </c>
      <c r="U64" s="47">
        <v>2629.2</v>
      </c>
      <c r="V64" s="47">
        <v>2566.33</v>
      </c>
      <c r="W64" s="47">
        <v>2417.16</v>
      </c>
      <c r="X64" s="47">
        <v>1989.37</v>
      </c>
      <c r="Y64" s="47">
        <v>2672.5</v>
      </c>
      <c r="Z64" s="47">
        <v>3008.69</v>
      </c>
      <c r="AA64" s="47" t="e">
        <f t="shared" ca="1" si="12"/>
        <v>#NAME?</v>
      </c>
      <c r="AB64" s="48" t="e">
        <f t="shared" ca="1" si="13"/>
        <v>#NAME?</v>
      </c>
      <c r="AD64" s="47">
        <v>50385.928252619902</v>
      </c>
      <c r="AE64" s="48" t="str">
        <f t="shared" ca="1" si="14"/>
        <v/>
      </c>
      <c r="AF64" s="150" t="e">
        <f t="shared" ca="1" si="15"/>
        <v>#NAME?</v>
      </c>
      <c r="AG64" s="47">
        <v>37032.629999999997</v>
      </c>
      <c r="AH64" s="48" t="str">
        <f t="shared" ca="1" si="17"/>
        <v/>
      </c>
      <c r="AI64" s="150" t="e">
        <f t="shared" ca="1" si="18"/>
        <v>#NAME?</v>
      </c>
      <c r="AJ64" s="353">
        <f t="shared" ca="1" si="19"/>
        <v>0</v>
      </c>
      <c r="AK64" s="354">
        <f t="shared" ca="1" si="20"/>
        <v>0</v>
      </c>
      <c r="AL64" s="355">
        <f t="shared" ca="1" si="21"/>
        <v>0</v>
      </c>
      <c r="AM64" s="356">
        <f t="shared" ca="1" si="22"/>
        <v>0</v>
      </c>
      <c r="AN64" s="355">
        <f t="shared" ca="1" si="23"/>
        <v>0</v>
      </c>
    </row>
    <row r="65" spans="1:40" x14ac:dyDescent="0.25">
      <c r="A65" s="22" t="s">
        <v>92</v>
      </c>
      <c r="B65" s="23" t="s">
        <v>93</v>
      </c>
      <c r="C65" s="23" t="s">
        <v>94</v>
      </c>
      <c r="D65" s="23" t="s">
        <v>95</v>
      </c>
      <c r="E65" s="23" t="s">
        <v>96</v>
      </c>
      <c r="F65" s="24" t="s">
        <v>97</v>
      </c>
      <c r="H65" s="15" t="s">
        <v>852</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47">
        <v>5698.21</v>
      </c>
      <c r="P65" s="47">
        <v>5789.51</v>
      </c>
      <c r="Q65" s="47">
        <v>4567.58</v>
      </c>
      <c r="R65" s="47">
        <v>3522.55</v>
      </c>
      <c r="S65" s="47">
        <v>4210.5</v>
      </c>
      <c r="T65" s="47">
        <v>3477.93</v>
      </c>
      <c r="U65" s="47">
        <v>5862.49</v>
      </c>
      <c r="V65" s="47">
        <v>2837.53</v>
      </c>
      <c r="W65" s="47">
        <v>2901.21</v>
      </c>
      <c r="X65" s="47">
        <v>5614.78</v>
      </c>
      <c r="Y65" s="47">
        <v>5263.86</v>
      </c>
      <c r="Z65" s="47">
        <v>2503.9</v>
      </c>
      <c r="AA65" s="30" t="e">
        <f t="shared" ca="1" si="12"/>
        <v>#NAME?</v>
      </c>
      <c r="AB65" s="48" t="e">
        <f t="shared" ca="1" si="13"/>
        <v>#NAME?</v>
      </c>
      <c r="AD65" s="30">
        <v>60234.065390857701</v>
      </c>
      <c r="AE65" s="31" t="str">
        <f t="shared" ca="1" si="14"/>
        <v/>
      </c>
      <c r="AF65" s="51" t="e">
        <f t="shared" ca="1" si="15"/>
        <v>#NAME?</v>
      </c>
      <c r="AG65" s="30">
        <v>46862.32</v>
      </c>
      <c r="AH65" s="31" t="str">
        <f t="shared" ca="1" si="17"/>
        <v/>
      </c>
      <c r="AI65" s="51" t="e">
        <f t="shared" ca="1" si="18"/>
        <v>#NAME?</v>
      </c>
      <c r="AJ65" s="350">
        <f t="shared" ca="1" si="19"/>
        <v>0</v>
      </c>
      <c r="AK65" s="351">
        <f t="shared" ca="1" si="20"/>
        <v>0</v>
      </c>
      <c r="AL65" s="140">
        <f t="shared" ca="1" si="21"/>
        <v>0</v>
      </c>
      <c r="AM65" s="352">
        <f t="shared" ca="1" si="22"/>
        <v>0</v>
      </c>
      <c r="AN65" s="140">
        <f t="shared" ca="1" si="23"/>
        <v>0</v>
      </c>
    </row>
    <row r="66" spans="1:40" x14ac:dyDescent="0.25">
      <c r="H66" s="15" t="s">
        <v>853</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47">
        <v>9008.61</v>
      </c>
      <c r="P66" s="47">
        <v>7962.97</v>
      </c>
      <c r="Q66" s="47">
        <v>7510.05</v>
      </c>
      <c r="R66" s="47">
        <v>8508.16</v>
      </c>
      <c r="S66" s="47">
        <v>11448.37</v>
      </c>
      <c r="T66" s="47">
        <v>7432.21</v>
      </c>
      <c r="U66" s="47">
        <v>7968.52</v>
      </c>
      <c r="V66" s="47">
        <v>9255.2999999999993</v>
      </c>
      <c r="W66" s="47">
        <v>8101.44</v>
      </c>
      <c r="X66" s="47">
        <v>7611.42</v>
      </c>
      <c r="Y66" s="47">
        <v>6443.68</v>
      </c>
      <c r="Z66" s="47">
        <v>5131.3</v>
      </c>
      <c r="AA66" s="30" t="e">
        <f t="shared" ca="1" si="12"/>
        <v>#NAME?</v>
      </c>
      <c r="AB66" s="48" t="e">
        <f t="shared" ca="1" si="13"/>
        <v>#NAME?</v>
      </c>
      <c r="AD66" s="30">
        <v>79060.501678645902</v>
      </c>
      <c r="AE66" s="31" t="str">
        <f t="shared" ca="1" si="14"/>
        <v/>
      </c>
      <c r="AF66" s="51" t="e">
        <f t="shared" ca="1" si="15"/>
        <v>#NAME?</v>
      </c>
      <c r="AG66" s="30">
        <v>61737.69</v>
      </c>
      <c r="AH66" s="31" t="str">
        <f t="shared" ca="1" si="17"/>
        <v/>
      </c>
      <c r="AI66" s="51" t="e">
        <f t="shared" ca="1" si="18"/>
        <v>#NAME?</v>
      </c>
      <c r="AJ66" s="357">
        <f t="shared" ca="1" si="19"/>
        <v>0</v>
      </c>
      <c r="AK66" s="358">
        <f t="shared" ca="1" si="20"/>
        <v>0</v>
      </c>
      <c r="AL66" s="141">
        <f t="shared" ca="1" si="21"/>
        <v>0</v>
      </c>
      <c r="AM66" s="359">
        <f t="shared" ca="1" si="22"/>
        <v>0</v>
      </c>
      <c r="AN66" s="141">
        <f t="shared" ca="1" si="23"/>
        <v>0</v>
      </c>
    </row>
    <row r="67" spans="1:40" x14ac:dyDescent="0.25">
      <c r="A67" s="1" t="s">
        <v>108</v>
      </c>
      <c r="C67" s="26" t="s">
        <v>101</v>
      </c>
      <c r="D67" s="1" t="s">
        <v>106</v>
      </c>
      <c r="F67" s="1" t="s">
        <v>98</v>
      </c>
      <c r="G67" s="14"/>
      <c r="H67" s="15" t="s">
        <v>854</v>
      </c>
      <c r="I67" s="479" t="e">
        <f ca="1">_xll.EVPRO($B$1,$H67,"STYLE")</f>
        <v>#NAME?</v>
      </c>
      <c r="J67" s="479" t="e">
        <f ca="1">_xll.EVPRO($B$1,$H67,"CALC")</f>
        <v>#NAME?</v>
      </c>
      <c r="K67" s="480" t="e">
        <f t="shared" ca="1" si="16"/>
        <v>#NAME?</v>
      </c>
      <c r="L67" s="170" t="e">
        <f ca="1">_xll.EVPRO($B$1,H67,"JDEID")</f>
        <v>#NAME?</v>
      </c>
      <c r="M67" s="170" t="e">
        <f ca="1">IF(AND(I67="N",J67="N"),_xll.EVPRO($B$1,H67,"PSFTID"),"")</f>
        <v>#NAME?</v>
      </c>
      <c r="N67" s="170" t="e">
        <f ca="1">IF(_xll.EVDES(H67,$B$1)="#NODATA","",_xll.EVDES(H67,$B$1))</f>
        <v>#NAME?</v>
      </c>
      <c r="O67" s="36">
        <v>18444.32</v>
      </c>
      <c r="P67" s="36">
        <v>16917.36</v>
      </c>
      <c r="Q67" s="36">
        <v>15305.78</v>
      </c>
      <c r="R67" s="36">
        <v>14731.54</v>
      </c>
      <c r="S67" s="36">
        <v>18139.939999999999</v>
      </c>
      <c r="T67" s="36">
        <v>13364.29</v>
      </c>
      <c r="U67" s="36">
        <v>16460.21</v>
      </c>
      <c r="V67" s="36">
        <v>14659.16</v>
      </c>
      <c r="W67" s="36">
        <v>13419.81</v>
      </c>
      <c r="X67" s="36">
        <v>15215.57</v>
      </c>
      <c r="Y67" s="36">
        <v>14380.04</v>
      </c>
      <c r="Z67" s="36">
        <v>10643.89</v>
      </c>
      <c r="AA67" s="36" t="e">
        <f t="shared" ca="1" si="12"/>
        <v>#NAME?</v>
      </c>
      <c r="AB67" s="37" t="e">
        <f t="shared" ca="1" si="13"/>
        <v>#NAME?</v>
      </c>
      <c r="AC67" s="35"/>
      <c r="AD67" s="36">
        <v>189680.49532212401</v>
      </c>
      <c r="AE67" s="37" t="str">
        <f t="shared" ca="1" si="14"/>
        <v/>
      </c>
      <c r="AF67" s="58" t="e">
        <f t="shared" ca="1" si="15"/>
        <v>#NAME?</v>
      </c>
      <c r="AG67" s="36">
        <v>145632.64000000001</v>
      </c>
      <c r="AH67" s="37" t="str">
        <f t="shared" ca="1" si="17"/>
        <v/>
      </c>
      <c r="AI67" s="58" t="e">
        <f t="shared" ca="1" si="18"/>
        <v>#NAME?</v>
      </c>
      <c r="AJ67" s="372">
        <f t="shared" ca="1" si="19"/>
        <v>0</v>
      </c>
      <c r="AK67" s="373">
        <f t="shared" ca="1" si="20"/>
        <v>0</v>
      </c>
      <c r="AL67" s="374">
        <f t="shared" ca="1" si="21"/>
        <v>0</v>
      </c>
      <c r="AM67" s="375">
        <f t="shared" ca="1" si="22"/>
        <v>0</v>
      </c>
      <c r="AN67" s="374">
        <f t="shared" ca="1" si="23"/>
        <v>0</v>
      </c>
    </row>
    <row r="68" spans="1:40" x14ac:dyDescent="0.25">
      <c r="A68" s="1" t="s">
        <v>100</v>
      </c>
      <c r="C68" s="8" t="s">
        <v>101</v>
      </c>
      <c r="D68" s="1" t="s">
        <v>106</v>
      </c>
      <c r="F68" s="1" t="s">
        <v>98</v>
      </c>
      <c r="H68" s="15" t="s">
        <v>76</v>
      </c>
      <c r="I68" s="479" t="e">
        <f ca="1">_xll.EVPRO($B$1,$H68,"STYLE")</f>
        <v>#NAME?</v>
      </c>
      <c r="J68" s="479" t="e">
        <f ca="1">_xll.EVPRO($B$1,$H68,"CALC")</f>
        <v>#NAME?</v>
      </c>
      <c r="K68" s="480" t="e">
        <f t="shared" ca="1" si="16"/>
        <v>#NAME?</v>
      </c>
      <c r="L68" s="170" t="e">
        <f ca="1">_xll.EVPRO($B$1,H68,"JDEID")</f>
        <v>#NAME?</v>
      </c>
      <c r="M68" s="170" t="e">
        <f ca="1">IF(AND(I68="N",J68="N"),_xll.EVPRO($B$1,H68,"PSFTID"),"")</f>
        <v>#NAME?</v>
      </c>
      <c r="N68" s="170" t="e">
        <f ca="1">IF(_xll.EVDES(H68,$B$1)="#NODATA","",_xll.EVDES(H68,$B$1))</f>
        <v>#NAME?</v>
      </c>
      <c r="O68" s="36">
        <v>123599.33</v>
      </c>
      <c r="P68" s="36">
        <v>111959.46</v>
      </c>
      <c r="Q68" s="36">
        <v>128327.02</v>
      </c>
      <c r="R68" s="36">
        <v>121605.45</v>
      </c>
      <c r="S68" s="36">
        <v>116129.94</v>
      </c>
      <c r="T68" s="36">
        <v>116382.25</v>
      </c>
      <c r="U68" s="36">
        <v>124106.43</v>
      </c>
      <c r="V68" s="36">
        <v>114316.67</v>
      </c>
      <c r="W68" s="36">
        <v>108657.42</v>
      </c>
      <c r="X68" s="36">
        <v>116374.17</v>
      </c>
      <c r="Y68" s="36">
        <v>112130.28</v>
      </c>
      <c r="Z68" s="36">
        <v>119185.41</v>
      </c>
      <c r="AA68" s="36" t="e">
        <f t="shared" ca="1" si="12"/>
        <v>#NAME?</v>
      </c>
      <c r="AB68" s="37" t="e">
        <f t="shared" ca="1" si="13"/>
        <v>#NAME?</v>
      </c>
      <c r="AC68" s="35"/>
      <c r="AD68" s="36">
        <v>1524575.34547792</v>
      </c>
      <c r="AE68" s="37" t="str">
        <f t="shared" ca="1" si="14"/>
        <v/>
      </c>
      <c r="AF68" s="58" t="e">
        <f t="shared" ca="1" si="15"/>
        <v>#NAME?</v>
      </c>
      <c r="AG68" s="36">
        <v>1518794.2</v>
      </c>
      <c r="AH68" s="37" t="str">
        <f t="shared" ca="1" si="17"/>
        <v/>
      </c>
      <c r="AI68" s="58" t="e">
        <f t="shared" ca="1" si="18"/>
        <v>#NAME?</v>
      </c>
      <c r="AJ68" s="364">
        <f t="shared" ca="1" si="19"/>
        <v>0</v>
      </c>
      <c r="AK68" s="365">
        <f t="shared" ca="1" si="20"/>
        <v>0</v>
      </c>
      <c r="AL68" s="366">
        <f t="shared" ca="1" si="21"/>
        <v>0</v>
      </c>
      <c r="AM68" s="367">
        <f t="shared" ca="1" si="22"/>
        <v>0</v>
      </c>
      <c r="AN68" s="366">
        <f t="shared" ca="1" si="23"/>
        <v>0</v>
      </c>
    </row>
    <row r="69" spans="1:40" x14ac:dyDescent="0.25">
      <c r="A69" s="1" t="s">
        <v>109</v>
      </c>
      <c r="C69" s="25" t="s">
        <v>101</v>
      </c>
      <c r="D69" s="1" t="s">
        <v>106</v>
      </c>
      <c r="F69" s="1" t="s">
        <v>98</v>
      </c>
      <c r="O69" s="41"/>
      <c r="P69" s="45"/>
      <c r="Q69" s="45"/>
      <c r="R69" s="45"/>
      <c r="S69" s="45"/>
      <c r="T69" s="45"/>
      <c r="U69" s="45"/>
      <c r="V69" s="45"/>
      <c r="W69" s="45"/>
      <c r="X69" s="45"/>
      <c r="Y69" s="45"/>
      <c r="Z69" s="45"/>
      <c r="AA69" s="45"/>
      <c r="AB69" s="42"/>
      <c r="AD69" s="41"/>
      <c r="AE69" s="45"/>
      <c r="AF69" s="42"/>
      <c r="AG69" s="41"/>
      <c r="AH69" s="45"/>
      <c r="AI69" s="42"/>
    </row>
    <row r="70" spans="1:40" x14ac:dyDescent="0.25">
      <c r="A70" s="1" t="s">
        <v>109</v>
      </c>
      <c r="C70" s="151" t="s">
        <v>101</v>
      </c>
      <c r="D70" s="1" t="s">
        <v>107</v>
      </c>
      <c r="F70" s="1" t="s">
        <v>99</v>
      </c>
      <c r="H70" s="1" t="s">
        <v>82</v>
      </c>
      <c r="I70" s="11" t="e">
        <f ca="1">_xll.EVPRO($B$1,$H70,"STYLE")</f>
        <v>#NAME?</v>
      </c>
      <c r="J70" s="11" t="e">
        <f ca="1">_xll.EVPRO($B$1,$H70,"CALC")</f>
        <v>#NAME?</v>
      </c>
      <c r="N70" s="40" t="e">
        <f ca="1">IF(_xll.EVDES(H70,$B$1)="#NODATA","",_xll.EVDES(H70,$B$1))</f>
        <v>#NAME?</v>
      </c>
      <c r="O70" s="43"/>
      <c r="P70" s="46"/>
      <c r="Q70" s="46"/>
      <c r="R70" s="46"/>
      <c r="S70" s="46"/>
      <c r="T70" s="46"/>
      <c r="U70" s="46"/>
      <c r="V70" s="46"/>
      <c r="W70" s="46"/>
      <c r="X70" s="46"/>
      <c r="Y70" s="46"/>
      <c r="Z70" s="46"/>
      <c r="AA70" s="46"/>
      <c r="AB70" s="44"/>
      <c r="AD70" s="43"/>
      <c r="AE70" s="46"/>
      <c r="AF70" s="44"/>
      <c r="AG70" s="43"/>
      <c r="AH70" s="46"/>
      <c r="AI70" s="44"/>
    </row>
    <row r="71" spans="1:40" x14ac:dyDescent="0.25">
      <c r="A71" s="1" t="s">
        <v>110</v>
      </c>
      <c r="C71" s="25" t="s">
        <v>101</v>
      </c>
      <c r="D71" s="1" t="s">
        <v>106</v>
      </c>
      <c r="F71" s="1" t="s">
        <v>98</v>
      </c>
      <c r="H71" s="15" t="s">
        <v>869</v>
      </c>
      <c r="I71" s="161" t="e">
        <f ca="1">_xll.EVPRO($B$1,$H71,"STYLE")</f>
        <v>#NAME?</v>
      </c>
      <c r="J71" s="161" t="e">
        <f ca="1">_xll.EVPRO($B$1,$H71,"CALC")</f>
        <v>#NAME?</v>
      </c>
      <c r="K71" s="68" t="e">
        <f ca="1">IF(AND(I71&lt;&gt;"B1",J71="Y"),"&gt;","")</f>
        <v>#NAME?</v>
      </c>
      <c r="L71" s="162" t="e">
        <f ca="1">_xll.EVPRO($B$1,H71,"JDEID")</f>
        <v>#NAME?</v>
      </c>
      <c r="M71" s="162" t="e">
        <f ca="1">IF(AND(I71="N",J71="N"),_xll.EVPRO($B$1,H71,"PSFTID"),"")</f>
        <v>#NAME?</v>
      </c>
      <c r="N71" s="162" t="e">
        <f ca="1">IF(_xll.EVDES(H71,$B$1)="#NODATA","",_xll.EVDES(H71,$B$1))</f>
        <v>#NAME?</v>
      </c>
      <c r="O71" s="21">
        <v>621.59</v>
      </c>
      <c r="P71" s="21">
        <v>644.33000000000004</v>
      </c>
      <c r="Q71" s="21">
        <v>1014.36</v>
      </c>
      <c r="R71" s="21">
        <v>767</v>
      </c>
      <c r="S71" s="21">
        <v>1047.5999999999999</v>
      </c>
      <c r="T71" s="21">
        <v>1025.7</v>
      </c>
      <c r="U71" s="21">
        <v>856.74</v>
      </c>
      <c r="V71" s="21">
        <v>558.54</v>
      </c>
      <c r="W71" s="21">
        <v>529.76</v>
      </c>
      <c r="X71" s="21">
        <v>678.18</v>
      </c>
      <c r="Y71" s="21">
        <v>347.02</v>
      </c>
      <c r="Z71" s="21">
        <v>843.63</v>
      </c>
      <c r="AA71" s="21" t="e">
        <f t="shared" ref="AA71:AA94" ca="1" si="24">IF($I71="B1","",SUM(O71:Z71))</f>
        <v>#NAME?</v>
      </c>
      <c r="AB71" s="17" t="e">
        <f t="shared" ref="AB71:AB94" ca="1" si="25">IF(AA71=0,"",IFERROR(AA71/AA$19,""))</f>
        <v>#NAME?</v>
      </c>
      <c r="AD71" s="21">
        <v>9990.0258029165998</v>
      </c>
      <c r="AE71" s="17" t="str">
        <f t="shared" ref="AE71:AE94" ca="1" si="26">IF(AD71=0,"",IFERROR(AD71/AD$19,""))</f>
        <v/>
      </c>
      <c r="AF71" s="50" t="e">
        <f t="shared" ref="AF71:AF94" ca="1" si="27">IF(AND($AA71="",AD71=""),"",$AA71-AD71)</f>
        <v>#NAME?</v>
      </c>
      <c r="AG71" s="21">
        <v>11388</v>
      </c>
      <c r="AH71" s="17" t="str">
        <f ca="1">IF(AG71=0,"",IFERROR(AG71/AG$19,""))</f>
        <v/>
      </c>
      <c r="AI71" s="50" t="e">
        <f ca="1">IF(AND($AA71="",AG71=""),"",$AA71-AG71)</f>
        <v>#NAME?</v>
      </c>
      <c r="AJ71" s="350">
        <f ca="1">IFERROR(AA71/AA$20,0)</f>
        <v>0</v>
      </c>
      <c r="AK71" s="351">
        <f ca="1">IFERROR(AD71/AD$20,0)</f>
        <v>0</v>
      </c>
      <c r="AL71" s="140">
        <f ca="1">AJ71-AK71</f>
        <v>0</v>
      </c>
      <c r="AM71" s="352">
        <f ca="1">IFERROR(AG71/AG$20,0)</f>
        <v>0</v>
      </c>
      <c r="AN71" s="140">
        <f ca="1">AJ71-AM71</f>
        <v>0</v>
      </c>
    </row>
    <row r="72" spans="1:40" x14ac:dyDescent="0.25">
      <c r="A72" s="1" t="s">
        <v>110</v>
      </c>
      <c r="C72" s="29" t="s">
        <v>101</v>
      </c>
      <c r="D72" s="1" t="s">
        <v>107</v>
      </c>
      <c r="F72" s="1" t="s">
        <v>99</v>
      </c>
      <c r="G72" s="14"/>
      <c r="H72" s="15" t="s">
        <v>832</v>
      </c>
      <c r="I72" s="161" t="e">
        <f ca="1">_xll.EVPRO($B$1,$H72,"STYLE")</f>
        <v>#NAME?</v>
      </c>
      <c r="J72" s="161" t="e">
        <f ca="1">_xll.EVPRO($B$1,$H72,"CALC")</f>
        <v>#NAME?</v>
      </c>
      <c r="K72" s="68" t="e">
        <f t="shared" ref="K72:K93" ca="1" si="28">IF(AND(I72&lt;&gt;"B1",J72="Y"),"&gt;","")</f>
        <v>#NAME?</v>
      </c>
      <c r="L72" s="162" t="e">
        <f ca="1">_xll.EVPRO($B$1,H72,"JDEID")</f>
        <v>#NAME?</v>
      </c>
      <c r="M72" s="162" t="e">
        <f ca="1">IF(AND(I72="N",J72="N"),_xll.EVPRO($B$1,H72,"PSFTID"),"")</f>
        <v>#NAME?</v>
      </c>
      <c r="N72" s="162" t="e">
        <f ca="1">IF(_xll.EVDES(H72,$B$1)="#NODATA","",_xll.EVDES(H72,$B$1))</f>
        <v>#NAME?</v>
      </c>
      <c r="O72" s="21">
        <v>3735.58</v>
      </c>
      <c r="P72" s="21">
        <v>3425.34</v>
      </c>
      <c r="Q72" s="21">
        <v>4301.1400000000003</v>
      </c>
      <c r="R72" s="21">
        <v>3213.34</v>
      </c>
      <c r="S72" s="21">
        <v>4280.4799999999996</v>
      </c>
      <c r="T72" s="21">
        <v>3368.05</v>
      </c>
      <c r="U72" s="21">
        <v>2983.45</v>
      </c>
      <c r="V72" s="21">
        <v>4154.95</v>
      </c>
      <c r="W72" s="21">
        <v>3715.48</v>
      </c>
      <c r="X72" s="21">
        <v>4113.22</v>
      </c>
      <c r="Y72" s="21">
        <v>2858.61</v>
      </c>
      <c r="Z72" s="21">
        <v>5251.9</v>
      </c>
      <c r="AA72" s="21" t="e">
        <f t="shared" ca="1" si="24"/>
        <v>#NAME?</v>
      </c>
      <c r="AB72" s="17" t="e">
        <f t="shared" ca="1" si="25"/>
        <v>#NAME?</v>
      </c>
      <c r="AD72" s="21">
        <v>42932.32</v>
      </c>
      <c r="AE72" s="17" t="str">
        <f t="shared" ca="1" si="26"/>
        <v/>
      </c>
      <c r="AF72" s="50" t="e">
        <f t="shared" ca="1" si="27"/>
        <v>#NAME?</v>
      </c>
      <c r="AG72" s="21">
        <v>43316.67</v>
      </c>
      <c r="AH72" s="17" t="str">
        <f t="shared" ref="AH72:AH93" ca="1" si="29">IF(AG72=0,"",IFERROR(AG72/AG$19,""))</f>
        <v/>
      </c>
      <c r="AI72" s="50" t="e">
        <f t="shared" ref="AI72:AI93" ca="1" si="30">IF(AND($AA72="",AG72=""),"",$AA72-AG72)</f>
        <v>#NAME?</v>
      </c>
      <c r="AJ72" s="350">
        <f t="shared" ref="AJ72:AJ93" ca="1" si="31">IFERROR(AA72/AA$20,0)</f>
        <v>0</v>
      </c>
      <c r="AK72" s="351">
        <f t="shared" ref="AK72:AK93" ca="1" si="32">IFERROR(AD72/AD$20,0)</f>
        <v>0</v>
      </c>
      <c r="AL72" s="140">
        <f t="shared" ref="AL72:AL93" ca="1" si="33">AJ72-AK72</f>
        <v>0</v>
      </c>
      <c r="AM72" s="352">
        <f t="shared" ref="AM72:AM93" ca="1" si="34">IFERROR(AG72/AG$20,0)</f>
        <v>0</v>
      </c>
      <c r="AN72" s="140">
        <f t="shared" ref="AN72:AN93" ca="1" si="35">AJ72-AM72</f>
        <v>0</v>
      </c>
    </row>
    <row r="73" spans="1:40" x14ac:dyDescent="0.25">
      <c r="C73" s="32"/>
      <c r="G73" s="14"/>
      <c r="H73" s="15" t="s">
        <v>856</v>
      </c>
      <c r="I73" s="161" t="e">
        <f ca="1">_xll.EVPRO($B$1,$H73,"STYLE")</f>
        <v>#NAME?</v>
      </c>
      <c r="J73" s="161" t="e">
        <f ca="1">_xll.EVPRO($B$1,$H73,"CALC")</f>
        <v>#NAME?</v>
      </c>
      <c r="K73" s="68" t="e">
        <f t="shared" ca="1" si="28"/>
        <v>#NAME?</v>
      </c>
      <c r="L73" s="162" t="e">
        <f ca="1">_xll.EVPRO($B$1,H73,"JDEID")</f>
        <v>#NAME?</v>
      </c>
      <c r="M73" s="162" t="e">
        <f ca="1">IF(AND(I73="N",J73="N"),_xll.EVPRO($B$1,H73,"PSFTID"),"")</f>
        <v>#NAME?</v>
      </c>
      <c r="N73" s="162" t="e">
        <f ca="1">IF(_xll.EVDES(H73,$B$1)="#NODATA","",_xll.EVDES(H73,$B$1))</f>
        <v>#NAME?</v>
      </c>
      <c r="O73" s="21">
        <v>1728.86</v>
      </c>
      <c r="P73" s="21">
        <v>1728.59</v>
      </c>
      <c r="Q73" s="21">
        <v>1671.33</v>
      </c>
      <c r="R73" s="21">
        <v>1288.55</v>
      </c>
      <c r="S73" s="21">
        <v>1421.27</v>
      </c>
      <c r="T73" s="21">
        <v>1587.94</v>
      </c>
      <c r="U73" s="21">
        <v>966.08</v>
      </c>
      <c r="V73" s="21">
        <v>1859.28</v>
      </c>
      <c r="W73" s="21">
        <v>1142.0999999999999</v>
      </c>
      <c r="X73" s="21">
        <v>1217.6099999999999</v>
      </c>
      <c r="Y73" s="21">
        <v>1347.43</v>
      </c>
      <c r="Z73" s="21">
        <v>1930.87</v>
      </c>
      <c r="AA73" s="21" t="e">
        <f t="shared" ca="1" si="24"/>
        <v>#NAME?</v>
      </c>
      <c r="AB73" s="17" t="e">
        <f t="shared" ca="1" si="25"/>
        <v>#NAME?</v>
      </c>
      <c r="AD73" s="21">
        <v>20213.97</v>
      </c>
      <c r="AE73" s="17" t="str">
        <f t="shared" ca="1" si="26"/>
        <v/>
      </c>
      <c r="AF73" s="50" t="e">
        <f t="shared" ca="1" si="27"/>
        <v>#NAME?</v>
      </c>
      <c r="AG73" s="21">
        <v>20792.75</v>
      </c>
      <c r="AH73" s="17" t="str">
        <f t="shared" ca="1" si="29"/>
        <v/>
      </c>
      <c r="AI73" s="50" t="e">
        <f t="shared" ca="1" si="30"/>
        <v>#NAME?</v>
      </c>
      <c r="AJ73" s="350">
        <f t="shared" ca="1" si="31"/>
        <v>0</v>
      </c>
      <c r="AK73" s="351">
        <f t="shared" ca="1" si="32"/>
        <v>0</v>
      </c>
      <c r="AL73" s="140">
        <f t="shared" ca="1" si="33"/>
        <v>0</v>
      </c>
      <c r="AM73" s="352">
        <f t="shared" ca="1" si="34"/>
        <v>0</v>
      </c>
      <c r="AN73" s="140">
        <f t="shared" ca="1" si="35"/>
        <v>0</v>
      </c>
    </row>
    <row r="74" spans="1:40" x14ac:dyDescent="0.25">
      <c r="H74" s="15" t="s">
        <v>930</v>
      </c>
      <c r="I74" s="161" t="e">
        <f ca="1">_xll.EVPRO($B$1,$H74,"STYLE")</f>
        <v>#NAME?</v>
      </c>
      <c r="J74" s="161" t="e">
        <f ca="1">_xll.EVPRO($B$1,$H74,"CALC")</f>
        <v>#NAME?</v>
      </c>
      <c r="K74" s="68" t="e">
        <f t="shared" ca="1" si="28"/>
        <v>#NAME?</v>
      </c>
      <c r="L74" s="162" t="e">
        <f ca="1">_xll.EVPRO($B$1,H74,"JDEID")</f>
        <v>#NAME?</v>
      </c>
      <c r="M74" s="162" t="e">
        <f ca="1">IF(AND(I74="N",J74="N"),_xll.EVPRO($B$1,H74,"PSFTID"),"")</f>
        <v>#NAME?</v>
      </c>
      <c r="N74" s="162" t="e">
        <f ca="1">IF(_xll.EVDES(H74,$B$1)="#NODATA","",_xll.EVDES(H74,$B$1))</f>
        <v>#NAME?</v>
      </c>
      <c r="O74" s="21">
        <v>3024.8</v>
      </c>
      <c r="P74" s="21">
        <v>3006.72</v>
      </c>
      <c r="Q74" s="21">
        <v>3455.39</v>
      </c>
      <c r="R74" s="21">
        <v>3763.28</v>
      </c>
      <c r="S74" s="21">
        <v>2859.46</v>
      </c>
      <c r="T74" s="21">
        <v>2986.42</v>
      </c>
      <c r="U74" s="21">
        <v>2489.4</v>
      </c>
      <c r="V74" s="21">
        <v>2940.33</v>
      </c>
      <c r="W74" s="21">
        <v>3551.25</v>
      </c>
      <c r="X74" s="21">
        <v>2597.0500000000002</v>
      </c>
      <c r="Y74" s="21">
        <v>2152.9699999999998</v>
      </c>
      <c r="Z74" s="21">
        <v>3079.63</v>
      </c>
      <c r="AA74" s="21" t="e">
        <f t="shared" ca="1" si="24"/>
        <v>#NAME?</v>
      </c>
      <c r="AB74" s="17" t="e">
        <f t="shared" ca="1" si="25"/>
        <v>#NAME?</v>
      </c>
      <c r="AD74" s="21">
        <v>37127.699999999997</v>
      </c>
      <c r="AE74" s="17" t="str">
        <f t="shared" ca="1" si="26"/>
        <v/>
      </c>
      <c r="AF74" s="50" t="e">
        <f t="shared" ca="1" si="27"/>
        <v>#NAME?</v>
      </c>
      <c r="AG74" s="21">
        <v>39274.68</v>
      </c>
      <c r="AH74" s="17" t="str">
        <f t="shared" ca="1" si="29"/>
        <v/>
      </c>
      <c r="AI74" s="50" t="e">
        <f t="shared" ca="1" si="30"/>
        <v>#NAME?</v>
      </c>
      <c r="AJ74" s="350">
        <f t="shared" ca="1" si="31"/>
        <v>0</v>
      </c>
      <c r="AK74" s="351">
        <f t="shared" ca="1" si="32"/>
        <v>0</v>
      </c>
      <c r="AL74" s="140">
        <f t="shared" ca="1" si="33"/>
        <v>0</v>
      </c>
      <c r="AM74" s="352">
        <f t="shared" ca="1" si="34"/>
        <v>0</v>
      </c>
      <c r="AN74" s="140">
        <f t="shared" ca="1" si="35"/>
        <v>0</v>
      </c>
    </row>
    <row r="75" spans="1:40" x14ac:dyDescent="0.25">
      <c r="A75" s="4" t="e">
        <f ca="1">_xll.EVDRE($B$1,A78:B85)</f>
        <v>#NAME?</v>
      </c>
      <c r="B75" s="1" t="s">
        <v>736</v>
      </c>
      <c r="H75" s="15" t="s">
        <v>858</v>
      </c>
      <c r="I75" s="161" t="e">
        <f ca="1">_xll.EVPRO($B$1,$H75,"STYLE")</f>
        <v>#NAME?</v>
      </c>
      <c r="J75" s="161" t="e">
        <f ca="1">_xll.EVPRO($B$1,$H75,"CALC")</f>
        <v>#NAME?</v>
      </c>
      <c r="K75" s="68" t="e">
        <f t="shared" ca="1" si="28"/>
        <v>#NAME?</v>
      </c>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v>1150</v>
      </c>
      <c r="Y75" s="21"/>
      <c r="Z75" s="21">
        <v>4908.97</v>
      </c>
      <c r="AA75" s="21" t="e">
        <f t="shared" ca="1" si="24"/>
        <v>#NAME?</v>
      </c>
      <c r="AB75" s="17" t="e">
        <f t="shared" ca="1" si="25"/>
        <v>#NAME?</v>
      </c>
      <c r="AD75" s="21">
        <v>5755</v>
      </c>
      <c r="AE75" s="17" t="str">
        <f t="shared" ca="1" si="26"/>
        <v/>
      </c>
      <c r="AF75" s="50" t="e">
        <f t="shared" ca="1" si="27"/>
        <v>#NAME?</v>
      </c>
      <c r="AG75" s="21">
        <v>5836.45</v>
      </c>
      <c r="AH75" s="17" t="str">
        <f t="shared" ca="1" si="29"/>
        <v/>
      </c>
      <c r="AI75" s="50" t="e">
        <f t="shared" ca="1" si="30"/>
        <v>#NAME?</v>
      </c>
      <c r="AJ75" s="350">
        <f t="shared" ca="1" si="31"/>
        <v>0</v>
      </c>
      <c r="AK75" s="351">
        <f t="shared" ca="1" si="32"/>
        <v>0</v>
      </c>
      <c r="AL75" s="140">
        <f t="shared" ca="1" si="33"/>
        <v>0</v>
      </c>
      <c r="AM75" s="352">
        <f t="shared" ca="1" si="34"/>
        <v>0</v>
      </c>
      <c r="AN75" s="140">
        <f t="shared" ca="1" si="35"/>
        <v>0</v>
      </c>
    </row>
    <row r="76" spans="1:40" x14ac:dyDescent="0.25">
      <c r="H76" s="15" t="s">
        <v>931</v>
      </c>
      <c r="I76" s="161" t="e">
        <f ca="1">_xll.EVPRO($B$1,$H76,"STYLE")</f>
        <v>#NAME?</v>
      </c>
      <c r="J76" s="161" t="e">
        <f ca="1">_xll.EVPRO($B$1,$H76,"CALC")</f>
        <v>#NAME?</v>
      </c>
      <c r="K76" s="68" t="e">
        <f t="shared" ca="1" si="28"/>
        <v>#NAME?</v>
      </c>
      <c r="L76" s="162" t="e">
        <f ca="1">_xll.EVPRO($B$1,H76,"JDEID")</f>
        <v>#NAME?</v>
      </c>
      <c r="M76" s="162" t="e">
        <f ca="1">IF(AND(I76="N",J76="N"),_xll.EVPRO($B$1,H76,"PSFTID"),"")</f>
        <v>#NAME?</v>
      </c>
      <c r="N76" s="162" t="e">
        <f ca="1">IF(_xll.EVDES(H76,$B$1)="#NODATA","",_xll.EVDES(H76,$B$1))</f>
        <v>#NAME?</v>
      </c>
      <c r="O76" s="21">
        <v>20742.439999999999</v>
      </c>
      <c r="P76" s="21">
        <v>19900.97</v>
      </c>
      <c r="Q76" s="21">
        <v>20715.490000000002</v>
      </c>
      <c r="R76" s="21">
        <v>20935.07</v>
      </c>
      <c r="S76" s="21">
        <v>18799.900000000001</v>
      </c>
      <c r="T76" s="21">
        <v>22851.93</v>
      </c>
      <c r="U76" s="21">
        <v>24175.23</v>
      </c>
      <c r="V76" s="21">
        <v>22287.95</v>
      </c>
      <c r="W76" s="21">
        <v>17811.849999999999</v>
      </c>
      <c r="X76" s="21">
        <v>19874.47</v>
      </c>
      <c r="Y76" s="21">
        <v>17070.54</v>
      </c>
      <c r="Z76" s="21">
        <v>19543.86</v>
      </c>
      <c r="AA76" s="21" t="e">
        <f t="shared" ca="1" si="24"/>
        <v>#NAME?</v>
      </c>
      <c r="AB76" s="17" t="e">
        <f t="shared" ca="1" si="25"/>
        <v>#NAME?</v>
      </c>
      <c r="AD76" s="21">
        <v>254943.54</v>
      </c>
      <c r="AE76" s="17" t="str">
        <f t="shared" ca="1" si="26"/>
        <v/>
      </c>
      <c r="AF76" s="50" t="e">
        <f t="shared" ca="1" si="27"/>
        <v>#NAME?</v>
      </c>
      <c r="AG76" s="21">
        <v>255323.89</v>
      </c>
      <c r="AH76" s="17" t="str">
        <f t="shared" ca="1" si="29"/>
        <v/>
      </c>
      <c r="AI76" s="50" t="e">
        <f t="shared" ca="1" si="30"/>
        <v>#NAME?</v>
      </c>
      <c r="AJ76" s="350">
        <f t="shared" ca="1" si="31"/>
        <v>0</v>
      </c>
      <c r="AK76" s="351">
        <f t="shared" ca="1" si="32"/>
        <v>0</v>
      </c>
      <c r="AL76" s="140">
        <f t="shared" ca="1" si="33"/>
        <v>0</v>
      </c>
      <c r="AM76" s="352">
        <f t="shared" ca="1" si="34"/>
        <v>0</v>
      </c>
      <c r="AN76" s="140">
        <f t="shared" ca="1" si="35"/>
        <v>0</v>
      </c>
    </row>
    <row r="77" spans="1:40" x14ac:dyDescent="0.25">
      <c r="A77" s="3" t="s">
        <v>0</v>
      </c>
      <c r="B77" s="5" t="s">
        <v>1</v>
      </c>
      <c r="H77" s="15" t="s">
        <v>833</v>
      </c>
      <c r="I77" s="161" t="e">
        <f ca="1">_xll.EVPRO($B$1,$H77,"STYLE")</f>
        <v>#NAME?</v>
      </c>
      <c r="J77" s="161" t="e">
        <f ca="1">_xll.EVPRO($B$1,$H77,"CALC")</f>
        <v>#NAME?</v>
      </c>
      <c r="K77" s="68" t="e">
        <f t="shared" ca="1" si="28"/>
        <v>#NAME?</v>
      </c>
      <c r="L77" s="162" t="e">
        <f ca="1">_xll.EVPRO($B$1,H77,"JDEID")</f>
        <v>#NAME?</v>
      </c>
      <c r="M77" s="162" t="e">
        <f ca="1">IF(AND(I77="N",J77="N"),_xll.EVPRO($B$1,H77,"PSFTID"),"")</f>
        <v>#NAME?</v>
      </c>
      <c r="N77" s="162" t="e">
        <f ca="1">IF(_xll.EVDES(H77,$B$1)="#NODATA","",_xll.EVDES(H77,$B$1))</f>
        <v>#NAME?</v>
      </c>
      <c r="O77" s="21">
        <v>732</v>
      </c>
      <c r="P77" s="21">
        <v>435.38</v>
      </c>
      <c r="Q77" s="21">
        <v>1030</v>
      </c>
      <c r="R77" s="21">
        <v>10282.83</v>
      </c>
      <c r="S77" s="21">
        <v>3748</v>
      </c>
      <c r="T77" s="21">
        <v>1936.5</v>
      </c>
      <c r="U77" s="21">
        <v>4599.88</v>
      </c>
      <c r="V77" s="21">
        <v>2768.31</v>
      </c>
      <c r="W77" s="21">
        <v>2630</v>
      </c>
      <c r="X77" s="21">
        <v>3485.28</v>
      </c>
      <c r="Y77" s="21">
        <v>5166.66</v>
      </c>
      <c r="Z77" s="21">
        <v>3296.66</v>
      </c>
      <c r="AA77" s="21" t="e">
        <f t="shared" ca="1" si="24"/>
        <v>#NAME?</v>
      </c>
      <c r="AB77" s="17" t="e">
        <f t="shared" ca="1" si="25"/>
        <v>#NAME?</v>
      </c>
      <c r="AD77" s="21">
        <v>48215.000000000298</v>
      </c>
      <c r="AE77" s="17" t="str">
        <f t="shared" ca="1" si="26"/>
        <v/>
      </c>
      <c r="AF77" s="50" t="e">
        <f t="shared" ca="1" si="27"/>
        <v>#NAME?</v>
      </c>
      <c r="AG77" s="21">
        <v>42138.16</v>
      </c>
      <c r="AH77" s="17" t="str">
        <f t="shared" ca="1" si="29"/>
        <v/>
      </c>
      <c r="AI77" s="50" t="e">
        <f t="shared" ca="1" si="30"/>
        <v>#NAME?</v>
      </c>
      <c r="AJ77" s="350">
        <f t="shared" ca="1" si="31"/>
        <v>0</v>
      </c>
      <c r="AK77" s="351">
        <f t="shared" ca="1" si="32"/>
        <v>0</v>
      </c>
      <c r="AL77" s="140">
        <f t="shared" ca="1" si="33"/>
        <v>0</v>
      </c>
      <c r="AM77" s="352">
        <f t="shared" ca="1" si="34"/>
        <v>0</v>
      </c>
      <c r="AN77" s="140">
        <f t="shared" ca="1" si="35"/>
        <v>0</v>
      </c>
    </row>
    <row r="78" spans="1:40" x14ac:dyDescent="0.25">
      <c r="A78" s="6" t="s">
        <v>2</v>
      </c>
      <c r="B78" s="7" t="e">
        <f ca="1">_xll.EVRNG($B$2:$B$10)</f>
        <v>#NAME?</v>
      </c>
      <c r="H78" s="15" t="s">
        <v>834</v>
      </c>
      <c r="I78" s="161" t="e">
        <f ca="1">_xll.EVPRO($B$1,$H78,"STYLE")</f>
        <v>#NAME?</v>
      </c>
      <c r="J78" s="161" t="e">
        <f ca="1">_xll.EVPRO($B$1,$H78,"CALC")</f>
        <v>#NAME?</v>
      </c>
      <c r="K78" s="68" t="e">
        <f t="shared" ca="1" si="28"/>
        <v>#NAME?</v>
      </c>
      <c r="L78" s="162" t="e">
        <f ca="1">_xll.EVPRO($B$1,H78,"JDEID")</f>
        <v>#NAME?</v>
      </c>
      <c r="M78" s="162" t="e">
        <f ca="1">IF(AND(I78="N",J78="N"),_xll.EVPRO($B$1,H78,"PSFTID"),"")</f>
        <v>#NAME?</v>
      </c>
      <c r="N78" s="162" t="e">
        <f ca="1">IF(_xll.EVDES(H78,$B$1)="#NODATA","",_xll.EVDES(H78,$B$1))</f>
        <v>#NAME?</v>
      </c>
      <c r="O78" s="21"/>
      <c r="P78" s="21"/>
      <c r="Q78" s="21"/>
      <c r="R78" s="21"/>
      <c r="S78" s="21"/>
      <c r="T78" s="21">
        <v>46.2</v>
      </c>
      <c r="U78" s="21">
        <v>29.97</v>
      </c>
      <c r="V78" s="21"/>
      <c r="W78" s="21"/>
      <c r="X78" s="21">
        <v>48.94</v>
      </c>
      <c r="Y78" s="21"/>
      <c r="Z78" s="21"/>
      <c r="AA78" s="21" t="e">
        <f t="shared" ca="1" si="24"/>
        <v>#NAME?</v>
      </c>
      <c r="AB78" s="17" t="e">
        <f t="shared" ca="1" si="25"/>
        <v>#NAME?</v>
      </c>
      <c r="AD78" s="21"/>
      <c r="AE78" s="17" t="str">
        <f t="shared" si="26"/>
        <v/>
      </c>
      <c r="AF78" s="50" t="e">
        <f t="shared" ca="1" si="27"/>
        <v>#NAME?</v>
      </c>
      <c r="AG78" s="21">
        <v>141.84</v>
      </c>
      <c r="AH78" s="17" t="str">
        <f t="shared" ca="1" si="29"/>
        <v/>
      </c>
      <c r="AI78" s="50" t="e">
        <f t="shared" ca="1" si="30"/>
        <v>#NAME?</v>
      </c>
      <c r="AJ78" s="350">
        <f t="shared" ca="1" si="31"/>
        <v>0</v>
      </c>
      <c r="AK78" s="351">
        <f t="shared" ca="1" si="32"/>
        <v>0</v>
      </c>
      <c r="AL78" s="140">
        <f t="shared" ca="1" si="33"/>
        <v>0</v>
      </c>
      <c r="AM78" s="352">
        <f t="shared" ca="1" si="34"/>
        <v>0</v>
      </c>
      <c r="AN78" s="140">
        <f t="shared" ca="1" si="35"/>
        <v>0</v>
      </c>
    </row>
    <row r="79" spans="1:40" x14ac:dyDescent="0.25">
      <c r="A79" s="6" t="s">
        <v>3</v>
      </c>
      <c r="B79" s="7" t="e">
        <f ca="1">_xll.EVRNG($O$16:$AN$18)</f>
        <v>#NAME?</v>
      </c>
      <c r="H79" s="15" t="s">
        <v>835</v>
      </c>
      <c r="I79" s="161" t="e">
        <f ca="1">_xll.EVPRO($B$1,$H79,"STYLE")</f>
        <v>#NAME?</v>
      </c>
      <c r="J79" s="161" t="e">
        <f ca="1">_xll.EVPRO($B$1,$H79,"CALC")</f>
        <v>#NAME?</v>
      </c>
      <c r="K79" s="68" t="e">
        <f t="shared" ca="1" si="28"/>
        <v>#NAME?</v>
      </c>
      <c r="L79" s="162" t="e">
        <f ca="1">_xll.EVPRO($B$1,H79,"JDEID")</f>
        <v>#NAME?</v>
      </c>
      <c r="M79" s="162" t="e">
        <f ca="1">IF(AND(I79="N",J79="N"),_xll.EVPRO($B$1,H79,"PSFTID"),"")</f>
        <v>#NAME?</v>
      </c>
      <c r="N79" s="162" t="e">
        <f ca="1">IF(_xll.EVDES(H79,$B$1)="#NODATA","",_xll.EVDES(H79,$B$1))</f>
        <v>#NAME?</v>
      </c>
      <c r="O79" s="21"/>
      <c r="P79" s="21"/>
      <c r="Q79" s="21"/>
      <c r="R79" s="21">
        <v>8.2799999999999994</v>
      </c>
      <c r="S79" s="21"/>
      <c r="T79" s="21"/>
      <c r="U79" s="21">
        <v>10.97</v>
      </c>
      <c r="V79" s="21"/>
      <c r="W79" s="21">
        <v>32.79</v>
      </c>
      <c r="X79" s="21"/>
      <c r="Y79" s="21"/>
      <c r="Z79" s="21">
        <v>-8.2799999999999994</v>
      </c>
      <c r="AA79" s="21" t="e">
        <f t="shared" ca="1" si="24"/>
        <v>#NAME?</v>
      </c>
      <c r="AB79" s="17" t="e">
        <f t="shared" ca="1" si="25"/>
        <v>#NAME?</v>
      </c>
      <c r="AD79" s="21"/>
      <c r="AE79" s="17" t="str">
        <f t="shared" si="26"/>
        <v/>
      </c>
      <c r="AF79" s="50" t="e">
        <f t="shared" ca="1" si="27"/>
        <v>#NAME?</v>
      </c>
      <c r="AG79" s="21">
        <v>122.47</v>
      </c>
      <c r="AH79" s="17" t="str">
        <f t="shared" ca="1" si="29"/>
        <v/>
      </c>
      <c r="AI79" s="50" t="e">
        <f t="shared" ca="1" si="30"/>
        <v>#NAME?</v>
      </c>
      <c r="AJ79" s="350">
        <f t="shared" ca="1" si="31"/>
        <v>0</v>
      </c>
      <c r="AK79" s="351">
        <f t="shared" ca="1" si="32"/>
        <v>0</v>
      </c>
      <c r="AL79" s="140">
        <f t="shared" ca="1" si="33"/>
        <v>0</v>
      </c>
      <c r="AM79" s="352">
        <f t="shared" ca="1" si="34"/>
        <v>0</v>
      </c>
      <c r="AN79" s="140">
        <f t="shared" ca="1" si="35"/>
        <v>0</v>
      </c>
    </row>
    <row r="80" spans="1:40" x14ac:dyDescent="0.25">
      <c r="A80" s="6" t="s">
        <v>4</v>
      </c>
      <c r="B80" s="7" t="e">
        <f ca="1">_xll.EVRNG(H94:H97)</f>
        <v>#NAME?</v>
      </c>
      <c r="H80" s="15" t="s">
        <v>932</v>
      </c>
      <c r="I80" s="161" t="e">
        <f ca="1">_xll.EVPRO($B$1,$H80,"STYLE")</f>
        <v>#NAME?</v>
      </c>
      <c r="J80" s="161" t="e">
        <f ca="1">_xll.EVPRO($B$1,$H80,"CALC")</f>
        <v>#NAME?</v>
      </c>
      <c r="K80" s="68" t="e">
        <f t="shared" ca="1" si="28"/>
        <v>#NAME?</v>
      </c>
      <c r="L80" s="162" t="e">
        <f ca="1">_xll.EVPRO($B$1,H80,"JDEID")</f>
        <v>#NAME?</v>
      </c>
      <c r="M80" s="162" t="e">
        <f ca="1">IF(AND(I80="N",J80="N"),_xll.EVPRO($B$1,H80,"PSFTID"),"")</f>
        <v>#NAME?</v>
      </c>
      <c r="N80" s="162" t="e">
        <f ca="1">IF(_xll.EVDES(H80,$B$1)="#NODATA","",_xll.EVDES(H80,$B$1))</f>
        <v>#NAME?</v>
      </c>
      <c r="O80" s="21">
        <v>6453.13</v>
      </c>
      <c r="P80" s="21">
        <v>4451.8999999999996</v>
      </c>
      <c r="Q80" s="21">
        <v>5418.49</v>
      </c>
      <c r="R80" s="21">
        <v>4872.3999999999996</v>
      </c>
      <c r="S80" s="21">
        <v>4783.6400000000003</v>
      </c>
      <c r="T80" s="21">
        <v>5932.84</v>
      </c>
      <c r="U80" s="21">
        <v>-7119.62</v>
      </c>
      <c r="V80" s="21">
        <v>6735.71</v>
      </c>
      <c r="W80" s="21">
        <v>3498.56</v>
      </c>
      <c r="X80" s="21">
        <v>4971.53</v>
      </c>
      <c r="Y80" s="21">
        <v>4779.6000000000004</v>
      </c>
      <c r="Z80" s="21">
        <v>6819.13</v>
      </c>
      <c r="AA80" s="21" t="e">
        <f t="shared" ca="1" si="24"/>
        <v>#NAME?</v>
      </c>
      <c r="AB80" s="17" t="e">
        <f t="shared" ca="1" si="25"/>
        <v>#NAME?</v>
      </c>
      <c r="AD80" s="21">
        <v>61903.595358097802</v>
      </c>
      <c r="AE80" s="17" t="str">
        <f t="shared" ca="1" si="26"/>
        <v/>
      </c>
      <c r="AF80" s="50" t="e">
        <f t="shared" ca="1" si="27"/>
        <v>#NAME?</v>
      </c>
      <c r="AG80" s="21">
        <v>56416.87</v>
      </c>
      <c r="AH80" s="17" t="str">
        <f t="shared" ca="1" si="29"/>
        <v/>
      </c>
      <c r="AI80" s="50" t="e">
        <f t="shared" ca="1" si="30"/>
        <v>#NAME?</v>
      </c>
      <c r="AJ80" s="350">
        <f t="shared" ca="1" si="31"/>
        <v>0</v>
      </c>
      <c r="AK80" s="351">
        <f t="shared" ca="1" si="32"/>
        <v>0</v>
      </c>
      <c r="AL80" s="140">
        <f t="shared" ca="1" si="33"/>
        <v>0</v>
      </c>
      <c r="AM80" s="352">
        <f t="shared" ca="1" si="34"/>
        <v>0</v>
      </c>
      <c r="AN80" s="140">
        <f t="shared" ca="1" si="35"/>
        <v>0</v>
      </c>
    </row>
    <row r="81" spans="1:40" x14ac:dyDescent="0.25">
      <c r="A81" s="6" t="s">
        <v>5</v>
      </c>
      <c r="B81" s="7"/>
      <c r="H81" s="15" t="s">
        <v>874</v>
      </c>
      <c r="I81" s="161" t="e">
        <f ca="1">_xll.EVPRO($B$1,$H81,"STYLE")</f>
        <v>#NAME?</v>
      </c>
      <c r="J81" s="161" t="e">
        <f ca="1">_xll.EVPRO($B$1,$H81,"CALC")</f>
        <v>#NAME?</v>
      </c>
      <c r="K81" s="68" t="e">
        <f t="shared" ca="1" si="28"/>
        <v>#NAME?</v>
      </c>
      <c r="L81" s="162" t="e">
        <f ca="1">_xll.EVPRO($B$1,H81,"JDEID")</f>
        <v>#NAME?</v>
      </c>
      <c r="M81" s="162" t="e">
        <f ca="1">IF(AND(I81="N",J81="N"),_xll.EVPRO($B$1,H81,"PSFTID"),"")</f>
        <v>#NAME?</v>
      </c>
      <c r="N81" s="162" t="e">
        <f ca="1">IF(_xll.EVDES(H81,$B$1)="#NODATA","",_xll.EVDES(H81,$B$1))</f>
        <v>#NAME?</v>
      </c>
      <c r="O81" s="21">
        <v>2741.92</v>
      </c>
      <c r="P81" s="21">
        <v>2658.89</v>
      </c>
      <c r="Q81" s="21">
        <v>3381.67</v>
      </c>
      <c r="R81" s="21">
        <v>3073.79</v>
      </c>
      <c r="S81" s="21">
        <v>1111.1500000000001</v>
      </c>
      <c r="T81" s="21">
        <v>3809.79</v>
      </c>
      <c r="U81" s="21">
        <v>15369.61</v>
      </c>
      <c r="V81" s="21">
        <v>4377.38</v>
      </c>
      <c r="W81" s="21">
        <v>4747.42</v>
      </c>
      <c r="X81" s="21">
        <v>4097.41</v>
      </c>
      <c r="Y81" s="21">
        <v>5141.04</v>
      </c>
      <c r="Z81" s="21">
        <v>5046.8999999999996</v>
      </c>
      <c r="AA81" s="21" t="e">
        <f t="shared" ca="1" si="24"/>
        <v>#NAME?</v>
      </c>
      <c r="AB81" s="17" t="e">
        <f t="shared" ca="1" si="25"/>
        <v>#NAME?</v>
      </c>
      <c r="AD81" s="21">
        <v>45835.92</v>
      </c>
      <c r="AE81" s="17" t="str">
        <f t="shared" ca="1" si="26"/>
        <v/>
      </c>
      <c r="AF81" s="50" t="e">
        <f t="shared" ca="1" si="27"/>
        <v>#NAME?</v>
      </c>
      <c r="AG81" s="21">
        <v>45276.12</v>
      </c>
      <c r="AH81" s="17" t="str">
        <f t="shared" ca="1" si="29"/>
        <v/>
      </c>
      <c r="AI81" s="50" t="e">
        <f t="shared" ca="1" si="30"/>
        <v>#NAME?</v>
      </c>
      <c r="AJ81" s="350">
        <f t="shared" ca="1" si="31"/>
        <v>0</v>
      </c>
      <c r="AK81" s="351">
        <f t="shared" ca="1" si="32"/>
        <v>0</v>
      </c>
      <c r="AL81" s="140">
        <f t="shared" ca="1" si="33"/>
        <v>0</v>
      </c>
      <c r="AM81" s="352">
        <f t="shared" ca="1" si="34"/>
        <v>0</v>
      </c>
      <c r="AN81" s="140">
        <f t="shared" ca="1" si="35"/>
        <v>0</v>
      </c>
    </row>
    <row r="82" spans="1:40" x14ac:dyDescent="0.25">
      <c r="A82" s="6" t="s">
        <v>6</v>
      </c>
      <c r="B82" s="7"/>
      <c r="H82" s="15" t="s">
        <v>875</v>
      </c>
      <c r="I82" s="161" t="e">
        <f ca="1">_xll.EVPRO($B$1,$H82,"STYLE")</f>
        <v>#NAME?</v>
      </c>
      <c r="J82" s="161" t="e">
        <f ca="1">_xll.EVPRO($B$1,$H82,"CALC")</f>
        <v>#NAME?</v>
      </c>
      <c r="K82" s="68" t="e">
        <f t="shared" ca="1" si="28"/>
        <v>#NAME?</v>
      </c>
      <c r="L82" s="162" t="e">
        <f ca="1">_xll.EVPRO($B$1,H82,"JDEID")</f>
        <v>#NAME?</v>
      </c>
      <c r="M82" s="162" t="e">
        <f ca="1">IF(AND(I82="N",J82="N"),_xll.EVPRO($B$1,H82,"PSFTID"),"")</f>
        <v>#NAME?</v>
      </c>
      <c r="N82" s="162" t="e">
        <f ca="1">IF(_xll.EVDES(H82,$B$1)="#NODATA","",_xll.EVDES(H82,$B$1))</f>
        <v>#NAME?</v>
      </c>
      <c r="O82" s="21"/>
      <c r="P82" s="21"/>
      <c r="Q82" s="21"/>
      <c r="R82" s="21"/>
      <c r="S82" s="21"/>
      <c r="T82" s="21"/>
      <c r="U82" s="21"/>
      <c r="V82" s="21">
        <v>22.23</v>
      </c>
      <c r="W82" s="21"/>
      <c r="X82" s="21"/>
      <c r="Y82" s="21"/>
      <c r="Z82" s="21"/>
      <c r="AA82" s="21" t="e">
        <f t="shared" ca="1" si="24"/>
        <v>#NAME?</v>
      </c>
      <c r="AB82" s="17" t="e">
        <f t="shared" ca="1" si="25"/>
        <v>#NAME?</v>
      </c>
      <c r="AD82" s="21"/>
      <c r="AE82" s="17" t="str">
        <f t="shared" si="26"/>
        <v/>
      </c>
      <c r="AF82" s="50" t="e">
        <f t="shared" ca="1" si="27"/>
        <v>#NAME?</v>
      </c>
      <c r="AG82" s="21">
        <v>63.67</v>
      </c>
      <c r="AH82" s="17" t="str">
        <f t="shared" ca="1" si="29"/>
        <v/>
      </c>
      <c r="AI82" s="50" t="e">
        <f t="shared" ca="1" si="30"/>
        <v>#NAME?</v>
      </c>
      <c r="AJ82" s="350">
        <f t="shared" ca="1" si="31"/>
        <v>0</v>
      </c>
      <c r="AK82" s="351">
        <f t="shared" ca="1" si="32"/>
        <v>0</v>
      </c>
      <c r="AL82" s="140">
        <f t="shared" ca="1" si="33"/>
        <v>0</v>
      </c>
      <c r="AM82" s="352">
        <f t="shared" ca="1" si="34"/>
        <v>0</v>
      </c>
      <c r="AN82" s="140">
        <f t="shared" ca="1" si="35"/>
        <v>0</v>
      </c>
    </row>
    <row r="83" spans="1:40" x14ac:dyDescent="0.25">
      <c r="A83" s="6" t="s">
        <v>7</v>
      </c>
      <c r="B83" s="7"/>
      <c r="H83" s="15" t="s">
        <v>859</v>
      </c>
      <c r="I83" s="161" t="e">
        <f ca="1">_xll.EVPRO($B$1,$H83,"STYLE")</f>
        <v>#NAME?</v>
      </c>
      <c r="J83" s="161" t="e">
        <f ca="1">_xll.EVPRO($B$1,$H83,"CALC")</f>
        <v>#NAME?</v>
      </c>
      <c r="K83" s="68" t="e">
        <f t="shared" ca="1" si="28"/>
        <v>#NAME?</v>
      </c>
      <c r="L83" s="162" t="e">
        <f ca="1">_xll.EVPRO($B$1,H83,"JDEID")</f>
        <v>#NAME?</v>
      </c>
      <c r="M83" s="162" t="e">
        <f ca="1">IF(AND(I83="N",J83="N"),_xll.EVPRO($B$1,H83,"PSFTID"),"")</f>
        <v>#NAME?</v>
      </c>
      <c r="N83" s="162" t="e">
        <f ca="1">IF(_xll.EVDES(H83,$B$1)="#NODATA","",_xll.EVDES(H83,$B$1))</f>
        <v>#NAME?</v>
      </c>
      <c r="O83" s="21">
        <v>421.15</v>
      </c>
      <c r="P83" s="21"/>
      <c r="Q83" s="21"/>
      <c r="R83" s="21"/>
      <c r="S83" s="21"/>
      <c r="T83" s="21">
        <v>19.03</v>
      </c>
      <c r="U83" s="21"/>
      <c r="V83" s="21"/>
      <c r="W83" s="21"/>
      <c r="X83" s="21"/>
      <c r="Y83" s="21"/>
      <c r="Z83" s="21"/>
      <c r="AA83" s="21" t="e">
        <f t="shared" ca="1" si="24"/>
        <v>#NAME?</v>
      </c>
      <c r="AB83" s="17" t="e">
        <f t="shared" ca="1" si="25"/>
        <v>#NAME?</v>
      </c>
      <c r="AD83" s="21">
        <v>2725</v>
      </c>
      <c r="AE83" s="17" t="str">
        <f t="shared" ca="1" si="26"/>
        <v/>
      </c>
      <c r="AF83" s="50" t="e">
        <f t="shared" ca="1" si="27"/>
        <v>#NAME?</v>
      </c>
      <c r="AG83" s="21">
        <v>2606.09</v>
      </c>
      <c r="AH83" s="17" t="str">
        <f t="shared" ca="1" si="29"/>
        <v/>
      </c>
      <c r="AI83" s="50" t="e">
        <f t="shared" ca="1" si="30"/>
        <v>#NAME?</v>
      </c>
      <c r="AJ83" s="350">
        <f t="shared" ca="1" si="31"/>
        <v>0</v>
      </c>
      <c r="AK83" s="351">
        <f t="shared" ca="1" si="32"/>
        <v>0</v>
      </c>
      <c r="AL83" s="140">
        <f t="shared" ca="1" si="33"/>
        <v>0</v>
      </c>
      <c r="AM83" s="352">
        <f t="shared" ca="1" si="34"/>
        <v>0</v>
      </c>
      <c r="AN83" s="140">
        <f t="shared" ca="1" si="35"/>
        <v>0</v>
      </c>
    </row>
    <row r="84" spans="1:40" x14ac:dyDescent="0.25">
      <c r="A84" s="6" t="s">
        <v>47</v>
      </c>
      <c r="B84" s="7" t="e">
        <f ca="1">_xll.EVRNG($A$89:$B$110)</f>
        <v>#NAME?</v>
      </c>
      <c r="H84" s="15" t="s">
        <v>876</v>
      </c>
      <c r="I84" s="161" t="e">
        <f ca="1">_xll.EVPRO($B$1,$H84,"STYLE")</f>
        <v>#NAME?</v>
      </c>
      <c r="J84" s="161" t="e">
        <f ca="1">_xll.EVPRO($B$1,$H84,"CALC")</f>
        <v>#NAME?</v>
      </c>
      <c r="K84" s="68" t="e">
        <f t="shared" ca="1" si="28"/>
        <v>#NAME?</v>
      </c>
      <c r="L84" s="162" t="e">
        <f ca="1">_xll.EVPRO($B$1,H84,"JDEID")</f>
        <v>#NAME?</v>
      </c>
      <c r="M84" s="162" t="e">
        <f ca="1">IF(AND(I84="N",J84="N"),_xll.EVPRO($B$1,H84,"PSFTID"),"")</f>
        <v>#NAME?</v>
      </c>
      <c r="N84" s="162" t="e">
        <f ca="1">IF(_xll.EVDES(H84,$B$1)="#NODATA","",_xll.EVDES(H84,$B$1))</f>
        <v>#NAME?</v>
      </c>
      <c r="O84" s="21">
        <v>546.85</v>
      </c>
      <c r="P84" s="21">
        <v>234.17</v>
      </c>
      <c r="Q84" s="21">
        <v>379.24</v>
      </c>
      <c r="R84" s="21">
        <v>272.52999999999997</v>
      </c>
      <c r="S84" s="21">
        <v>291.88</v>
      </c>
      <c r="T84" s="21">
        <v>309.16000000000003</v>
      </c>
      <c r="U84" s="21">
        <v>336.14</v>
      </c>
      <c r="V84" s="21">
        <v>293.17</v>
      </c>
      <c r="W84" s="21">
        <v>288.48</v>
      </c>
      <c r="X84" s="21">
        <v>328.75</v>
      </c>
      <c r="Y84" s="21">
        <v>249.32</v>
      </c>
      <c r="Z84" s="21">
        <v>339.93</v>
      </c>
      <c r="AA84" s="21" t="e">
        <f t="shared" ca="1" si="24"/>
        <v>#NAME?</v>
      </c>
      <c r="AB84" s="17" t="e">
        <f t="shared" ca="1" si="25"/>
        <v>#NAME?</v>
      </c>
      <c r="AD84" s="21">
        <v>7013.01</v>
      </c>
      <c r="AE84" s="17" t="str">
        <f t="shared" ca="1" si="26"/>
        <v/>
      </c>
      <c r="AF84" s="50" t="e">
        <f t="shared" ca="1" si="27"/>
        <v>#NAME?</v>
      </c>
      <c r="AG84" s="21">
        <v>6526.21</v>
      </c>
      <c r="AH84" s="17" t="str">
        <f t="shared" ca="1" si="29"/>
        <v/>
      </c>
      <c r="AI84" s="50" t="e">
        <f t="shared" ca="1" si="30"/>
        <v>#NAME?</v>
      </c>
      <c r="AJ84" s="350">
        <f t="shared" ca="1" si="31"/>
        <v>0</v>
      </c>
      <c r="AK84" s="351">
        <f t="shared" ca="1" si="32"/>
        <v>0</v>
      </c>
      <c r="AL84" s="140">
        <f t="shared" ca="1" si="33"/>
        <v>0</v>
      </c>
      <c r="AM84" s="352">
        <f t="shared" ca="1" si="34"/>
        <v>0</v>
      </c>
      <c r="AN84" s="140">
        <f t="shared" ca="1" si="35"/>
        <v>0</v>
      </c>
    </row>
    <row r="85" spans="1:40" x14ac:dyDescent="0.25">
      <c r="A85" s="6" t="s">
        <v>8</v>
      </c>
      <c r="B85" s="7"/>
      <c r="H85" s="15" t="s">
        <v>860</v>
      </c>
      <c r="I85" s="161" t="e">
        <f ca="1">_xll.EVPRO($B$1,$H85,"STYLE")</f>
        <v>#NAME?</v>
      </c>
      <c r="J85" s="161" t="e">
        <f ca="1">_xll.EVPRO($B$1,$H85,"CALC")</f>
        <v>#NAME?</v>
      </c>
      <c r="K85" s="68" t="e">
        <f t="shared" ca="1" si="28"/>
        <v>#NAME?</v>
      </c>
      <c r="L85" s="162" t="e">
        <f ca="1">_xll.EVPRO($B$1,H85,"JDEID")</f>
        <v>#NAME?</v>
      </c>
      <c r="M85" s="162" t="e">
        <f ca="1">IF(AND(I85="N",J85="N"),_xll.EVPRO($B$1,H85,"PSFTID"),"")</f>
        <v>#NAME?</v>
      </c>
      <c r="N85" s="162" t="e">
        <f ca="1">IF(_xll.EVDES(H85,$B$1)="#NODATA","",_xll.EVDES(H85,$B$1))</f>
        <v>#NAME?</v>
      </c>
      <c r="O85" s="21">
        <v>60.09</v>
      </c>
      <c r="P85" s="21">
        <v>194.66</v>
      </c>
      <c r="Q85" s="21">
        <v>-481.17</v>
      </c>
      <c r="R85" s="21">
        <v>17058.75</v>
      </c>
      <c r="S85" s="21">
        <v>9416.6200000000008</v>
      </c>
      <c r="T85" s="21">
        <v>5997.93</v>
      </c>
      <c r="U85" s="21">
        <v>5020.45</v>
      </c>
      <c r="V85" s="21">
        <v>4777.25</v>
      </c>
      <c r="W85" s="21">
        <v>4582.9799999999996</v>
      </c>
      <c r="X85" s="21">
        <v>11320.96</v>
      </c>
      <c r="Y85" s="21">
        <v>8061.32</v>
      </c>
      <c r="Z85" s="21">
        <v>9301.59</v>
      </c>
      <c r="AA85" s="21" t="e">
        <f t="shared" ca="1" si="24"/>
        <v>#NAME?</v>
      </c>
      <c r="AB85" s="17" t="e">
        <f t="shared" ca="1" si="25"/>
        <v>#NAME?</v>
      </c>
      <c r="AD85" s="21">
        <v>84335</v>
      </c>
      <c r="AE85" s="17" t="str">
        <f t="shared" ca="1" si="26"/>
        <v/>
      </c>
      <c r="AF85" s="50" t="e">
        <f t="shared" ca="1" si="27"/>
        <v>#NAME?</v>
      </c>
      <c r="AG85" s="21">
        <v>75749.34</v>
      </c>
      <c r="AH85" s="17" t="str">
        <f t="shared" ca="1" si="29"/>
        <v/>
      </c>
      <c r="AI85" s="50" t="e">
        <f t="shared" ca="1" si="30"/>
        <v>#NAME?</v>
      </c>
      <c r="AJ85" s="350">
        <f t="shared" ca="1" si="31"/>
        <v>0</v>
      </c>
      <c r="AK85" s="351">
        <f t="shared" ca="1" si="32"/>
        <v>0</v>
      </c>
      <c r="AL85" s="140">
        <f t="shared" ca="1" si="33"/>
        <v>0</v>
      </c>
      <c r="AM85" s="352">
        <f t="shared" ca="1" si="34"/>
        <v>0</v>
      </c>
      <c r="AN85" s="140">
        <f t="shared" ca="1" si="35"/>
        <v>0</v>
      </c>
    </row>
    <row r="86" spans="1:40" x14ac:dyDescent="0.25">
      <c r="H86" s="15" t="s">
        <v>933</v>
      </c>
      <c r="I86" s="161" t="e">
        <f ca="1">_xll.EVPRO($B$1,$H86,"STYLE")</f>
        <v>#NAME?</v>
      </c>
      <c r="J86" s="161" t="e">
        <f ca="1">_xll.EVPRO($B$1,$H86,"CALC")</f>
        <v>#NAME?</v>
      </c>
      <c r="K86" s="68" t="e">
        <f t="shared" ca="1" si="28"/>
        <v>#NAME?</v>
      </c>
      <c r="L86" s="162" t="e">
        <f ca="1">_xll.EVPRO($B$1,H86,"JDEID")</f>
        <v>#NAME?</v>
      </c>
      <c r="M86" s="162" t="e">
        <f ca="1">IF(AND(I86="N",J86="N"),_xll.EVPRO($B$1,H86,"PSFTID"),"")</f>
        <v>#NAME?</v>
      </c>
      <c r="N86" s="162" t="e">
        <f ca="1">IF(_xll.EVDES(H86,$B$1)="#NODATA","",_xll.EVDES(H86,$B$1))</f>
        <v>#NAME?</v>
      </c>
      <c r="O86" s="21">
        <v>2258.69</v>
      </c>
      <c r="P86" s="21">
        <v>2258.69</v>
      </c>
      <c r="Q86" s="21">
        <v>2257.9699999999998</v>
      </c>
      <c r="R86" s="21">
        <v>2353.86</v>
      </c>
      <c r="S86" s="21">
        <v>2373.86</v>
      </c>
      <c r="T86" s="21">
        <v>2363.86</v>
      </c>
      <c r="U86" s="21">
        <v>2363.86</v>
      </c>
      <c r="V86" s="21">
        <v>2430.5500000000002</v>
      </c>
      <c r="W86" s="21">
        <v>2639.18</v>
      </c>
      <c r="X86" s="21">
        <v>2430.5500000000002</v>
      </c>
      <c r="Y86" s="21">
        <v>2419.73</v>
      </c>
      <c r="Z86" s="21">
        <v>2423.69</v>
      </c>
      <c r="AA86" s="21" t="e">
        <f t="shared" ca="1" si="24"/>
        <v>#NAME?</v>
      </c>
      <c r="AB86" s="17" t="e">
        <f t="shared" ca="1" si="25"/>
        <v>#NAME?</v>
      </c>
      <c r="AD86" s="21">
        <v>30104.16</v>
      </c>
      <c r="AE86" s="17" t="str">
        <f t="shared" ca="1" si="26"/>
        <v/>
      </c>
      <c r="AF86" s="50" t="e">
        <f t="shared" ca="1" si="27"/>
        <v>#NAME?</v>
      </c>
      <c r="AG86" s="21">
        <v>26438.84</v>
      </c>
      <c r="AH86" s="17" t="str">
        <f t="shared" ca="1" si="29"/>
        <v/>
      </c>
      <c r="AI86" s="50" t="e">
        <f t="shared" ca="1" si="30"/>
        <v>#NAME?</v>
      </c>
      <c r="AJ86" s="350">
        <f t="shared" ca="1" si="31"/>
        <v>0</v>
      </c>
      <c r="AK86" s="351">
        <f t="shared" ca="1" si="32"/>
        <v>0</v>
      </c>
      <c r="AL86" s="140">
        <f t="shared" ca="1" si="33"/>
        <v>0</v>
      </c>
      <c r="AM86" s="352">
        <f t="shared" ca="1" si="34"/>
        <v>0</v>
      </c>
      <c r="AN86" s="140">
        <f t="shared" ca="1" si="35"/>
        <v>0</v>
      </c>
    </row>
    <row r="87" spans="1:40" x14ac:dyDescent="0.25">
      <c r="H87" s="15" t="s">
        <v>934</v>
      </c>
      <c r="I87" s="161" t="e">
        <f ca="1">_xll.EVPRO($B$1,$H87,"STYLE")</f>
        <v>#NAME?</v>
      </c>
      <c r="J87" s="161" t="e">
        <f ca="1">_xll.EVPRO($B$1,$H87,"CALC")</f>
        <v>#NAME?</v>
      </c>
      <c r="K87" s="68" t="e">
        <f t="shared" ca="1" si="28"/>
        <v>#NAME?</v>
      </c>
      <c r="L87" s="162" t="e">
        <f ca="1">_xll.EVPRO($B$1,H87,"JDEID")</f>
        <v>#NAME?</v>
      </c>
      <c r="M87" s="162" t="e">
        <f ca="1">IF(AND(I87="N",J87="N"),_xll.EVPRO($B$1,H87,"PSFTID"),"")</f>
        <v>#NAME?</v>
      </c>
      <c r="N87" s="162" t="e">
        <f ca="1">IF(_xll.EVDES(H87,$B$1)="#NODATA","",_xll.EVDES(H87,$B$1))</f>
        <v>#NAME?</v>
      </c>
      <c r="O87" s="21">
        <v>54883.12</v>
      </c>
      <c r="P87" s="21">
        <v>54235.35</v>
      </c>
      <c r="Q87" s="21">
        <v>51186.879999999997</v>
      </c>
      <c r="R87" s="21">
        <v>41857.42</v>
      </c>
      <c r="S87" s="21">
        <v>32748.09</v>
      </c>
      <c r="T87" s="21">
        <v>23788.41</v>
      </c>
      <c r="U87" s="21">
        <v>29651.97</v>
      </c>
      <c r="V87" s="21">
        <v>27547.66</v>
      </c>
      <c r="W87" s="21">
        <v>23713.77</v>
      </c>
      <c r="X87" s="21">
        <v>23412.95</v>
      </c>
      <c r="Y87" s="21">
        <v>28682.92</v>
      </c>
      <c r="Z87" s="21">
        <v>32869.32</v>
      </c>
      <c r="AA87" s="21" t="e">
        <f t="shared" ca="1" si="24"/>
        <v>#NAME?</v>
      </c>
      <c r="AB87" s="17" t="e">
        <f t="shared" ca="1" si="25"/>
        <v>#NAME?</v>
      </c>
      <c r="AD87" s="21">
        <v>490157.959763697</v>
      </c>
      <c r="AE87" s="17" t="str">
        <f t="shared" ca="1" si="26"/>
        <v/>
      </c>
      <c r="AF87" s="50" t="e">
        <f t="shared" ca="1" si="27"/>
        <v>#NAME?</v>
      </c>
      <c r="AG87" s="21">
        <v>523004.23</v>
      </c>
      <c r="AH87" s="17" t="str">
        <f t="shared" ca="1" si="29"/>
        <v/>
      </c>
      <c r="AI87" s="50" t="e">
        <f t="shared" ca="1" si="30"/>
        <v>#NAME?</v>
      </c>
      <c r="AJ87" s="350">
        <f t="shared" ca="1" si="31"/>
        <v>0</v>
      </c>
      <c r="AK87" s="351">
        <f t="shared" ca="1" si="32"/>
        <v>0</v>
      </c>
      <c r="AL87" s="140">
        <f t="shared" ca="1" si="33"/>
        <v>0</v>
      </c>
      <c r="AM87" s="352">
        <f t="shared" ca="1" si="34"/>
        <v>0</v>
      </c>
      <c r="AN87" s="140">
        <f t="shared" ca="1" si="35"/>
        <v>0</v>
      </c>
    </row>
    <row r="88" spans="1:40" x14ac:dyDescent="0.25">
      <c r="A88" s="3" t="s">
        <v>23</v>
      </c>
      <c r="B88" s="5" t="s">
        <v>24</v>
      </c>
      <c r="H88" s="15" t="s">
        <v>935</v>
      </c>
      <c r="I88" s="161" t="e">
        <f ca="1">_xll.EVPRO($B$1,$H88,"STYLE")</f>
        <v>#NAME?</v>
      </c>
      <c r="J88" s="161" t="e">
        <f ca="1">_xll.EVPRO($B$1,$H88,"CALC")</f>
        <v>#NAME?</v>
      </c>
      <c r="K88" s="68" t="e">
        <f t="shared" ca="1" si="28"/>
        <v>#NAME?</v>
      </c>
      <c r="L88" s="162" t="e">
        <f ca="1">_xll.EVPRO($B$1,H88,"JDEID")</f>
        <v>#NAME?</v>
      </c>
      <c r="M88" s="162" t="e">
        <f ca="1">IF(AND(I88="N",J88="N"),_xll.EVPRO($B$1,H88,"PSFTID"),"")</f>
        <v>#NAME?</v>
      </c>
      <c r="N88" s="162" t="e">
        <f ca="1">IF(_xll.EVDES(H88,$B$1)="#NODATA","",_xll.EVDES(H88,$B$1))</f>
        <v>#NAME?</v>
      </c>
      <c r="O88" s="21">
        <v>1183.33</v>
      </c>
      <c r="P88" s="21">
        <v>5213.74</v>
      </c>
      <c r="Q88" s="21">
        <v>4954.33</v>
      </c>
      <c r="R88" s="21">
        <v>3171</v>
      </c>
      <c r="S88" s="21">
        <v>557.03</v>
      </c>
      <c r="T88" s="21">
        <v>319.41000000000003</v>
      </c>
      <c r="U88" s="21">
        <v>2696</v>
      </c>
      <c r="V88" s="21"/>
      <c r="W88" s="21"/>
      <c r="X88" s="21">
        <v>2500.86</v>
      </c>
      <c r="Y88" s="21">
        <v>7514.4</v>
      </c>
      <c r="Z88" s="21">
        <v>7799.1</v>
      </c>
      <c r="AA88" s="21" t="e">
        <f t="shared" ca="1" si="24"/>
        <v>#NAME?</v>
      </c>
      <c r="AB88" s="17" t="e">
        <f t="shared" ca="1" si="25"/>
        <v>#NAME?</v>
      </c>
      <c r="AD88" s="21">
        <v>30069.7708457437</v>
      </c>
      <c r="AE88" s="17" t="str">
        <f t="shared" ca="1" si="26"/>
        <v/>
      </c>
      <c r="AF88" s="50" t="e">
        <f t="shared" ca="1" si="27"/>
        <v>#NAME?</v>
      </c>
      <c r="AG88" s="21">
        <v>34248.03</v>
      </c>
      <c r="AH88" s="17" t="str">
        <f t="shared" ca="1" si="29"/>
        <v/>
      </c>
      <c r="AI88" s="50" t="e">
        <f t="shared" ca="1" si="30"/>
        <v>#NAME?</v>
      </c>
      <c r="AJ88" s="350">
        <f t="shared" ca="1" si="31"/>
        <v>0</v>
      </c>
      <c r="AK88" s="351">
        <f t="shared" ca="1" si="32"/>
        <v>0</v>
      </c>
      <c r="AL88" s="140">
        <f t="shared" ca="1" si="33"/>
        <v>0</v>
      </c>
      <c r="AM88" s="352">
        <f t="shared" ca="1" si="34"/>
        <v>0</v>
      </c>
      <c r="AN88" s="140">
        <f t="shared" ca="1" si="35"/>
        <v>0</v>
      </c>
    </row>
    <row r="89" spans="1:40" x14ac:dyDescent="0.25">
      <c r="A89" s="6" t="s">
        <v>25</v>
      </c>
      <c r="B89" s="7"/>
      <c r="H89" s="15" t="s">
        <v>936</v>
      </c>
      <c r="I89" s="161" t="e">
        <f ca="1">_xll.EVPRO($B$1,$H89,"STYLE")</f>
        <v>#NAME?</v>
      </c>
      <c r="J89" s="161" t="e">
        <f ca="1">_xll.EVPRO($B$1,$H89,"CALC")</f>
        <v>#NAME?</v>
      </c>
      <c r="K89" s="68" t="e">
        <f t="shared" ca="1" si="28"/>
        <v>#NAME?</v>
      </c>
      <c r="L89" s="162" t="e">
        <f ca="1">_xll.EVPRO($B$1,H89,"JDEID")</f>
        <v>#NAME?</v>
      </c>
      <c r="M89" s="162" t="e">
        <f ca="1">IF(AND(I89="N",J89="N"),_xll.EVPRO($B$1,H89,"PSFTID"),"")</f>
        <v>#NAME?</v>
      </c>
      <c r="N89" s="162" t="e">
        <f ca="1">IF(_xll.EVDES(H89,$B$1)="#NODATA","",_xll.EVDES(H89,$B$1))</f>
        <v>#NAME?</v>
      </c>
      <c r="O89" s="21">
        <v>1194.8699999999999</v>
      </c>
      <c r="P89" s="21"/>
      <c r="Q89" s="21">
        <v>633.47</v>
      </c>
      <c r="R89" s="21">
        <v>250.8</v>
      </c>
      <c r="S89" s="21"/>
      <c r="T89" s="21"/>
      <c r="U89" s="21"/>
      <c r="V89" s="21"/>
      <c r="W89" s="21"/>
      <c r="X89" s="21"/>
      <c r="Y89" s="21"/>
      <c r="Z89" s="21"/>
      <c r="AA89" s="21" t="e">
        <f t="shared" ca="1" si="24"/>
        <v>#NAME?</v>
      </c>
      <c r="AB89" s="17" t="e">
        <f t="shared" ca="1" si="25"/>
        <v>#NAME?</v>
      </c>
      <c r="AD89" s="21">
        <v>1568.0203998042</v>
      </c>
      <c r="AE89" s="17" t="str">
        <f t="shared" ca="1" si="26"/>
        <v/>
      </c>
      <c r="AF89" s="50" t="e">
        <f t="shared" ca="1" si="27"/>
        <v>#NAME?</v>
      </c>
      <c r="AG89" s="21">
        <v>1098.22</v>
      </c>
      <c r="AH89" s="17" t="str">
        <f t="shared" ca="1" si="29"/>
        <v/>
      </c>
      <c r="AI89" s="50" t="e">
        <f t="shared" ca="1" si="30"/>
        <v>#NAME?</v>
      </c>
      <c r="AJ89" s="350">
        <f t="shared" ca="1" si="31"/>
        <v>0</v>
      </c>
      <c r="AK89" s="351">
        <f t="shared" ca="1" si="32"/>
        <v>0</v>
      </c>
      <c r="AL89" s="140">
        <f t="shared" ca="1" si="33"/>
        <v>0</v>
      </c>
      <c r="AM89" s="352">
        <f t="shared" ca="1" si="34"/>
        <v>0</v>
      </c>
      <c r="AN89" s="140">
        <f t="shared" ca="1" si="35"/>
        <v>0</v>
      </c>
    </row>
    <row r="90" spans="1:40" x14ac:dyDescent="0.25">
      <c r="A90" s="6" t="s">
        <v>26</v>
      </c>
      <c r="B90" s="7"/>
      <c r="H90" s="15" t="s">
        <v>937</v>
      </c>
      <c r="I90" s="161" t="e">
        <f ca="1">_xll.EVPRO($B$1,$H90,"STYLE")</f>
        <v>#NAME?</v>
      </c>
      <c r="J90" s="161" t="e">
        <f ca="1">_xll.EVPRO($B$1,$H90,"CALC")</f>
        <v>#NAME?</v>
      </c>
      <c r="K90" s="68" t="e">
        <f t="shared" ca="1" si="28"/>
        <v>#NAME?</v>
      </c>
      <c r="L90" s="162" t="e">
        <f ca="1">_xll.EVPRO($B$1,H90,"JDEID")</f>
        <v>#NAME?</v>
      </c>
      <c r="M90" s="162" t="e">
        <f ca="1">IF(AND(I90="N",J90="N"),_xll.EVPRO($B$1,H90,"PSFTID"),"")</f>
        <v>#NAME?</v>
      </c>
      <c r="N90" s="162" t="e">
        <f ca="1">IF(_xll.EVDES(H90,$B$1)="#NODATA","",_xll.EVDES(H90,$B$1))</f>
        <v>#NAME?</v>
      </c>
      <c r="O90" s="21"/>
      <c r="P90" s="21"/>
      <c r="Q90" s="21"/>
      <c r="R90" s="21"/>
      <c r="S90" s="21"/>
      <c r="T90" s="21"/>
      <c r="U90" s="21"/>
      <c r="V90" s="21"/>
      <c r="W90" s="21"/>
      <c r="X90" s="21"/>
      <c r="Y90" s="21"/>
      <c r="Z90" s="21"/>
      <c r="AA90" s="21" t="e">
        <f t="shared" ca="1" si="24"/>
        <v>#NAME?</v>
      </c>
      <c r="AB90" s="17" t="e">
        <f t="shared" ca="1" si="25"/>
        <v>#NAME?</v>
      </c>
      <c r="AD90" s="21"/>
      <c r="AE90" s="17" t="str">
        <f t="shared" si="26"/>
        <v/>
      </c>
      <c r="AF90" s="50" t="e">
        <f t="shared" ca="1" si="27"/>
        <v>#NAME?</v>
      </c>
      <c r="AG90" s="21">
        <v>64.739999999999995</v>
      </c>
      <c r="AH90" s="17" t="str">
        <f t="shared" ca="1" si="29"/>
        <v/>
      </c>
      <c r="AI90" s="50" t="e">
        <f t="shared" ca="1" si="30"/>
        <v>#NAME?</v>
      </c>
      <c r="AJ90" s="350">
        <f t="shared" ca="1" si="31"/>
        <v>0</v>
      </c>
      <c r="AK90" s="351">
        <f t="shared" ca="1" si="32"/>
        <v>0</v>
      </c>
      <c r="AL90" s="140">
        <f t="shared" ca="1" si="33"/>
        <v>0</v>
      </c>
      <c r="AM90" s="352">
        <f t="shared" ca="1" si="34"/>
        <v>0</v>
      </c>
      <c r="AN90" s="140">
        <f t="shared" ca="1" si="35"/>
        <v>0</v>
      </c>
    </row>
    <row r="91" spans="1:40" x14ac:dyDescent="0.25">
      <c r="A91" s="6" t="s">
        <v>27</v>
      </c>
      <c r="B91" s="7"/>
      <c r="H91" s="15" t="s">
        <v>841</v>
      </c>
      <c r="I91" s="161" t="e">
        <f ca="1">_xll.EVPRO($B$1,$H91,"STYLE")</f>
        <v>#NAME?</v>
      </c>
      <c r="J91" s="161" t="e">
        <f ca="1">_xll.EVPRO($B$1,$H91,"CALC")</f>
        <v>#NAME?</v>
      </c>
      <c r="K91" s="68" t="e">
        <f t="shared" ca="1" si="28"/>
        <v>#NAME?</v>
      </c>
      <c r="L91" s="162" t="e">
        <f ca="1">_xll.EVPRO($B$1,H91,"JDEID")</f>
        <v>#NAME?</v>
      </c>
      <c r="M91" s="162" t="e">
        <f ca="1">IF(AND(I91="N",J91="N"),_xll.EVPRO($B$1,H91,"PSFTID"),"")</f>
        <v>#NAME?</v>
      </c>
      <c r="N91" s="162" t="e">
        <f ca="1">IF(_xll.EVDES(H91,$B$1)="#NODATA","",_xll.EVDES(H91,$B$1))</f>
        <v>#NAME?</v>
      </c>
      <c r="O91" s="21"/>
      <c r="P91" s="21"/>
      <c r="Q91" s="21"/>
      <c r="R91" s="21"/>
      <c r="S91" s="21"/>
      <c r="T91" s="21"/>
      <c r="U91" s="21"/>
      <c r="V91" s="21"/>
      <c r="W91" s="21"/>
      <c r="X91" s="21"/>
      <c r="Y91" s="21"/>
      <c r="Z91" s="21"/>
      <c r="AA91" s="21" t="e">
        <f t="shared" ca="1" si="24"/>
        <v>#NAME?</v>
      </c>
      <c r="AB91" s="17" t="e">
        <f t="shared" ca="1" si="25"/>
        <v>#NAME?</v>
      </c>
      <c r="AD91" s="21"/>
      <c r="AE91" s="17" t="str">
        <f t="shared" si="26"/>
        <v/>
      </c>
      <c r="AF91" s="50" t="e">
        <f t="shared" ca="1" si="27"/>
        <v>#NAME?</v>
      </c>
      <c r="AG91" s="21">
        <v>875.39</v>
      </c>
      <c r="AH91" s="17" t="str">
        <f t="shared" ca="1" si="29"/>
        <v/>
      </c>
      <c r="AI91" s="50" t="e">
        <f t="shared" ca="1" si="30"/>
        <v>#NAME?</v>
      </c>
      <c r="AJ91" s="350">
        <f t="shared" ca="1" si="31"/>
        <v>0</v>
      </c>
      <c r="AK91" s="351">
        <f t="shared" ca="1" si="32"/>
        <v>0</v>
      </c>
      <c r="AL91" s="140">
        <f t="shared" ca="1" si="33"/>
        <v>0</v>
      </c>
      <c r="AM91" s="352">
        <f t="shared" ca="1" si="34"/>
        <v>0</v>
      </c>
      <c r="AN91" s="140">
        <f t="shared" ca="1" si="35"/>
        <v>0</v>
      </c>
    </row>
    <row r="92" spans="1:40" x14ac:dyDescent="0.25">
      <c r="A92" s="6" t="s">
        <v>28</v>
      </c>
      <c r="B92" s="7"/>
      <c r="H92" s="15" t="s">
        <v>845</v>
      </c>
      <c r="I92" s="161" t="e">
        <f ca="1">_xll.EVPRO($B$1,$H92,"STYLE")</f>
        <v>#NAME?</v>
      </c>
      <c r="J92" s="161" t="e">
        <f ca="1">_xll.EVPRO($B$1,$H92,"CALC")</f>
        <v>#NAME?</v>
      </c>
      <c r="K92" s="68" t="e">
        <f t="shared" ca="1" si="28"/>
        <v>#NAME?</v>
      </c>
      <c r="L92" s="162" t="e">
        <f ca="1">_xll.EVPRO($B$1,H92,"JDEID")</f>
        <v>#NAME?</v>
      </c>
      <c r="M92" s="162" t="e">
        <f ca="1">IF(AND(I92="N",J92="N"),_xll.EVPRO($B$1,H92,"PSFTID"),"")</f>
        <v>#NAME?</v>
      </c>
      <c r="N92" s="162" t="e">
        <f ca="1">IF(_xll.EVDES(H92,$B$1)="#NODATA","",_xll.EVDES(H92,$B$1))</f>
        <v>#NAME?</v>
      </c>
      <c r="O92" s="21">
        <v>12950.23</v>
      </c>
      <c r="P92" s="21">
        <v>12039.61</v>
      </c>
      <c r="Q92" s="21">
        <v>11808.62</v>
      </c>
      <c r="R92" s="21">
        <v>9024.27</v>
      </c>
      <c r="S92" s="21">
        <v>8292.56</v>
      </c>
      <c r="T92" s="21">
        <v>6343.79</v>
      </c>
      <c r="U92" s="21">
        <v>6254.14</v>
      </c>
      <c r="V92" s="21">
        <v>5043.0600000000004</v>
      </c>
      <c r="W92" s="21">
        <v>4340.29</v>
      </c>
      <c r="X92" s="21">
        <v>5897.55</v>
      </c>
      <c r="Y92" s="21">
        <v>6730.55</v>
      </c>
      <c r="Z92" s="21">
        <v>11441.75</v>
      </c>
      <c r="AA92" s="21" t="e">
        <f t="shared" ca="1" si="24"/>
        <v>#NAME?</v>
      </c>
      <c r="AB92" s="17" t="e">
        <f t="shared" ca="1" si="25"/>
        <v>#NAME?</v>
      </c>
      <c r="AD92" s="21">
        <v>116385.24370000001</v>
      </c>
      <c r="AE92" s="17" t="str">
        <f t="shared" ca="1" si="26"/>
        <v/>
      </c>
      <c r="AF92" s="50" t="e">
        <f t="shared" ca="1" si="27"/>
        <v>#NAME?</v>
      </c>
      <c r="AG92" s="21">
        <v>113101.74</v>
      </c>
      <c r="AH92" s="17" t="str">
        <f t="shared" ca="1" si="29"/>
        <v/>
      </c>
      <c r="AI92" s="50" t="e">
        <f t="shared" ca="1" si="30"/>
        <v>#NAME?</v>
      </c>
      <c r="AJ92" s="350">
        <f t="shared" ca="1" si="31"/>
        <v>0</v>
      </c>
      <c r="AK92" s="351">
        <f t="shared" ca="1" si="32"/>
        <v>0</v>
      </c>
      <c r="AL92" s="140">
        <f t="shared" ca="1" si="33"/>
        <v>0</v>
      </c>
      <c r="AM92" s="352">
        <f t="shared" ca="1" si="34"/>
        <v>0</v>
      </c>
      <c r="AN92" s="140">
        <f t="shared" ca="1" si="35"/>
        <v>0</v>
      </c>
    </row>
    <row r="93" spans="1:40" x14ac:dyDescent="0.25">
      <c r="A93" s="6" t="s">
        <v>29</v>
      </c>
      <c r="B93" s="7"/>
      <c r="H93" s="15" t="s">
        <v>77</v>
      </c>
      <c r="I93" s="161" t="e">
        <f ca="1">_xll.EVPRO($B$1,$H93,"STYLE")</f>
        <v>#NAME?</v>
      </c>
      <c r="J93" s="161" t="e">
        <f ca="1">_xll.EVPRO($B$1,$H93,"CALC")</f>
        <v>#NAME?</v>
      </c>
      <c r="K93" s="68" t="e">
        <f t="shared" ca="1" si="28"/>
        <v>#NAME?</v>
      </c>
      <c r="L93" s="162" t="e">
        <f ca="1">_xll.EVPRO($B$1,H93,"JDEID")</f>
        <v>#NAME?</v>
      </c>
      <c r="M93" s="162" t="e">
        <f ca="1">IF(AND(I93="N",J93="N"),_xll.EVPRO($B$1,H93,"PSFTID"),"")</f>
        <v>#NAME?</v>
      </c>
      <c r="N93" s="162" t="e">
        <f ca="1">IF(_xll.EVDES(H93,$B$1)="#NODATA","",_xll.EVDES(H93,$B$1))</f>
        <v>#NAME?</v>
      </c>
      <c r="O93" s="21">
        <v>684.8</v>
      </c>
      <c r="P93" s="21">
        <v>-64</v>
      </c>
      <c r="Q93" s="21">
        <v>377.6</v>
      </c>
      <c r="R93" s="21">
        <v>311.60000000000002</v>
      </c>
      <c r="S93" s="21">
        <v>324.2</v>
      </c>
      <c r="T93" s="21">
        <v>211.2</v>
      </c>
      <c r="U93" s="21">
        <v>96.8</v>
      </c>
      <c r="V93" s="21">
        <v>204</v>
      </c>
      <c r="W93" s="21">
        <v>89.6</v>
      </c>
      <c r="X93" s="21">
        <v>140.80000000000001</v>
      </c>
      <c r="Y93" s="21">
        <v>140.80000000000001</v>
      </c>
      <c r="Z93" s="21">
        <v>262.39999999999998</v>
      </c>
      <c r="AA93" s="21" t="e">
        <f t="shared" ca="1" si="24"/>
        <v>#NAME?</v>
      </c>
      <c r="AB93" s="17" t="e">
        <f t="shared" ca="1" si="25"/>
        <v>#NAME?</v>
      </c>
      <c r="AD93" s="21">
        <v>3068.32</v>
      </c>
      <c r="AE93" s="17" t="str">
        <f t="shared" ca="1" si="26"/>
        <v/>
      </c>
      <c r="AF93" s="50" t="e">
        <f t="shared" ca="1" si="27"/>
        <v>#NAME?</v>
      </c>
      <c r="AG93" s="21">
        <v>2549.4</v>
      </c>
      <c r="AH93" s="17" t="str">
        <f t="shared" ca="1" si="29"/>
        <v/>
      </c>
      <c r="AI93" s="50" t="e">
        <f t="shared" ca="1" si="30"/>
        <v>#NAME?</v>
      </c>
      <c r="AJ93" s="350">
        <f t="shared" ca="1" si="31"/>
        <v>0</v>
      </c>
      <c r="AK93" s="351">
        <f t="shared" ca="1" si="32"/>
        <v>0</v>
      </c>
      <c r="AL93" s="140">
        <f t="shared" ca="1" si="33"/>
        <v>0</v>
      </c>
      <c r="AM93" s="352">
        <f t="shared" ca="1" si="34"/>
        <v>0</v>
      </c>
      <c r="AN93" s="140">
        <f t="shared" ca="1" si="35"/>
        <v>0</v>
      </c>
    </row>
    <row r="94" spans="1:40" x14ac:dyDescent="0.25">
      <c r="A94" s="6" t="s">
        <v>30</v>
      </c>
      <c r="B94" s="7" t="s">
        <v>78</v>
      </c>
      <c r="H94" s="15" t="s">
        <v>79</v>
      </c>
      <c r="I94" s="27" t="e">
        <f ca="1">_xll.EVPRO($B$1,$H94,"STYLE")</f>
        <v>#NAME?</v>
      </c>
      <c r="J94" s="27" t="e">
        <f ca="1">_xll.EVPRO($B$1,$H94,"CALC")</f>
        <v>#NAME?</v>
      </c>
      <c r="K94" s="26"/>
      <c r="N94" s="25" t="e">
        <f ca="1">IF(_xll.EVDES(H94,$B$1)="#NODATA","",_xll.EVDES(H94,$B$1))</f>
        <v>#NAME?</v>
      </c>
      <c r="O94" s="33">
        <v>113963.45</v>
      </c>
      <c r="P94" s="33">
        <v>110364.34</v>
      </c>
      <c r="Q94" s="33">
        <v>112104.81</v>
      </c>
      <c r="R94" s="33">
        <v>122504.77</v>
      </c>
      <c r="S94" s="33">
        <v>92055.74</v>
      </c>
      <c r="T94" s="33">
        <v>82898.16</v>
      </c>
      <c r="U94" s="33">
        <v>90781.07</v>
      </c>
      <c r="V94" s="33">
        <v>86000.37</v>
      </c>
      <c r="W94" s="33">
        <v>73313.509999999995</v>
      </c>
      <c r="X94" s="33">
        <v>88266.11</v>
      </c>
      <c r="Y94" s="33">
        <v>92662.91</v>
      </c>
      <c r="Z94" s="33">
        <v>115151.05</v>
      </c>
      <c r="AA94" s="33" t="e">
        <f t="shared" ca="1" si="24"/>
        <v>#NAME?</v>
      </c>
      <c r="AB94" s="34" t="e">
        <f t="shared" ca="1" si="25"/>
        <v>#NAME?</v>
      </c>
      <c r="AD94" s="33">
        <v>1292343.5558702601</v>
      </c>
      <c r="AE94" s="34" t="str">
        <f t="shared" ca="1" si="26"/>
        <v/>
      </c>
      <c r="AF94" s="52" t="e">
        <f t="shared" ca="1" si="27"/>
        <v>#NAME?</v>
      </c>
      <c r="AG94" s="33">
        <v>1306353.8</v>
      </c>
      <c r="AH94" s="34" t="str">
        <f ca="1">IF(AG94=0,"",IFERROR(AG94/AG$19,""))</f>
        <v/>
      </c>
      <c r="AI94" s="52" t="e">
        <f ca="1">IF(AND($AA94="",AG94=""),"",$AA94-AG94)</f>
        <v>#NAME?</v>
      </c>
      <c r="AJ94" s="364">
        <f ca="1">IFERROR(AA94/AA$20,0)</f>
        <v>0</v>
      </c>
      <c r="AK94" s="365">
        <f ca="1">IFERROR(AD94/AD$20,0)</f>
        <v>0</v>
      </c>
      <c r="AL94" s="366">
        <f ca="1">AJ94-AK94</f>
        <v>0</v>
      </c>
      <c r="AM94" s="367">
        <f ca="1">IFERROR(AG94/AG$20,0)</f>
        <v>0</v>
      </c>
      <c r="AN94" s="366">
        <f ca="1">AJ94-AM94</f>
        <v>0</v>
      </c>
    </row>
    <row r="95" spans="1:40" x14ac:dyDescent="0.25">
      <c r="A95" s="6" t="s">
        <v>31</v>
      </c>
      <c r="B95" s="7" t="s">
        <v>78</v>
      </c>
    </row>
    <row r="96" spans="1:40" x14ac:dyDescent="0.25">
      <c r="A96" s="6" t="s">
        <v>32</v>
      </c>
      <c r="B96" s="7"/>
      <c r="H96" s="15" t="s">
        <v>80</v>
      </c>
      <c r="I96" s="27" t="e">
        <f ca="1">_xll.EVPRO($B$1,$H96,"STYLE")</f>
        <v>#NAME?</v>
      </c>
      <c r="J96" s="27" t="e">
        <f ca="1">_xll.EVPRO($B$1,$H96,"CALC")</f>
        <v>#NAME?</v>
      </c>
      <c r="K96" s="25"/>
      <c r="M96" s="162"/>
      <c r="N96" s="25" t="e">
        <f ca="1">IF(_xll.EVDES(H96,$B$1)="#NODATA","",_xll.EVDES(H96,$B$1))</f>
        <v>#NAME?</v>
      </c>
      <c r="O96" s="36">
        <v>237562.78</v>
      </c>
      <c r="P96" s="36">
        <v>222323.8</v>
      </c>
      <c r="Q96" s="36">
        <v>240431.83</v>
      </c>
      <c r="R96" s="36">
        <v>244110.22</v>
      </c>
      <c r="S96" s="36">
        <v>208185.68</v>
      </c>
      <c r="T96" s="36">
        <v>199280.41</v>
      </c>
      <c r="U96" s="36">
        <v>214887.5</v>
      </c>
      <c r="V96" s="36">
        <v>200317.04</v>
      </c>
      <c r="W96" s="36">
        <v>181970.93</v>
      </c>
      <c r="X96" s="36">
        <v>204640.28</v>
      </c>
      <c r="Y96" s="36">
        <v>204793.19</v>
      </c>
      <c r="Z96" s="36">
        <v>234336.46</v>
      </c>
      <c r="AA96" s="36" t="e">
        <f ca="1">IF($I96="B1","",SUM(O96:Z96))</f>
        <v>#NAME?</v>
      </c>
      <c r="AB96" s="37" t="e">
        <f ca="1">IF(AA96=0,"",IFERROR(AA96/AA$19,""))</f>
        <v>#NAME?</v>
      </c>
      <c r="AD96" s="36">
        <v>2816918.9013481801</v>
      </c>
      <c r="AE96" s="37" t="str">
        <f ca="1">IF(AD96=0,"",IFERROR(AD96/AD$19,""))</f>
        <v/>
      </c>
      <c r="AF96" s="59" t="e">
        <f ca="1">IF(AND($AA96="",AD96=""),"",$AA96-AD96)</f>
        <v>#NAME?</v>
      </c>
      <c r="AG96" s="60">
        <v>2825148</v>
      </c>
      <c r="AH96" s="61" t="str">
        <f ca="1">IF(AG96=0,"",IFERROR(AG96/AG$19,""))</f>
        <v/>
      </c>
      <c r="AI96" s="59" t="e">
        <f ca="1">IF(AND($AA96="",AG96=""),"",$AA96-AG96)</f>
        <v>#NAME?</v>
      </c>
      <c r="AJ96" s="360">
        <f ca="1">IFERROR(AA96/AA$20,0)</f>
        <v>0</v>
      </c>
      <c r="AK96" s="361">
        <f ca="1">IFERROR(AD96/AD$20,0)</f>
        <v>0</v>
      </c>
      <c r="AL96" s="362">
        <f ca="1">AJ96-AK96</f>
        <v>0</v>
      </c>
      <c r="AM96" s="363">
        <f ca="1">IFERROR(AG96/AG$20,0)</f>
        <v>0</v>
      </c>
      <c r="AN96" s="362">
        <f ca="1">AJ96-AM96</f>
        <v>0</v>
      </c>
    </row>
    <row r="97" spans="1:40" ht="15.75" thickBot="1" x14ac:dyDescent="0.3">
      <c r="A97" s="6" t="s">
        <v>33</v>
      </c>
      <c r="B97" s="7"/>
      <c r="H97" s="15" t="s">
        <v>81</v>
      </c>
      <c r="I97" s="27" t="e">
        <f ca="1">_xll.EVPRO($B$1,$H97,"STYLE")</f>
        <v>#NAME?</v>
      </c>
      <c r="J97" s="27" t="e">
        <f ca="1">_xll.EVPRO($B$1,$H97,"CALC")</f>
        <v>#NAME?</v>
      </c>
      <c r="K97" s="25"/>
      <c r="M97" s="162"/>
      <c r="N97" s="25" t="e">
        <f ca="1">IF(_xll.EVDES(H97,$B$1)="#NODATA","",_xll.EVDES(H97,$B$1))</f>
        <v>#NAME?</v>
      </c>
      <c r="O97" s="62">
        <v>848811.39000000095</v>
      </c>
      <c r="P97" s="62">
        <v>981637.11000000103</v>
      </c>
      <c r="Q97" s="62">
        <v>939209.46</v>
      </c>
      <c r="R97" s="62">
        <v>665418.29</v>
      </c>
      <c r="S97" s="62">
        <v>621069.86</v>
      </c>
      <c r="T97" s="62">
        <v>431799.3</v>
      </c>
      <c r="U97" s="62">
        <v>410526.12</v>
      </c>
      <c r="V97" s="62">
        <v>303988.47999999998</v>
      </c>
      <c r="W97" s="62">
        <v>252058.06</v>
      </c>
      <c r="X97" s="62">
        <v>383997.8</v>
      </c>
      <c r="Y97" s="62">
        <v>468262.24</v>
      </c>
      <c r="Z97" s="62">
        <v>908375.1</v>
      </c>
      <c r="AA97" s="62" t="e">
        <f ca="1">IF($I97="B1","",SUM(O97:Z97))</f>
        <v>#NAME?</v>
      </c>
      <c r="AB97" s="63" t="e">
        <f ca="1">IF(AA97=0,"",IFERROR(AA97/AA$19,""))</f>
        <v>#NAME?</v>
      </c>
      <c r="AD97" s="62">
        <v>8821605.4686518293</v>
      </c>
      <c r="AE97" s="63" t="str">
        <f ca="1">IF(AD97=0,"",IFERROR(AD97/AD$19,""))</f>
        <v/>
      </c>
      <c r="AF97" s="64" t="e">
        <f ca="1">IF(AND($AA97="",AD97=""),"",$AA97-AD97)</f>
        <v>#NAME?</v>
      </c>
      <c r="AG97" s="62">
        <v>8465374.5</v>
      </c>
      <c r="AH97" s="63" t="str">
        <f ca="1">IF(AG97=0,"",IFERROR(AG97/AG$19,""))</f>
        <v/>
      </c>
      <c r="AI97" s="64" t="e">
        <f ca="1">IF(AND($AA97="",AG97=""),"",$AA97-AG97)</f>
        <v>#NAME?</v>
      </c>
      <c r="AJ97" s="368">
        <f ca="1">IFERROR(AA97/AA$20,0)</f>
        <v>0</v>
      </c>
      <c r="AK97" s="369">
        <f ca="1">IFERROR(AD97/AD$20,0)</f>
        <v>0</v>
      </c>
      <c r="AL97" s="370">
        <f ca="1">AJ97-AK97</f>
        <v>0</v>
      </c>
      <c r="AM97" s="371">
        <f ca="1">IFERROR(AG97/AG$20,0)</f>
        <v>0</v>
      </c>
      <c r="AN97" s="370">
        <f ca="1">AJ97-AM97</f>
        <v>0</v>
      </c>
    </row>
    <row r="98" spans="1:40" ht="15.75" thickTop="1" x14ac:dyDescent="0.25">
      <c r="A98" s="6" t="s">
        <v>34</v>
      </c>
      <c r="B98" s="7"/>
    </row>
    <row r="99" spans="1:40" x14ac:dyDescent="0.25">
      <c r="A99" s="6" t="s">
        <v>35</v>
      </c>
      <c r="B99" s="7"/>
      <c r="N99" s="26" t="e">
        <f ca="1">N96&amp;" - Check"</f>
        <v>#NAME?</v>
      </c>
      <c r="O99" s="139">
        <f t="shared" ref="O99:AA99" si="36">SUMIF($H$35:$H$97,"600000",O$35:O$97)+SUMIF($H$35:$H$97,"700000",O$35:O$97)-SUMIF($H$35:$H$97,"TOTDEPTEXP",O$35:O$97)</f>
        <v>0</v>
      </c>
      <c r="P99" s="139">
        <f t="shared" si="36"/>
        <v>0</v>
      </c>
      <c r="Q99" s="139">
        <f t="shared" si="36"/>
        <v>0</v>
      </c>
      <c r="R99" s="139">
        <f t="shared" si="36"/>
        <v>0</v>
      </c>
      <c r="S99" s="139">
        <f t="shared" si="36"/>
        <v>0</v>
      </c>
      <c r="T99" s="139">
        <f t="shared" si="36"/>
        <v>0</v>
      </c>
      <c r="U99" s="139">
        <f t="shared" si="36"/>
        <v>0</v>
      </c>
      <c r="V99" s="139">
        <f t="shared" si="36"/>
        <v>0</v>
      </c>
      <c r="W99" s="139">
        <f t="shared" si="36"/>
        <v>0</v>
      </c>
      <c r="X99" s="139">
        <f t="shared" si="36"/>
        <v>0</v>
      </c>
      <c r="Y99" s="139">
        <f t="shared" si="36"/>
        <v>0</v>
      </c>
      <c r="Z99" s="139">
        <f t="shared" si="36"/>
        <v>0</v>
      </c>
      <c r="AA99" s="139" t="e">
        <f t="shared" ca="1" si="36"/>
        <v>#NAME?</v>
      </c>
      <c r="AB99" s="17"/>
      <c r="AD99" s="139">
        <f>SUMIF($H$35:$H$97,"600000",AD$35:AD$97)+SUMIF($H$35:$H$97,"700000",AD$35:AD$97)-SUMIF($H$35:$H$97,"TOTDEPTEXP",AD$35:AD$97)</f>
        <v>0</v>
      </c>
      <c r="AE99" s="17"/>
      <c r="AF99" s="21"/>
      <c r="AG99" s="139">
        <f>SUMIF($H$35:$H$97,"600000",AG$35:AG$97)+SUMIF($H$35:$H$97,"700000",AG$35:AG$97)-SUMIF($H$35:$H$97,"TOTDEPTEXP",AG$35:AG$97)</f>
        <v>0</v>
      </c>
      <c r="AH99" s="17"/>
      <c r="AI99" s="21"/>
    </row>
    <row r="100" spans="1:40" x14ac:dyDescent="0.25">
      <c r="A100" s="6" t="s">
        <v>36</v>
      </c>
      <c r="B100" s="7"/>
      <c r="N100" s="26" t="e">
        <f ca="1">N97&amp;" - Check"</f>
        <v>#NAME?</v>
      </c>
      <c r="O100" s="139">
        <f t="shared" ref="O100:AA100" si="37">SUMIF($H$35:$H$97,"ROOMS_TOT",O$35:O$97)-SUMIF($H$35:$H$97,"TOTDEPTEXP",O$35:O$97)-SUMIF($H$35:$H$97,"TOTDEPTPL",O$35:O$97)</f>
        <v>-1.0477378964424133E-9</v>
      </c>
      <c r="P100" s="139">
        <f t="shared" si="37"/>
        <v>-1.1641532182693481E-9</v>
      </c>
      <c r="Q100" s="139">
        <f t="shared" si="37"/>
        <v>0</v>
      </c>
      <c r="R100" s="139">
        <f t="shared" si="37"/>
        <v>0</v>
      </c>
      <c r="S100" s="139">
        <f t="shared" si="37"/>
        <v>0</v>
      </c>
      <c r="T100" s="139">
        <f t="shared" si="37"/>
        <v>0</v>
      </c>
      <c r="U100" s="139">
        <f t="shared" si="37"/>
        <v>0</v>
      </c>
      <c r="V100" s="139">
        <f t="shared" si="37"/>
        <v>0</v>
      </c>
      <c r="W100" s="139">
        <f t="shared" si="37"/>
        <v>0</v>
      </c>
      <c r="X100" s="139">
        <f t="shared" si="37"/>
        <v>0</v>
      </c>
      <c r="Y100" s="139">
        <f t="shared" si="37"/>
        <v>0</v>
      </c>
      <c r="Z100" s="139">
        <f t="shared" si="37"/>
        <v>0</v>
      </c>
      <c r="AA100" s="139" t="e">
        <f t="shared" ca="1" si="37"/>
        <v>#NAME?</v>
      </c>
      <c r="AB100" s="17"/>
      <c r="AD100" s="139">
        <f>SUMIF($H$35:$H$97,"ROOMS_TOT",AD$35:AD$97)-SUMIF($H$35:$H$97,"TOTDEPTEXP",AD$35:AD$97)-SUMIF($H$35:$H$97,"TOTDEPTPL",AD$35:AD$97)</f>
        <v>0</v>
      </c>
      <c r="AE100" s="17"/>
      <c r="AF100" s="21"/>
      <c r="AG100" s="139">
        <f>SUMIF($H$35:$H$97,"ROOMS_TOT",AG$35:AG$97)-SUMIF($H$35:$H$97,"TOTDEPTEXP",AG$35:AG$97)-SUMIF($H$35:$H$97,"TOTDEPTPL",AG$35:AG$97)</f>
        <v>0</v>
      </c>
      <c r="AH100" s="17"/>
      <c r="AI100" s="21"/>
    </row>
    <row r="101" spans="1:40" x14ac:dyDescent="0.25">
      <c r="A101" s="6" t="s">
        <v>37</v>
      </c>
      <c r="B101" s="7"/>
    </row>
    <row r="102" spans="1:40" x14ac:dyDescent="0.25">
      <c r="A102" s="6" t="s">
        <v>38</v>
      </c>
      <c r="B102" s="7"/>
    </row>
    <row r="103" spans="1:40" x14ac:dyDescent="0.25">
      <c r="A103" s="6" t="s">
        <v>39</v>
      </c>
      <c r="B103" s="7"/>
    </row>
    <row r="104" spans="1:40" x14ac:dyDescent="0.25">
      <c r="A104" s="6" t="s">
        <v>40</v>
      </c>
      <c r="B104" s="7"/>
    </row>
    <row r="105" spans="1:40" x14ac:dyDescent="0.25">
      <c r="A105" s="6" t="s">
        <v>41</v>
      </c>
      <c r="B105" s="7"/>
    </row>
    <row r="106" spans="1:40" x14ac:dyDescent="0.25">
      <c r="A106" s="6" t="s">
        <v>42</v>
      </c>
      <c r="B106" s="7"/>
    </row>
    <row r="107" spans="1:40" x14ac:dyDescent="0.25">
      <c r="A107" s="6" t="s">
        <v>43</v>
      </c>
      <c r="B107" s="7"/>
      <c r="H107" s="11"/>
      <c r="J107" s="1"/>
    </row>
    <row r="108" spans="1:40" x14ac:dyDescent="0.25">
      <c r="A108" s="6" t="s">
        <v>44</v>
      </c>
      <c r="B108" s="7"/>
      <c r="H108" s="11"/>
      <c r="J108" s="1"/>
    </row>
    <row r="109" spans="1:40" x14ac:dyDescent="0.25">
      <c r="A109" s="6" t="s">
        <v>45</v>
      </c>
      <c r="B109" s="7"/>
      <c r="H109" s="11"/>
      <c r="J109" s="1"/>
    </row>
    <row r="110" spans="1:40" x14ac:dyDescent="0.25">
      <c r="A110" s="6" t="s">
        <v>46</v>
      </c>
      <c r="B110" s="7"/>
      <c r="H110" s="11"/>
      <c r="J110" s="1"/>
    </row>
    <row r="111" spans="1:40" x14ac:dyDescent="0.25">
      <c r="H111" s="11"/>
      <c r="J111" s="1"/>
    </row>
    <row r="112" spans="1:40" x14ac:dyDescent="0.25">
      <c r="H112" s="11"/>
      <c r="J112" s="1"/>
    </row>
    <row r="113" spans="8:10" x14ac:dyDescent="0.25">
      <c r="H113" s="11"/>
      <c r="J113" s="1"/>
    </row>
    <row r="114" spans="8:10" x14ac:dyDescent="0.25">
      <c r="H114" s="11"/>
      <c r="J114" s="1"/>
    </row>
    <row r="115" spans="8:10" x14ac:dyDescent="0.25">
      <c r="H115" s="11"/>
      <c r="J115" s="1"/>
    </row>
    <row r="116" spans="8:10" x14ac:dyDescent="0.25">
      <c r="H116" s="11"/>
      <c r="J116" s="1"/>
    </row>
    <row r="117" spans="8:10" x14ac:dyDescent="0.25">
      <c r="H117" s="11"/>
      <c r="J117" s="1"/>
    </row>
    <row r="118" spans="8:10" x14ac:dyDescent="0.25">
      <c r="H118" s="11"/>
      <c r="J118" s="1"/>
    </row>
    <row r="119" spans="8:10" x14ac:dyDescent="0.25">
      <c r="H119" s="11"/>
      <c r="J119" s="1"/>
    </row>
    <row r="120" spans="8:10" x14ac:dyDescent="0.25">
      <c r="H120" s="11"/>
      <c r="J120" s="1"/>
    </row>
    <row r="121" spans="8:10" x14ac:dyDescent="0.25">
      <c r="H121" s="11"/>
      <c r="J121" s="1"/>
    </row>
    <row r="122" spans="8:10" x14ac:dyDescent="0.25">
      <c r="H122" s="11"/>
      <c r="J122" s="1"/>
    </row>
    <row r="123" spans="8:10" x14ac:dyDescent="0.25">
      <c r="H123" s="11"/>
      <c r="J123" s="1"/>
    </row>
    <row r="124" spans="8:10" x14ac:dyDescent="0.25">
      <c r="H124" s="11"/>
      <c r="J124" s="1"/>
    </row>
    <row r="125" spans="8:10" x14ac:dyDescent="0.25">
      <c r="H125" s="11"/>
      <c r="J125" s="1"/>
    </row>
    <row r="126" spans="8:10" x14ac:dyDescent="0.25">
      <c r="H126" s="11"/>
      <c r="J126" s="1"/>
    </row>
    <row r="127" spans="8:10" x14ac:dyDescent="0.25">
      <c r="H127" s="11"/>
      <c r="J127" s="1"/>
    </row>
    <row r="128" spans="8:10" x14ac:dyDescent="0.25">
      <c r="H128" s="11"/>
      <c r="J128" s="1"/>
    </row>
    <row r="129" spans="8:10" x14ac:dyDescent="0.25">
      <c r="H129" s="11"/>
      <c r="J129" s="1"/>
    </row>
  </sheetData>
  <mergeCells count="2">
    <mergeCell ref="AD31:AE31"/>
    <mergeCell ref="AG31:AH31"/>
  </mergeCells>
  <dataValidations disablePrompts="1" count="2">
    <dataValidation type="list" allowBlank="1" sqref="B29 B59" xr:uid="{00000000-0002-0000-0400-000000000000}">
      <formula1>"SELF,ALL,BAS,DEP,BASMEMBERS,MEMBERS,NOEXPAND,GDEP"</formula1>
    </dataValidation>
    <dataValidation type="list" allowBlank="1" sqref="B28 B58" xr:uid="{00000000-0002-0000-0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10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4102" r:id="rId7" name="FPMExcelClientSheetOptionstb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39997558519241921"/>
    <pageSetUpPr fitToPage="1"/>
  </sheetPr>
  <dimension ref="A1:AO12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60</v>
      </c>
      <c r="C6" s="1" t="s">
        <v>1020</v>
      </c>
      <c r="E6" s="49" t="s">
        <v>749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1050</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1051</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1052</v>
      </c>
      <c r="G19" s="18" t="str">
        <f>$B$6</f>
        <v>D_ROOMS_CON</v>
      </c>
      <c r="H19" s="18">
        <v>400000</v>
      </c>
      <c r="I19" s="19"/>
      <c r="J19" s="19"/>
      <c r="K19" s="18"/>
      <c r="L19" s="19"/>
      <c r="M19" s="19"/>
      <c r="N19" s="18" t="s">
        <v>1003</v>
      </c>
      <c r="O19" s="20">
        <v>1086374.17</v>
      </c>
      <c r="P19" s="20">
        <v>1203960.9099999999</v>
      </c>
      <c r="Q19" s="20">
        <v>1179641.29</v>
      </c>
      <c r="R19" s="20">
        <v>909528.51</v>
      </c>
      <c r="S19" s="20">
        <v>829255.54</v>
      </c>
      <c r="T19" s="20">
        <v>631079.71</v>
      </c>
      <c r="U19" s="20">
        <v>625413.62</v>
      </c>
      <c r="V19" s="20">
        <v>504305.52</v>
      </c>
      <c r="W19" s="20">
        <v>434028.99</v>
      </c>
      <c r="X19" s="20">
        <v>588638.07999999996</v>
      </c>
      <c r="Y19" s="20">
        <v>673055.43</v>
      </c>
      <c r="Z19" s="20">
        <v>1142711.56</v>
      </c>
      <c r="AA19" s="20">
        <f>SUM(O19:Z19)</f>
        <v>9807993.3300000001</v>
      </c>
      <c r="AB19" s="18"/>
      <c r="AC19" s="18"/>
      <c r="AD19" s="20">
        <v>11638524.369999999</v>
      </c>
      <c r="AE19" s="18"/>
      <c r="AF19" s="18"/>
      <c r="AG19" s="20">
        <v>11290522.5</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row>
    <row r="22" spans="1:40" hidden="1" outlineLevel="1" x14ac:dyDescent="0.25">
      <c r="A22" s="6" t="s">
        <v>7</v>
      </c>
      <c r="B22" s="16" t="s">
        <v>1054</v>
      </c>
    </row>
    <row r="23" spans="1:40" hidden="1" outlineLevel="1" x14ac:dyDescent="0.25">
      <c r="A23" s="6" t="s">
        <v>47</v>
      </c>
      <c r="B23" s="16" t="s">
        <v>1055</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1056</v>
      </c>
    </row>
    <row r="28" spans="1:40" ht="15.75" x14ac:dyDescent="0.25">
      <c r="A28" s="6" t="s">
        <v>12</v>
      </c>
      <c r="B28" s="7" t="s">
        <v>22</v>
      </c>
      <c r="N28" s="71" t="s">
        <v>1005</v>
      </c>
    </row>
    <row r="29" spans="1:40" ht="15" customHeight="1" x14ac:dyDescent="0.25">
      <c r="A29" s="6" t="s">
        <v>13</v>
      </c>
      <c r="B29" s="7" t="s">
        <v>118</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33"/>
      <c r="AM31" s="262">
        <v>2022</v>
      </c>
      <c r="AN31" s="233"/>
    </row>
    <row r="32" spans="1:40" s="256" customFormat="1" ht="30" customHeight="1" x14ac:dyDescent="0.25">
      <c r="A32" s="254" t="s">
        <v>16</v>
      </c>
      <c r="B32" s="255"/>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
        <v>747</v>
      </c>
      <c r="AM32" s="261" t="str">
        <f>AG32</f>
        <v>Actual</v>
      </c>
      <c r="AN32" s="261" t="s">
        <v>747</v>
      </c>
    </row>
    <row r="33" spans="1:40" x14ac:dyDescent="0.25">
      <c r="A33" s="6" t="s">
        <v>17</v>
      </c>
      <c r="B33" s="7"/>
      <c r="H33" s="1" t="s">
        <v>69</v>
      </c>
      <c r="I33" s="11" t="s">
        <v>1011</v>
      </c>
      <c r="J33" s="11" t="s">
        <v>78</v>
      </c>
      <c r="L33" s="196" t="s">
        <v>364</v>
      </c>
      <c r="M33" s="196" t="s">
        <v>782</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70</v>
      </c>
      <c r="I34" s="11" t="s">
        <v>1011</v>
      </c>
      <c r="J34" s="11" t="s">
        <v>78</v>
      </c>
      <c r="N34" s="8" t="s">
        <v>1057</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83</v>
      </c>
      <c r="I35" s="161" t="s">
        <v>1058</v>
      </c>
      <c r="J35" s="161" t="s">
        <v>78</v>
      </c>
      <c r="K35" s="68" t="str">
        <f t="shared" ref="K35:K51" si="0">IF(AND(I35&gt;="T5"),"&gt;","")</f>
        <v>&gt;</v>
      </c>
      <c r="L35" s="162"/>
      <c r="M35" s="162"/>
      <c r="N35" s="162" t="s">
        <v>1059</v>
      </c>
      <c r="O35" s="21">
        <v>407136.39</v>
      </c>
      <c r="P35" s="21">
        <v>565849.89</v>
      </c>
      <c r="Q35" s="21">
        <v>398776.14</v>
      </c>
      <c r="R35" s="21">
        <v>332247.36</v>
      </c>
      <c r="S35" s="21">
        <v>270387.58</v>
      </c>
      <c r="T35" s="21">
        <v>193194.02</v>
      </c>
      <c r="U35" s="21">
        <v>228912.98</v>
      </c>
      <c r="V35" s="21">
        <v>245190</v>
      </c>
      <c r="W35" s="21">
        <v>239283.95</v>
      </c>
      <c r="X35" s="21">
        <v>310406.18</v>
      </c>
      <c r="Y35" s="21">
        <v>287189</v>
      </c>
      <c r="Z35" s="21">
        <v>521546.37</v>
      </c>
      <c r="AA35" s="310">
        <f t="shared" ref="AA35:AA51" si="1">IF($I35="B1","",SUM(O35:Z35))</f>
        <v>4000119.8600000003</v>
      </c>
      <c r="AB35" s="17">
        <f t="shared" ref="AB35:AB51" si="2">IF(AA35=0,"",IFERROR(AA35/AA$19,""))</f>
        <v>0.40784284057012099</v>
      </c>
      <c r="AD35" s="21">
        <v>4010043.55</v>
      </c>
      <c r="AE35" s="17">
        <f t="shared" ref="AE35:AE51" si="3">IF(AD35=0,"",IFERROR(AD35/AD$19,""))</f>
        <v>0.34454913892146621</v>
      </c>
      <c r="AF35" s="50">
        <f t="shared" ref="AF35:AF51" si="4">IF(AND($AA35="",AD35=""),"",$AA35-AD35)</f>
        <v>-9923.6899999994785</v>
      </c>
      <c r="AG35" s="21">
        <v>4370687.8499999996</v>
      </c>
      <c r="AH35" s="17">
        <f t="shared" ref="AH35:AH51" si="5">IF(AG35=0,"",IFERROR(AG35/AG$19,""))</f>
        <v>0.38711121208075178</v>
      </c>
      <c r="AI35" s="50">
        <f t="shared" ref="AI35:AI51" si="6">IF(AND($AA35="",AG35=""),"",$AA35-AG35)</f>
        <v>-370567.98999999929</v>
      </c>
      <c r="AJ35" s="350">
        <f t="shared" ref="AJ35:AJ51" si="7">IFERROR(AA35/AA$20,0)</f>
        <v>100.2888196359625</v>
      </c>
      <c r="AK35" s="351">
        <f t="shared" ref="AK35:AK51" si="8">IFERROR(AD35/AD$20,0)</f>
        <v>97.206107434610814</v>
      </c>
      <c r="AL35" s="140">
        <f t="shared" ref="AL35:AL51" si="9">AJ35-AK35</f>
        <v>3.0827122013516828</v>
      </c>
      <c r="AM35" s="352">
        <f t="shared" ref="AM35:AM51" si="10">IFERROR(AG35/AG$20,0)</f>
        <v>105.79193130657887</v>
      </c>
      <c r="AN35" s="140">
        <f t="shared" ref="AN35:AN51" si="11">AJ35-AM35</f>
        <v>-5.5031116706163772</v>
      </c>
    </row>
    <row r="36" spans="1:40" x14ac:dyDescent="0.25">
      <c r="H36" s="149" t="s">
        <v>84</v>
      </c>
      <c r="I36" s="161" t="s">
        <v>1058</v>
      </c>
      <c r="J36" s="161" t="s">
        <v>78</v>
      </c>
      <c r="K36" s="68" t="str">
        <f t="shared" si="0"/>
        <v>&gt;</v>
      </c>
      <c r="L36" s="162"/>
      <c r="M36" s="162"/>
      <c r="N36" s="162" t="s">
        <v>1060</v>
      </c>
      <c r="O36" s="21">
        <v>396776.67</v>
      </c>
      <c r="P36" s="21">
        <v>379081.35</v>
      </c>
      <c r="Q36" s="21">
        <v>463242.91</v>
      </c>
      <c r="R36" s="21">
        <v>366216.33</v>
      </c>
      <c r="S36" s="21">
        <v>297001.78999999998</v>
      </c>
      <c r="T36" s="21">
        <v>270502.09000000003</v>
      </c>
      <c r="U36" s="21">
        <v>290647.64</v>
      </c>
      <c r="V36" s="21">
        <v>143559.88</v>
      </c>
      <c r="W36" s="21">
        <v>117901.97</v>
      </c>
      <c r="X36" s="21">
        <v>150281.64000000001</v>
      </c>
      <c r="Y36" s="21">
        <v>160609.42000000001</v>
      </c>
      <c r="Z36" s="21">
        <v>297206.81</v>
      </c>
      <c r="AA36" s="310">
        <f t="shared" si="1"/>
        <v>3333028.5000000005</v>
      </c>
      <c r="AB36" s="17">
        <f t="shared" si="2"/>
        <v>0.33982776984616897</v>
      </c>
      <c r="AD36" s="21">
        <v>4606458.05</v>
      </c>
      <c r="AE36" s="17">
        <f t="shared" si="3"/>
        <v>0.39579399445807922</v>
      </c>
      <c r="AF36" s="50">
        <f t="shared" si="4"/>
        <v>-1273429.5499999993</v>
      </c>
      <c r="AG36" s="21">
        <v>4467764.45</v>
      </c>
      <c r="AH36" s="17">
        <f t="shared" si="5"/>
        <v>0.39570927297651637</v>
      </c>
      <c r="AI36" s="50">
        <f t="shared" si="6"/>
        <v>-1134735.9499999997</v>
      </c>
      <c r="AJ36" s="350">
        <f t="shared" si="7"/>
        <v>83.563869528155251</v>
      </c>
      <c r="AK36" s="351">
        <f t="shared" si="8"/>
        <v>111.6635893147165</v>
      </c>
      <c r="AL36" s="140">
        <f t="shared" si="9"/>
        <v>-28.099719786561252</v>
      </c>
      <c r="AM36" s="352">
        <f t="shared" si="10"/>
        <v>108.14165779154766</v>
      </c>
      <c r="AN36" s="140">
        <f t="shared" si="11"/>
        <v>-24.577788263392407</v>
      </c>
    </row>
    <row r="37" spans="1:40" x14ac:dyDescent="0.25">
      <c r="A37" s="1" t="s">
        <v>105</v>
      </c>
      <c r="C37" s="26" t="s">
        <v>101</v>
      </c>
      <c r="D37" s="1" t="s">
        <v>103</v>
      </c>
      <c r="F37" s="1" t="s">
        <v>98</v>
      </c>
      <c r="H37" s="149" t="s">
        <v>85</v>
      </c>
      <c r="I37" s="161" t="s">
        <v>1058</v>
      </c>
      <c r="J37" s="161" t="s">
        <v>78</v>
      </c>
      <c r="K37" s="68" t="str">
        <f t="shared" si="0"/>
        <v>&gt;</v>
      </c>
      <c r="L37" s="162"/>
      <c r="M37" s="162"/>
      <c r="N37" s="162" t="s">
        <v>1061</v>
      </c>
      <c r="O37" s="21">
        <v>29045.79</v>
      </c>
      <c r="P37" s="21">
        <v>34901.53</v>
      </c>
      <c r="Q37" s="21">
        <v>73753.33</v>
      </c>
      <c r="R37" s="21">
        <v>38470.370000000003</v>
      </c>
      <c r="S37" s="21">
        <v>16132.03</v>
      </c>
      <c r="T37" s="21">
        <v>32468.01</v>
      </c>
      <c r="U37" s="21">
        <v>18281.759999999998</v>
      </c>
      <c r="V37" s="21">
        <v>18980.04</v>
      </c>
      <c r="W37" s="21">
        <v>17393.57</v>
      </c>
      <c r="X37" s="21">
        <v>23218.3</v>
      </c>
      <c r="Y37" s="21">
        <v>34769.050000000003</v>
      </c>
      <c r="Z37" s="21">
        <v>28607.78</v>
      </c>
      <c r="AA37" s="310">
        <f t="shared" si="1"/>
        <v>366021.55999999994</v>
      </c>
      <c r="AB37" s="17">
        <f t="shared" si="2"/>
        <v>3.7318699930233325E-2</v>
      </c>
      <c r="AD37" s="21">
        <v>463149.29</v>
      </c>
      <c r="AE37" s="17">
        <f t="shared" si="3"/>
        <v>3.9794502745883753E-2</v>
      </c>
      <c r="AF37" s="50">
        <f t="shared" si="4"/>
        <v>-97127.73000000004</v>
      </c>
      <c r="AG37" s="21">
        <v>431690.63</v>
      </c>
      <c r="AH37" s="17">
        <f t="shared" si="5"/>
        <v>3.8234778771310186E-2</v>
      </c>
      <c r="AI37" s="50">
        <f t="shared" si="6"/>
        <v>-65669.070000000065</v>
      </c>
      <c r="AJ37" s="350">
        <f t="shared" si="7"/>
        <v>9.1766925738354299</v>
      </c>
      <c r="AK37" s="351">
        <f t="shared" si="8"/>
        <v>11.227045063389328</v>
      </c>
      <c r="AL37" s="140">
        <f t="shared" si="9"/>
        <v>-2.050352489553898</v>
      </c>
      <c r="AM37" s="352">
        <f t="shared" si="10"/>
        <v>10.449015587936293</v>
      </c>
      <c r="AN37" s="140">
        <f t="shared" si="11"/>
        <v>-1.2723230141008628</v>
      </c>
    </row>
    <row r="38" spans="1:40" x14ac:dyDescent="0.25">
      <c r="A38" s="1" t="s">
        <v>104</v>
      </c>
      <c r="C38" s="26" t="s">
        <v>101</v>
      </c>
      <c r="D38" s="1" t="s">
        <v>106</v>
      </c>
      <c r="F38" s="1" t="s">
        <v>98</v>
      </c>
      <c r="H38" s="15" t="s">
        <v>86</v>
      </c>
      <c r="I38" s="161" t="s">
        <v>1058</v>
      </c>
      <c r="J38" s="161" t="s">
        <v>78</v>
      </c>
      <c r="K38" s="68" t="str">
        <f t="shared" si="0"/>
        <v>&gt;</v>
      </c>
      <c r="L38" s="162"/>
      <c r="M38" s="162"/>
      <c r="N38" s="162" t="s">
        <v>1062</v>
      </c>
      <c r="O38" s="21">
        <v>12897.45</v>
      </c>
      <c r="P38" s="21">
        <v>13772.79</v>
      </c>
      <c r="Q38" s="21">
        <v>19137.62</v>
      </c>
      <c r="R38" s="21">
        <v>19722.97</v>
      </c>
      <c r="S38" s="21">
        <v>6273.83</v>
      </c>
      <c r="T38" s="21">
        <v>9065.98</v>
      </c>
      <c r="U38" s="21">
        <v>19315.46</v>
      </c>
      <c r="V38" s="21">
        <v>17526.02</v>
      </c>
      <c r="W38" s="21">
        <v>11783.75</v>
      </c>
      <c r="X38" s="21">
        <v>14355.46</v>
      </c>
      <c r="Y38" s="21">
        <v>21457.599999999999</v>
      </c>
      <c r="Z38" s="21">
        <v>12188.2</v>
      </c>
      <c r="AA38" s="310">
        <f t="shared" si="1"/>
        <v>177497.13000000003</v>
      </c>
      <c r="AB38" s="17">
        <f t="shared" si="2"/>
        <v>1.809719114072848E-2</v>
      </c>
      <c r="AD38" s="21">
        <v>280730.15999999997</v>
      </c>
      <c r="AE38" s="17">
        <f t="shared" si="3"/>
        <v>2.412076918648064E-2</v>
      </c>
      <c r="AF38" s="50">
        <f t="shared" si="4"/>
        <v>-103233.02999999994</v>
      </c>
      <c r="AG38" s="21">
        <v>170733.47</v>
      </c>
      <c r="AH38" s="17">
        <f t="shared" si="5"/>
        <v>1.5121839578283468E-2</v>
      </c>
      <c r="AI38" s="50">
        <f t="shared" si="6"/>
        <v>6763.6600000000326</v>
      </c>
      <c r="AJ38" s="350">
        <f t="shared" si="7"/>
        <v>4.4501110665396384</v>
      </c>
      <c r="AK38" s="351">
        <f t="shared" si="8"/>
        <v>6.8050847211111911</v>
      </c>
      <c r="AL38" s="140">
        <f t="shared" si="9"/>
        <v>-2.3549736545715527</v>
      </c>
      <c r="AM38" s="352">
        <f t="shared" si="10"/>
        <v>4.132581449387617</v>
      </c>
      <c r="AN38" s="140">
        <f t="shared" si="11"/>
        <v>0.31752961715202144</v>
      </c>
    </row>
    <row r="39" spans="1:40" x14ac:dyDescent="0.25">
      <c r="A39" s="1" t="s">
        <v>100</v>
      </c>
      <c r="C39" s="8" t="s">
        <v>101</v>
      </c>
      <c r="D39" s="1" t="s">
        <v>106</v>
      </c>
      <c r="F39" s="1" t="s">
        <v>98</v>
      </c>
      <c r="H39" s="15" t="s">
        <v>65</v>
      </c>
      <c r="I39" s="161" t="s">
        <v>1058</v>
      </c>
      <c r="J39" s="161" t="s">
        <v>78</v>
      </c>
      <c r="K39" s="68" t="str">
        <f t="shared" si="0"/>
        <v>&gt;</v>
      </c>
      <c r="L39" s="162">
        <v>402200</v>
      </c>
      <c r="M39" s="162"/>
      <c r="N39" s="162" t="s">
        <v>1063</v>
      </c>
      <c r="O39" s="30">
        <v>28182.16</v>
      </c>
      <c r="P39" s="30">
        <v>15615.17</v>
      </c>
      <c r="Q39" s="30">
        <v>86710.27</v>
      </c>
      <c r="R39" s="30">
        <v>85758.27</v>
      </c>
      <c r="S39" s="30">
        <v>50316.57</v>
      </c>
      <c r="T39" s="30">
        <v>62175.48</v>
      </c>
      <c r="U39" s="30">
        <v>58692.39</v>
      </c>
      <c r="V39" s="30">
        <v>59986.87</v>
      </c>
      <c r="W39" s="30">
        <v>27140.560000000001</v>
      </c>
      <c r="X39" s="30">
        <v>32925.74</v>
      </c>
      <c r="Y39" s="30">
        <v>40050.120000000003</v>
      </c>
      <c r="Z39" s="30">
        <v>71125.86</v>
      </c>
      <c r="AA39" s="324">
        <f t="shared" si="1"/>
        <v>618679.46</v>
      </c>
      <c r="AB39" s="31">
        <f t="shared" si="2"/>
        <v>6.3079106926758069E-2</v>
      </c>
      <c r="AD39" s="30">
        <v>621721</v>
      </c>
      <c r="AE39" s="31">
        <f t="shared" si="3"/>
        <v>5.3419229125178179E-2</v>
      </c>
      <c r="AF39" s="51">
        <f t="shared" si="4"/>
        <v>-3041.5400000000373</v>
      </c>
      <c r="AG39" s="30">
        <v>468968.04</v>
      </c>
      <c r="AH39" s="31">
        <f t="shared" si="5"/>
        <v>4.1536433765576392E-2</v>
      </c>
      <c r="AI39" s="51">
        <f t="shared" si="6"/>
        <v>149711.41999999998</v>
      </c>
      <c r="AJ39" s="357">
        <f t="shared" si="7"/>
        <v>15.511193401193401</v>
      </c>
      <c r="AK39" s="358">
        <f t="shared" si="8"/>
        <v>15.070928174920612</v>
      </c>
      <c r="AL39" s="141">
        <f t="shared" si="9"/>
        <v>0.44026522627278908</v>
      </c>
      <c r="AM39" s="359">
        <f t="shared" si="10"/>
        <v>11.351310451662874</v>
      </c>
      <c r="AN39" s="141">
        <f t="shared" si="11"/>
        <v>4.1598829495305267</v>
      </c>
    </row>
    <row r="40" spans="1:40" x14ac:dyDescent="0.25">
      <c r="A40" s="1" t="s">
        <v>102</v>
      </c>
      <c r="C40" s="25" t="s">
        <v>101</v>
      </c>
      <c r="D40" s="1" t="s">
        <v>106</v>
      </c>
      <c r="F40" s="1" t="s">
        <v>98</v>
      </c>
      <c r="H40" s="15" t="s">
        <v>66</v>
      </c>
      <c r="I40" s="479" t="s">
        <v>1064</v>
      </c>
      <c r="J40" s="479" t="s">
        <v>78</v>
      </c>
      <c r="K40" s="480" t="str">
        <f t="shared" si="0"/>
        <v/>
      </c>
      <c r="L40" s="170">
        <v>402000</v>
      </c>
      <c r="M40" s="170"/>
      <c r="N40" s="170" t="s">
        <v>1065</v>
      </c>
      <c r="O40" s="134">
        <v>874038.46</v>
      </c>
      <c r="P40" s="134">
        <v>1009220.73</v>
      </c>
      <c r="Q40" s="134">
        <v>1041620.27</v>
      </c>
      <c r="R40" s="134">
        <v>842415.3</v>
      </c>
      <c r="S40" s="134">
        <v>640111.80000000005</v>
      </c>
      <c r="T40" s="134">
        <v>567405.57999999996</v>
      </c>
      <c r="U40" s="134">
        <v>615850.23</v>
      </c>
      <c r="V40" s="134">
        <v>485242.81</v>
      </c>
      <c r="W40" s="134">
        <v>413503.8</v>
      </c>
      <c r="X40" s="134">
        <v>531187.31999999995</v>
      </c>
      <c r="Y40" s="134">
        <v>544075.18999999994</v>
      </c>
      <c r="Z40" s="134">
        <v>930675.02</v>
      </c>
      <c r="AA40" s="134">
        <f t="shared" si="1"/>
        <v>8495346.5099999979</v>
      </c>
      <c r="AB40" s="135">
        <f t="shared" si="2"/>
        <v>0.86616560841400958</v>
      </c>
      <c r="AC40" s="137"/>
      <c r="AD40" s="134">
        <v>9982102.0500000007</v>
      </c>
      <c r="AE40" s="135">
        <f t="shared" si="3"/>
        <v>0.85767763443708811</v>
      </c>
      <c r="AF40" s="136">
        <f t="shared" si="4"/>
        <v>-1486755.5400000028</v>
      </c>
      <c r="AG40" s="134">
        <v>9909844.4399999995</v>
      </c>
      <c r="AH40" s="135">
        <f t="shared" si="5"/>
        <v>0.87771353717243816</v>
      </c>
      <c r="AI40" s="136">
        <f t="shared" si="6"/>
        <v>-1414497.9300000016</v>
      </c>
      <c r="AJ40" s="360">
        <f t="shared" si="7"/>
        <v>212.99068620568616</v>
      </c>
      <c r="AK40" s="361">
        <f t="shared" si="8"/>
        <v>241.97275470874848</v>
      </c>
      <c r="AL40" s="362">
        <f t="shared" si="9"/>
        <v>-28.982068503062322</v>
      </c>
      <c r="AM40" s="363">
        <f t="shared" si="10"/>
        <v>239.86649658711332</v>
      </c>
      <c r="AN40" s="362">
        <f t="shared" si="11"/>
        <v>-26.875810381427158</v>
      </c>
    </row>
    <row r="41" spans="1:40" x14ac:dyDescent="0.25">
      <c r="A41" s="1" t="s">
        <v>102</v>
      </c>
      <c r="C41" s="151" t="s">
        <v>101</v>
      </c>
      <c r="D41" s="1" t="s">
        <v>107</v>
      </c>
      <c r="F41" s="1" t="s">
        <v>99</v>
      </c>
      <c r="H41" s="15" t="s">
        <v>71</v>
      </c>
      <c r="I41" s="479" t="s">
        <v>1011</v>
      </c>
      <c r="J41" s="479" t="s">
        <v>78</v>
      </c>
      <c r="K41" s="480" t="str">
        <f t="shared" si="0"/>
        <v/>
      </c>
      <c r="L41" s="170"/>
      <c r="M41" s="170"/>
      <c r="N41" s="170" t="s">
        <v>1066</v>
      </c>
      <c r="O41" s="38"/>
      <c r="P41" s="38"/>
      <c r="Q41" s="38"/>
      <c r="R41" s="38"/>
      <c r="S41" s="38"/>
      <c r="T41" s="38"/>
      <c r="U41" s="38"/>
      <c r="V41" s="38"/>
      <c r="W41" s="38"/>
      <c r="X41" s="38"/>
      <c r="Y41" s="38"/>
      <c r="Z41" s="38"/>
      <c r="AA41" s="315" t="str">
        <f t="shared" si="1"/>
        <v/>
      </c>
      <c r="AB41" s="39" t="str">
        <f t="shared" si="2"/>
        <v/>
      </c>
      <c r="AD41" s="38"/>
      <c r="AE41" s="39" t="str">
        <f t="shared" si="3"/>
        <v/>
      </c>
      <c r="AF41" s="132" t="str">
        <f t="shared" si="4"/>
        <v/>
      </c>
      <c r="AG41" s="38"/>
      <c r="AH41" s="39" t="str">
        <f t="shared" si="5"/>
        <v/>
      </c>
      <c r="AI41" s="132" t="str">
        <f t="shared" si="6"/>
        <v/>
      </c>
      <c r="AJ41" s="353">
        <f t="shared" si="7"/>
        <v>0</v>
      </c>
      <c r="AK41" s="354">
        <f t="shared" si="8"/>
        <v>0</v>
      </c>
      <c r="AL41" s="355">
        <f t="shared" si="9"/>
        <v>0</v>
      </c>
      <c r="AM41" s="356">
        <f t="shared" si="10"/>
        <v>0</v>
      </c>
      <c r="AN41" s="355">
        <f t="shared" si="11"/>
        <v>0</v>
      </c>
    </row>
    <row r="42" spans="1:40" x14ac:dyDescent="0.25">
      <c r="H42" s="15" t="s">
        <v>87</v>
      </c>
      <c r="I42" s="161" t="s">
        <v>1058</v>
      </c>
      <c r="J42" s="161" t="s">
        <v>78</v>
      </c>
      <c r="K42" s="68" t="str">
        <f t="shared" si="0"/>
        <v>&gt;</v>
      </c>
      <c r="L42" s="162"/>
      <c r="M42" s="162"/>
      <c r="N42" s="162" t="s">
        <v>1067</v>
      </c>
      <c r="O42" s="21">
        <v>188372</v>
      </c>
      <c r="P42" s="21">
        <v>185434.97</v>
      </c>
      <c r="Q42" s="21">
        <v>118614.47</v>
      </c>
      <c r="R42" s="21">
        <v>44425.82</v>
      </c>
      <c r="S42" s="21">
        <v>176450.39</v>
      </c>
      <c r="T42" s="21">
        <v>16615</v>
      </c>
      <c r="U42" s="21">
        <v>2067</v>
      </c>
      <c r="V42" s="21">
        <v>3549</v>
      </c>
      <c r="W42" s="21">
        <v>5699</v>
      </c>
      <c r="X42" s="21">
        <v>46527.3</v>
      </c>
      <c r="Y42" s="21">
        <v>92828.82</v>
      </c>
      <c r="Z42" s="21">
        <v>201989</v>
      </c>
      <c r="AA42" s="310">
        <f t="shared" si="1"/>
        <v>1082572.77</v>
      </c>
      <c r="AB42" s="17">
        <f t="shared" si="2"/>
        <v>0.11037658097591713</v>
      </c>
      <c r="AD42" s="21">
        <v>1330422.3</v>
      </c>
      <c r="AE42" s="17">
        <f t="shared" si="3"/>
        <v>0.1143119400453685</v>
      </c>
      <c r="AF42" s="50">
        <f t="shared" si="4"/>
        <v>-247849.53000000003</v>
      </c>
      <c r="AG42" s="21">
        <v>1152221.83</v>
      </c>
      <c r="AH42" s="17">
        <f t="shared" si="5"/>
        <v>0.10205212646270358</v>
      </c>
      <c r="AI42" s="50">
        <f t="shared" si="6"/>
        <v>-69649.060000000056</v>
      </c>
      <c r="AJ42" s="350">
        <f t="shared" si="7"/>
        <v>27.141673018101589</v>
      </c>
      <c r="AK42" s="351">
        <f t="shared" si="8"/>
        <v>32.250316340629773</v>
      </c>
      <c r="AL42" s="140">
        <f t="shared" si="9"/>
        <v>-5.1086433225281844</v>
      </c>
      <c r="AM42" s="352">
        <f t="shared" si="10"/>
        <v>27.889379629181391</v>
      </c>
      <c r="AN42" s="140">
        <f t="shared" si="11"/>
        <v>-0.74770661107980274</v>
      </c>
    </row>
    <row r="43" spans="1:40" x14ac:dyDescent="0.25">
      <c r="H43" s="15" t="s">
        <v>88</v>
      </c>
      <c r="I43" s="161" t="s">
        <v>1058</v>
      </c>
      <c r="J43" s="161" t="s">
        <v>78</v>
      </c>
      <c r="K43" s="68" t="str">
        <f t="shared" si="0"/>
        <v>&gt;</v>
      </c>
      <c r="L43" s="162"/>
      <c r="M43" s="162"/>
      <c r="N43" s="162" t="s">
        <v>1068</v>
      </c>
      <c r="O43" s="21"/>
      <c r="P43" s="21"/>
      <c r="Q43" s="21"/>
      <c r="R43" s="21">
        <v>5133</v>
      </c>
      <c r="S43" s="21"/>
      <c r="T43" s="21">
        <v>32469</v>
      </c>
      <c r="U43" s="21">
        <v>0.06</v>
      </c>
      <c r="V43" s="21">
        <v>0.1</v>
      </c>
      <c r="W43" s="21">
        <v>0.04</v>
      </c>
      <c r="X43" s="21">
        <v>0.2</v>
      </c>
      <c r="Y43" s="21">
        <v>498.29</v>
      </c>
      <c r="Z43" s="21">
        <v>0.26</v>
      </c>
      <c r="AA43" s="310">
        <f t="shared" si="1"/>
        <v>38100.949999999997</v>
      </c>
      <c r="AB43" s="17">
        <f t="shared" si="2"/>
        <v>3.8846835145635236E-3</v>
      </c>
      <c r="AD43" s="21">
        <v>147592.14000000001</v>
      </c>
      <c r="AE43" s="17">
        <f t="shared" si="3"/>
        <v>1.2681344757110306E-2</v>
      </c>
      <c r="AF43" s="50">
        <f t="shared" si="4"/>
        <v>-109491.19000000002</v>
      </c>
      <c r="AG43" s="21">
        <v>70104</v>
      </c>
      <c r="AH43" s="17">
        <f t="shared" si="5"/>
        <v>6.2091014831244526E-3</v>
      </c>
      <c r="AI43" s="50">
        <f t="shared" si="6"/>
        <v>-32003.050000000003</v>
      </c>
      <c r="AJ43" s="350">
        <f t="shared" si="7"/>
        <v>0.95524620167477303</v>
      </c>
      <c r="AK43" s="351">
        <f t="shared" si="8"/>
        <v>3.5777310741037018</v>
      </c>
      <c r="AL43" s="140">
        <f t="shared" si="9"/>
        <v>-2.6224848724289287</v>
      </c>
      <c r="AM43" s="352">
        <f t="shared" si="10"/>
        <v>1.6968582078714238</v>
      </c>
      <c r="AN43" s="140">
        <f t="shared" si="11"/>
        <v>-0.7416120061966508</v>
      </c>
    </row>
    <row r="44" spans="1:40" x14ac:dyDescent="0.25">
      <c r="A44" s="4" t="s">
        <v>988</v>
      </c>
      <c r="H44" s="15" t="s">
        <v>89</v>
      </c>
      <c r="I44" s="161" t="s">
        <v>1058</v>
      </c>
      <c r="J44" s="161" t="s">
        <v>78</v>
      </c>
      <c r="K44" s="68" t="str">
        <f t="shared" si="0"/>
        <v>&gt;</v>
      </c>
      <c r="L44" s="162">
        <v>401800</v>
      </c>
      <c r="M44" s="162"/>
      <c r="N44" s="162" t="s">
        <v>1069</v>
      </c>
      <c r="O44" s="21"/>
      <c r="P44" s="21"/>
      <c r="Q44" s="21"/>
      <c r="R44" s="21"/>
      <c r="S44" s="21"/>
      <c r="T44" s="21"/>
      <c r="U44" s="21"/>
      <c r="V44" s="21"/>
      <c r="W44" s="21"/>
      <c r="X44" s="21"/>
      <c r="Y44" s="21"/>
      <c r="Z44" s="21"/>
      <c r="AA44" s="310">
        <f t="shared" si="1"/>
        <v>0</v>
      </c>
      <c r="AB44" s="17" t="str">
        <f t="shared" si="2"/>
        <v/>
      </c>
      <c r="AD44" s="21"/>
      <c r="AE44" s="17" t="str">
        <f t="shared" si="3"/>
        <v/>
      </c>
      <c r="AF44" s="50">
        <f t="shared" si="4"/>
        <v>0</v>
      </c>
      <c r="AG44" s="21"/>
      <c r="AH44" s="17" t="str">
        <f t="shared" si="5"/>
        <v/>
      </c>
      <c r="AI44" s="50">
        <f t="shared" si="6"/>
        <v>0</v>
      </c>
      <c r="AJ44" s="350">
        <f t="shared" si="7"/>
        <v>0</v>
      </c>
      <c r="AK44" s="351">
        <f t="shared" si="8"/>
        <v>0</v>
      </c>
      <c r="AL44" s="140">
        <f t="shared" si="9"/>
        <v>0</v>
      </c>
      <c r="AM44" s="352">
        <f t="shared" si="10"/>
        <v>0</v>
      </c>
      <c r="AN44" s="140">
        <f t="shared" si="11"/>
        <v>0</v>
      </c>
    </row>
    <row r="45" spans="1:40" x14ac:dyDescent="0.25">
      <c r="H45" s="15" t="s">
        <v>90</v>
      </c>
      <c r="I45" s="161" t="s">
        <v>1058</v>
      </c>
      <c r="J45" s="161" t="s">
        <v>78</v>
      </c>
      <c r="K45" s="68" t="str">
        <f t="shared" si="0"/>
        <v>&gt;</v>
      </c>
      <c r="L45" s="162"/>
      <c r="M45" s="162"/>
      <c r="N45" s="162" t="s">
        <v>1070</v>
      </c>
      <c r="O45" s="21"/>
      <c r="P45" s="21"/>
      <c r="Q45" s="21"/>
      <c r="R45" s="21"/>
      <c r="S45" s="21"/>
      <c r="T45" s="21"/>
      <c r="U45" s="21"/>
      <c r="V45" s="21"/>
      <c r="W45" s="21"/>
      <c r="X45" s="21"/>
      <c r="Y45" s="21"/>
      <c r="Z45" s="21"/>
      <c r="AA45" s="310">
        <f t="shared" si="1"/>
        <v>0</v>
      </c>
      <c r="AB45" s="17" t="str">
        <f t="shared" si="2"/>
        <v/>
      </c>
      <c r="AD45" s="21"/>
      <c r="AE45" s="17" t="str">
        <f t="shared" si="3"/>
        <v/>
      </c>
      <c r="AF45" s="50">
        <f t="shared" si="4"/>
        <v>0</v>
      </c>
      <c r="AG45" s="21"/>
      <c r="AH45" s="17" t="str">
        <f t="shared" si="5"/>
        <v/>
      </c>
      <c r="AI45" s="50">
        <f t="shared" si="6"/>
        <v>0</v>
      </c>
      <c r="AJ45" s="350">
        <f t="shared" si="7"/>
        <v>0</v>
      </c>
      <c r="AK45" s="351">
        <f t="shared" si="8"/>
        <v>0</v>
      </c>
      <c r="AL45" s="140">
        <f t="shared" si="9"/>
        <v>0</v>
      </c>
      <c r="AM45" s="352">
        <f t="shared" si="10"/>
        <v>0</v>
      </c>
      <c r="AN45" s="140">
        <f t="shared" si="11"/>
        <v>0</v>
      </c>
    </row>
    <row r="46" spans="1:40" x14ac:dyDescent="0.25">
      <c r="A46" s="3" t="s">
        <v>0</v>
      </c>
      <c r="B46" s="5" t="s">
        <v>1</v>
      </c>
      <c r="H46" s="15" t="s">
        <v>68</v>
      </c>
      <c r="I46" s="161" t="s">
        <v>1058</v>
      </c>
      <c r="J46" s="161" t="s">
        <v>78</v>
      </c>
      <c r="K46" s="68" t="str">
        <f t="shared" si="0"/>
        <v>&gt;</v>
      </c>
      <c r="L46" s="162">
        <v>401200</v>
      </c>
      <c r="M46" s="162"/>
      <c r="N46" s="162" t="s">
        <v>1071</v>
      </c>
      <c r="O46" s="30">
        <v>20190</v>
      </c>
      <c r="P46" s="30">
        <v>1914</v>
      </c>
      <c r="Q46" s="30"/>
      <c r="R46" s="30">
        <v>3237</v>
      </c>
      <c r="S46" s="30"/>
      <c r="T46" s="30">
        <v>11405</v>
      </c>
      <c r="U46" s="30"/>
      <c r="V46" s="30">
        <v>6416</v>
      </c>
      <c r="W46" s="30">
        <v>5936</v>
      </c>
      <c r="X46" s="30">
        <v>1611</v>
      </c>
      <c r="Y46" s="30">
        <v>23431.68</v>
      </c>
      <c r="Z46" s="30">
        <v>2561.9899999999998</v>
      </c>
      <c r="AA46" s="324">
        <f t="shared" si="1"/>
        <v>76702.67</v>
      </c>
      <c r="AB46" s="31">
        <f t="shared" si="2"/>
        <v>7.8204243640120821E-3</v>
      </c>
      <c r="AD46" s="30">
        <v>118126.67</v>
      </c>
      <c r="AE46" s="31">
        <f t="shared" si="3"/>
        <v>1.0149626038889328E-2</v>
      </c>
      <c r="AF46" s="51">
        <f t="shared" si="4"/>
        <v>-41424</v>
      </c>
      <c r="AG46" s="30">
        <v>88455.47</v>
      </c>
      <c r="AH46" s="31">
        <f t="shared" si="5"/>
        <v>7.8344886164479991E-3</v>
      </c>
      <c r="AI46" s="51">
        <f t="shared" si="6"/>
        <v>-11752.800000000003</v>
      </c>
      <c r="AJ46" s="357">
        <f t="shared" si="7"/>
        <v>1.9230474351902922</v>
      </c>
      <c r="AK46" s="358">
        <f t="shared" si="8"/>
        <v>2.8634685962233051</v>
      </c>
      <c r="AL46" s="141">
        <f t="shared" si="9"/>
        <v>-0.94042116103301288</v>
      </c>
      <c r="AM46" s="359">
        <f t="shared" si="10"/>
        <v>2.1410531538945636</v>
      </c>
      <c r="AN46" s="141">
        <f t="shared" si="11"/>
        <v>-0.21800571870427143</v>
      </c>
    </row>
    <row r="47" spans="1:40" x14ac:dyDescent="0.25">
      <c r="A47" s="6" t="s">
        <v>2</v>
      </c>
      <c r="B47" s="16" t="s">
        <v>1050</v>
      </c>
      <c r="H47" s="15" t="s">
        <v>64</v>
      </c>
      <c r="I47" s="479" t="s">
        <v>1064</v>
      </c>
      <c r="J47" s="479" t="s">
        <v>78</v>
      </c>
      <c r="K47" s="480" t="str">
        <f t="shared" si="0"/>
        <v/>
      </c>
      <c r="L47" s="170">
        <v>401000</v>
      </c>
      <c r="M47" s="170"/>
      <c r="N47" s="170" t="s">
        <v>1072</v>
      </c>
      <c r="O47" s="134">
        <v>208562</v>
      </c>
      <c r="P47" s="134">
        <v>187348.97</v>
      </c>
      <c r="Q47" s="134">
        <v>118614.47</v>
      </c>
      <c r="R47" s="134">
        <v>52795.82</v>
      </c>
      <c r="S47" s="134">
        <v>176450.39</v>
      </c>
      <c r="T47" s="134">
        <v>60489</v>
      </c>
      <c r="U47" s="134">
        <v>2067.06</v>
      </c>
      <c r="V47" s="134">
        <v>9965.1</v>
      </c>
      <c r="W47" s="134">
        <v>11635.04</v>
      </c>
      <c r="X47" s="134">
        <v>48138.5</v>
      </c>
      <c r="Y47" s="134">
        <v>116758.79</v>
      </c>
      <c r="Z47" s="134">
        <v>204551.25</v>
      </c>
      <c r="AA47" s="134">
        <f t="shared" si="1"/>
        <v>1197376.3900000001</v>
      </c>
      <c r="AB47" s="135">
        <f t="shared" si="2"/>
        <v>0.12208168885449273</v>
      </c>
      <c r="AC47" s="137"/>
      <c r="AD47" s="134">
        <v>1596141.11</v>
      </c>
      <c r="AE47" s="135">
        <f t="shared" si="3"/>
        <v>0.13714291084136812</v>
      </c>
      <c r="AF47" s="136">
        <f t="shared" si="4"/>
        <v>-398764.72</v>
      </c>
      <c r="AG47" s="134">
        <v>1310781.3</v>
      </c>
      <c r="AH47" s="135">
        <f t="shared" si="5"/>
        <v>0.11609571656227602</v>
      </c>
      <c r="AI47" s="136">
        <f t="shared" si="6"/>
        <v>-113404.90999999992</v>
      </c>
      <c r="AJ47" s="360">
        <f t="shared" si="7"/>
        <v>30.019966654966659</v>
      </c>
      <c r="AK47" s="361">
        <f t="shared" si="8"/>
        <v>38.691516010956782</v>
      </c>
      <c r="AL47" s="362">
        <f t="shared" si="9"/>
        <v>-8.6715493559901233</v>
      </c>
      <c r="AM47" s="363">
        <f t="shared" si="10"/>
        <v>31.727290990947381</v>
      </c>
      <c r="AN47" s="362">
        <f t="shared" si="11"/>
        <v>-1.7073243359807222</v>
      </c>
    </row>
    <row r="48" spans="1:40" x14ac:dyDescent="0.25">
      <c r="A48" s="6" t="s">
        <v>3</v>
      </c>
      <c r="B48" s="16" t="s">
        <v>1051</v>
      </c>
      <c r="H48" s="15" t="s">
        <v>119</v>
      </c>
      <c r="I48" s="161" t="s">
        <v>1058</v>
      </c>
      <c r="J48" s="161" t="s">
        <v>78</v>
      </c>
      <c r="K48" s="68" t="str">
        <f t="shared" si="0"/>
        <v>&gt;</v>
      </c>
      <c r="L48" s="162"/>
      <c r="M48" s="162"/>
      <c r="N48" s="162" t="s">
        <v>1073</v>
      </c>
      <c r="O48" s="38"/>
      <c r="P48" s="38"/>
      <c r="Q48" s="38"/>
      <c r="R48" s="38"/>
      <c r="S48" s="38"/>
      <c r="T48" s="38"/>
      <c r="U48" s="38"/>
      <c r="V48" s="38"/>
      <c r="W48" s="38"/>
      <c r="X48" s="38"/>
      <c r="Y48" s="38"/>
      <c r="Z48" s="38"/>
      <c r="AA48" s="315">
        <f t="shared" si="1"/>
        <v>0</v>
      </c>
      <c r="AB48" s="39" t="str">
        <f t="shared" si="2"/>
        <v/>
      </c>
      <c r="AD48" s="38"/>
      <c r="AE48" s="39" t="str">
        <f t="shared" si="3"/>
        <v/>
      </c>
      <c r="AF48" s="132">
        <f t="shared" si="4"/>
        <v>0</v>
      </c>
      <c r="AG48" s="38"/>
      <c r="AH48" s="39" t="str">
        <f t="shared" si="5"/>
        <v/>
      </c>
      <c r="AI48" s="132">
        <f t="shared" si="6"/>
        <v>0</v>
      </c>
      <c r="AJ48" s="353">
        <f t="shared" si="7"/>
        <v>0</v>
      </c>
      <c r="AK48" s="354">
        <f t="shared" si="8"/>
        <v>0</v>
      </c>
      <c r="AL48" s="355">
        <f t="shared" si="9"/>
        <v>0</v>
      </c>
      <c r="AM48" s="356">
        <f t="shared" si="10"/>
        <v>0</v>
      </c>
      <c r="AN48" s="355">
        <f t="shared" si="11"/>
        <v>0</v>
      </c>
    </row>
    <row r="49" spans="1:40" x14ac:dyDescent="0.25">
      <c r="A49" s="6" t="s">
        <v>4</v>
      </c>
      <c r="B49" s="16" t="s">
        <v>1077</v>
      </c>
      <c r="H49" s="15" t="s">
        <v>67</v>
      </c>
      <c r="I49" s="161" t="s">
        <v>1058</v>
      </c>
      <c r="J49" s="161" t="s">
        <v>78</v>
      </c>
      <c r="K49" s="68" t="str">
        <f t="shared" si="0"/>
        <v>&gt;</v>
      </c>
      <c r="L49" s="162">
        <v>403000</v>
      </c>
      <c r="M49" s="162"/>
      <c r="N49" s="162" t="s">
        <v>1074</v>
      </c>
      <c r="O49" s="21">
        <v>5852.09</v>
      </c>
      <c r="P49" s="21">
        <v>8302.25</v>
      </c>
      <c r="Q49" s="21">
        <v>20759.419999999998</v>
      </c>
      <c r="R49" s="21">
        <v>18701.37</v>
      </c>
      <c r="S49" s="21">
        <v>16230.75</v>
      </c>
      <c r="T49" s="21">
        <v>8497.84</v>
      </c>
      <c r="U49" s="21">
        <v>9870.2800000000007</v>
      </c>
      <c r="V49" s="21">
        <v>10152.99</v>
      </c>
      <c r="W49" s="21">
        <v>11777.16</v>
      </c>
      <c r="X49" s="21">
        <v>10992.01</v>
      </c>
      <c r="Y49" s="21">
        <v>12277.5</v>
      </c>
      <c r="Z49" s="21">
        <v>12560.47</v>
      </c>
      <c r="AA49" s="310">
        <f t="shared" si="1"/>
        <v>145974.12999999998</v>
      </c>
      <c r="AB49" s="17">
        <f t="shared" si="2"/>
        <v>1.4883179982749843E-2</v>
      </c>
      <c r="AD49" s="21">
        <v>99787.21</v>
      </c>
      <c r="AE49" s="17">
        <f t="shared" si="3"/>
        <v>8.5738712939602679E-3</v>
      </c>
      <c r="AF49" s="50">
        <f t="shared" si="4"/>
        <v>46186.919999999969</v>
      </c>
      <c r="AG49" s="21">
        <v>105058.86</v>
      </c>
      <c r="AH49" s="17">
        <f t="shared" si="5"/>
        <v>9.3050485484617741E-3</v>
      </c>
      <c r="AI49" s="50">
        <f t="shared" si="6"/>
        <v>40915.269999999975</v>
      </c>
      <c r="AJ49" s="350">
        <f t="shared" si="7"/>
        <v>3.6597836333550613</v>
      </c>
      <c r="AK49" s="351">
        <f t="shared" si="8"/>
        <v>2.4189079582091</v>
      </c>
      <c r="AL49" s="140">
        <f t="shared" si="9"/>
        <v>1.2408756751459613</v>
      </c>
      <c r="AM49" s="352">
        <f t="shared" si="10"/>
        <v>2.5429360507334078</v>
      </c>
      <c r="AN49" s="140">
        <f t="shared" si="11"/>
        <v>1.1168475826216535</v>
      </c>
    </row>
    <row r="50" spans="1:40" x14ac:dyDescent="0.25">
      <c r="A50" s="6" t="s">
        <v>5</v>
      </c>
      <c r="B50" s="7"/>
      <c r="H50" s="15" t="s">
        <v>91</v>
      </c>
      <c r="I50" s="161" t="s">
        <v>1009</v>
      </c>
      <c r="J50" s="161" t="s">
        <v>1009</v>
      </c>
      <c r="K50" s="68" t="str">
        <f t="shared" si="0"/>
        <v/>
      </c>
      <c r="L50" s="162">
        <v>403990</v>
      </c>
      <c r="M50" s="162">
        <v>200529</v>
      </c>
      <c r="N50" s="162" t="s">
        <v>1075</v>
      </c>
      <c r="O50" s="30">
        <v>-2078.38</v>
      </c>
      <c r="P50" s="30">
        <v>-911.04</v>
      </c>
      <c r="Q50" s="30">
        <v>-1352.87</v>
      </c>
      <c r="R50" s="30">
        <v>-4383.9799999999996</v>
      </c>
      <c r="S50" s="30">
        <v>-3537.4</v>
      </c>
      <c r="T50" s="30">
        <v>-5312.71</v>
      </c>
      <c r="U50" s="30">
        <v>-2373.9499999999998</v>
      </c>
      <c r="V50" s="30">
        <v>-1055.3800000000001</v>
      </c>
      <c r="W50" s="30">
        <v>-2887.01</v>
      </c>
      <c r="X50" s="30">
        <v>-1679.75</v>
      </c>
      <c r="Y50" s="30">
        <v>-56.05</v>
      </c>
      <c r="Z50" s="30">
        <v>-5075.18</v>
      </c>
      <c r="AA50" s="324">
        <f t="shared" si="1"/>
        <v>-30703.7</v>
      </c>
      <c r="AB50" s="31">
        <f t="shared" si="2"/>
        <v>-3.1304772512523722E-3</v>
      </c>
      <c r="AD50" s="30">
        <v>-39506</v>
      </c>
      <c r="AE50" s="31">
        <f t="shared" si="3"/>
        <v>-3.3944165724163881E-3</v>
      </c>
      <c r="AF50" s="51">
        <f t="shared" si="4"/>
        <v>8802.2999999999993</v>
      </c>
      <c r="AG50" s="30">
        <v>-35162.1</v>
      </c>
      <c r="AH50" s="31">
        <f t="shared" si="5"/>
        <v>-3.1143022831759998E-3</v>
      </c>
      <c r="AI50" s="51">
        <f t="shared" si="6"/>
        <v>4458.3999999999978</v>
      </c>
      <c r="AJ50" s="357">
        <f t="shared" si="7"/>
        <v>-0.76978639121496262</v>
      </c>
      <c r="AK50" s="358">
        <f t="shared" si="8"/>
        <v>-0.95765156473468593</v>
      </c>
      <c r="AL50" s="141">
        <f t="shared" si="9"/>
        <v>0.18786517351972332</v>
      </c>
      <c r="AM50" s="359">
        <f t="shared" si="10"/>
        <v>-0.85109406012489708</v>
      </c>
      <c r="AN50" s="141">
        <f t="shared" si="11"/>
        <v>8.1307668909934461E-2</v>
      </c>
    </row>
    <row r="51" spans="1:40" x14ac:dyDescent="0.25">
      <c r="A51" s="6" t="s">
        <v>6</v>
      </c>
      <c r="B51" s="7"/>
      <c r="H51" s="15" t="s">
        <v>72</v>
      </c>
      <c r="I51" s="479" t="s">
        <v>1064</v>
      </c>
      <c r="J51" s="479" t="s">
        <v>78</v>
      </c>
      <c r="K51" s="480" t="str">
        <f t="shared" si="0"/>
        <v/>
      </c>
      <c r="L51" s="170"/>
      <c r="M51" s="170"/>
      <c r="N51" s="170" t="s">
        <v>1076</v>
      </c>
      <c r="O51" s="134">
        <v>1086374.17</v>
      </c>
      <c r="P51" s="134">
        <v>1203960.9099999999</v>
      </c>
      <c r="Q51" s="134">
        <v>1179641.29</v>
      </c>
      <c r="R51" s="134">
        <v>909528.51</v>
      </c>
      <c r="S51" s="134">
        <v>829255.54</v>
      </c>
      <c r="T51" s="134">
        <v>631079.71</v>
      </c>
      <c r="U51" s="134">
        <v>625413.62</v>
      </c>
      <c r="V51" s="134">
        <v>504305.52</v>
      </c>
      <c r="W51" s="134">
        <v>434028.99</v>
      </c>
      <c r="X51" s="134">
        <v>588638.07999999996</v>
      </c>
      <c r="Y51" s="134">
        <v>673055.43</v>
      </c>
      <c r="Z51" s="134">
        <v>1142711.56</v>
      </c>
      <c r="AA51" s="134">
        <f t="shared" si="1"/>
        <v>9807993.3300000001</v>
      </c>
      <c r="AB51" s="135">
        <f t="shared" si="2"/>
        <v>1</v>
      </c>
      <c r="AC51" s="137"/>
      <c r="AD51" s="134">
        <v>11638524.369999999</v>
      </c>
      <c r="AE51" s="135">
        <f t="shared" si="3"/>
        <v>1</v>
      </c>
      <c r="AF51" s="136">
        <f t="shared" si="4"/>
        <v>-1830531.0399999991</v>
      </c>
      <c r="AG51" s="134">
        <v>11290522.5</v>
      </c>
      <c r="AH51" s="135">
        <f t="shared" si="5"/>
        <v>1</v>
      </c>
      <c r="AI51" s="136">
        <f t="shared" si="6"/>
        <v>-1482529.17</v>
      </c>
      <c r="AJ51" s="360">
        <f t="shared" si="7"/>
        <v>245.90065010279295</v>
      </c>
      <c r="AK51" s="361">
        <f t="shared" si="8"/>
        <v>282.1255271131796</v>
      </c>
      <c r="AL51" s="362">
        <f t="shared" si="9"/>
        <v>-36.224877010386649</v>
      </c>
      <c r="AM51" s="363">
        <f t="shared" si="10"/>
        <v>273.28562956866921</v>
      </c>
      <c r="AN51" s="362">
        <f t="shared" si="11"/>
        <v>-27.384979465876256</v>
      </c>
    </row>
    <row r="52" spans="1:40" x14ac:dyDescent="0.25">
      <c r="A52" s="6" t="s">
        <v>7</v>
      </c>
      <c r="B52" s="16" t="s">
        <v>1078</v>
      </c>
      <c r="G52" s="14"/>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16" t="s">
        <v>1055</v>
      </c>
      <c r="H53" s="1" t="s">
        <v>73</v>
      </c>
      <c r="I53" s="11" t="s">
        <v>1011</v>
      </c>
      <c r="J53" s="11" t="s">
        <v>78</v>
      </c>
      <c r="M53" s="162"/>
      <c r="N53" s="40" t="s">
        <v>1079</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H54" s="1" t="s">
        <v>74</v>
      </c>
      <c r="I54" s="11" t="s">
        <v>1011</v>
      </c>
      <c r="J54" s="11" t="s">
        <v>78</v>
      </c>
      <c r="M54" s="162"/>
      <c r="N54" s="8" t="s">
        <v>1080</v>
      </c>
      <c r="O54" s="43"/>
      <c r="P54" s="46"/>
      <c r="Q54" s="46"/>
      <c r="R54" s="46"/>
      <c r="S54" s="46"/>
      <c r="T54" s="46"/>
      <c r="U54" s="46"/>
      <c r="V54" s="46"/>
      <c r="W54" s="46"/>
      <c r="X54" s="46"/>
      <c r="Y54" s="46"/>
      <c r="Z54" s="46"/>
      <c r="AA54" s="46"/>
      <c r="AB54" s="44"/>
      <c r="AD54" s="43"/>
      <c r="AE54" s="46"/>
      <c r="AF54" s="44"/>
      <c r="AG54" s="43"/>
      <c r="AH54" s="46"/>
      <c r="AI54" s="44"/>
    </row>
    <row r="55" spans="1:40" x14ac:dyDescent="0.25">
      <c r="H55" s="15" t="s">
        <v>855</v>
      </c>
      <c r="I55" s="161" t="s">
        <v>1012</v>
      </c>
      <c r="J55" s="161" t="s">
        <v>78</v>
      </c>
      <c r="K55" s="68" t="str">
        <f t="shared" ref="K55:K68" si="12">IF(AND(I55&gt;="T3"),"&gt;","")</f>
        <v>&gt;</v>
      </c>
      <c r="L55" s="162"/>
      <c r="M55" s="162"/>
      <c r="N55" s="162" t="s">
        <v>1081</v>
      </c>
      <c r="O55" s="38">
        <v>12367.45</v>
      </c>
      <c r="P55" s="38">
        <v>11009.91</v>
      </c>
      <c r="Q55" s="38">
        <v>11945.67</v>
      </c>
      <c r="R55" s="38">
        <v>11641.28</v>
      </c>
      <c r="S55" s="38">
        <v>11392.55</v>
      </c>
      <c r="T55" s="38">
        <v>10542.36</v>
      </c>
      <c r="U55" s="38">
        <v>12718.2</v>
      </c>
      <c r="V55" s="38">
        <v>11679.84</v>
      </c>
      <c r="W55" s="38">
        <v>8153.83</v>
      </c>
      <c r="X55" s="38">
        <v>6807.83</v>
      </c>
      <c r="Y55" s="38">
        <v>6461.68</v>
      </c>
      <c r="Z55" s="38">
        <v>7154.13</v>
      </c>
      <c r="AA55" s="21">
        <f>IF($I55="B1","",SUM(O55:Z55))</f>
        <v>121874.73000000001</v>
      </c>
      <c r="AB55" s="39">
        <f>IF(AA55=0,"",IFERROR(AA55/AA$19,""))</f>
        <v>1.2426061672291126E-2</v>
      </c>
      <c r="AD55" s="21">
        <v>138104.88667499699</v>
      </c>
      <c r="AE55" s="17">
        <f>IF(AD55=0,"",IFERROR(AD55/AD$19,""))</f>
        <v>1.1866185289862224E-2</v>
      </c>
      <c r="AF55" s="50">
        <f>IF(AND($AA55="",AD55=""),"",$AA55-AD55)</f>
        <v>-16230.156674996979</v>
      </c>
      <c r="AG55" s="21">
        <v>151510.10999999999</v>
      </c>
      <c r="AH55" s="17">
        <f>IF(AG55=0,"",IFERROR(AG55/AG$19,""))</f>
        <v>1.3419229269504576E-2</v>
      </c>
      <c r="AI55" s="50">
        <f>IF(AND($AA55="",AG55=""),"",$AA55-AG55)</f>
        <v>-29635.379999999976</v>
      </c>
      <c r="AJ55" s="350">
        <f t="shared" ref="AJ55:AJ68" si="13">IFERROR(AA55/AA$20,0)</f>
        <v>3.0555766434337865</v>
      </c>
      <c r="AK55" s="351">
        <f t="shared" ref="AK55:AK68" si="14">IFERROR(AD55/AD$20,0)</f>
        <v>3.3477537797250378</v>
      </c>
      <c r="AL55" s="140">
        <f t="shared" ref="AL55:AL68" si="15">AJ55-AK55</f>
        <v>-0.2921771362912513</v>
      </c>
      <c r="AM55" s="352">
        <f t="shared" ref="AM55:AM68" si="16">IFERROR(AG55/AG$20,0)</f>
        <v>3.6672825192428715</v>
      </c>
      <c r="AN55" s="140">
        <f t="shared" ref="AN55:AN68" si="17">AJ55-AM55</f>
        <v>-0.61170587580908498</v>
      </c>
    </row>
    <row r="56" spans="1:40" hidden="1" x14ac:dyDescent="0.25">
      <c r="A56" s="3" t="s">
        <v>9</v>
      </c>
      <c r="B56" s="5" t="s">
        <v>10</v>
      </c>
      <c r="H56" s="15"/>
      <c r="I56" s="161"/>
      <c r="J56" s="161"/>
      <c r="K56" s="68" t="str">
        <f t="shared" si="12"/>
        <v/>
      </c>
      <c r="L56" s="162"/>
      <c r="M56" s="162"/>
      <c r="N56" s="162"/>
      <c r="O56" s="38"/>
      <c r="P56" s="38"/>
      <c r="Q56" s="38"/>
      <c r="R56" s="38"/>
      <c r="S56" s="38"/>
      <c r="T56" s="38"/>
      <c r="U56" s="38"/>
      <c r="V56" s="38"/>
      <c r="W56" s="38"/>
      <c r="X56" s="38"/>
      <c r="Y56" s="38"/>
      <c r="Z56" s="38"/>
      <c r="AA56" s="21">
        <f>IF($I56="B1","",SUM(O56:Z56))</f>
        <v>0</v>
      </c>
      <c r="AB56" s="39" t="str">
        <f>IF(AA56=0,"",IFERROR(AA56/AA$19,""))</f>
        <v/>
      </c>
      <c r="AD56" s="21"/>
      <c r="AE56" s="17" t="str">
        <f>IF(AD56=0,"",IFERROR(AD56/AD$19,""))</f>
        <v/>
      </c>
      <c r="AF56" s="50">
        <f>IF(AND($AA56="",AD56=""),"",$AA56-AD56)</f>
        <v>0</v>
      </c>
      <c r="AG56" s="21"/>
      <c r="AH56" s="17" t="str">
        <f>IF(AG56=0,"",IFERROR(AG56/AG$19,""))</f>
        <v/>
      </c>
      <c r="AI56" s="50">
        <f>IF(AND($AA56="",AG56=""),"",$AA56-AG56)</f>
        <v>0</v>
      </c>
      <c r="AJ56" s="350">
        <f t="shared" si="13"/>
        <v>0</v>
      </c>
      <c r="AK56" s="351">
        <f t="shared" si="14"/>
        <v>0</v>
      </c>
      <c r="AL56" s="140">
        <f t="shared" si="15"/>
        <v>0</v>
      </c>
      <c r="AM56" s="352">
        <f t="shared" si="16"/>
        <v>0</v>
      </c>
      <c r="AN56" s="140">
        <f t="shared" si="17"/>
        <v>0</v>
      </c>
    </row>
    <row r="57" spans="1:40" x14ac:dyDescent="0.25">
      <c r="A57" s="6" t="s">
        <v>11</v>
      </c>
      <c r="B57" s="7" t="s">
        <v>21</v>
      </c>
      <c r="H57" s="15" t="s">
        <v>75</v>
      </c>
      <c r="I57" s="161" t="s">
        <v>1011</v>
      </c>
      <c r="J57" s="161" t="s">
        <v>78</v>
      </c>
      <c r="K57" s="68" t="str">
        <f t="shared" si="12"/>
        <v/>
      </c>
      <c r="L57" s="162"/>
      <c r="M57" s="162"/>
      <c r="N57" s="25" t="s">
        <v>1082</v>
      </c>
      <c r="O57" s="38"/>
      <c r="P57" s="38"/>
      <c r="Q57" s="38"/>
      <c r="R57" s="38"/>
      <c r="S57" s="38"/>
      <c r="T57" s="38"/>
      <c r="U57" s="38"/>
      <c r="V57" s="38"/>
      <c r="W57" s="38"/>
      <c r="X57" s="38"/>
      <c r="Y57" s="38"/>
      <c r="Z57" s="38"/>
      <c r="AA57" s="21"/>
      <c r="AB57" s="39"/>
      <c r="AD57" s="21"/>
      <c r="AE57" s="17"/>
      <c r="AF57" s="50"/>
      <c r="AG57" s="21"/>
      <c r="AH57" s="17"/>
      <c r="AI57" s="50"/>
      <c r="AJ57" s="350">
        <f t="shared" si="13"/>
        <v>0</v>
      </c>
      <c r="AK57" s="351">
        <f t="shared" si="14"/>
        <v>0</v>
      </c>
      <c r="AL57" s="140">
        <f t="shared" si="15"/>
        <v>0</v>
      </c>
      <c r="AM57" s="352">
        <f t="shared" si="16"/>
        <v>0</v>
      </c>
      <c r="AN57" s="140">
        <f t="shared" si="17"/>
        <v>0</v>
      </c>
    </row>
    <row r="58" spans="1:40" x14ac:dyDescent="0.25">
      <c r="A58" s="6" t="s">
        <v>12</v>
      </c>
      <c r="B58" s="7" t="s">
        <v>22</v>
      </c>
      <c r="H58" s="15" t="s">
        <v>938</v>
      </c>
      <c r="I58" s="161" t="s">
        <v>1012</v>
      </c>
      <c r="J58" s="161" t="s">
        <v>78</v>
      </c>
      <c r="K58" s="68" t="str">
        <f t="shared" si="12"/>
        <v>&gt;</v>
      </c>
      <c r="L58" s="162"/>
      <c r="M58" s="162"/>
      <c r="N58" s="162" t="s">
        <v>1083</v>
      </c>
      <c r="O58" s="47">
        <v>13324.79</v>
      </c>
      <c r="P58" s="47">
        <v>12334.65</v>
      </c>
      <c r="Q58" s="47">
        <v>14595.74</v>
      </c>
      <c r="R58" s="47">
        <v>11654.84</v>
      </c>
      <c r="S58" s="47">
        <v>11828.93</v>
      </c>
      <c r="T58" s="47">
        <v>11892.86</v>
      </c>
      <c r="U58" s="47">
        <v>12743.06</v>
      </c>
      <c r="V58" s="47">
        <v>9979.5300000000007</v>
      </c>
      <c r="W58" s="47">
        <v>9185.98</v>
      </c>
      <c r="X58" s="47">
        <v>9654.64</v>
      </c>
      <c r="Y58" s="47">
        <v>10488.91</v>
      </c>
      <c r="Z58" s="47">
        <v>9491.5300000000007</v>
      </c>
      <c r="AA58" s="30">
        <f t="shared" ref="AA58:AA68" si="18">IF($I58="B1","",SUM(O58:Z58))</f>
        <v>137175.46</v>
      </c>
      <c r="AB58" s="48">
        <f t="shared" ref="AB58:AB68" si="19">IF(AA58=0,"",IFERROR(AA58/AA$19,""))</f>
        <v>1.398608822259466E-2</v>
      </c>
      <c r="AD58" s="30">
        <v>315701.71428571403</v>
      </c>
      <c r="AE58" s="31">
        <f t="shared" ref="AE58:AE68" si="20">IF(AD58=0,"",IFERROR(AD58/AD$19,""))</f>
        <v>2.7125579175611078E-2</v>
      </c>
      <c r="AF58" s="51">
        <f t="shared" ref="AF58:AF68" si="21">IF(AND($AA58="",AD58=""),"",$AA58-AD58)</f>
        <v>-178526.25428571404</v>
      </c>
      <c r="AG58" s="30">
        <v>129419.91</v>
      </c>
      <c r="AH58" s="31">
        <f t="shared" ref="AH58:AH68" si="22">IF(AG58=0,"",IFERROR(AG58/AG$19,""))</f>
        <v>1.14627033425601E-2</v>
      </c>
      <c r="AI58" s="51">
        <f t="shared" ref="AI58:AI68" si="23">IF(AND($AA58="",AG58=""),"",$AA58-AG58)</f>
        <v>7755.5499999999884</v>
      </c>
      <c r="AJ58" s="350">
        <f t="shared" si="13"/>
        <v>3.4391881863310432</v>
      </c>
      <c r="AK58" s="351">
        <f t="shared" si="14"/>
        <v>7.6528183231695639</v>
      </c>
      <c r="AL58" s="140">
        <f t="shared" si="15"/>
        <v>-4.2136301368385212</v>
      </c>
      <c r="AM58" s="352">
        <f t="shared" si="16"/>
        <v>3.1325920995304255</v>
      </c>
      <c r="AN58" s="140">
        <f t="shared" si="17"/>
        <v>0.30659608680061767</v>
      </c>
    </row>
    <row r="59" spans="1:40" x14ac:dyDescent="0.25">
      <c r="A59" s="6" t="s">
        <v>13</v>
      </c>
      <c r="B59" s="7" t="s">
        <v>735</v>
      </c>
      <c r="H59" s="15" t="s">
        <v>939</v>
      </c>
      <c r="I59" s="161" t="s">
        <v>1012</v>
      </c>
      <c r="J59" s="161" t="s">
        <v>78</v>
      </c>
      <c r="K59" s="68" t="str">
        <f t="shared" si="12"/>
        <v>&gt;</v>
      </c>
      <c r="L59" s="162"/>
      <c r="M59" s="162"/>
      <c r="N59" s="162" t="s">
        <v>1084</v>
      </c>
      <c r="O59" s="47">
        <v>17571.09</v>
      </c>
      <c r="P59" s="47">
        <v>17435.759999999998</v>
      </c>
      <c r="Q59" s="47">
        <v>18728.669999999998</v>
      </c>
      <c r="R59" s="47">
        <v>13564.98</v>
      </c>
      <c r="S59" s="47">
        <v>12631.52</v>
      </c>
      <c r="T59" s="47">
        <v>13805.19</v>
      </c>
      <c r="U59" s="47">
        <v>12557.14</v>
      </c>
      <c r="V59" s="47">
        <v>13045.69</v>
      </c>
      <c r="W59" s="47">
        <v>13453.1</v>
      </c>
      <c r="X59" s="47">
        <v>14886.33</v>
      </c>
      <c r="Y59" s="47">
        <v>14020.22</v>
      </c>
      <c r="Z59" s="47">
        <v>15747.52</v>
      </c>
      <c r="AA59" s="30">
        <f t="shared" si="18"/>
        <v>177447.21</v>
      </c>
      <c r="AB59" s="48">
        <f t="shared" si="19"/>
        <v>1.8092101414591805E-2</v>
      </c>
      <c r="AD59" s="30">
        <v>206513.89285714299</v>
      </c>
      <c r="AE59" s="31">
        <f t="shared" si="20"/>
        <v>1.7743992820040209E-2</v>
      </c>
      <c r="AF59" s="51">
        <f t="shared" si="21"/>
        <v>-29066.682857142994</v>
      </c>
      <c r="AG59" s="30">
        <v>107030.67</v>
      </c>
      <c r="AH59" s="31">
        <f t="shared" si="22"/>
        <v>9.4796914846057827E-3</v>
      </c>
      <c r="AI59" s="51">
        <f t="shared" si="23"/>
        <v>70416.539999999994</v>
      </c>
      <c r="AJ59" s="357">
        <f t="shared" si="13"/>
        <v>4.4488594995737847</v>
      </c>
      <c r="AK59" s="358">
        <f t="shared" si="14"/>
        <v>5.0060333274463185</v>
      </c>
      <c r="AL59" s="141">
        <f t="shared" si="15"/>
        <v>-0.55717382787253378</v>
      </c>
      <c r="AM59" s="359">
        <f t="shared" si="16"/>
        <v>2.5906634554872441</v>
      </c>
      <c r="AN59" s="141">
        <f t="shared" si="17"/>
        <v>1.8581960440865406</v>
      </c>
    </row>
    <row r="60" spans="1:40" x14ac:dyDescent="0.25">
      <c r="A60" s="6" t="s">
        <v>14</v>
      </c>
      <c r="B60" s="7"/>
      <c r="H60" s="15" t="s">
        <v>848</v>
      </c>
      <c r="I60" s="479" t="s">
        <v>1010</v>
      </c>
      <c r="J60" s="479" t="s">
        <v>78</v>
      </c>
      <c r="K60" s="480" t="str">
        <f t="shared" si="12"/>
        <v/>
      </c>
      <c r="L60" s="170"/>
      <c r="M60" s="170"/>
      <c r="N60" s="170" t="s">
        <v>1085</v>
      </c>
      <c r="O60" s="134">
        <v>43263.33</v>
      </c>
      <c r="P60" s="134">
        <v>40780.32</v>
      </c>
      <c r="Q60" s="134">
        <v>45270.080000000002</v>
      </c>
      <c r="R60" s="134">
        <v>36861.1</v>
      </c>
      <c r="S60" s="134">
        <v>35853</v>
      </c>
      <c r="T60" s="134">
        <v>36240.410000000003</v>
      </c>
      <c r="U60" s="134">
        <v>38018.400000000001</v>
      </c>
      <c r="V60" s="134">
        <v>34705.06</v>
      </c>
      <c r="W60" s="134">
        <v>30792.91</v>
      </c>
      <c r="X60" s="134">
        <v>31348.799999999999</v>
      </c>
      <c r="Y60" s="134">
        <v>30970.81</v>
      </c>
      <c r="Z60" s="134">
        <v>32393.18</v>
      </c>
      <c r="AA60" s="134">
        <f t="shared" si="18"/>
        <v>436497.39999999997</v>
      </c>
      <c r="AB60" s="135">
        <f t="shared" si="19"/>
        <v>4.4504251309477591E-2</v>
      </c>
      <c r="AC60" s="137"/>
      <c r="AD60" s="134">
        <v>660320.49381785397</v>
      </c>
      <c r="AE60" s="135">
        <f t="shared" si="20"/>
        <v>5.6735757285513506E-2</v>
      </c>
      <c r="AF60" s="136">
        <f t="shared" si="21"/>
        <v>-223823.09381785401</v>
      </c>
      <c r="AG60" s="134">
        <v>387960.69</v>
      </c>
      <c r="AH60" s="135">
        <f t="shared" si="22"/>
        <v>3.4361624096670457E-2</v>
      </c>
      <c r="AI60" s="136">
        <f t="shared" si="23"/>
        <v>48536.709999999963</v>
      </c>
      <c r="AJ60" s="360">
        <f t="shared" si="13"/>
        <v>10.943624329338615</v>
      </c>
      <c r="AK60" s="361">
        <f t="shared" si="14"/>
        <v>16.006605430340919</v>
      </c>
      <c r="AL60" s="362">
        <f t="shared" si="15"/>
        <v>-5.062981101002304</v>
      </c>
      <c r="AM60" s="363">
        <f t="shared" si="16"/>
        <v>9.390538074260542</v>
      </c>
      <c r="AN60" s="362">
        <f t="shared" si="17"/>
        <v>1.5530862550780729</v>
      </c>
    </row>
    <row r="61" spans="1:40" x14ac:dyDescent="0.25">
      <c r="A61" s="6" t="s">
        <v>15</v>
      </c>
      <c r="B61" s="7"/>
      <c r="H61" s="15" t="s">
        <v>865</v>
      </c>
      <c r="I61" s="161" t="s">
        <v>1012</v>
      </c>
      <c r="J61" s="161" t="s">
        <v>78</v>
      </c>
      <c r="K61" s="68" t="str">
        <f t="shared" si="12"/>
        <v>&gt;</v>
      </c>
      <c r="L61" s="162"/>
      <c r="M61" s="162"/>
      <c r="N61" s="162" t="s">
        <v>1086</v>
      </c>
      <c r="O61" s="47">
        <v>62468.25</v>
      </c>
      <c r="P61" s="47">
        <v>53317.82</v>
      </c>
      <c r="Q61" s="47">
        <v>63630.5</v>
      </c>
      <c r="R61" s="47">
        <v>67017.91</v>
      </c>
      <c r="S61" s="47">
        <v>61016.45</v>
      </c>
      <c r="T61" s="47">
        <v>64255.43</v>
      </c>
      <c r="U61" s="47">
        <v>69265.06</v>
      </c>
      <c r="V61" s="47">
        <v>65149.41</v>
      </c>
      <c r="W61" s="47">
        <v>62664.22</v>
      </c>
      <c r="X61" s="47">
        <v>65219.22</v>
      </c>
      <c r="Y61" s="47">
        <v>62674.95</v>
      </c>
      <c r="Z61" s="47">
        <v>70950.58</v>
      </c>
      <c r="AA61" s="47">
        <f t="shared" si="18"/>
        <v>767629.79999999981</v>
      </c>
      <c r="AB61" s="48">
        <f t="shared" si="19"/>
        <v>7.8265734301840084E-2</v>
      </c>
      <c r="AD61" s="47">
        <v>655266.96</v>
      </c>
      <c r="AE61" s="48">
        <f t="shared" si="20"/>
        <v>5.6301549850172286E-2</v>
      </c>
      <c r="AF61" s="150">
        <f t="shared" si="21"/>
        <v>112362.83999999985</v>
      </c>
      <c r="AG61" s="47">
        <v>954629.16</v>
      </c>
      <c r="AH61" s="48">
        <f t="shared" si="22"/>
        <v>8.4551371293932587E-2</v>
      </c>
      <c r="AI61" s="150">
        <f t="shared" si="23"/>
        <v>-186999.36000000022</v>
      </c>
      <c r="AJ61" s="353">
        <f t="shared" si="13"/>
        <v>19.245594945594942</v>
      </c>
      <c r="AK61" s="354">
        <f t="shared" si="14"/>
        <v>15.884104428768817</v>
      </c>
      <c r="AL61" s="355">
        <f t="shared" si="15"/>
        <v>3.3614905168261249</v>
      </c>
      <c r="AM61" s="356">
        <f t="shared" si="16"/>
        <v>23.106674734956673</v>
      </c>
      <c r="AN61" s="355">
        <f t="shared" si="17"/>
        <v>-3.8610797893617317</v>
      </c>
    </row>
    <row r="62" spans="1:40" x14ac:dyDescent="0.25">
      <c r="A62" s="6" t="s">
        <v>16</v>
      </c>
      <c r="B62" s="7" t="s">
        <v>78</v>
      </c>
      <c r="H62" s="15" t="s">
        <v>849</v>
      </c>
      <c r="I62" s="161" t="s">
        <v>1012</v>
      </c>
      <c r="J62" s="161" t="s">
        <v>78</v>
      </c>
      <c r="K62" s="68" t="str">
        <f t="shared" si="12"/>
        <v>&gt;</v>
      </c>
      <c r="L62" s="162"/>
      <c r="M62" s="162"/>
      <c r="N62" s="162" t="s">
        <v>1087</v>
      </c>
      <c r="O62" s="47">
        <v>-576.57000000000005</v>
      </c>
      <c r="P62" s="47">
        <v>943.96</v>
      </c>
      <c r="Q62" s="47">
        <v>4120.66</v>
      </c>
      <c r="R62" s="47">
        <v>2994.9</v>
      </c>
      <c r="S62" s="47">
        <v>1120.55</v>
      </c>
      <c r="T62" s="47">
        <v>2522.12</v>
      </c>
      <c r="U62" s="47">
        <v>362.76</v>
      </c>
      <c r="V62" s="47">
        <v>-196.96</v>
      </c>
      <c r="W62" s="47">
        <v>1780.48</v>
      </c>
      <c r="X62" s="47">
        <v>4590.58</v>
      </c>
      <c r="Y62" s="47">
        <v>4104.4799999999996</v>
      </c>
      <c r="Z62" s="47">
        <v>5197.76</v>
      </c>
      <c r="AA62" s="30">
        <f t="shared" si="18"/>
        <v>26964.720000000001</v>
      </c>
      <c r="AB62" s="48">
        <f t="shared" si="19"/>
        <v>2.749259618430022E-3</v>
      </c>
      <c r="AD62" s="30">
        <v>19307.396337939601</v>
      </c>
      <c r="AE62" s="31">
        <f t="shared" si="20"/>
        <v>1.658921330929825E-3</v>
      </c>
      <c r="AF62" s="51">
        <f t="shared" si="21"/>
        <v>7657.3236620604002</v>
      </c>
      <c r="AG62" s="30">
        <v>30571.71</v>
      </c>
      <c r="AH62" s="31">
        <f t="shared" si="22"/>
        <v>2.707732082372627E-3</v>
      </c>
      <c r="AI62" s="51">
        <f t="shared" si="23"/>
        <v>-3606.989999999998</v>
      </c>
      <c r="AJ62" s="357">
        <f t="shared" si="13"/>
        <v>0.67604472747329891</v>
      </c>
      <c r="AK62" s="358">
        <f t="shared" si="14"/>
        <v>0.46802405492787436</v>
      </c>
      <c r="AL62" s="141">
        <f t="shared" si="15"/>
        <v>0.20802067254542456</v>
      </c>
      <c r="AM62" s="359">
        <f t="shared" si="16"/>
        <v>0.73998426683448704</v>
      </c>
      <c r="AN62" s="141">
        <f t="shared" si="17"/>
        <v>-6.3939539361188125E-2</v>
      </c>
    </row>
    <row r="63" spans="1:40" x14ac:dyDescent="0.25">
      <c r="A63" s="6" t="s">
        <v>17</v>
      </c>
      <c r="B63" s="7"/>
      <c r="H63" s="15" t="s">
        <v>850</v>
      </c>
      <c r="I63" s="479" t="s">
        <v>1010</v>
      </c>
      <c r="J63" s="479" t="s">
        <v>78</v>
      </c>
      <c r="K63" s="480" t="str">
        <f t="shared" si="12"/>
        <v/>
      </c>
      <c r="L63" s="170"/>
      <c r="M63" s="170"/>
      <c r="N63" s="170" t="s">
        <v>1088</v>
      </c>
      <c r="O63" s="134">
        <v>105155.01</v>
      </c>
      <c r="P63" s="134">
        <v>95042.1</v>
      </c>
      <c r="Q63" s="134">
        <v>113021.24</v>
      </c>
      <c r="R63" s="134">
        <v>106873.91</v>
      </c>
      <c r="S63" s="134">
        <v>97990</v>
      </c>
      <c r="T63" s="134">
        <v>103017.96</v>
      </c>
      <c r="U63" s="134">
        <v>107646.22</v>
      </c>
      <c r="V63" s="134">
        <v>99657.51</v>
      </c>
      <c r="W63" s="134">
        <v>95237.61</v>
      </c>
      <c r="X63" s="134">
        <v>101158.6</v>
      </c>
      <c r="Y63" s="134">
        <v>97750.24</v>
      </c>
      <c r="Z63" s="134">
        <v>108541.52</v>
      </c>
      <c r="AA63" s="134">
        <f t="shared" si="18"/>
        <v>1231091.92</v>
      </c>
      <c r="AB63" s="135">
        <f t="shared" si="19"/>
        <v>0.12551924522974772</v>
      </c>
      <c r="AC63" s="137"/>
      <c r="AD63" s="134">
        <v>1334894.8501557901</v>
      </c>
      <c r="AE63" s="135">
        <f t="shared" si="20"/>
        <v>0.11469622846661533</v>
      </c>
      <c r="AF63" s="136">
        <f t="shared" si="21"/>
        <v>-103802.93015579018</v>
      </c>
      <c r="AG63" s="134">
        <v>1373161.56</v>
      </c>
      <c r="AH63" s="135">
        <f t="shared" si="22"/>
        <v>0.12162072747297568</v>
      </c>
      <c r="AI63" s="136">
        <f t="shared" si="23"/>
        <v>-142069.64000000013</v>
      </c>
      <c r="AJ63" s="360">
        <f t="shared" si="13"/>
        <v>30.865264002406857</v>
      </c>
      <c r="AK63" s="361">
        <f t="shared" si="14"/>
        <v>32.358733914037529</v>
      </c>
      <c r="AL63" s="362">
        <f t="shared" si="15"/>
        <v>-1.4934699116306724</v>
      </c>
      <c r="AM63" s="363">
        <f t="shared" si="16"/>
        <v>33.2371970760517</v>
      </c>
      <c r="AN63" s="362">
        <f t="shared" si="17"/>
        <v>-2.3719330736448434</v>
      </c>
    </row>
    <row r="64" spans="1:40" x14ac:dyDescent="0.25">
      <c r="H64" s="15" t="s">
        <v>851</v>
      </c>
      <c r="I64" s="161" t="s">
        <v>1012</v>
      </c>
      <c r="J64" s="161" t="s">
        <v>78</v>
      </c>
      <c r="K64" s="68" t="str">
        <f t="shared" si="12"/>
        <v>&gt;</v>
      </c>
      <c r="L64" s="162"/>
      <c r="M64" s="162"/>
      <c r="N64" s="162" t="s">
        <v>561</v>
      </c>
      <c r="O64" s="47">
        <v>3737.5</v>
      </c>
      <c r="P64" s="47">
        <v>3164.88</v>
      </c>
      <c r="Q64" s="47">
        <v>3228.15</v>
      </c>
      <c r="R64" s="47">
        <v>2700.83</v>
      </c>
      <c r="S64" s="47">
        <v>2481.0700000000002</v>
      </c>
      <c r="T64" s="47">
        <v>2454.15</v>
      </c>
      <c r="U64" s="47">
        <v>2629.2</v>
      </c>
      <c r="V64" s="47">
        <v>2566.33</v>
      </c>
      <c r="W64" s="47">
        <v>2417.16</v>
      </c>
      <c r="X64" s="47">
        <v>1989.37</v>
      </c>
      <c r="Y64" s="47">
        <v>2672.5</v>
      </c>
      <c r="Z64" s="47">
        <v>3008.69</v>
      </c>
      <c r="AA64" s="47">
        <f t="shared" si="18"/>
        <v>33049.83</v>
      </c>
      <c r="AB64" s="48">
        <f t="shared" si="19"/>
        <v>3.3696831643338812E-3</v>
      </c>
      <c r="AD64" s="47">
        <v>50385.928252619902</v>
      </c>
      <c r="AE64" s="48">
        <f t="shared" si="20"/>
        <v>4.3292368216796464E-3</v>
      </c>
      <c r="AF64" s="150">
        <f t="shared" si="21"/>
        <v>-17336.0982526199</v>
      </c>
      <c r="AG64" s="47">
        <v>37032.629999999997</v>
      </c>
      <c r="AH64" s="48">
        <f t="shared" si="22"/>
        <v>3.2799748638736603E-3</v>
      </c>
      <c r="AI64" s="150">
        <f t="shared" si="23"/>
        <v>-3982.7999999999956</v>
      </c>
      <c r="AJ64" s="353">
        <f t="shared" si="13"/>
        <v>0.8286072807501379</v>
      </c>
      <c r="AK64" s="354">
        <f t="shared" si="14"/>
        <v>1.2213882203141566</v>
      </c>
      <c r="AL64" s="355">
        <f t="shared" si="15"/>
        <v>-0.39278093956401872</v>
      </c>
      <c r="AM64" s="356">
        <f t="shared" si="16"/>
        <v>0.89636999564312336</v>
      </c>
      <c r="AN64" s="355">
        <f t="shared" si="17"/>
        <v>-6.7762714892985465E-2</v>
      </c>
    </row>
    <row r="65" spans="1:40" x14ac:dyDescent="0.25">
      <c r="A65" s="22" t="s">
        <v>92</v>
      </c>
      <c r="B65" s="23" t="s">
        <v>93</v>
      </c>
      <c r="C65" s="23" t="s">
        <v>94</v>
      </c>
      <c r="D65" s="23" t="s">
        <v>95</v>
      </c>
      <c r="E65" s="23" t="s">
        <v>96</v>
      </c>
      <c r="F65" s="24" t="s">
        <v>97</v>
      </c>
      <c r="H65" s="15" t="s">
        <v>852</v>
      </c>
      <c r="I65" s="161" t="s">
        <v>1012</v>
      </c>
      <c r="J65" s="161" t="s">
        <v>78</v>
      </c>
      <c r="K65" s="68" t="str">
        <f t="shared" si="12"/>
        <v>&gt;</v>
      </c>
      <c r="L65" s="162"/>
      <c r="M65" s="162"/>
      <c r="N65" s="162" t="s">
        <v>560</v>
      </c>
      <c r="O65" s="47">
        <v>5698.21</v>
      </c>
      <c r="P65" s="47">
        <v>5789.51</v>
      </c>
      <c r="Q65" s="47">
        <v>4567.58</v>
      </c>
      <c r="R65" s="47">
        <v>3522.55</v>
      </c>
      <c r="S65" s="47">
        <v>4210.5</v>
      </c>
      <c r="T65" s="47">
        <v>3477.93</v>
      </c>
      <c r="U65" s="47">
        <v>5862.49</v>
      </c>
      <c r="V65" s="47">
        <v>2837.53</v>
      </c>
      <c r="W65" s="47">
        <v>2901.21</v>
      </c>
      <c r="X65" s="47">
        <v>5614.78</v>
      </c>
      <c r="Y65" s="47">
        <v>5263.86</v>
      </c>
      <c r="Z65" s="47">
        <v>2503.9</v>
      </c>
      <c r="AA65" s="30">
        <f t="shared" si="18"/>
        <v>52250.05</v>
      </c>
      <c r="AB65" s="48">
        <f t="shared" si="19"/>
        <v>5.3272925706608328E-3</v>
      </c>
      <c r="AD65" s="30">
        <v>60234.065390857701</v>
      </c>
      <c r="AE65" s="31">
        <f t="shared" si="20"/>
        <v>5.1754039838692806E-3</v>
      </c>
      <c r="AF65" s="51">
        <f t="shared" si="21"/>
        <v>-7984.0153908576976</v>
      </c>
      <c r="AG65" s="30">
        <v>46862.32</v>
      </c>
      <c r="AH65" s="31">
        <f t="shared" si="22"/>
        <v>4.1505891334967003E-3</v>
      </c>
      <c r="AI65" s="51">
        <f t="shared" si="23"/>
        <v>5387.7300000000032</v>
      </c>
      <c r="AJ65" s="350">
        <f t="shared" si="13"/>
        <v>1.3099847064132779</v>
      </c>
      <c r="AK65" s="351">
        <f t="shared" si="14"/>
        <v>1.4601135769727704</v>
      </c>
      <c r="AL65" s="140">
        <f t="shared" si="15"/>
        <v>-0.15012887055949253</v>
      </c>
      <c r="AM65" s="352">
        <f t="shared" si="16"/>
        <v>1.1342963644285231</v>
      </c>
      <c r="AN65" s="140">
        <f t="shared" si="17"/>
        <v>0.1756883419847548</v>
      </c>
    </row>
    <row r="66" spans="1:40" x14ac:dyDescent="0.25">
      <c r="H66" s="15" t="s">
        <v>853</v>
      </c>
      <c r="I66" s="161" t="s">
        <v>1012</v>
      </c>
      <c r="J66" s="161" t="s">
        <v>78</v>
      </c>
      <c r="K66" s="68" t="str">
        <f t="shared" si="12"/>
        <v>&gt;</v>
      </c>
      <c r="L66" s="162"/>
      <c r="M66" s="162"/>
      <c r="N66" s="162" t="s">
        <v>562</v>
      </c>
      <c r="O66" s="47">
        <v>9008.61</v>
      </c>
      <c r="P66" s="47">
        <v>7962.97</v>
      </c>
      <c r="Q66" s="47">
        <v>7510.05</v>
      </c>
      <c r="R66" s="47">
        <v>8508.16</v>
      </c>
      <c r="S66" s="47">
        <v>11448.37</v>
      </c>
      <c r="T66" s="47">
        <v>7432.21</v>
      </c>
      <c r="U66" s="47">
        <v>7968.52</v>
      </c>
      <c r="V66" s="47">
        <v>9255.2999999999993</v>
      </c>
      <c r="W66" s="47">
        <v>8101.44</v>
      </c>
      <c r="X66" s="47">
        <v>7611.42</v>
      </c>
      <c r="Y66" s="47">
        <v>6443.68</v>
      </c>
      <c r="Z66" s="47">
        <v>5131.3</v>
      </c>
      <c r="AA66" s="30">
        <f t="shared" si="18"/>
        <v>96382.030000000013</v>
      </c>
      <c r="AB66" s="48">
        <f t="shared" si="19"/>
        <v>9.8268857611468231E-3</v>
      </c>
      <c r="AD66" s="30">
        <v>79060.501678645902</v>
      </c>
      <c r="AE66" s="31">
        <f t="shared" si="20"/>
        <v>6.7930004840163344E-3</v>
      </c>
      <c r="AF66" s="51">
        <f t="shared" si="21"/>
        <v>17321.528321354112</v>
      </c>
      <c r="AG66" s="30">
        <v>61737.69</v>
      </c>
      <c r="AH66" s="31">
        <f t="shared" si="22"/>
        <v>5.4680985755973651E-3</v>
      </c>
      <c r="AI66" s="51">
        <f t="shared" si="23"/>
        <v>34644.340000000011</v>
      </c>
      <c r="AJ66" s="357">
        <f t="shared" si="13"/>
        <v>2.4164375971518832</v>
      </c>
      <c r="AK66" s="358">
        <f t="shared" si="14"/>
        <v>1.9164788422331929</v>
      </c>
      <c r="AL66" s="141">
        <f t="shared" si="15"/>
        <v>0.49995875491869035</v>
      </c>
      <c r="AM66" s="359">
        <f t="shared" si="16"/>
        <v>1.4943527617756693</v>
      </c>
      <c r="AN66" s="141">
        <f t="shared" si="17"/>
        <v>0.92208483537621388</v>
      </c>
    </row>
    <row r="67" spans="1:40" x14ac:dyDescent="0.25">
      <c r="A67" s="1" t="s">
        <v>108</v>
      </c>
      <c r="C67" s="26" t="s">
        <v>101</v>
      </c>
      <c r="D67" s="1" t="s">
        <v>106</v>
      </c>
      <c r="F67" s="1" t="s">
        <v>98</v>
      </c>
      <c r="G67" s="14"/>
      <c r="H67" s="15" t="s">
        <v>854</v>
      </c>
      <c r="I67" s="479" t="s">
        <v>1010</v>
      </c>
      <c r="J67" s="479" t="s">
        <v>78</v>
      </c>
      <c r="K67" s="480" t="str">
        <f t="shared" si="12"/>
        <v/>
      </c>
      <c r="L67" s="170"/>
      <c r="M67" s="170"/>
      <c r="N67" s="170" t="s">
        <v>1089</v>
      </c>
      <c r="O67" s="36">
        <v>18444.32</v>
      </c>
      <c r="P67" s="36">
        <v>16917.36</v>
      </c>
      <c r="Q67" s="36">
        <v>15305.78</v>
      </c>
      <c r="R67" s="36">
        <v>14731.54</v>
      </c>
      <c r="S67" s="36">
        <v>18139.939999999999</v>
      </c>
      <c r="T67" s="36">
        <v>13364.29</v>
      </c>
      <c r="U67" s="36">
        <v>16460.21</v>
      </c>
      <c r="V67" s="36">
        <v>14659.16</v>
      </c>
      <c r="W67" s="36">
        <v>13419.81</v>
      </c>
      <c r="X67" s="36">
        <v>15215.57</v>
      </c>
      <c r="Y67" s="36">
        <v>14380.04</v>
      </c>
      <c r="Z67" s="36">
        <v>10643.89</v>
      </c>
      <c r="AA67" s="36">
        <f t="shared" si="18"/>
        <v>181681.91000000003</v>
      </c>
      <c r="AB67" s="37">
        <f t="shared" si="19"/>
        <v>1.852386149614154E-2</v>
      </c>
      <c r="AC67" s="35"/>
      <c r="AD67" s="36">
        <v>189680.49532212401</v>
      </c>
      <c r="AE67" s="37">
        <f t="shared" si="20"/>
        <v>1.6297641289565304E-2</v>
      </c>
      <c r="AF67" s="58">
        <f t="shared" si="21"/>
        <v>-7998.5853221239813</v>
      </c>
      <c r="AG67" s="36">
        <v>145632.64000000001</v>
      </c>
      <c r="AH67" s="37">
        <f t="shared" si="22"/>
        <v>1.2898662572967727E-2</v>
      </c>
      <c r="AI67" s="58">
        <f t="shared" si="23"/>
        <v>36049.270000000019</v>
      </c>
      <c r="AJ67" s="372">
        <f t="shared" si="13"/>
        <v>4.5550295843152995</v>
      </c>
      <c r="AK67" s="373">
        <f t="shared" si="14"/>
        <v>4.5979806395201326</v>
      </c>
      <c r="AL67" s="374">
        <f t="shared" si="15"/>
        <v>-4.2951055204833111E-2</v>
      </c>
      <c r="AM67" s="375">
        <f t="shared" si="16"/>
        <v>3.5250191218473161</v>
      </c>
      <c r="AN67" s="374">
        <f t="shared" si="17"/>
        <v>1.0300104624679833</v>
      </c>
    </row>
    <row r="68" spans="1:40" x14ac:dyDescent="0.25">
      <c r="A68" s="1" t="s">
        <v>100</v>
      </c>
      <c r="C68" s="8" t="s">
        <v>101</v>
      </c>
      <c r="D68" s="1" t="s">
        <v>106</v>
      </c>
      <c r="F68" s="1" t="s">
        <v>98</v>
      </c>
      <c r="H68" s="15" t="s">
        <v>76</v>
      </c>
      <c r="I68" s="479" t="s">
        <v>1046</v>
      </c>
      <c r="J68" s="479" t="s">
        <v>78</v>
      </c>
      <c r="K68" s="480" t="str">
        <f t="shared" si="12"/>
        <v/>
      </c>
      <c r="L68" s="170">
        <v>600000</v>
      </c>
      <c r="M68" s="170"/>
      <c r="N68" s="170" t="s">
        <v>1090</v>
      </c>
      <c r="O68" s="36">
        <v>123599.33</v>
      </c>
      <c r="P68" s="36">
        <v>111959.46</v>
      </c>
      <c r="Q68" s="36">
        <v>128327.02</v>
      </c>
      <c r="R68" s="36">
        <v>121605.45</v>
      </c>
      <c r="S68" s="36">
        <v>116129.94</v>
      </c>
      <c r="T68" s="36">
        <v>116382.25</v>
      </c>
      <c r="U68" s="36">
        <v>124106.43</v>
      </c>
      <c r="V68" s="36">
        <v>114316.67</v>
      </c>
      <c r="W68" s="36">
        <v>108657.42</v>
      </c>
      <c r="X68" s="36">
        <v>116374.17</v>
      </c>
      <c r="Y68" s="36">
        <v>112130.28</v>
      </c>
      <c r="Z68" s="36">
        <v>119185.41</v>
      </c>
      <c r="AA68" s="36">
        <f t="shared" si="18"/>
        <v>1412773.8299999998</v>
      </c>
      <c r="AB68" s="37">
        <f t="shared" si="19"/>
        <v>0.14404310672588924</v>
      </c>
      <c r="AC68" s="35"/>
      <c r="AD68" s="36">
        <v>1524575.34547792</v>
      </c>
      <c r="AE68" s="37">
        <f t="shared" si="20"/>
        <v>0.13099386975618113</v>
      </c>
      <c r="AF68" s="58">
        <f t="shared" si="21"/>
        <v>-111801.51547792018</v>
      </c>
      <c r="AG68" s="36">
        <v>1518794.2</v>
      </c>
      <c r="AH68" s="37">
        <f t="shared" si="22"/>
        <v>0.1345193900459434</v>
      </c>
      <c r="AI68" s="58">
        <f t="shared" si="23"/>
        <v>-106020.37000000011</v>
      </c>
      <c r="AJ68" s="364">
        <f t="shared" si="13"/>
        <v>35.420293586722153</v>
      </c>
      <c r="AK68" s="365">
        <f t="shared" si="14"/>
        <v>36.956714553557802</v>
      </c>
      <c r="AL68" s="366">
        <f t="shared" si="15"/>
        <v>-1.5364209668356494</v>
      </c>
      <c r="AM68" s="367">
        <f t="shared" si="16"/>
        <v>36.762216197899015</v>
      </c>
      <c r="AN68" s="366">
        <f t="shared" si="17"/>
        <v>-1.3419226111768623</v>
      </c>
    </row>
    <row r="69" spans="1:40" x14ac:dyDescent="0.25">
      <c r="A69" s="1" t="s">
        <v>109</v>
      </c>
      <c r="C69" s="25" t="s">
        <v>101</v>
      </c>
      <c r="D69" s="1" t="s">
        <v>106</v>
      </c>
      <c r="F69" s="1" t="s">
        <v>98</v>
      </c>
      <c r="O69" s="41"/>
      <c r="P69" s="45"/>
      <c r="Q69" s="45"/>
      <c r="R69" s="45"/>
      <c r="S69" s="45"/>
      <c r="T69" s="45"/>
      <c r="U69" s="45"/>
      <c r="V69" s="45"/>
      <c r="W69" s="45"/>
      <c r="X69" s="45"/>
      <c r="Y69" s="45"/>
      <c r="Z69" s="45"/>
      <c r="AA69" s="45"/>
      <c r="AB69" s="42"/>
      <c r="AD69" s="41"/>
      <c r="AE69" s="45"/>
      <c r="AF69" s="42"/>
      <c r="AG69" s="41"/>
      <c r="AH69" s="45"/>
      <c r="AI69" s="42"/>
    </row>
    <row r="70" spans="1:40" x14ac:dyDescent="0.25">
      <c r="A70" s="1" t="s">
        <v>109</v>
      </c>
      <c r="C70" s="151" t="s">
        <v>101</v>
      </c>
      <c r="D70" s="1" t="s">
        <v>107</v>
      </c>
      <c r="F70" s="1" t="s">
        <v>99</v>
      </c>
      <c r="H70" s="1" t="s">
        <v>82</v>
      </c>
      <c r="I70" s="11" t="s">
        <v>1011</v>
      </c>
      <c r="J70" s="11" t="s">
        <v>78</v>
      </c>
      <c r="N70" s="40" t="s">
        <v>1092</v>
      </c>
      <c r="O70" s="43"/>
      <c r="P70" s="46"/>
      <c r="Q70" s="46"/>
      <c r="R70" s="46"/>
      <c r="S70" s="46"/>
      <c r="T70" s="46"/>
      <c r="U70" s="46"/>
      <c r="V70" s="46"/>
      <c r="W70" s="46"/>
      <c r="X70" s="46"/>
      <c r="Y70" s="46"/>
      <c r="Z70" s="46"/>
      <c r="AA70" s="46"/>
      <c r="AB70" s="44"/>
      <c r="AD70" s="43"/>
      <c r="AE70" s="46"/>
      <c r="AF70" s="44"/>
      <c r="AG70" s="43"/>
      <c r="AH70" s="46"/>
      <c r="AI70" s="44"/>
    </row>
    <row r="71" spans="1:40" x14ac:dyDescent="0.25">
      <c r="A71" s="1" t="s">
        <v>110</v>
      </c>
      <c r="C71" s="25" t="s">
        <v>101</v>
      </c>
      <c r="D71" s="1" t="s">
        <v>106</v>
      </c>
      <c r="F71" s="1" t="s">
        <v>98</v>
      </c>
      <c r="H71" s="15" t="s">
        <v>869</v>
      </c>
      <c r="I71" s="161" t="s">
        <v>1009</v>
      </c>
      <c r="J71" s="161" t="s">
        <v>1009</v>
      </c>
      <c r="K71" s="68" t="str">
        <f t="shared" ref="K71:K93" si="24">IF(AND(I71&lt;&gt;"B1",J71="Y"),"&gt;","")</f>
        <v/>
      </c>
      <c r="L71" s="162">
        <v>701300</v>
      </c>
      <c r="M71" s="162">
        <v>690205</v>
      </c>
      <c r="N71" s="162" t="s">
        <v>1093</v>
      </c>
      <c r="O71" s="21">
        <v>621.59</v>
      </c>
      <c r="P71" s="21">
        <v>644.33000000000004</v>
      </c>
      <c r="Q71" s="21">
        <v>1014.36</v>
      </c>
      <c r="R71" s="21">
        <v>767</v>
      </c>
      <c r="S71" s="21">
        <v>1047.5999999999999</v>
      </c>
      <c r="T71" s="21">
        <v>1025.7</v>
      </c>
      <c r="U71" s="21">
        <v>856.74</v>
      </c>
      <c r="V71" s="21">
        <v>558.54</v>
      </c>
      <c r="W71" s="21">
        <v>529.76</v>
      </c>
      <c r="X71" s="21">
        <v>678.18</v>
      </c>
      <c r="Y71" s="21">
        <v>347.02</v>
      </c>
      <c r="Z71" s="21">
        <v>843.63</v>
      </c>
      <c r="AA71" s="21">
        <f t="shared" ref="AA71:AA94" si="25">IF($I71="B1","",SUM(O71:Z71))</f>
        <v>8934.4499999999989</v>
      </c>
      <c r="AB71" s="17">
        <f t="shared" ref="AB71:AB94" si="26">IF(AA71=0,"",IFERROR(AA71/AA$19,""))</f>
        <v>9.109355705485577E-4</v>
      </c>
      <c r="AD71" s="21">
        <v>9990.0258029165998</v>
      </c>
      <c r="AE71" s="17">
        <f t="shared" ref="AE71:AE94" si="27">IF(AD71=0,"",IFERROR(AD71/AD$19,""))</f>
        <v>8.5835845553301879E-4</v>
      </c>
      <c r="AF71" s="50">
        <f t="shared" ref="AF71:AF94" si="28">IF(AND($AA71="",AD71=""),"",$AA71-AD71)</f>
        <v>-1055.5758029166009</v>
      </c>
      <c r="AG71" s="21">
        <v>11388</v>
      </c>
      <c r="AH71" s="17">
        <f t="shared" ref="AH71:AH94" si="29">IF(AG71=0,"",IFERROR(AG71/AG$19,""))</f>
        <v>1.0086335685527397E-3</v>
      </c>
      <c r="AI71" s="50">
        <f t="shared" ref="AI71:AI94" si="30">IF(AND($AA71="",AG71=""),"",$AA71-AG71)</f>
        <v>-2453.5500000000011</v>
      </c>
      <c r="AJ71" s="350">
        <f t="shared" ref="AJ71:AJ94" si="31">IFERROR(AA71/AA$20,0)</f>
        <v>0.22399964899964897</v>
      </c>
      <c r="AK71" s="351">
        <f t="shared" ref="AK71:AK94" si="32">IFERROR(AD71/AD$20,0)</f>
        <v>0.24216483171930769</v>
      </c>
      <c r="AL71" s="140">
        <f t="shared" ref="AL71:AL94" si="33">AJ71-AK71</f>
        <v>-1.8165182719658723E-2</v>
      </c>
      <c r="AM71" s="352">
        <f t="shared" ref="AM71:AM94" si="34">IFERROR(AG71/AG$20,0)</f>
        <v>0.27564505978602893</v>
      </c>
      <c r="AN71" s="140">
        <f t="shared" ref="AN71:AN94" si="35">AJ71-AM71</f>
        <v>-5.1645410786379964E-2</v>
      </c>
    </row>
    <row r="72" spans="1:40" x14ac:dyDescent="0.25">
      <c r="A72" s="1" t="s">
        <v>110</v>
      </c>
      <c r="C72" s="29" t="s">
        <v>101</v>
      </c>
      <c r="D72" s="1" t="s">
        <v>107</v>
      </c>
      <c r="F72" s="1" t="s">
        <v>99</v>
      </c>
      <c r="G72" s="14"/>
      <c r="H72" s="15" t="s">
        <v>832</v>
      </c>
      <c r="I72" s="161" t="s">
        <v>1064</v>
      </c>
      <c r="J72" s="161" t="s">
        <v>78</v>
      </c>
      <c r="K72" s="68" t="str">
        <f t="shared" si="24"/>
        <v>&gt;</v>
      </c>
      <c r="L72" s="162">
        <v>701500</v>
      </c>
      <c r="M72" s="162"/>
      <c r="N72" s="162" t="s">
        <v>1094</v>
      </c>
      <c r="O72" s="21">
        <v>3735.58</v>
      </c>
      <c r="P72" s="21">
        <v>3425.34</v>
      </c>
      <c r="Q72" s="21">
        <v>4301.1400000000003</v>
      </c>
      <c r="R72" s="21">
        <v>3213.34</v>
      </c>
      <c r="S72" s="21">
        <v>4280.4799999999996</v>
      </c>
      <c r="T72" s="21">
        <v>3368.05</v>
      </c>
      <c r="U72" s="21">
        <v>2983.45</v>
      </c>
      <c r="V72" s="21">
        <v>4154.95</v>
      </c>
      <c r="W72" s="21">
        <v>3715.48</v>
      </c>
      <c r="X72" s="21">
        <v>4113.22</v>
      </c>
      <c r="Y72" s="21">
        <v>2858.61</v>
      </c>
      <c r="Z72" s="21">
        <v>5251.9</v>
      </c>
      <c r="AA72" s="21">
        <f t="shared" si="25"/>
        <v>45401.540000000008</v>
      </c>
      <c r="AB72" s="17">
        <f t="shared" si="26"/>
        <v>4.6290345509441746E-3</v>
      </c>
      <c r="AD72" s="21">
        <v>42932.32</v>
      </c>
      <c r="AE72" s="17">
        <f t="shared" si="27"/>
        <v>3.6888112818377855E-3</v>
      </c>
      <c r="AF72" s="50">
        <f t="shared" si="28"/>
        <v>2469.2200000000084</v>
      </c>
      <c r="AG72" s="21">
        <v>43316.67</v>
      </c>
      <c r="AH72" s="17">
        <f t="shared" si="29"/>
        <v>3.8365514084932736E-3</v>
      </c>
      <c r="AI72" s="50">
        <f t="shared" si="30"/>
        <v>2084.8700000000099</v>
      </c>
      <c r="AJ72" s="350">
        <f t="shared" si="31"/>
        <v>1.1382826054254627</v>
      </c>
      <c r="AK72" s="351">
        <f t="shared" si="32"/>
        <v>1.0407078273095289</v>
      </c>
      <c r="AL72" s="140">
        <f t="shared" si="33"/>
        <v>9.7574778115933736E-2</v>
      </c>
      <c r="AM72" s="352">
        <f t="shared" si="34"/>
        <v>1.0484743670426488</v>
      </c>
      <c r="AN72" s="140">
        <f t="shared" si="35"/>
        <v>8.9808238382813821E-2</v>
      </c>
    </row>
    <row r="73" spans="1:40" x14ac:dyDescent="0.25">
      <c r="C73" s="32"/>
      <c r="G73" s="14"/>
      <c r="H73" s="15" t="s">
        <v>856</v>
      </c>
      <c r="I73" s="161" t="s">
        <v>1009</v>
      </c>
      <c r="J73" s="161" t="s">
        <v>1009</v>
      </c>
      <c r="K73" s="68" t="str">
        <f t="shared" si="24"/>
        <v/>
      </c>
      <c r="L73" s="162">
        <v>701600</v>
      </c>
      <c r="M73" s="162">
        <v>590015</v>
      </c>
      <c r="N73" s="162" t="s">
        <v>1095</v>
      </c>
      <c r="O73" s="21">
        <v>1728.86</v>
      </c>
      <c r="P73" s="21">
        <v>1728.59</v>
      </c>
      <c r="Q73" s="21">
        <v>1671.33</v>
      </c>
      <c r="R73" s="21">
        <v>1288.55</v>
      </c>
      <c r="S73" s="21">
        <v>1421.27</v>
      </c>
      <c r="T73" s="21">
        <v>1587.94</v>
      </c>
      <c r="U73" s="21">
        <v>966.08</v>
      </c>
      <c r="V73" s="21">
        <v>1859.28</v>
      </c>
      <c r="W73" s="21">
        <v>1142.0999999999999</v>
      </c>
      <c r="X73" s="21">
        <v>1217.6099999999999</v>
      </c>
      <c r="Y73" s="21">
        <v>1347.43</v>
      </c>
      <c r="Z73" s="21">
        <v>1930.87</v>
      </c>
      <c r="AA73" s="21">
        <f t="shared" si="25"/>
        <v>17889.910000000003</v>
      </c>
      <c r="AB73" s="17">
        <f t="shared" si="26"/>
        <v>1.8240132714282752E-3</v>
      </c>
      <c r="AD73" s="21">
        <v>20213.97</v>
      </c>
      <c r="AE73" s="17">
        <f t="shared" si="27"/>
        <v>1.7368155409894117E-3</v>
      </c>
      <c r="AF73" s="50">
        <f t="shared" si="28"/>
        <v>-2324.0599999999977</v>
      </c>
      <c r="AG73" s="21">
        <v>20792.75</v>
      </c>
      <c r="AH73" s="17">
        <f t="shared" si="29"/>
        <v>1.8416109617601843E-3</v>
      </c>
      <c r="AI73" s="50">
        <f t="shared" si="30"/>
        <v>-2902.8399999999965</v>
      </c>
      <c r="AJ73" s="350">
        <f t="shared" si="31"/>
        <v>0.44852604924033507</v>
      </c>
      <c r="AK73" s="351">
        <f t="shared" si="32"/>
        <v>0.49000000000000005</v>
      </c>
      <c r="AL73" s="140">
        <f t="shared" si="33"/>
        <v>-4.1473950759664979E-2</v>
      </c>
      <c r="AM73" s="352">
        <f t="shared" si="34"/>
        <v>0.50328581110519433</v>
      </c>
      <c r="AN73" s="140">
        <f t="shared" si="35"/>
        <v>-5.4759761864859258E-2</v>
      </c>
    </row>
    <row r="74" spans="1:40" x14ac:dyDescent="0.25">
      <c r="H74" s="15" t="s">
        <v>930</v>
      </c>
      <c r="I74" s="161" t="s">
        <v>1009</v>
      </c>
      <c r="J74" s="161" t="s">
        <v>1009</v>
      </c>
      <c r="K74" s="68" t="str">
        <f t="shared" si="24"/>
        <v/>
      </c>
      <c r="L74" s="162">
        <v>701800</v>
      </c>
      <c r="M74" s="162">
        <v>590020</v>
      </c>
      <c r="N74" s="162" t="s">
        <v>1096</v>
      </c>
      <c r="O74" s="21">
        <v>3024.8</v>
      </c>
      <c r="P74" s="21">
        <v>3006.72</v>
      </c>
      <c r="Q74" s="21">
        <v>3455.39</v>
      </c>
      <c r="R74" s="21">
        <v>3763.28</v>
      </c>
      <c r="S74" s="21">
        <v>2859.46</v>
      </c>
      <c r="T74" s="21">
        <v>2986.42</v>
      </c>
      <c r="U74" s="21">
        <v>2489.4</v>
      </c>
      <c r="V74" s="21">
        <v>2940.33</v>
      </c>
      <c r="W74" s="21">
        <v>3551.25</v>
      </c>
      <c r="X74" s="21">
        <v>2597.0500000000002</v>
      </c>
      <c r="Y74" s="21">
        <v>2152.9699999999998</v>
      </c>
      <c r="Z74" s="21">
        <v>3079.63</v>
      </c>
      <c r="AA74" s="21">
        <f t="shared" si="25"/>
        <v>35906.699999999997</v>
      </c>
      <c r="AB74" s="17">
        <f t="shared" si="26"/>
        <v>3.6609629301205893E-3</v>
      </c>
      <c r="AD74" s="21">
        <v>37127.699999999997</v>
      </c>
      <c r="AE74" s="17">
        <f t="shared" si="27"/>
        <v>3.1900693610009598E-3</v>
      </c>
      <c r="AF74" s="50">
        <f t="shared" si="28"/>
        <v>-1221</v>
      </c>
      <c r="AG74" s="21">
        <v>39274.68</v>
      </c>
      <c r="AH74" s="17">
        <f t="shared" si="29"/>
        <v>3.4785529190522403E-3</v>
      </c>
      <c r="AI74" s="50">
        <f t="shared" si="30"/>
        <v>-3367.9800000000032</v>
      </c>
      <c r="AJ74" s="350">
        <f t="shared" si="31"/>
        <v>0.90023316451887869</v>
      </c>
      <c r="AK74" s="351">
        <f t="shared" si="32"/>
        <v>0.89999999999999991</v>
      </c>
      <c r="AL74" s="140">
        <f t="shared" si="33"/>
        <v>2.331645188787812E-4</v>
      </c>
      <c r="AM74" s="352">
        <f t="shared" si="34"/>
        <v>0.95063852447112362</v>
      </c>
      <c r="AN74" s="140">
        <f t="shared" si="35"/>
        <v>-5.0405359952244932E-2</v>
      </c>
    </row>
    <row r="75" spans="1:40" x14ac:dyDescent="0.25">
      <c r="A75" s="4" t="s">
        <v>988</v>
      </c>
      <c r="B75" s="1" t="s">
        <v>736</v>
      </c>
      <c r="H75" s="15" t="s">
        <v>858</v>
      </c>
      <c r="I75" s="161" t="s">
        <v>1009</v>
      </c>
      <c r="J75" s="161" t="s">
        <v>1009</v>
      </c>
      <c r="K75" s="68" t="str">
        <f t="shared" si="24"/>
        <v/>
      </c>
      <c r="L75" s="162">
        <v>702300</v>
      </c>
      <c r="M75" s="162">
        <v>590040</v>
      </c>
      <c r="N75" s="162" t="s">
        <v>1097</v>
      </c>
      <c r="O75" s="21"/>
      <c r="P75" s="21"/>
      <c r="Q75" s="21"/>
      <c r="R75" s="21"/>
      <c r="S75" s="21"/>
      <c r="T75" s="21"/>
      <c r="U75" s="21"/>
      <c r="V75" s="21"/>
      <c r="W75" s="21"/>
      <c r="X75" s="21">
        <v>1150</v>
      </c>
      <c r="Y75" s="21"/>
      <c r="Z75" s="21">
        <v>4908.97</v>
      </c>
      <c r="AA75" s="21">
        <f t="shared" si="25"/>
        <v>6058.97</v>
      </c>
      <c r="AB75" s="17">
        <f t="shared" si="26"/>
        <v>6.1775837280264546E-4</v>
      </c>
      <c r="AD75" s="21">
        <v>5755</v>
      </c>
      <c r="AE75" s="17">
        <f t="shared" si="27"/>
        <v>4.9447849375427316E-4</v>
      </c>
      <c r="AF75" s="50">
        <f t="shared" si="28"/>
        <v>303.97000000000025</v>
      </c>
      <c r="AG75" s="21">
        <v>5836.45</v>
      </c>
      <c r="AH75" s="17">
        <f t="shared" si="29"/>
        <v>5.1693356086930425E-4</v>
      </c>
      <c r="AI75" s="50">
        <f t="shared" si="30"/>
        <v>222.52000000000044</v>
      </c>
      <c r="AJ75" s="350">
        <f t="shared" si="31"/>
        <v>0.15190718547861407</v>
      </c>
      <c r="AK75" s="351">
        <f t="shared" si="32"/>
        <v>0.13950500569655541</v>
      </c>
      <c r="AL75" s="140">
        <f t="shared" si="33"/>
        <v>1.2402179782058653E-2</v>
      </c>
      <c r="AM75" s="352">
        <f t="shared" si="34"/>
        <v>0.1412705136273418</v>
      </c>
      <c r="AN75" s="140">
        <f t="shared" si="35"/>
        <v>1.0636671851272261E-2</v>
      </c>
    </row>
    <row r="76" spans="1:40" x14ac:dyDescent="0.25">
      <c r="H76" s="15" t="s">
        <v>931</v>
      </c>
      <c r="I76" s="161" t="s">
        <v>1064</v>
      </c>
      <c r="J76" s="161" t="s">
        <v>78</v>
      </c>
      <c r="K76" s="68" t="str">
        <f t="shared" si="24"/>
        <v>&gt;</v>
      </c>
      <c r="L76" s="162">
        <v>702500</v>
      </c>
      <c r="M76" s="162"/>
      <c r="N76" s="162" t="s">
        <v>1098</v>
      </c>
      <c r="O76" s="21">
        <v>20742.439999999999</v>
      </c>
      <c r="P76" s="21">
        <v>19900.97</v>
      </c>
      <c r="Q76" s="21">
        <v>20715.490000000002</v>
      </c>
      <c r="R76" s="21">
        <v>20935.07</v>
      </c>
      <c r="S76" s="21">
        <v>18799.900000000001</v>
      </c>
      <c r="T76" s="21">
        <v>22851.93</v>
      </c>
      <c r="U76" s="21">
        <v>24175.23</v>
      </c>
      <c r="V76" s="21">
        <v>22287.95</v>
      </c>
      <c r="W76" s="21">
        <v>17811.849999999999</v>
      </c>
      <c r="X76" s="21">
        <v>19874.47</v>
      </c>
      <c r="Y76" s="21">
        <v>17070.54</v>
      </c>
      <c r="Z76" s="21">
        <v>19543.86</v>
      </c>
      <c r="AA76" s="21">
        <f t="shared" si="25"/>
        <v>244709.7</v>
      </c>
      <c r="AB76" s="17">
        <f t="shared" si="26"/>
        <v>2.4950027163201591E-2</v>
      </c>
      <c r="AD76" s="21">
        <v>254943.54</v>
      </c>
      <c r="AE76" s="17">
        <f t="shared" si="27"/>
        <v>2.1905142945539927E-2</v>
      </c>
      <c r="AF76" s="50">
        <f t="shared" si="28"/>
        <v>-10233.839999999997</v>
      </c>
      <c r="AG76" s="21">
        <v>255323.89</v>
      </c>
      <c r="AH76" s="17">
        <f t="shared" si="29"/>
        <v>2.261400125636347E-2</v>
      </c>
      <c r="AI76" s="50">
        <f t="shared" si="30"/>
        <v>-10614.190000000002</v>
      </c>
      <c r="AJ76" s="350">
        <f t="shared" si="31"/>
        <v>6.1352278995136142</v>
      </c>
      <c r="AK76" s="351">
        <f t="shared" si="32"/>
        <v>6.1800000000000006</v>
      </c>
      <c r="AL76" s="140">
        <f t="shared" si="33"/>
        <v>-4.4772100486386357E-2</v>
      </c>
      <c r="AM76" s="352">
        <f t="shared" si="34"/>
        <v>6.1800815704119669</v>
      </c>
      <c r="AN76" s="140">
        <f t="shared" si="35"/>
        <v>-4.4853670898352682E-2</v>
      </c>
    </row>
    <row r="77" spans="1:40" x14ac:dyDescent="0.25">
      <c r="A77" s="3" t="s">
        <v>0</v>
      </c>
      <c r="B77" s="5" t="s">
        <v>1</v>
      </c>
      <c r="H77" s="15" t="s">
        <v>833</v>
      </c>
      <c r="I77" s="161" t="s">
        <v>1064</v>
      </c>
      <c r="J77" s="161" t="s">
        <v>78</v>
      </c>
      <c r="K77" s="68" t="str">
        <f t="shared" si="24"/>
        <v>&gt;</v>
      </c>
      <c r="L77" s="162"/>
      <c r="M77" s="162"/>
      <c r="N77" s="162" t="s">
        <v>1099</v>
      </c>
      <c r="O77" s="21">
        <v>732</v>
      </c>
      <c r="P77" s="21">
        <v>435.38</v>
      </c>
      <c r="Q77" s="21">
        <v>1030</v>
      </c>
      <c r="R77" s="21">
        <v>10282.83</v>
      </c>
      <c r="S77" s="21">
        <v>3748</v>
      </c>
      <c r="T77" s="21">
        <v>1936.5</v>
      </c>
      <c r="U77" s="21">
        <v>4599.88</v>
      </c>
      <c r="V77" s="21">
        <v>2768.31</v>
      </c>
      <c r="W77" s="21">
        <v>2630</v>
      </c>
      <c r="X77" s="21">
        <v>3485.28</v>
      </c>
      <c r="Y77" s="21">
        <v>5166.66</v>
      </c>
      <c r="Z77" s="21">
        <v>3296.66</v>
      </c>
      <c r="AA77" s="21">
        <f t="shared" si="25"/>
        <v>40111.5</v>
      </c>
      <c r="AB77" s="17">
        <f t="shared" si="26"/>
        <v>4.0896744777863753E-3</v>
      </c>
      <c r="AD77" s="21">
        <v>48215.000000000298</v>
      </c>
      <c r="AE77" s="17">
        <f t="shared" si="27"/>
        <v>4.1427073112706211E-3</v>
      </c>
      <c r="AF77" s="50">
        <f t="shared" si="28"/>
        <v>-8103.5000000002983</v>
      </c>
      <c r="AG77" s="21">
        <v>42138.16</v>
      </c>
      <c r="AH77" s="17">
        <f t="shared" si="29"/>
        <v>3.7321709424873828E-3</v>
      </c>
      <c r="AI77" s="50">
        <f t="shared" si="30"/>
        <v>-2026.6600000000035</v>
      </c>
      <c r="AJ77" s="350">
        <f t="shared" si="31"/>
        <v>1.0056536127964699</v>
      </c>
      <c r="AK77" s="351">
        <f t="shared" si="32"/>
        <v>1.1687634838678471</v>
      </c>
      <c r="AL77" s="140">
        <f t="shared" si="33"/>
        <v>-0.1631098710713772</v>
      </c>
      <c r="AM77" s="352">
        <f t="shared" si="34"/>
        <v>1.019948685675558</v>
      </c>
      <c r="AN77" s="140">
        <f t="shared" si="35"/>
        <v>-1.4295072879088044E-2</v>
      </c>
    </row>
    <row r="78" spans="1:40" x14ac:dyDescent="0.25">
      <c r="A78" s="6" t="s">
        <v>2</v>
      </c>
      <c r="B78" s="16" t="s">
        <v>1050</v>
      </c>
      <c r="H78" s="15" t="s">
        <v>834</v>
      </c>
      <c r="I78" s="161" t="s">
        <v>1064</v>
      </c>
      <c r="J78" s="161" t="s">
        <v>78</v>
      </c>
      <c r="K78" s="68" t="str">
        <f t="shared" si="24"/>
        <v>&gt;</v>
      </c>
      <c r="L78" s="162"/>
      <c r="M78" s="162"/>
      <c r="N78" s="162" t="s">
        <v>1100</v>
      </c>
      <c r="O78" s="21"/>
      <c r="P78" s="21"/>
      <c r="Q78" s="21"/>
      <c r="R78" s="21"/>
      <c r="S78" s="21"/>
      <c r="T78" s="21">
        <v>46.2</v>
      </c>
      <c r="U78" s="21">
        <v>29.97</v>
      </c>
      <c r="V78" s="21"/>
      <c r="W78" s="21"/>
      <c r="X78" s="21">
        <v>48.94</v>
      </c>
      <c r="Y78" s="21"/>
      <c r="Z78" s="21"/>
      <c r="AA78" s="21">
        <f t="shared" si="25"/>
        <v>125.11</v>
      </c>
      <c r="AB78" s="17">
        <f t="shared" si="26"/>
        <v>1.2755922214722794E-5</v>
      </c>
      <c r="AD78" s="21"/>
      <c r="AE78" s="17" t="str">
        <f t="shared" si="27"/>
        <v/>
      </c>
      <c r="AF78" s="50">
        <f t="shared" si="28"/>
        <v>125.11</v>
      </c>
      <c r="AG78" s="21">
        <v>141.84</v>
      </c>
      <c r="AH78" s="17">
        <f t="shared" si="29"/>
        <v>1.2562748978180594E-5</v>
      </c>
      <c r="AI78" s="50">
        <f t="shared" si="30"/>
        <v>-16.730000000000004</v>
      </c>
      <c r="AJ78" s="350">
        <f t="shared" si="31"/>
        <v>3.1366895652609936E-3</v>
      </c>
      <c r="AK78" s="351">
        <f t="shared" si="32"/>
        <v>0</v>
      </c>
      <c r="AL78" s="140">
        <f t="shared" si="33"/>
        <v>3.1366895652609936E-3</v>
      </c>
      <c r="AM78" s="352">
        <f t="shared" si="34"/>
        <v>3.4332187636152397E-3</v>
      </c>
      <c r="AN78" s="140">
        <f t="shared" si="35"/>
        <v>-2.9652919835424603E-4</v>
      </c>
    </row>
    <row r="79" spans="1:40" x14ac:dyDescent="0.25">
      <c r="A79" s="6" t="s">
        <v>3</v>
      </c>
      <c r="B79" s="16" t="s">
        <v>1051</v>
      </c>
      <c r="H79" s="15" t="s">
        <v>835</v>
      </c>
      <c r="I79" s="161" t="s">
        <v>1064</v>
      </c>
      <c r="J79" s="161" t="s">
        <v>78</v>
      </c>
      <c r="K79" s="68" t="str">
        <f t="shared" si="24"/>
        <v>&gt;</v>
      </c>
      <c r="L79" s="162">
        <v>702900</v>
      </c>
      <c r="M79" s="162"/>
      <c r="N79" s="162" t="s">
        <v>1101</v>
      </c>
      <c r="O79" s="21"/>
      <c r="P79" s="21"/>
      <c r="Q79" s="21"/>
      <c r="R79" s="21">
        <v>8.2799999999999994</v>
      </c>
      <c r="S79" s="21"/>
      <c r="T79" s="21"/>
      <c r="U79" s="21">
        <v>10.97</v>
      </c>
      <c r="V79" s="21"/>
      <c r="W79" s="21">
        <v>32.79</v>
      </c>
      <c r="X79" s="21"/>
      <c r="Y79" s="21"/>
      <c r="Z79" s="21">
        <v>-8.2799999999999994</v>
      </c>
      <c r="AA79" s="21">
        <f t="shared" si="25"/>
        <v>43.76</v>
      </c>
      <c r="AB79" s="17">
        <f t="shared" si="26"/>
        <v>4.4616669819860077E-6</v>
      </c>
      <c r="AD79" s="21"/>
      <c r="AE79" s="17" t="str">
        <f t="shared" si="27"/>
        <v/>
      </c>
      <c r="AF79" s="50">
        <f t="shared" si="28"/>
        <v>43.76</v>
      </c>
      <c r="AG79" s="21">
        <v>122.47</v>
      </c>
      <c r="AH79" s="17">
        <f t="shared" si="29"/>
        <v>1.0847150785094312E-5</v>
      </c>
      <c r="AI79" s="50">
        <f t="shared" si="30"/>
        <v>-78.710000000000008</v>
      </c>
      <c r="AJ79" s="350">
        <f t="shared" si="31"/>
        <v>1.0971268114125256E-3</v>
      </c>
      <c r="AK79" s="351">
        <f t="shared" si="32"/>
        <v>0</v>
      </c>
      <c r="AL79" s="140">
        <f t="shared" si="33"/>
        <v>1.0971268114125256E-3</v>
      </c>
      <c r="AM79" s="352">
        <f t="shared" si="34"/>
        <v>2.9643704313307836E-3</v>
      </c>
      <c r="AN79" s="140">
        <f t="shared" si="35"/>
        <v>-1.867243619918258E-3</v>
      </c>
    </row>
    <row r="80" spans="1:40" x14ac:dyDescent="0.25">
      <c r="A80" s="6" t="s">
        <v>4</v>
      </c>
      <c r="B80" s="16" t="s">
        <v>1091</v>
      </c>
      <c r="H80" s="15" t="s">
        <v>932</v>
      </c>
      <c r="I80" s="161" t="s">
        <v>1009</v>
      </c>
      <c r="J80" s="161" t="s">
        <v>1009</v>
      </c>
      <c r="K80" s="68" t="str">
        <f t="shared" si="24"/>
        <v/>
      </c>
      <c r="L80" s="162">
        <v>703010</v>
      </c>
      <c r="M80" s="162">
        <v>590021</v>
      </c>
      <c r="N80" s="162" t="s">
        <v>1102</v>
      </c>
      <c r="O80" s="21">
        <v>6453.13</v>
      </c>
      <c r="P80" s="21">
        <v>4451.8999999999996</v>
      </c>
      <c r="Q80" s="21">
        <v>5418.49</v>
      </c>
      <c r="R80" s="21">
        <v>4872.3999999999996</v>
      </c>
      <c r="S80" s="21">
        <v>4783.6400000000003</v>
      </c>
      <c r="T80" s="21">
        <v>5932.84</v>
      </c>
      <c r="U80" s="21">
        <v>-7119.62</v>
      </c>
      <c r="V80" s="21">
        <v>6735.71</v>
      </c>
      <c r="W80" s="21">
        <v>3498.56</v>
      </c>
      <c r="X80" s="21">
        <v>4971.53</v>
      </c>
      <c r="Y80" s="21">
        <v>4779.6000000000004</v>
      </c>
      <c r="Z80" s="21">
        <v>6819.13</v>
      </c>
      <c r="AA80" s="21">
        <f t="shared" si="25"/>
        <v>51597.30999999999</v>
      </c>
      <c r="AB80" s="17">
        <f t="shared" si="26"/>
        <v>5.2607407309482731E-3</v>
      </c>
      <c r="AD80" s="21">
        <v>61903.595358097802</v>
      </c>
      <c r="AE80" s="17">
        <f t="shared" si="27"/>
        <v>5.3188525787395682E-3</v>
      </c>
      <c r="AF80" s="50">
        <f t="shared" si="28"/>
        <v>-10306.285358097812</v>
      </c>
      <c r="AG80" s="21">
        <v>56416.87</v>
      </c>
      <c r="AH80" s="17">
        <f t="shared" si="29"/>
        <v>4.9968342917699341E-3</v>
      </c>
      <c r="AI80" s="50">
        <f t="shared" si="30"/>
        <v>-4819.5600000000122</v>
      </c>
      <c r="AJ80" s="350">
        <f t="shared" si="31"/>
        <v>1.2936195657624228</v>
      </c>
      <c r="AK80" s="351">
        <f t="shared" si="32"/>
        <v>1.5005840874141954</v>
      </c>
      <c r="AL80" s="140">
        <f t="shared" si="33"/>
        <v>-0.20696452165177259</v>
      </c>
      <c r="AM80" s="352">
        <f t="shared" si="34"/>
        <v>1.3655630052766616</v>
      </c>
      <c r="AN80" s="140">
        <f t="shared" si="35"/>
        <v>-7.1943439514238872E-2</v>
      </c>
    </row>
    <row r="81" spans="1:40" x14ac:dyDescent="0.25">
      <c r="A81" s="6" t="s">
        <v>5</v>
      </c>
      <c r="B81" s="7"/>
      <c r="H81" s="15" t="s">
        <v>874</v>
      </c>
      <c r="I81" s="161" t="s">
        <v>1064</v>
      </c>
      <c r="J81" s="161" t="s">
        <v>78</v>
      </c>
      <c r="K81" s="68" t="str">
        <f t="shared" si="24"/>
        <v>&gt;</v>
      </c>
      <c r="L81" s="162">
        <v>703000</v>
      </c>
      <c r="M81" s="162"/>
      <c r="N81" s="162" t="s">
        <v>1103</v>
      </c>
      <c r="O81" s="21">
        <v>2741.92</v>
      </c>
      <c r="P81" s="21">
        <v>2658.89</v>
      </c>
      <c r="Q81" s="21">
        <v>3381.67</v>
      </c>
      <c r="R81" s="21">
        <v>3073.79</v>
      </c>
      <c r="S81" s="21">
        <v>1111.1500000000001</v>
      </c>
      <c r="T81" s="21">
        <v>3809.79</v>
      </c>
      <c r="U81" s="21">
        <v>15369.61</v>
      </c>
      <c r="V81" s="21">
        <v>4377.38</v>
      </c>
      <c r="W81" s="21">
        <v>4747.42</v>
      </c>
      <c r="X81" s="21">
        <v>4097.41</v>
      </c>
      <c r="Y81" s="21">
        <v>5141.04</v>
      </c>
      <c r="Z81" s="21">
        <v>5046.8999999999996</v>
      </c>
      <c r="AA81" s="21">
        <f t="shared" si="25"/>
        <v>55556.97</v>
      </c>
      <c r="AB81" s="17">
        <f t="shared" si="26"/>
        <v>5.6644583790719195E-3</v>
      </c>
      <c r="AD81" s="21">
        <v>45835.92</v>
      </c>
      <c r="AE81" s="17">
        <f t="shared" si="27"/>
        <v>3.9382930810497587E-3</v>
      </c>
      <c r="AF81" s="50">
        <f t="shared" si="28"/>
        <v>9721.0500000000029</v>
      </c>
      <c r="AG81" s="21">
        <v>45276.12</v>
      </c>
      <c r="AH81" s="17">
        <f t="shared" si="29"/>
        <v>4.0100996211645656E-3</v>
      </c>
      <c r="AI81" s="50">
        <f t="shared" si="30"/>
        <v>10280.849999999999</v>
      </c>
      <c r="AJ81" s="350">
        <f t="shared" si="31"/>
        <v>1.3928939978939978</v>
      </c>
      <c r="AK81" s="351">
        <f t="shared" si="32"/>
        <v>1.1110930114173514</v>
      </c>
      <c r="AL81" s="140">
        <f t="shared" si="33"/>
        <v>0.28180098647664642</v>
      </c>
      <c r="AM81" s="352">
        <f t="shared" si="34"/>
        <v>1.0959025996030403</v>
      </c>
      <c r="AN81" s="140">
        <f t="shared" si="35"/>
        <v>0.29699139829095755</v>
      </c>
    </row>
    <row r="82" spans="1:40" x14ac:dyDescent="0.25">
      <c r="A82" s="6" t="s">
        <v>6</v>
      </c>
      <c r="B82" s="7"/>
      <c r="H82" s="15" t="s">
        <v>875</v>
      </c>
      <c r="I82" s="161" t="s">
        <v>1009</v>
      </c>
      <c r="J82" s="161" t="s">
        <v>1009</v>
      </c>
      <c r="K82" s="68" t="str">
        <f t="shared" si="24"/>
        <v/>
      </c>
      <c r="L82" s="162">
        <v>703100</v>
      </c>
      <c r="M82" s="162">
        <v>690035</v>
      </c>
      <c r="N82" s="162" t="s">
        <v>1104</v>
      </c>
      <c r="O82" s="21"/>
      <c r="P82" s="21"/>
      <c r="Q82" s="21"/>
      <c r="R82" s="21"/>
      <c r="S82" s="21"/>
      <c r="T82" s="21"/>
      <c r="U82" s="21"/>
      <c r="V82" s="21">
        <v>22.23</v>
      </c>
      <c r="W82" s="21"/>
      <c r="X82" s="21"/>
      <c r="Y82" s="21"/>
      <c r="Z82" s="21"/>
      <c r="AA82" s="21">
        <f t="shared" si="25"/>
        <v>22.23</v>
      </c>
      <c r="AB82" s="17">
        <f t="shared" si="26"/>
        <v>2.2665186702364937E-6</v>
      </c>
      <c r="AD82" s="21"/>
      <c r="AE82" s="17" t="str">
        <f t="shared" si="27"/>
        <v/>
      </c>
      <c r="AF82" s="50">
        <f t="shared" si="28"/>
        <v>22.23</v>
      </c>
      <c r="AG82" s="21">
        <v>63.67</v>
      </c>
      <c r="AH82" s="17">
        <f t="shared" si="29"/>
        <v>5.6392430022614097E-6</v>
      </c>
      <c r="AI82" s="50">
        <f t="shared" si="30"/>
        <v>-41.44</v>
      </c>
      <c r="AJ82" s="350">
        <f t="shared" si="31"/>
        <v>5.5733841448127167E-4</v>
      </c>
      <c r="AK82" s="351">
        <f t="shared" si="32"/>
        <v>0</v>
      </c>
      <c r="AL82" s="140">
        <f t="shared" si="33"/>
        <v>5.5733841448127167E-4</v>
      </c>
      <c r="AM82" s="352">
        <f t="shared" si="34"/>
        <v>1.5411240741637219E-3</v>
      </c>
      <c r="AN82" s="140">
        <f t="shared" si="35"/>
        <v>-9.837856596824502E-4</v>
      </c>
    </row>
    <row r="83" spans="1:40" x14ac:dyDescent="0.25">
      <c r="A83" s="6" t="s">
        <v>7</v>
      </c>
      <c r="B83" s="7"/>
      <c r="H83" s="15" t="s">
        <v>859</v>
      </c>
      <c r="I83" s="161" t="s">
        <v>1009</v>
      </c>
      <c r="J83" s="161" t="s">
        <v>1009</v>
      </c>
      <c r="K83" s="68" t="str">
        <f t="shared" si="24"/>
        <v/>
      </c>
      <c r="L83" s="162">
        <v>703200</v>
      </c>
      <c r="M83" s="162">
        <v>590035</v>
      </c>
      <c r="N83" s="162" t="s">
        <v>1105</v>
      </c>
      <c r="O83" s="21">
        <v>421.15</v>
      </c>
      <c r="P83" s="21"/>
      <c r="Q83" s="21"/>
      <c r="R83" s="21"/>
      <c r="S83" s="21"/>
      <c r="T83" s="21">
        <v>19.03</v>
      </c>
      <c r="U83" s="21"/>
      <c r="V83" s="21"/>
      <c r="W83" s="21"/>
      <c r="X83" s="21"/>
      <c r="Y83" s="21"/>
      <c r="Z83" s="21"/>
      <c r="AA83" s="21">
        <f t="shared" si="25"/>
        <v>440.17999999999995</v>
      </c>
      <c r="AB83" s="17">
        <f t="shared" si="26"/>
        <v>4.4879720569712088E-5</v>
      </c>
      <c r="AD83" s="21">
        <v>2725</v>
      </c>
      <c r="AE83" s="17">
        <f t="shared" si="27"/>
        <v>2.341362112042388E-4</v>
      </c>
      <c r="AF83" s="50">
        <f t="shared" si="28"/>
        <v>-2284.8200000000002</v>
      </c>
      <c r="AG83" s="21">
        <v>2606.09</v>
      </c>
      <c r="AH83" s="17">
        <f t="shared" si="29"/>
        <v>2.3082102710481292E-4</v>
      </c>
      <c r="AI83" s="50">
        <f t="shared" si="30"/>
        <v>-2165.9100000000003</v>
      </c>
      <c r="AJ83" s="350">
        <f t="shared" si="31"/>
        <v>1.1035952464523891E-2</v>
      </c>
      <c r="AK83" s="351">
        <f t="shared" si="32"/>
        <v>6.6055802002278619E-2</v>
      </c>
      <c r="AL83" s="140">
        <f t="shared" si="33"/>
        <v>-5.5019849537754725E-2</v>
      </c>
      <c r="AM83" s="352">
        <f t="shared" si="34"/>
        <v>6.3080069710025666E-2</v>
      </c>
      <c r="AN83" s="140">
        <f t="shared" si="35"/>
        <v>-5.2044117245501773E-2</v>
      </c>
    </row>
    <row r="84" spans="1:40" x14ac:dyDescent="0.25">
      <c r="A84" s="6" t="s">
        <v>47</v>
      </c>
      <c r="B84" s="16" t="s">
        <v>1055</v>
      </c>
      <c r="H84" s="15" t="s">
        <v>876</v>
      </c>
      <c r="I84" s="161" t="s">
        <v>1009</v>
      </c>
      <c r="J84" s="161" t="s">
        <v>1009</v>
      </c>
      <c r="K84" s="68" t="str">
        <f t="shared" si="24"/>
        <v/>
      </c>
      <c r="L84" s="162">
        <v>703300</v>
      </c>
      <c r="M84" s="162">
        <v>590115</v>
      </c>
      <c r="N84" s="162" t="s">
        <v>1106</v>
      </c>
      <c r="O84" s="21">
        <v>546.85</v>
      </c>
      <c r="P84" s="21">
        <v>234.17</v>
      </c>
      <c r="Q84" s="21">
        <v>379.24</v>
      </c>
      <c r="R84" s="21">
        <v>272.52999999999997</v>
      </c>
      <c r="S84" s="21">
        <v>291.88</v>
      </c>
      <c r="T84" s="21">
        <v>309.16000000000003</v>
      </c>
      <c r="U84" s="21">
        <v>336.14</v>
      </c>
      <c r="V84" s="21">
        <v>293.17</v>
      </c>
      <c r="W84" s="21">
        <v>288.48</v>
      </c>
      <c r="X84" s="21">
        <v>328.75</v>
      </c>
      <c r="Y84" s="21">
        <v>249.32</v>
      </c>
      <c r="Z84" s="21">
        <v>339.93</v>
      </c>
      <c r="AA84" s="21">
        <f t="shared" si="25"/>
        <v>3869.6200000000003</v>
      </c>
      <c r="AB84" s="17">
        <f t="shared" si="26"/>
        <v>3.9453738086912019E-4</v>
      </c>
      <c r="AD84" s="21">
        <v>7013.01</v>
      </c>
      <c r="AE84" s="17">
        <f t="shared" si="27"/>
        <v>6.0256865707795915E-4</v>
      </c>
      <c r="AF84" s="50">
        <f t="shared" si="28"/>
        <v>-3143.39</v>
      </c>
      <c r="AG84" s="21">
        <v>6526.21</v>
      </c>
      <c r="AH84" s="17">
        <f t="shared" si="29"/>
        <v>5.7802550767690336E-4</v>
      </c>
      <c r="AI84" s="50">
        <f t="shared" si="30"/>
        <v>-2656.5899999999997</v>
      </c>
      <c r="AJ84" s="350">
        <f t="shared" si="31"/>
        <v>9.701699844556988E-2</v>
      </c>
      <c r="AK84" s="351">
        <f t="shared" si="32"/>
        <v>0.17</v>
      </c>
      <c r="AL84" s="140">
        <f t="shared" si="33"/>
        <v>-7.2983001554430132E-2</v>
      </c>
      <c r="AM84" s="352">
        <f t="shared" si="34"/>
        <v>0.15796606477223218</v>
      </c>
      <c r="AN84" s="140">
        <f t="shared" si="35"/>
        <v>-6.0949066326662305E-2</v>
      </c>
    </row>
    <row r="85" spans="1:40" x14ac:dyDescent="0.25">
      <c r="A85" s="6" t="s">
        <v>8</v>
      </c>
      <c r="B85" s="7"/>
      <c r="H85" s="15" t="s">
        <v>860</v>
      </c>
      <c r="I85" s="161" t="s">
        <v>1009</v>
      </c>
      <c r="J85" s="161" t="s">
        <v>1009</v>
      </c>
      <c r="K85" s="68" t="str">
        <f t="shared" si="24"/>
        <v/>
      </c>
      <c r="L85" s="162">
        <v>703400</v>
      </c>
      <c r="M85" s="162">
        <v>590010</v>
      </c>
      <c r="N85" s="162" t="s">
        <v>1107</v>
      </c>
      <c r="O85" s="21">
        <v>60.09</v>
      </c>
      <c r="P85" s="21">
        <v>194.66</v>
      </c>
      <c r="Q85" s="21">
        <v>-481.17</v>
      </c>
      <c r="R85" s="21">
        <v>17058.75</v>
      </c>
      <c r="S85" s="21">
        <v>9416.6200000000008</v>
      </c>
      <c r="T85" s="21">
        <v>5997.93</v>
      </c>
      <c r="U85" s="21">
        <v>5020.45</v>
      </c>
      <c r="V85" s="21">
        <v>4777.25</v>
      </c>
      <c r="W85" s="21">
        <v>4582.9799999999996</v>
      </c>
      <c r="X85" s="21">
        <v>11320.96</v>
      </c>
      <c r="Y85" s="21">
        <v>8061.32</v>
      </c>
      <c r="Z85" s="21">
        <v>9301.59</v>
      </c>
      <c r="AA85" s="21">
        <f t="shared" si="25"/>
        <v>75311.429999999993</v>
      </c>
      <c r="AB85" s="17">
        <f t="shared" si="26"/>
        <v>7.6785767960957608E-3</v>
      </c>
      <c r="AD85" s="21">
        <v>84335</v>
      </c>
      <c r="AE85" s="17">
        <f t="shared" si="27"/>
        <v>7.2461935309759556E-3</v>
      </c>
      <c r="AF85" s="50">
        <f t="shared" si="28"/>
        <v>-9023.570000000007</v>
      </c>
      <c r="AG85" s="21">
        <v>75749.34</v>
      </c>
      <c r="AH85" s="17">
        <f t="shared" si="29"/>
        <v>6.7091084580009471E-3</v>
      </c>
      <c r="AI85" s="50">
        <f t="shared" si="30"/>
        <v>-437.91000000000349</v>
      </c>
      <c r="AJ85" s="350">
        <f t="shared" si="31"/>
        <v>1.8881670260241687</v>
      </c>
      <c r="AK85" s="351">
        <f t="shared" si="32"/>
        <v>2.0443361694907036</v>
      </c>
      <c r="AL85" s="140">
        <f t="shared" si="33"/>
        <v>-0.15616914346653488</v>
      </c>
      <c r="AM85" s="352">
        <f t="shared" si="34"/>
        <v>1.8335029287892723</v>
      </c>
      <c r="AN85" s="140">
        <f t="shared" si="35"/>
        <v>5.4664097234896403E-2</v>
      </c>
    </row>
    <row r="86" spans="1:40" x14ac:dyDescent="0.25">
      <c r="H86" s="15" t="s">
        <v>933</v>
      </c>
      <c r="I86" s="161" t="s">
        <v>1009</v>
      </c>
      <c r="J86" s="161" t="s">
        <v>1009</v>
      </c>
      <c r="K86" s="68" t="str">
        <f t="shared" si="24"/>
        <v/>
      </c>
      <c r="L86" s="162">
        <v>704000</v>
      </c>
      <c r="M86" s="162">
        <v>590141</v>
      </c>
      <c r="N86" s="162" t="s">
        <v>1108</v>
      </c>
      <c r="O86" s="21">
        <v>2258.69</v>
      </c>
      <c r="P86" s="21">
        <v>2258.69</v>
      </c>
      <c r="Q86" s="21">
        <v>2257.9699999999998</v>
      </c>
      <c r="R86" s="21">
        <v>2353.86</v>
      </c>
      <c r="S86" s="21">
        <v>2373.86</v>
      </c>
      <c r="T86" s="21">
        <v>2363.86</v>
      </c>
      <c r="U86" s="21">
        <v>2363.86</v>
      </c>
      <c r="V86" s="21">
        <v>2430.5500000000002</v>
      </c>
      <c r="W86" s="21">
        <v>2639.18</v>
      </c>
      <c r="X86" s="21">
        <v>2430.5500000000002</v>
      </c>
      <c r="Y86" s="21">
        <v>2419.73</v>
      </c>
      <c r="Z86" s="21">
        <v>2423.69</v>
      </c>
      <c r="AA86" s="21">
        <f t="shared" si="25"/>
        <v>28574.49</v>
      </c>
      <c r="AB86" s="17">
        <f t="shared" si="26"/>
        <v>2.9133879926894284E-3</v>
      </c>
      <c r="AD86" s="21">
        <v>30104.16</v>
      </c>
      <c r="AE86" s="17">
        <f t="shared" si="27"/>
        <v>2.5865959500499807E-3</v>
      </c>
      <c r="AF86" s="50">
        <f t="shared" si="28"/>
        <v>-1529.6699999999983</v>
      </c>
      <c r="AG86" s="21">
        <v>26438.84</v>
      </c>
      <c r="AH86" s="17">
        <f t="shared" si="29"/>
        <v>2.3416843640318681E-3</v>
      </c>
      <c r="AI86" s="50">
        <f t="shared" si="30"/>
        <v>2135.6500000000015</v>
      </c>
      <c r="AJ86" s="350">
        <f t="shared" si="31"/>
        <v>0.7164040014040014</v>
      </c>
      <c r="AK86" s="351">
        <f t="shared" si="32"/>
        <v>0.72974474583666638</v>
      </c>
      <c r="AL86" s="140">
        <f t="shared" si="33"/>
        <v>-1.3340744432664975E-2</v>
      </c>
      <c r="AM86" s="352">
        <f t="shared" si="34"/>
        <v>0.63994868567555796</v>
      </c>
      <c r="AN86" s="140">
        <f t="shared" si="35"/>
        <v>7.645531572844344E-2</v>
      </c>
    </row>
    <row r="87" spans="1:40" x14ac:dyDescent="0.25">
      <c r="H87" s="15" t="s">
        <v>934</v>
      </c>
      <c r="I87" s="161" t="s">
        <v>1064</v>
      </c>
      <c r="J87" s="161" t="s">
        <v>78</v>
      </c>
      <c r="K87" s="68" t="str">
        <f t="shared" si="24"/>
        <v>&gt;</v>
      </c>
      <c r="L87" s="162">
        <v>704200</v>
      </c>
      <c r="M87" s="162"/>
      <c r="N87" s="162" t="s">
        <v>1109</v>
      </c>
      <c r="O87" s="21">
        <v>54883.12</v>
      </c>
      <c r="P87" s="21">
        <v>54235.35</v>
      </c>
      <c r="Q87" s="21">
        <v>51186.879999999997</v>
      </c>
      <c r="R87" s="21">
        <v>41857.42</v>
      </c>
      <c r="S87" s="21">
        <v>32748.09</v>
      </c>
      <c r="T87" s="21">
        <v>23788.41</v>
      </c>
      <c r="U87" s="21">
        <v>29651.97</v>
      </c>
      <c r="V87" s="21">
        <v>27547.66</v>
      </c>
      <c r="W87" s="21">
        <v>23713.77</v>
      </c>
      <c r="X87" s="21">
        <v>23412.95</v>
      </c>
      <c r="Y87" s="21">
        <v>28682.92</v>
      </c>
      <c r="Z87" s="21">
        <v>32869.32</v>
      </c>
      <c r="AA87" s="21">
        <f t="shared" si="25"/>
        <v>424577.86</v>
      </c>
      <c r="AB87" s="17">
        <f t="shared" si="26"/>
        <v>4.3288962962620608E-2</v>
      </c>
      <c r="AD87" s="21">
        <v>490157.959763697</v>
      </c>
      <c r="AE87" s="17">
        <f t="shared" si="27"/>
        <v>4.2115129391072197E-2</v>
      </c>
      <c r="AF87" s="50">
        <f t="shared" si="28"/>
        <v>-65580.099763697013</v>
      </c>
      <c r="AG87" s="21">
        <v>523004.23</v>
      </c>
      <c r="AH87" s="17">
        <f t="shared" si="29"/>
        <v>4.6322411562440977E-2</v>
      </c>
      <c r="AI87" s="50">
        <f t="shared" si="30"/>
        <v>-98426.37</v>
      </c>
      <c r="AJ87" s="350">
        <f t="shared" si="31"/>
        <v>10.644784134784134</v>
      </c>
      <c r="AK87" s="351">
        <f t="shared" si="32"/>
        <v>11.881753078896008</v>
      </c>
      <c r="AL87" s="140">
        <f t="shared" si="33"/>
        <v>-1.2369689441118741</v>
      </c>
      <c r="AM87" s="352">
        <f t="shared" si="34"/>
        <v>12.659249406980685</v>
      </c>
      <c r="AN87" s="140">
        <f t="shared" si="35"/>
        <v>-2.014465272196551</v>
      </c>
    </row>
    <row r="88" spans="1:40" x14ac:dyDescent="0.25">
      <c r="A88" s="3" t="s">
        <v>23</v>
      </c>
      <c r="B88" s="5" t="s">
        <v>24</v>
      </c>
      <c r="H88" s="15" t="s">
        <v>935</v>
      </c>
      <c r="I88" s="161" t="s">
        <v>1009</v>
      </c>
      <c r="J88" s="161" t="s">
        <v>1009</v>
      </c>
      <c r="K88" s="68" t="str">
        <f t="shared" si="24"/>
        <v/>
      </c>
      <c r="L88" s="162">
        <v>704300</v>
      </c>
      <c r="M88" s="162">
        <v>590190</v>
      </c>
      <c r="N88" s="162" t="s">
        <v>1110</v>
      </c>
      <c r="O88" s="21">
        <v>1183.33</v>
      </c>
      <c r="P88" s="21">
        <v>5213.74</v>
      </c>
      <c r="Q88" s="21">
        <v>4954.33</v>
      </c>
      <c r="R88" s="21">
        <v>3171</v>
      </c>
      <c r="S88" s="21">
        <v>557.03</v>
      </c>
      <c r="T88" s="21">
        <v>319.41000000000003</v>
      </c>
      <c r="U88" s="21">
        <v>2696</v>
      </c>
      <c r="V88" s="21"/>
      <c r="W88" s="21"/>
      <c r="X88" s="21">
        <v>2500.86</v>
      </c>
      <c r="Y88" s="21">
        <v>7514.4</v>
      </c>
      <c r="Z88" s="21">
        <v>7799.1</v>
      </c>
      <c r="AA88" s="21">
        <f t="shared" si="25"/>
        <v>35909.199999999997</v>
      </c>
      <c r="AB88" s="17">
        <f t="shared" si="26"/>
        <v>3.6612178242580429E-3</v>
      </c>
      <c r="AD88" s="21">
        <v>30069.7708457437</v>
      </c>
      <c r="AE88" s="17">
        <f t="shared" si="27"/>
        <v>2.5836411807714163E-3</v>
      </c>
      <c r="AF88" s="50">
        <f t="shared" si="28"/>
        <v>5839.4291542562969</v>
      </c>
      <c r="AG88" s="21">
        <v>34248.03</v>
      </c>
      <c r="AH88" s="17">
        <f t="shared" si="29"/>
        <v>3.0333432310152165E-3</v>
      </c>
      <c r="AI88" s="50">
        <f t="shared" si="30"/>
        <v>1661.1699999999983</v>
      </c>
      <c r="AJ88" s="350">
        <f t="shared" si="31"/>
        <v>0.90029584315298594</v>
      </c>
      <c r="AK88" s="351">
        <f t="shared" si="32"/>
        <v>0.72891112999645358</v>
      </c>
      <c r="AL88" s="140">
        <f t="shared" si="33"/>
        <v>0.17138471315653236</v>
      </c>
      <c r="AM88" s="352">
        <f t="shared" si="34"/>
        <v>0.82896911458585465</v>
      </c>
      <c r="AN88" s="140">
        <f t="shared" si="35"/>
        <v>7.1326728567131292E-2</v>
      </c>
    </row>
    <row r="89" spans="1:40" x14ac:dyDescent="0.25">
      <c r="A89" s="6" t="s">
        <v>25</v>
      </c>
      <c r="B89" s="7"/>
      <c r="H89" s="15" t="s">
        <v>936</v>
      </c>
      <c r="I89" s="161" t="s">
        <v>1009</v>
      </c>
      <c r="J89" s="161" t="s">
        <v>1009</v>
      </c>
      <c r="K89" s="68" t="str">
        <f t="shared" si="24"/>
        <v/>
      </c>
      <c r="L89" s="162">
        <v>704400</v>
      </c>
      <c r="M89" s="162">
        <v>590175</v>
      </c>
      <c r="N89" s="162" t="s">
        <v>1111</v>
      </c>
      <c r="O89" s="21">
        <v>1194.8699999999999</v>
      </c>
      <c r="P89" s="21"/>
      <c r="Q89" s="21">
        <v>633.47</v>
      </c>
      <c r="R89" s="21">
        <v>250.8</v>
      </c>
      <c r="S89" s="21"/>
      <c r="T89" s="21"/>
      <c r="U89" s="21"/>
      <c r="V89" s="21"/>
      <c r="W89" s="21"/>
      <c r="X89" s="21"/>
      <c r="Y89" s="21"/>
      <c r="Z89" s="21"/>
      <c r="AA89" s="21">
        <f t="shared" si="25"/>
        <v>2079.14</v>
      </c>
      <c r="AB89" s="17">
        <f t="shared" si="26"/>
        <v>2.1198423877802534E-4</v>
      </c>
      <c r="AD89" s="21">
        <v>1568.0203998042</v>
      </c>
      <c r="AE89" s="17">
        <f t="shared" si="27"/>
        <v>1.3472673596371049E-4</v>
      </c>
      <c r="AF89" s="50">
        <f t="shared" si="28"/>
        <v>511.11960019579988</v>
      </c>
      <c r="AG89" s="21">
        <v>1098.22</v>
      </c>
      <c r="AH89" s="17">
        <f t="shared" si="29"/>
        <v>9.7269191926237252E-5</v>
      </c>
      <c r="AI89" s="50">
        <f t="shared" si="30"/>
        <v>980.91999999999985</v>
      </c>
      <c r="AJ89" s="350">
        <f t="shared" si="31"/>
        <v>5.2127062127062126E-2</v>
      </c>
      <c r="AK89" s="351">
        <f t="shared" si="32"/>
        <v>3.8009851400000003E-2</v>
      </c>
      <c r="AL89" s="140">
        <f t="shared" si="33"/>
        <v>1.4117210727062124E-2</v>
      </c>
      <c r="AM89" s="352">
        <f t="shared" si="34"/>
        <v>2.6582272353197465E-2</v>
      </c>
      <c r="AN89" s="140">
        <f t="shared" si="35"/>
        <v>2.5544789773864662E-2</v>
      </c>
    </row>
    <row r="90" spans="1:40" x14ac:dyDescent="0.25">
      <c r="A90" s="6" t="s">
        <v>26</v>
      </c>
      <c r="B90" s="7"/>
      <c r="H90" s="15" t="s">
        <v>937</v>
      </c>
      <c r="I90" s="161" t="s">
        <v>1009</v>
      </c>
      <c r="J90" s="161" t="s">
        <v>1009</v>
      </c>
      <c r="K90" s="68" t="str">
        <f t="shared" si="24"/>
        <v/>
      </c>
      <c r="L90" s="162">
        <v>704500</v>
      </c>
      <c r="M90" s="162">
        <v>590215</v>
      </c>
      <c r="N90" s="162" t="s">
        <v>1112</v>
      </c>
      <c r="O90" s="21"/>
      <c r="P90" s="21"/>
      <c r="Q90" s="21"/>
      <c r="R90" s="21"/>
      <c r="S90" s="21"/>
      <c r="T90" s="21"/>
      <c r="U90" s="21"/>
      <c r="V90" s="21"/>
      <c r="W90" s="21"/>
      <c r="X90" s="21"/>
      <c r="Y90" s="21"/>
      <c r="Z90" s="21"/>
      <c r="AA90" s="21">
        <f t="shared" si="25"/>
        <v>0</v>
      </c>
      <c r="AB90" s="17" t="str">
        <f t="shared" si="26"/>
        <v/>
      </c>
      <c r="AD90" s="21"/>
      <c r="AE90" s="17" t="str">
        <f t="shared" si="27"/>
        <v/>
      </c>
      <c r="AF90" s="50">
        <f t="shared" si="28"/>
        <v>0</v>
      </c>
      <c r="AG90" s="21">
        <v>64.739999999999995</v>
      </c>
      <c r="AH90" s="17">
        <f t="shared" si="29"/>
        <v>5.7340127527313276E-6</v>
      </c>
      <c r="AI90" s="50">
        <f t="shared" si="30"/>
        <v>-64.739999999999995</v>
      </c>
      <c r="AJ90" s="350">
        <f t="shared" si="31"/>
        <v>0</v>
      </c>
      <c r="AK90" s="351">
        <f t="shared" si="32"/>
        <v>0</v>
      </c>
      <c r="AL90" s="140">
        <f t="shared" si="33"/>
        <v>0</v>
      </c>
      <c r="AM90" s="352">
        <f t="shared" si="34"/>
        <v>1.567023285084959E-3</v>
      </c>
      <c r="AN90" s="140">
        <f t="shared" si="35"/>
        <v>-1.567023285084959E-3</v>
      </c>
    </row>
    <row r="91" spans="1:40" x14ac:dyDescent="0.25">
      <c r="A91" s="6" t="s">
        <v>27</v>
      </c>
      <c r="B91" s="7"/>
      <c r="H91" s="15" t="s">
        <v>841</v>
      </c>
      <c r="I91" s="161" t="s">
        <v>1009</v>
      </c>
      <c r="J91" s="161" t="s">
        <v>1009</v>
      </c>
      <c r="K91" s="68" t="str">
        <f t="shared" si="24"/>
        <v/>
      </c>
      <c r="L91" s="162">
        <v>705500</v>
      </c>
      <c r="M91" s="162">
        <v>690105</v>
      </c>
      <c r="N91" s="162" t="s">
        <v>1113</v>
      </c>
      <c r="O91" s="21"/>
      <c r="P91" s="21"/>
      <c r="Q91" s="21"/>
      <c r="R91" s="21"/>
      <c r="S91" s="21"/>
      <c r="T91" s="21"/>
      <c r="U91" s="21"/>
      <c r="V91" s="21"/>
      <c r="W91" s="21"/>
      <c r="X91" s="21"/>
      <c r="Y91" s="21"/>
      <c r="Z91" s="21"/>
      <c r="AA91" s="21">
        <f t="shared" si="25"/>
        <v>0</v>
      </c>
      <c r="AB91" s="17" t="str">
        <f t="shared" si="26"/>
        <v/>
      </c>
      <c r="AD91" s="21"/>
      <c r="AE91" s="17" t="str">
        <f t="shared" si="27"/>
        <v/>
      </c>
      <c r="AF91" s="50">
        <f t="shared" si="28"/>
        <v>0</v>
      </c>
      <c r="AG91" s="21">
        <v>875.39</v>
      </c>
      <c r="AH91" s="17">
        <f t="shared" si="29"/>
        <v>7.7533169966226102E-5</v>
      </c>
      <c r="AI91" s="50">
        <f t="shared" si="30"/>
        <v>-875.39</v>
      </c>
      <c r="AJ91" s="350">
        <f t="shared" si="31"/>
        <v>0</v>
      </c>
      <c r="AK91" s="351">
        <f t="shared" si="32"/>
        <v>0</v>
      </c>
      <c r="AL91" s="140">
        <f t="shared" si="33"/>
        <v>0</v>
      </c>
      <c r="AM91" s="352">
        <f t="shared" si="34"/>
        <v>2.1188701166674734E-2</v>
      </c>
      <c r="AN91" s="140">
        <f t="shared" si="35"/>
        <v>-2.1188701166674734E-2</v>
      </c>
    </row>
    <row r="92" spans="1:40" x14ac:dyDescent="0.25">
      <c r="A92" s="6" t="s">
        <v>28</v>
      </c>
      <c r="B92" s="7"/>
      <c r="H92" s="15" t="s">
        <v>845</v>
      </c>
      <c r="I92" s="161" t="s">
        <v>1064</v>
      </c>
      <c r="J92" s="161" t="s">
        <v>78</v>
      </c>
      <c r="K92" s="68" t="str">
        <f t="shared" si="24"/>
        <v>&gt;</v>
      </c>
      <c r="L92" s="162">
        <v>706500</v>
      </c>
      <c r="M92" s="162"/>
      <c r="N92" s="162" t="s">
        <v>1114</v>
      </c>
      <c r="O92" s="21">
        <v>12950.23</v>
      </c>
      <c r="P92" s="21">
        <v>12039.61</v>
      </c>
      <c r="Q92" s="21">
        <v>11808.62</v>
      </c>
      <c r="R92" s="21">
        <v>9024.27</v>
      </c>
      <c r="S92" s="21">
        <v>8292.56</v>
      </c>
      <c r="T92" s="21">
        <v>6343.79</v>
      </c>
      <c r="U92" s="21">
        <v>6254.14</v>
      </c>
      <c r="V92" s="21">
        <v>5043.0600000000004</v>
      </c>
      <c r="W92" s="21">
        <v>4340.29</v>
      </c>
      <c r="X92" s="21">
        <v>5897.55</v>
      </c>
      <c r="Y92" s="21">
        <v>6730.55</v>
      </c>
      <c r="Z92" s="21">
        <v>11441.75</v>
      </c>
      <c r="AA92" s="21">
        <f t="shared" si="25"/>
        <v>100166.42</v>
      </c>
      <c r="AB92" s="17">
        <f t="shared" si="26"/>
        <v>1.0212733291081877E-2</v>
      </c>
      <c r="AD92" s="21">
        <v>116385.24370000001</v>
      </c>
      <c r="AE92" s="17">
        <f t="shared" si="27"/>
        <v>1.0000000000000002E-2</v>
      </c>
      <c r="AF92" s="50">
        <f t="shared" si="28"/>
        <v>-16218.823700000008</v>
      </c>
      <c r="AG92" s="21">
        <v>113101.74</v>
      </c>
      <c r="AH92" s="17">
        <f t="shared" si="29"/>
        <v>1.0017405306087473E-2</v>
      </c>
      <c r="AI92" s="50">
        <f t="shared" si="30"/>
        <v>-12935.320000000007</v>
      </c>
      <c r="AJ92" s="350">
        <f t="shared" si="31"/>
        <v>2.51131775560347</v>
      </c>
      <c r="AK92" s="351">
        <f t="shared" si="32"/>
        <v>2.8212552711317964</v>
      </c>
      <c r="AL92" s="140">
        <f t="shared" si="33"/>
        <v>-0.30993751552832638</v>
      </c>
      <c r="AM92" s="352">
        <f t="shared" si="34"/>
        <v>2.7376129157186426</v>
      </c>
      <c r="AN92" s="140">
        <f t="shared" si="35"/>
        <v>-0.22629516011517259</v>
      </c>
    </row>
    <row r="93" spans="1:40" x14ac:dyDescent="0.25">
      <c r="A93" s="6" t="s">
        <v>29</v>
      </c>
      <c r="B93" s="7"/>
      <c r="H93" s="15" t="s">
        <v>77</v>
      </c>
      <c r="I93" s="161" t="s">
        <v>1064</v>
      </c>
      <c r="J93" s="161" t="s">
        <v>78</v>
      </c>
      <c r="K93" s="68" t="str">
        <f t="shared" si="24"/>
        <v>&gt;</v>
      </c>
      <c r="L93" s="162">
        <v>710000</v>
      </c>
      <c r="M93" s="162"/>
      <c r="N93" s="162" t="s">
        <v>1115</v>
      </c>
      <c r="O93" s="21">
        <v>684.8</v>
      </c>
      <c r="P93" s="21">
        <v>-64</v>
      </c>
      <c r="Q93" s="21">
        <v>377.6</v>
      </c>
      <c r="R93" s="21">
        <v>311.60000000000002</v>
      </c>
      <c r="S93" s="21">
        <v>324.2</v>
      </c>
      <c r="T93" s="21">
        <v>211.2</v>
      </c>
      <c r="U93" s="21">
        <v>96.8</v>
      </c>
      <c r="V93" s="21">
        <v>204</v>
      </c>
      <c r="W93" s="21">
        <v>89.6</v>
      </c>
      <c r="X93" s="21">
        <v>140.80000000000001</v>
      </c>
      <c r="Y93" s="21">
        <v>140.80000000000001</v>
      </c>
      <c r="Z93" s="21">
        <v>262.39999999999998</v>
      </c>
      <c r="AA93" s="21">
        <f t="shared" si="25"/>
        <v>2779.8</v>
      </c>
      <c r="AB93" s="17">
        <f t="shared" si="26"/>
        <v>2.8342188931729218E-4</v>
      </c>
      <c r="AD93" s="21">
        <v>3068.32</v>
      </c>
      <c r="AE93" s="17">
        <f t="shared" si="27"/>
        <v>2.6363479616961098E-4</v>
      </c>
      <c r="AF93" s="50">
        <f t="shared" si="28"/>
        <v>-288.52</v>
      </c>
      <c r="AG93" s="21">
        <v>2549.4</v>
      </c>
      <c r="AH93" s="17">
        <f t="shared" si="29"/>
        <v>2.2580000172711228E-4</v>
      </c>
      <c r="AI93" s="50">
        <f t="shared" si="30"/>
        <v>230.40000000000009</v>
      </c>
      <c r="AJ93" s="350">
        <f t="shared" si="31"/>
        <v>6.9693626836483988E-2</v>
      </c>
      <c r="AK93" s="351">
        <f t="shared" si="32"/>
        <v>7.4378105834727176E-2</v>
      </c>
      <c r="AL93" s="140">
        <f t="shared" si="33"/>
        <v>-4.6844789982431884E-3</v>
      </c>
      <c r="AM93" s="352">
        <f t="shared" si="34"/>
        <v>6.1707895628600476E-2</v>
      </c>
      <c r="AN93" s="140">
        <f t="shared" si="35"/>
        <v>7.9857312078835119E-3</v>
      </c>
    </row>
    <row r="94" spans="1:40" x14ac:dyDescent="0.25">
      <c r="A94" s="6" t="s">
        <v>30</v>
      </c>
      <c r="B94" s="7" t="s">
        <v>78</v>
      </c>
      <c r="H94" s="15" t="s">
        <v>79</v>
      </c>
      <c r="I94" s="27" t="s">
        <v>1012</v>
      </c>
      <c r="J94" s="27" t="s">
        <v>78</v>
      </c>
      <c r="K94" s="26"/>
      <c r="N94" s="25" t="s">
        <v>1116</v>
      </c>
      <c r="O94" s="33">
        <v>113963.45</v>
      </c>
      <c r="P94" s="33">
        <v>110364.34</v>
      </c>
      <c r="Q94" s="33">
        <v>112104.81</v>
      </c>
      <c r="R94" s="33">
        <v>122504.77</v>
      </c>
      <c r="S94" s="33">
        <v>92055.74</v>
      </c>
      <c r="T94" s="33">
        <v>82898.16</v>
      </c>
      <c r="U94" s="33">
        <v>90781.07</v>
      </c>
      <c r="V94" s="33">
        <v>86000.37</v>
      </c>
      <c r="W94" s="33">
        <v>73313.509999999995</v>
      </c>
      <c r="X94" s="33">
        <v>88266.11</v>
      </c>
      <c r="Y94" s="33">
        <v>92662.91</v>
      </c>
      <c r="Z94" s="33">
        <v>115151.05</v>
      </c>
      <c r="AA94" s="33">
        <f t="shared" si="25"/>
        <v>1180066.29</v>
      </c>
      <c r="AB94" s="34">
        <f t="shared" si="26"/>
        <v>0.12031679165099922</v>
      </c>
      <c r="AD94" s="33">
        <v>1292343.5558702601</v>
      </c>
      <c r="AE94" s="34">
        <f t="shared" si="27"/>
        <v>0.11104015550300043</v>
      </c>
      <c r="AF94" s="52">
        <f t="shared" si="28"/>
        <v>-112277.26587026007</v>
      </c>
      <c r="AG94" s="33">
        <v>1306353.8</v>
      </c>
      <c r="AH94" s="34">
        <f t="shared" si="29"/>
        <v>0.11570357350600914</v>
      </c>
      <c r="AI94" s="52">
        <f t="shared" si="30"/>
        <v>-126287.51000000001</v>
      </c>
      <c r="AJ94" s="364">
        <f t="shared" si="31"/>
        <v>29.585977285262999</v>
      </c>
      <c r="AK94" s="365">
        <f t="shared" si="32"/>
        <v>31.327262402013432</v>
      </c>
      <c r="AL94" s="366">
        <f t="shared" si="33"/>
        <v>-1.7412851167504328</v>
      </c>
      <c r="AM94" s="367">
        <f t="shared" si="34"/>
        <v>31.620123928934504</v>
      </c>
      <c r="AN94" s="366">
        <f t="shared" si="35"/>
        <v>-2.0341466436715052</v>
      </c>
    </row>
    <row r="95" spans="1:40" x14ac:dyDescent="0.25">
      <c r="A95" s="6" t="s">
        <v>31</v>
      </c>
      <c r="B95" s="7" t="s">
        <v>78</v>
      </c>
    </row>
    <row r="96" spans="1:40" x14ac:dyDescent="0.25">
      <c r="A96" s="6" t="s">
        <v>32</v>
      </c>
      <c r="B96" s="7"/>
      <c r="H96" s="15" t="s">
        <v>80</v>
      </c>
      <c r="I96" s="27" t="s">
        <v>1012</v>
      </c>
      <c r="J96" s="27" t="s">
        <v>78</v>
      </c>
      <c r="K96" s="25"/>
      <c r="M96" s="162"/>
      <c r="N96" s="25" t="s">
        <v>1117</v>
      </c>
      <c r="O96" s="36">
        <v>237562.78</v>
      </c>
      <c r="P96" s="36">
        <v>222323.8</v>
      </c>
      <c r="Q96" s="36">
        <v>240431.83</v>
      </c>
      <c r="R96" s="36">
        <v>244110.22</v>
      </c>
      <c r="S96" s="36">
        <v>208185.68</v>
      </c>
      <c r="T96" s="36">
        <v>199280.41</v>
      </c>
      <c r="U96" s="36">
        <v>214887.5</v>
      </c>
      <c r="V96" s="36">
        <v>200317.04</v>
      </c>
      <c r="W96" s="36">
        <v>181970.93</v>
      </c>
      <c r="X96" s="36">
        <v>204640.28</v>
      </c>
      <c r="Y96" s="36">
        <v>204793.19</v>
      </c>
      <c r="Z96" s="36">
        <v>234336.46</v>
      </c>
      <c r="AA96" s="36">
        <f>IF($I96="B1","",SUM(O96:Z96))</f>
        <v>2592840.1199999996</v>
      </c>
      <c r="AB96" s="37">
        <f>IF(AA96=0,"",IFERROR(AA96/AA$19,""))</f>
        <v>0.26435989837688845</v>
      </c>
      <c r="AD96" s="36">
        <v>2816918.9013481801</v>
      </c>
      <c r="AE96" s="37">
        <f>IF(AD96=0,"",IFERROR(AD96/AD$19,""))</f>
        <v>0.24203402525918158</v>
      </c>
      <c r="AF96" s="59">
        <f>IF(AND($AA96="",AD96=""),"",$AA96-AD96)</f>
        <v>-224078.78134818049</v>
      </c>
      <c r="AG96" s="60">
        <v>2825148</v>
      </c>
      <c r="AH96" s="61">
        <f>IF(AG96=0,"",IFERROR(AG96/AG$19,""))</f>
        <v>0.25022296355195256</v>
      </c>
      <c r="AI96" s="59">
        <f>IF(AND($AA96="",AG96=""),"",$AA96-AG96)</f>
        <v>-232307.88000000035</v>
      </c>
      <c r="AJ96" s="360">
        <f>IFERROR(AA96/AA$20,0)</f>
        <v>65.006270871985151</v>
      </c>
      <c r="AK96" s="361">
        <f>IFERROR(AD96/AD$20,0)</f>
        <v>68.283976955571234</v>
      </c>
      <c r="AL96" s="362">
        <f>AJ96-AK96</f>
        <v>-3.2777060835860823</v>
      </c>
      <c r="AM96" s="363">
        <f>IFERROR(AG96/AG$20,0)</f>
        <v>68.382340126833512</v>
      </c>
      <c r="AN96" s="362">
        <f>AJ96-AM96</f>
        <v>-3.3760692548483604</v>
      </c>
    </row>
    <row r="97" spans="1:40" ht="15.75" thickBot="1" x14ac:dyDescent="0.3">
      <c r="A97" s="6" t="s">
        <v>33</v>
      </c>
      <c r="B97" s="7"/>
      <c r="H97" s="15" t="s">
        <v>81</v>
      </c>
      <c r="I97" s="27" t="s">
        <v>1012</v>
      </c>
      <c r="J97" s="27" t="s">
        <v>78</v>
      </c>
      <c r="K97" s="25"/>
      <c r="M97" s="162"/>
      <c r="N97" s="25" t="s">
        <v>1118</v>
      </c>
      <c r="O97" s="62">
        <v>848811.39000000095</v>
      </c>
      <c r="P97" s="62">
        <v>981637.11000000103</v>
      </c>
      <c r="Q97" s="62">
        <v>939209.46</v>
      </c>
      <c r="R97" s="62">
        <v>665418.29</v>
      </c>
      <c r="S97" s="62">
        <v>621069.86</v>
      </c>
      <c r="T97" s="62">
        <v>431799.3</v>
      </c>
      <c r="U97" s="62">
        <v>410526.12</v>
      </c>
      <c r="V97" s="62">
        <v>303988.47999999998</v>
      </c>
      <c r="W97" s="62">
        <v>252058.06</v>
      </c>
      <c r="X97" s="62">
        <v>383997.8</v>
      </c>
      <c r="Y97" s="62">
        <v>468262.24</v>
      </c>
      <c r="Z97" s="62">
        <v>908375.1</v>
      </c>
      <c r="AA97" s="62">
        <f>IF($I97="B1","",SUM(O97:Z97))</f>
        <v>7215153.2100000009</v>
      </c>
      <c r="AB97" s="63">
        <f>IF(AA97=0,"",IFERROR(AA97/AA$19,""))</f>
        <v>0.73564010162311166</v>
      </c>
      <c r="AD97" s="62">
        <v>8821605.4686518293</v>
      </c>
      <c r="AE97" s="63">
        <f>IF(AD97=0,"",IFERROR(AD97/AD$19,""))</f>
        <v>0.75796597474081928</v>
      </c>
      <c r="AF97" s="64">
        <f>IF(AND($AA97="",AD97=""),"",$AA97-AD97)</f>
        <v>-1606452.2586518284</v>
      </c>
      <c r="AG97" s="62">
        <v>8465374.5</v>
      </c>
      <c r="AH97" s="63">
        <f>IF(AG97=0,"",IFERROR(AG97/AG$19,""))</f>
        <v>0.7497770364480475</v>
      </c>
      <c r="AI97" s="64">
        <f>IF(AND($AA97="",AG97=""),"",$AA97-AG97)</f>
        <v>-1250221.2899999991</v>
      </c>
      <c r="AJ97" s="368">
        <f>IFERROR(AA97/AA$20,0)</f>
        <v>180.89437923080783</v>
      </c>
      <c r="AK97" s="369">
        <f>IFERROR(AD97/AD$20,0)</f>
        <v>213.84155015760865</v>
      </c>
      <c r="AL97" s="370">
        <f>AJ97-AK97</f>
        <v>-32.947170926800823</v>
      </c>
      <c r="AM97" s="371">
        <f>IFERROR(AG97/AG$20,0)</f>
        <v>204.90328944183571</v>
      </c>
      <c r="AN97" s="370">
        <f>AJ97-AM97</f>
        <v>-24.008910211027882</v>
      </c>
    </row>
    <row r="98" spans="1:40" ht="15.75" thickTop="1" x14ac:dyDescent="0.25">
      <c r="A98" s="6" t="s">
        <v>34</v>
      </c>
      <c r="B98" s="7"/>
    </row>
    <row r="99" spans="1:40" x14ac:dyDescent="0.25">
      <c r="A99" s="6" t="s">
        <v>35</v>
      </c>
      <c r="B99" s="7"/>
      <c r="N99" s="26" t="str">
        <f>N96&amp;" - Check"</f>
        <v>Total Expenses - Check</v>
      </c>
      <c r="O99" s="139">
        <f t="shared" ref="O99:AA99" si="36">SUMIF($H$35:$H$97,"600000",O$35:O$97)+SUMIF($H$35:$H$97,"700000",O$35:O$97)-SUMIF($H$35:$H$97,"TOTDEPTEXP",O$35:O$97)</f>
        <v>0</v>
      </c>
      <c r="P99" s="139">
        <f t="shared" si="36"/>
        <v>0</v>
      </c>
      <c r="Q99" s="139">
        <f t="shared" si="36"/>
        <v>0</v>
      </c>
      <c r="R99" s="139">
        <f t="shared" si="36"/>
        <v>0</v>
      </c>
      <c r="S99" s="139">
        <f t="shared" si="36"/>
        <v>0</v>
      </c>
      <c r="T99" s="139">
        <f t="shared" si="36"/>
        <v>0</v>
      </c>
      <c r="U99" s="139">
        <f t="shared" si="36"/>
        <v>0</v>
      </c>
      <c r="V99" s="139">
        <f t="shared" si="36"/>
        <v>0</v>
      </c>
      <c r="W99" s="139">
        <f t="shared" si="36"/>
        <v>0</v>
      </c>
      <c r="X99" s="139">
        <f t="shared" si="36"/>
        <v>0</v>
      </c>
      <c r="Y99" s="139">
        <f t="shared" si="36"/>
        <v>0</v>
      </c>
      <c r="Z99" s="139">
        <f t="shared" si="36"/>
        <v>0</v>
      </c>
      <c r="AA99" s="139">
        <f t="shared" si="36"/>
        <v>0</v>
      </c>
      <c r="AB99" s="17"/>
      <c r="AD99" s="139">
        <f>SUMIF($H$35:$H$97,"600000",AD$35:AD$97)+SUMIF($H$35:$H$97,"700000",AD$35:AD$97)-SUMIF($H$35:$H$97,"TOTDEPTEXP",AD$35:AD$97)</f>
        <v>0</v>
      </c>
      <c r="AE99" s="17"/>
      <c r="AF99" s="21"/>
      <c r="AG99" s="139">
        <f>SUMIF($H$35:$H$97,"600000",AG$35:AG$97)+SUMIF($H$35:$H$97,"700000",AG$35:AG$97)-SUMIF($H$35:$H$97,"TOTDEPTEXP",AG$35:AG$97)</f>
        <v>0</v>
      </c>
      <c r="AH99" s="17"/>
      <c r="AI99" s="21"/>
    </row>
    <row r="100" spans="1:40" x14ac:dyDescent="0.25">
      <c r="A100" s="6" t="s">
        <v>36</v>
      </c>
      <c r="B100" s="7"/>
      <c r="N100" s="26" t="str">
        <f>N97&amp;" - Check"</f>
        <v>Department Profit (Loss) - Check</v>
      </c>
      <c r="O100" s="139">
        <f t="shared" ref="O100:AA100" si="37">SUMIF($H$35:$H$97,"ROOMS_TOT",O$35:O$97)-SUMIF($H$35:$H$97,"TOTDEPTEXP",O$35:O$97)-SUMIF($H$35:$H$97,"TOTDEPTPL",O$35:O$97)</f>
        <v>-1.0477378964424133E-9</v>
      </c>
      <c r="P100" s="139">
        <f t="shared" si="37"/>
        <v>-1.1641532182693481E-9</v>
      </c>
      <c r="Q100" s="139">
        <f t="shared" si="37"/>
        <v>0</v>
      </c>
      <c r="R100" s="139">
        <f t="shared" si="37"/>
        <v>0</v>
      </c>
      <c r="S100" s="139">
        <f t="shared" si="37"/>
        <v>0</v>
      </c>
      <c r="T100" s="139">
        <f t="shared" si="37"/>
        <v>0</v>
      </c>
      <c r="U100" s="139">
        <f t="shared" si="37"/>
        <v>0</v>
      </c>
      <c r="V100" s="139">
        <f t="shared" si="37"/>
        <v>0</v>
      </c>
      <c r="W100" s="139">
        <f t="shared" si="37"/>
        <v>0</v>
      </c>
      <c r="X100" s="139">
        <f t="shared" si="37"/>
        <v>0</v>
      </c>
      <c r="Y100" s="139">
        <f t="shared" si="37"/>
        <v>0</v>
      </c>
      <c r="Z100" s="139">
        <f t="shared" si="37"/>
        <v>0</v>
      </c>
      <c r="AA100" s="139">
        <f t="shared" si="37"/>
        <v>0</v>
      </c>
      <c r="AB100" s="17"/>
      <c r="AD100" s="139">
        <f>SUMIF($H$35:$H$97,"ROOMS_TOT",AD$35:AD$97)-SUMIF($H$35:$H$97,"TOTDEPTEXP",AD$35:AD$97)-SUMIF($H$35:$H$97,"TOTDEPTPL",AD$35:AD$97)</f>
        <v>0</v>
      </c>
      <c r="AE100" s="17"/>
      <c r="AF100" s="21"/>
      <c r="AG100" s="139">
        <f>SUMIF($H$35:$H$97,"ROOMS_TOT",AG$35:AG$97)-SUMIF($H$35:$H$97,"TOTDEPTEXP",AG$35:AG$97)-SUMIF($H$35:$H$97,"TOTDEPTPL",AG$35:AG$97)</f>
        <v>0</v>
      </c>
      <c r="AH100" s="17"/>
      <c r="AI100" s="21"/>
    </row>
    <row r="101" spans="1:40" x14ac:dyDescent="0.25">
      <c r="A101" s="6" t="s">
        <v>37</v>
      </c>
      <c r="B101" s="7"/>
    </row>
    <row r="102" spans="1:40" x14ac:dyDescent="0.25">
      <c r="A102" s="6" t="s">
        <v>38</v>
      </c>
      <c r="B102" s="7"/>
    </row>
    <row r="103" spans="1:40" x14ac:dyDescent="0.25">
      <c r="A103" s="6" t="s">
        <v>39</v>
      </c>
      <c r="B103" s="7"/>
    </row>
    <row r="104" spans="1:40" x14ac:dyDescent="0.25">
      <c r="A104" s="6" t="s">
        <v>40</v>
      </c>
      <c r="B104" s="7"/>
    </row>
    <row r="105" spans="1:40" x14ac:dyDescent="0.25">
      <c r="A105" s="6" t="s">
        <v>41</v>
      </c>
      <c r="B105" s="7"/>
    </row>
    <row r="106" spans="1:40" x14ac:dyDescent="0.25">
      <c r="A106" s="6" t="s">
        <v>42</v>
      </c>
      <c r="B106" s="7"/>
    </row>
    <row r="107" spans="1:40" x14ac:dyDescent="0.25">
      <c r="A107" s="6" t="s">
        <v>43</v>
      </c>
      <c r="B107" s="7"/>
      <c r="H107" s="11"/>
      <c r="J107" s="1"/>
    </row>
    <row r="108" spans="1:40" x14ac:dyDescent="0.25">
      <c r="A108" s="6" t="s">
        <v>44</v>
      </c>
      <c r="B108" s="7"/>
      <c r="H108" s="11"/>
      <c r="J108" s="1"/>
    </row>
    <row r="109" spans="1:40" x14ac:dyDescent="0.25">
      <c r="A109" s="6" t="s">
        <v>45</v>
      </c>
      <c r="B109" s="7"/>
      <c r="H109" s="11"/>
      <c r="J109" s="1"/>
    </row>
    <row r="110" spans="1:40" x14ac:dyDescent="0.25">
      <c r="A110" s="6" t="s">
        <v>46</v>
      </c>
      <c r="B110" s="7"/>
      <c r="H110" s="11"/>
      <c r="J110" s="1"/>
    </row>
    <row r="111" spans="1:40" x14ac:dyDescent="0.25">
      <c r="H111" s="11"/>
      <c r="J111" s="1"/>
    </row>
    <row r="112" spans="1:40" x14ac:dyDescent="0.25">
      <c r="H112" s="11"/>
      <c r="J112" s="1"/>
    </row>
    <row r="113" spans="8:10" x14ac:dyDescent="0.25">
      <c r="H113" s="11"/>
      <c r="J113" s="1"/>
    </row>
    <row r="114" spans="8:10" x14ac:dyDescent="0.25">
      <c r="H114" s="11"/>
      <c r="J114" s="1"/>
    </row>
    <row r="115" spans="8:10" x14ac:dyDescent="0.25">
      <c r="H115" s="11"/>
      <c r="J115" s="1"/>
    </row>
    <row r="116" spans="8:10" x14ac:dyDescent="0.25">
      <c r="H116" s="11"/>
      <c r="J116" s="1"/>
    </row>
    <row r="117" spans="8:10" x14ac:dyDescent="0.25">
      <c r="H117" s="11"/>
      <c r="J117" s="1"/>
    </row>
    <row r="118" spans="8:10" x14ac:dyDescent="0.25">
      <c r="H118" s="11"/>
      <c r="J118" s="1"/>
    </row>
    <row r="119" spans="8:10" x14ac:dyDescent="0.25">
      <c r="H119" s="11"/>
      <c r="J119" s="1"/>
    </row>
    <row r="120" spans="8:10" x14ac:dyDescent="0.25">
      <c r="H120" s="11"/>
      <c r="J120" s="1"/>
    </row>
    <row r="121" spans="8:10" x14ac:dyDescent="0.25">
      <c r="H121" s="11"/>
      <c r="J121" s="1"/>
    </row>
    <row r="122" spans="8:10" x14ac:dyDescent="0.25">
      <c r="H122" s="11"/>
      <c r="J122" s="1"/>
    </row>
    <row r="123" spans="8:10" x14ac:dyDescent="0.25">
      <c r="H123" s="11"/>
      <c r="J123" s="1"/>
    </row>
    <row r="124" spans="8:10" x14ac:dyDescent="0.25">
      <c r="H124" s="11"/>
      <c r="J124" s="1"/>
    </row>
    <row r="125" spans="8:10" x14ac:dyDescent="0.25">
      <c r="H125" s="11"/>
      <c r="J125" s="1"/>
    </row>
    <row r="126" spans="8:10" x14ac:dyDescent="0.25">
      <c r="H126" s="11"/>
      <c r="J126" s="1"/>
    </row>
    <row r="127" spans="8:10" x14ac:dyDescent="0.25">
      <c r="H127" s="11"/>
      <c r="J127" s="1"/>
    </row>
    <row r="128" spans="8:10" x14ac:dyDescent="0.25">
      <c r="H128" s="11"/>
      <c r="J128" s="1"/>
    </row>
    <row r="129" spans="8:10" x14ac:dyDescent="0.25">
      <c r="H129" s="11"/>
      <c r="J129" s="1"/>
    </row>
  </sheetData>
  <mergeCells count="2">
    <mergeCell ref="AD31:AE31"/>
    <mergeCell ref="AG31:AH31"/>
  </mergeCells>
  <dataValidations count="2">
    <dataValidation type="list" allowBlank="1" sqref="B28 B58" xr:uid="{00000000-0002-0000-0500-000000000000}">
      <formula1>"ACCOUNT,BUSINESSUNIT,CATEGORY,DATASRC,DEPARTMENT,INTCO,MEASURES,RPTCURRENCY,TIME"</formula1>
    </dataValidation>
    <dataValidation type="list" allowBlank="1" sqref="B29 B59" xr:uid="{00000000-0002-0000-0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280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2806" r:id="rId5" name="FPMExcelClientSheetOptionstb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lapsed="1"/>
    <col min="13" max="13" width="9.7109375" style="1" hidden="1" customWidth="1" outlineLevel="1"/>
    <col min="14" max="14" width="35.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60</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'LDXz8fdsAE2Ug4AWCUzTAA=='!$D$10</f>
        <v>#NAME?</v>
      </c>
      <c r="C9" s="1" t="e">
        <f ca="1">_xll.EVDES(B9,$B$1)</f>
        <v>#NAME?</v>
      </c>
      <c r="L9" s="11"/>
      <c r="M9" s="11"/>
    </row>
    <row r="10" spans="1:35" hidden="1" outlineLevel="1" x14ac:dyDescent="0.25">
      <c r="A10" s="8" t="s">
        <v>18</v>
      </c>
      <c r="B10" s="9" t="e">
        <f ca="1">'LDXz8fdsAE2Ug4AWCUzTAA=='!$D$7</f>
        <v>#NAME?</v>
      </c>
      <c r="C10" s="1" t="e">
        <f ca="1">_xll.EVDES(B10,$B$1)</f>
        <v>#NAME?</v>
      </c>
      <c r="D10" s="234" t="e">
        <f ca="1">_xll.EVPRO($B$1,$B$10,"Group")</f>
        <v>#NAME?</v>
      </c>
      <c r="L10" s="11"/>
      <c r="M10" s="11"/>
    </row>
    <row r="11" spans="1:35" hidden="1" outlineLevel="1" x14ac:dyDescent="0.25">
      <c r="B11" s="8"/>
      <c r="L11" s="11"/>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B14" s="8" t="s">
        <v>361</v>
      </c>
      <c r="C14" s="102"/>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IF('LDXz8fdsAE2Ug4AWCUzTAA=='!$O$1=TRUE,"TRAILING12",IF(AA17="CURRENT","ROLLINGFORECAST","PERIODIC"))</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_xll.EVRNG(H34:H69,H72:H116,H119:H152)</f>
        <v>#NAME?</v>
      </c>
      <c r="G19" s="18" t="str">
        <f>$B$6</f>
        <v>D_ROOMS_CON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D_ROOMS_CON</v>
      </c>
      <c r="H20" s="18">
        <v>900200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row>
    <row r="22" spans="1:35" hidden="1" outlineLevel="1" x14ac:dyDescent="0.25">
      <c r="A22" s="6" t="s">
        <v>7</v>
      </c>
      <c r="B22" s="7"/>
    </row>
    <row r="23" spans="1:35" hidden="1" outlineLevel="1" x14ac:dyDescent="0.25">
      <c r="A23" s="6" t="s">
        <v>47</v>
      </c>
      <c r="B23" s="7" t="e">
        <f ca="1">_xll.EVRNG($A$28:$B$49)</f>
        <v>#NAME?</v>
      </c>
      <c r="K23" s="57"/>
      <c r="L23" s="57"/>
      <c r="M23" s="57"/>
    </row>
    <row r="24" spans="1:35" hidden="1" outlineLevel="1" x14ac:dyDescent="0.25">
      <c r="A24" s="6" t="s">
        <v>8</v>
      </c>
      <c r="B24" s="7"/>
    </row>
    <row r="25" spans="1:35" collapsed="1" x14ac:dyDescent="0.25"/>
    <row r="26" spans="1:35" ht="22.5" x14ac:dyDescent="0.3">
      <c r="N26" s="65" t="e">
        <f ca="1">IF(_xll.EVDES(B3,$B$1)="#NODATA","",_xll.EVDES(B3,$B$1))</f>
        <v>#NAME?</v>
      </c>
    </row>
    <row r="27" spans="1:35" ht="18" x14ac:dyDescent="0.25">
      <c r="A27" s="3" t="s">
        <v>23</v>
      </c>
      <c r="B27" s="5" t="s">
        <v>24</v>
      </c>
      <c r="N27" s="70" t="e">
        <f ca="1">IF(_xll.EVDES(B6,$B$1)="#NODATA","",_xll.EVDES(B6,$B$1)&amp;" Department")</f>
        <v>#NAME?</v>
      </c>
    </row>
    <row r="28" spans="1:35" ht="15.75" x14ac:dyDescent="0.25">
      <c r="A28" s="6" t="s">
        <v>25</v>
      </c>
      <c r="B28" s="7"/>
      <c r="N28" s="71" t="e">
        <f ca="1">"For the Period ended"&amp;" "&amp;IF(_xll.EVDES($B$10,$B$1)="#NODATA","",_xll.EVDES($B$10,$B$1))</f>
        <v>#NAME?</v>
      </c>
    </row>
    <row r="29" spans="1:35" ht="15" customHeight="1" x14ac:dyDescent="0.25">
      <c r="A29" s="6" t="s">
        <v>26</v>
      </c>
      <c r="B29" s="7"/>
      <c r="N29" s="71" t="e">
        <f ca="1">_xll.EVDES(B9,B1)</f>
        <v>#NAME?</v>
      </c>
    </row>
    <row r="30" spans="1:35" x14ac:dyDescent="0.25">
      <c r="A30" s="6" t="s">
        <v>27</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28</v>
      </c>
      <c r="B31" s="7"/>
      <c r="G31" s="14"/>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6" t="s">
        <v>29</v>
      </c>
      <c r="B32" s="7"/>
      <c r="C32" s="1"/>
      <c r="D32" s="1"/>
      <c r="E32" s="1"/>
      <c r="F32" s="1"/>
      <c r="H32" s="257"/>
      <c r="I32" s="258"/>
      <c r="J32" s="258"/>
      <c r="N32" s="346" t="s">
        <v>219</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C32" s="1"/>
      <c r="AD32" s="261" t="e">
        <f ca="1">IF(_xll.EVDES(AD17,$B$1)="#NODATA","",_xll.EVDES(AD17,$B$1))</f>
        <v>#NAME?</v>
      </c>
      <c r="AE32" s="262" t="s">
        <v>58</v>
      </c>
      <c r="AF32" s="261" t="s">
        <v>57</v>
      </c>
      <c r="AG32" s="261" t="e">
        <f ca="1">IF(_xll.EVDES(AG17,$B$1)="#NODATA","",_xll.EVDES(AG17,$B$1))</f>
        <v>#NAME?</v>
      </c>
      <c r="AH32" s="262" t="s">
        <v>58</v>
      </c>
      <c r="AI32" s="261" t="s">
        <v>57</v>
      </c>
    </row>
    <row r="33" spans="1:35" x14ac:dyDescent="0.25">
      <c r="A33" s="6" t="s">
        <v>30</v>
      </c>
      <c r="B33" s="7" t="s">
        <v>78</v>
      </c>
      <c r="H33" s="1" t="s">
        <v>69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99"/>
      <c r="AG33" s="41"/>
      <c r="AH33" s="45"/>
      <c r="AI33" s="42"/>
    </row>
    <row r="34" spans="1:35" x14ac:dyDescent="0.25">
      <c r="A34" s="6" t="s">
        <v>31</v>
      </c>
      <c r="B34" s="7" t="s">
        <v>78</v>
      </c>
      <c r="H34" s="15" t="s">
        <v>83</v>
      </c>
      <c r="I34" s="28" t="e">
        <f ca="1">_xll.EVPRO($B$1,$H34,"STYLE")</f>
        <v>#NAME?</v>
      </c>
      <c r="J34" s="28" t="e">
        <f ca="1">_xll.EVPRO($B$1,$H34,"CALC")</f>
        <v>#NAME?</v>
      </c>
      <c r="K34" s="119"/>
      <c r="L34" s="25" t="e">
        <f ca="1">_xll.EVPRO($B$1,H34,"JDEID")</f>
        <v>#NAME?</v>
      </c>
      <c r="M34" s="162" t="e">
        <f ca="1">IF(AND(I34="N",J34="N"),_xll.EVPRO($B$1,H34,"PSFTID"),"")</f>
        <v>#NAME?</v>
      </c>
      <c r="N34" s="25" t="e">
        <f ca="1">IF(_xll.EVDES(H34,$B$1)="#NODATA","",_xll.EVDES(H34,$B$1))</f>
        <v>#NAME?</v>
      </c>
      <c r="O34" s="77">
        <v>407136.39</v>
      </c>
      <c r="P34" s="272">
        <v>565849.89</v>
      </c>
      <c r="Q34" s="272">
        <v>398776.14</v>
      </c>
      <c r="R34" s="272">
        <v>332247.36</v>
      </c>
      <c r="S34" s="272">
        <v>270387.58</v>
      </c>
      <c r="T34" s="272">
        <v>193194.02</v>
      </c>
      <c r="U34" s="272">
        <v>228912.98</v>
      </c>
      <c r="V34" s="272">
        <v>245190</v>
      </c>
      <c r="W34" s="272">
        <v>239283.95</v>
      </c>
      <c r="X34" s="272">
        <v>310406.18</v>
      </c>
      <c r="Y34" s="272">
        <v>287189</v>
      </c>
      <c r="Z34" s="272">
        <v>521546.37</v>
      </c>
      <c r="AA34" s="272">
        <f t="shared" ref="AA34:AA52" si="0">SUM(O34:Z34)</f>
        <v>4000119.8600000003</v>
      </c>
      <c r="AB34" s="79" t="str">
        <f t="shared" ref="AB34:AB69" ca="1" si="1">IF(AA34=0,"",IFERROR(AA34/AA$19,""))</f>
        <v/>
      </c>
      <c r="AD34" s="78">
        <v>4010043.55</v>
      </c>
      <c r="AE34" s="79" t="str">
        <f t="shared" ref="AE34:AE69" ca="1" si="2">IF(AD34=0,"",IFERROR(AD34/AD$19,""))</f>
        <v/>
      </c>
      <c r="AF34" s="80">
        <f t="shared" ref="AF34:AF69" si="3">IF(AND($AA34="",AD34=""),"",$AA34-AD34)</f>
        <v>-9923.6899999994785</v>
      </c>
      <c r="AG34" s="80">
        <v>4370687.8499999996</v>
      </c>
      <c r="AH34" s="79" t="str">
        <f ca="1">IF(AG34=0,"",IFERROR(AG34/AG$19,""))</f>
        <v/>
      </c>
      <c r="AI34" s="293">
        <f t="shared" ref="AI34:AI69" si="4">IF(AND($AA34="",AG34=""),"",$AA34-AG34)</f>
        <v>-370567.98999999929</v>
      </c>
    </row>
    <row r="35" spans="1:35" x14ac:dyDescent="0.25">
      <c r="A35" s="6" t="s">
        <v>32</v>
      </c>
      <c r="B35" s="7"/>
      <c r="H35" s="15" t="s">
        <v>121</v>
      </c>
      <c r="I35" s="26" t="e">
        <f ca="1">_xll.EVPRO($B$1,$H35,"STYLE")</f>
        <v>#NAME?</v>
      </c>
      <c r="J35" s="26" t="e">
        <f ca="1">_xll.EVPRO($B$1,$H35,"CALC")</f>
        <v>#NAME?</v>
      </c>
      <c r="K35" s="26"/>
      <c r="L35" s="26" t="e">
        <f ca="1">_xll.EVPRO($B$1,H35,"JDEID")</f>
        <v>#NAME?</v>
      </c>
      <c r="M35" s="162" t="e">
        <f ca="1">IF(AND(I35="N",J35="N"),_xll.EVPRO($B$1,H35,"PSFTID"),"")</f>
        <v>#NAME?</v>
      </c>
      <c r="N35" s="26" t="e">
        <f ca="1">IF(_xll.EVDES(H35,$B$1)="#NODATA","",_xll.EVDES(H35,$B$1))</f>
        <v>#NAME?</v>
      </c>
      <c r="O35" s="89">
        <v>85806.82</v>
      </c>
      <c r="P35" s="273">
        <v>172648.33</v>
      </c>
      <c r="Q35" s="273">
        <v>103954.72</v>
      </c>
      <c r="R35" s="273">
        <v>73722.38</v>
      </c>
      <c r="S35" s="273">
        <v>59507.45</v>
      </c>
      <c r="T35" s="273">
        <v>30121.96</v>
      </c>
      <c r="U35" s="273">
        <v>45477.31</v>
      </c>
      <c r="V35" s="273">
        <v>42985.91</v>
      </c>
      <c r="W35" s="273">
        <v>32883.599999999999</v>
      </c>
      <c r="X35" s="273">
        <v>21308.47</v>
      </c>
      <c r="Y35" s="273">
        <v>37980.74</v>
      </c>
      <c r="Z35" s="273">
        <v>129493.09</v>
      </c>
      <c r="AA35" s="273">
        <f t="shared" si="0"/>
        <v>835890.77999999991</v>
      </c>
      <c r="AB35" s="91" t="str">
        <f t="shared" ca="1" si="1"/>
        <v/>
      </c>
      <c r="AD35" s="90">
        <v>734209</v>
      </c>
      <c r="AE35" s="91" t="str">
        <f t="shared" ca="1" si="2"/>
        <v/>
      </c>
      <c r="AF35" s="92">
        <f t="shared" si="3"/>
        <v>101681.77999999991</v>
      </c>
      <c r="AG35" s="92">
        <v>678766.7</v>
      </c>
      <c r="AH35" s="91" t="str">
        <f t="shared" ref="AH35:AH69" ca="1" si="5">IF(AG35=0,"",IFERROR(AG35/AG$19,""))</f>
        <v/>
      </c>
      <c r="AI35" s="294">
        <f t="shared" si="4"/>
        <v>157124.07999999996</v>
      </c>
    </row>
    <row r="36" spans="1:35" x14ac:dyDescent="0.25">
      <c r="A36" s="6" t="s">
        <v>33</v>
      </c>
      <c r="B36" s="7"/>
      <c r="H36" s="15" t="s">
        <v>122</v>
      </c>
      <c r="I36" s="26" t="e">
        <f ca="1">_xll.EVPRO($B$1,$H36,"STYLE")</f>
        <v>#NAME?</v>
      </c>
      <c r="J36" s="26" t="e">
        <f ca="1">_xll.EVPRO($B$1,$H36,"CALC")</f>
        <v>#NAME?</v>
      </c>
      <c r="K36" s="26"/>
      <c r="L36" s="26" t="e">
        <f ca="1">_xll.EVPRO($B$1,H36,"JDEID")</f>
        <v>#NAME?</v>
      </c>
      <c r="M36" s="162" t="e">
        <f ca="1">IF(AND(I36="N",J36="N"),_xll.EVPRO($B$1,H36,"PSFTID"),"")</f>
        <v>#NAME?</v>
      </c>
      <c r="N36" s="26" t="e">
        <f ca="1">IF(_xll.EVDES(H36,$B$1)="#NODATA","",_xll.EVDES(H36,$B$1))</f>
        <v>#NAME?</v>
      </c>
      <c r="O36" s="89">
        <v>321329.57</v>
      </c>
      <c r="P36" s="273">
        <v>393201.56</v>
      </c>
      <c r="Q36" s="273">
        <v>294821.42</v>
      </c>
      <c r="R36" s="273">
        <v>258524.98</v>
      </c>
      <c r="S36" s="273">
        <v>210880.13</v>
      </c>
      <c r="T36" s="273">
        <v>163072.06</v>
      </c>
      <c r="U36" s="273">
        <v>183435.67</v>
      </c>
      <c r="V36" s="273">
        <v>202204.09</v>
      </c>
      <c r="W36" s="273">
        <v>206400.35</v>
      </c>
      <c r="X36" s="273">
        <v>289097.71000000002</v>
      </c>
      <c r="Y36" s="273">
        <v>249208.26</v>
      </c>
      <c r="Z36" s="273">
        <v>392053.28</v>
      </c>
      <c r="AA36" s="273">
        <f t="shared" si="0"/>
        <v>3164229.08</v>
      </c>
      <c r="AB36" s="91" t="str">
        <f t="shared" ca="1" si="1"/>
        <v/>
      </c>
      <c r="AD36" s="90">
        <v>3275834.55</v>
      </c>
      <c r="AE36" s="91" t="str">
        <f t="shared" ca="1" si="2"/>
        <v/>
      </c>
      <c r="AF36" s="92">
        <f t="shared" si="3"/>
        <v>-111605.46999999974</v>
      </c>
      <c r="AG36" s="92">
        <v>3691921.15</v>
      </c>
      <c r="AH36" s="91" t="str">
        <f t="shared" ca="1" si="5"/>
        <v/>
      </c>
      <c r="AI36" s="294">
        <f t="shared" si="4"/>
        <v>-527692.06999999983</v>
      </c>
    </row>
    <row r="37" spans="1:35" x14ac:dyDescent="0.25">
      <c r="A37" s="6" t="s">
        <v>34</v>
      </c>
      <c r="B37" s="7"/>
      <c r="H37" s="15" t="s">
        <v>84</v>
      </c>
      <c r="I37" s="28" t="e">
        <f ca="1">_xll.EVPRO($B$1,$H37,"STYLE")</f>
        <v>#NAME?</v>
      </c>
      <c r="J37" s="28" t="e">
        <f ca="1">_xll.EVPRO($B$1,$H37,"CALC")</f>
        <v>#NAME?</v>
      </c>
      <c r="K37" s="119"/>
      <c r="L37" s="25" t="e">
        <f ca="1">_xll.EVPRO($B$1,H37,"JDEID")</f>
        <v>#NAME?</v>
      </c>
      <c r="M37" s="162" t="e">
        <f ca="1">IF(AND(I37="N",J37="N"),_xll.EVPRO($B$1,H37,"PSFTID"),"")</f>
        <v>#NAME?</v>
      </c>
      <c r="N37" s="25" t="e">
        <f ca="1">IF(_xll.EVDES(H37,$B$1)="#NODATA","",_xll.EVDES(H37,$B$1))</f>
        <v>#NAME?</v>
      </c>
      <c r="O37" s="77">
        <v>396776.67</v>
      </c>
      <c r="P37" s="272">
        <v>379081.35</v>
      </c>
      <c r="Q37" s="272">
        <v>463242.91</v>
      </c>
      <c r="R37" s="272">
        <v>366216.33</v>
      </c>
      <c r="S37" s="272">
        <v>297001.78999999998</v>
      </c>
      <c r="T37" s="272">
        <v>270502.09000000003</v>
      </c>
      <c r="U37" s="272">
        <v>290647.64</v>
      </c>
      <c r="V37" s="272">
        <v>143559.88</v>
      </c>
      <c r="W37" s="272">
        <v>117901.97</v>
      </c>
      <c r="X37" s="272">
        <v>150281.64000000001</v>
      </c>
      <c r="Y37" s="272">
        <v>160609.42000000001</v>
      </c>
      <c r="Z37" s="272">
        <v>297206.81</v>
      </c>
      <c r="AA37" s="272">
        <f t="shared" si="0"/>
        <v>3333028.5000000005</v>
      </c>
      <c r="AB37" s="79" t="str">
        <f t="shared" ca="1" si="1"/>
        <v/>
      </c>
      <c r="AD37" s="78">
        <v>4606458.05</v>
      </c>
      <c r="AE37" s="79" t="str">
        <f t="shared" ca="1" si="2"/>
        <v/>
      </c>
      <c r="AF37" s="80">
        <f t="shared" si="3"/>
        <v>-1273429.5499999993</v>
      </c>
      <c r="AG37" s="80">
        <v>4467764.45</v>
      </c>
      <c r="AH37" s="79" t="str">
        <f t="shared" ca="1" si="5"/>
        <v/>
      </c>
      <c r="AI37" s="293">
        <f t="shared" si="4"/>
        <v>-1134735.9499999997</v>
      </c>
    </row>
    <row r="38" spans="1:35" x14ac:dyDescent="0.25">
      <c r="A38" s="6" t="s">
        <v>35</v>
      </c>
      <c r="B38" s="7"/>
      <c r="H38" s="15" t="s">
        <v>123</v>
      </c>
      <c r="I38" s="26" t="e">
        <f ca="1">_xll.EVPRO($B$1,$H38,"STYLE")</f>
        <v>#NAME?</v>
      </c>
      <c r="J38" s="26" t="e">
        <f ca="1">_xll.EVPRO($B$1,$H38,"CALC")</f>
        <v>#NAME?</v>
      </c>
      <c r="K38" s="26"/>
      <c r="L38" s="26" t="e">
        <f ca="1">_xll.EVPRO($B$1,H38,"JDEID")</f>
        <v>#NAME?</v>
      </c>
      <c r="M38" s="162" t="e">
        <f ca="1">IF(AND(I38="N",J38="N"),_xll.EVPRO($B$1,H38,"PSFTID"),"")</f>
        <v>#NAME?</v>
      </c>
      <c r="N38" s="26" t="e">
        <f ca="1">IF(_xll.EVDES(H38,$B$1)="#NODATA","",_xll.EVDES(H38,$B$1))</f>
        <v>#NAME?</v>
      </c>
      <c r="O38" s="89">
        <v>16609.8</v>
      </c>
      <c r="P38" s="273">
        <v>14080.3</v>
      </c>
      <c r="Q38" s="273">
        <v>12607</v>
      </c>
      <c r="R38" s="273">
        <v>9157.9</v>
      </c>
      <c r="S38" s="273">
        <v>16220.5</v>
      </c>
      <c r="T38" s="273">
        <v>9068.7000000000007</v>
      </c>
      <c r="U38" s="273">
        <v>14267.2</v>
      </c>
      <c r="V38" s="273">
        <v>5358.13</v>
      </c>
      <c r="W38" s="273">
        <v>5100.1499999999996</v>
      </c>
      <c r="X38" s="273">
        <v>834.96</v>
      </c>
      <c r="Y38" s="273">
        <v>6126.12</v>
      </c>
      <c r="Z38" s="273">
        <v>27316.78</v>
      </c>
      <c r="AA38" s="273">
        <f t="shared" si="0"/>
        <v>136747.53999999998</v>
      </c>
      <c r="AB38" s="91" t="str">
        <f t="shared" ca="1" si="1"/>
        <v/>
      </c>
      <c r="AD38" s="90">
        <v>101624.25</v>
      </c>
      <c r="AE38" s="91" t="str">
        <f t="shared" ca="1" si="2"/>
        <v/>
      </c>
      <c r="AF38" s="92">
        <f t="shared" si="3"/>
        <v>35123.289999999979</v>
      </c>
      <c r="AG38" s="92">
        <v>78536.95</v>
      </c>
      <c r="AH38" s="91" t="str">
        <f t="shared" ca="1" si="5"/>
        <v/>
      </c>
      <c r="AI38" s="294">
        <f t="shared" si="4"/>
        <v>58210.589999999982</v>
      </c>
    </row>
    <row r="39" spans="1:35" x14ac:dyDescent="0.25">
      <c r="A39" s="6" t="s">
        <v>36</v>
      </c>
      <c r="B39" s="7"/>
      <c r="H39" s="15" t="s">
        <v>124</v>
      </c>
      <c r="I39" s="26" t="e">
        <f ca="1">_xll.EVPRO($B$1,$H39,"STYLE")</f>
        <v>#NAME?</v>
      </c>
      <c r="J39" s="26" t="e">
        <f ca="1">_xll.EVPRO($B$1,$H39,"CALC")</f>
        <v>#NAME?</v>
      </c>
      <c r="K39" s="26"/>
      <c r="L39" s="26" t="e">
        <f ca="1">_xll.EVPRO($B$1,H39,"JDEID")</f>
        <v>#NAME?</v>
      </c>
      <c r="M39" s="162" t="e">
        <f ca="1">IF(AND(I39="N",J39="N"),_xll.EVPRO($B$1,H39,"PSFTID"),"")</f>
        <v>#NAME?</v>
      </c>
      <c r="N39" s="26" t="e">
        <f ca="1">IF(_xll.EVDES(H39,$B$1)="#NODATA","",_xll.EVDES(H39,$B$1))</f>
        <v>#NAME?</v>
      </c>
      <c r="O39" s="89">
        <v>15282.84</v>
      </c>
      <c r="P39" s="273">
        <v>21917.81</v>
      </c>
      <c r="Q39" s="273">
        <v>15440.59</v>
      </c>
      <c r="R39" s="273">
        <v>10444.719999999999</v>
      </c>
      <c r="S39" s="273">
        <v>15189</v>
      </c>
      <c r="T39" s="273">
        <v>12962.29</v>
      </c>
      <c r="U39" s="273">
        <v>25297.24</v>
      </c>
      <c r="V39" s="273">
        <v>12542.85</v>
      </c>
      <c r="W39" s="273">
        <v>7744.99</v>
      </c>
      <c r="X39" s="273">
        <v>6089.67</v>
      </c>
      <c r="Y39" s="273">
        <v>10452.52</v>
      </c>
      <c r="Z39" s="273">
        <v>28910.959999999999</v>
      </c>
      <c r="AA39" s="273">
        <f t="shared" si="0"/>
        <v>182275.48</v>
      </c>
      <c r="AB39" s="91" t="str">
        <f t="shared" ca="1" si="1"/>
        <v/>
      </c>
      <c r="AD39" s="90">
        <v>368598.75</v>
      </c>
      <c r="AE39" s="91" t="str">
        <f t="shared" ca="1" si="2"/>
        <v/>
      </c>
      <c r="AF39" s="92">
        <f t="shared" si="3"/>
        <v>-186323.27</v>
      </c>
      <c r="AG39" s="92">
        <v>315645.99</v>
      </c>
      <c r="AH39" s="91" t="str">
        <f t="shared" ca="1" si="5"/>
        <v/>
      </c>
      <c r="AI39" s="294">
        <f t="shared" si="4"/>
        <v>-133370.50999999998</v>
      </c>
    </row>
    <row r="40" spans="1:35" x14ac:dyDescent="0.25">
      <c r="A40" s="6" t="s">
        <v>37</v>
      </c>
      <c r="B40" s="7"/>
      <c r="H40" s="15" t="s">
        <v>125</v>
      </c>
      <c r="I40" s="26" t="e">
        <f ca="1">_xll.EVPRO($B$1,$H40,"STYLE")</f>
        <v>#NAME?</v>
      </c>
      <c r="J40" s="26" t="e">
        <f ca="1">_xll.EVPRO($B$1,$H40,"CALC")</f>
        <v>#NAME?</v>
      </c>
      <c r="K40" s="26"/>
      <c r="L40" s="26" t="e">
        <f ca="1">_xll.EVPRO($B$1,H40,"JDEID")</f>
        <v>#NAME?</v>
      </c>
      <c r="M40" s="162" t="e">
        <f ca="1">IF(AND(I40="N",J40="N"),_xll.EVPRO($B$1,H40,"PSFTID"),"")</f>
        <v>#NAME?</v>
      </c>
      <c r="N40" s="26" t="e">
        <f ca="1">IF(_xll.EVDES(H40,$B$1)="#NODATA","",_xll.EVDES(H40,$B$1))</f>
        <v>#NAME?</v>
      </c>
      <c r="O40" s="89">
        <v>176140.2</v>
      </c>
      <c r="P40" s="273">
        <v>77807.58</v>
      </c>
      <c r="Q40" s="273">
        <v>32332.63</v>
      </c>
      <c r="R40" s="273">
        <v>23382.35</v>
      </c>
      <c r="S40" s="273">
        <v>22208.3</v>
      </c>
      <c r="T40" s="273">
        <v>19845.66</v>
      </c>
      <c r="U40" s="273">
        <v>31634.48</v>
      </c>
      <c r="V40" s="273">
        <v>24547.86</v>
      </c>
      <c r="W40" s="273">
        <v>13436.43</v>
      </c>
      <c r="X40" s="273">
        <v>13113.96</v>
      </c>
      <c r="Y40" s="273">
        <v>15132.26</v>
      </c>
      <c r="Z40" s="273">
        <v>24240.98</v>
      </c>
      <c r="AA40" s="273">
        <f t="shared" si="0"/>
        <v>473822.68999999994</v>
      </c>
      <c r="AB40" s="91" t="str">
        <f t="shared" ca="1" si="1"/>
        <v/>
      </c>
      <c r="AD40" s="90">
        <v>431874.45</v>
      </c>
      <c r="AE40" s="91" t="str">
        <f t="shared" ca="1" si="2"/>
        <v/>
      </c>
      <c r="AF40" s="92">
        <f t="shared" si="3"/>
        <v>41948.239999999932</v>
      </c>
      <c r="AG40" s="92">
        <v>592899.53</v>
      </c>
      <c r="AH40" s="91" t="str">
        <f t="shared" ca="1" si="5"/>
        <v/>
      </c>
      <c r="AI40" s="294">
        <f t="shared" si="4"/>
        <v>-119076.84000000008</v>
      </c>
    </row>
    <row r="41" spans="1:35" x14ac:dyDescent="0.25">
      <c r="A41" s="6" t="s">
        <v>38</v>
      </c>
      <c r="B41" s="7"/>
      <c r="H41" s="15" t="s">
        <v>126</v>
      </c>
      <c r="I41" s="26" t="e">
        <f ca="1">_xll.EVPRO($B$1,$H41,"STYLE")</f>
        <v>#NAME?</v>
      </c>
      <c r="J41" s="26" t="e">
        <f ca="1">_xll.EVPRO($B$1,$H41,"CALC")</f>
        <v>#NAME?</v>
      </c>
      <c r="K41" s="26"/>
      <c r="L41" s="26" t="e">
        <f ca="1">_xll.EVPRO($B$1,H41,"JDEID")</f>
        <v>#NAME?</v>
      </c>
      <c r="M41" s="162" t="e">
        <f ca="1">IF(AND(I41="N",J41="N"),_xll.EVPRO($B$1,H41,"PSFTID"),"")</f>
        <v>#NAME?</v>
      </c>
      <c r="N41" s="26" t="e">
        <f ca="1">IF(_xll.EVDES(H41,$B$1)="#NODATA","",_xll.EVDES(H41,$B$1))</f>
        <v>#NAME?</v>
      </c>
      <c r="O41" s="89">
        <v>15987.65</v>
      </c>
      <c r="P41" s="273">
        <v>8799.98</v>
      </c>
      <c r="Q41" s="273">
        <v>26531.58</v>
      </c>
      <c r="R41" s="273">
        <v>18943.509999999998</v>
      </c>
      <c r="S41" s="273">
        <v>11898.09</v>
      </c>
      <c r="T41" s="273">
        <v>17736.12</v>
      </c>
      <c r="U41" s="273">
        <v>56475.11</v>
      </c>
      <c r="V41" s="273">
        <v>24323.38</v>
      </c>
      <c r="W41" s="273">
        <v>1989.05</v>
      </c>
      <c r="X41" s="273">
        <v>1797.52</v>
      </c>
      <c r="Y41" s="273">
        <v>1809.32</v>
      </c>
      <c r="Z41" s="273">
        <v>12279.84</v>
      </c>
      <c r="AA41" s="273">
        <f t="shared" si="0"/>
        <v>198571.14999999997</v>
      </c>
      <c r="AB41" s="91" t="str">
        <f t="shared" ca="1" si="1"/>
        <v/>
      </c>
      <c r="AD41" s="90">
        <v>1858176</v>
      </c>
      <c r="AE41" s="91" t="str">
        <f t="shared" ca="1" si="2"/>
        <v/>
      </c>
      <c r="AF41" s="92">
        <f t="shared" si="3"/>
        <v>-1659604.85</v>
      </c>
      <c r="AG41" s="92">
        <v>1386244.98</v>
      </c>
      <c r="AH41" s="91" t="str">
        <f t="shared" ca="1" si="5"/>
        <v/>
      </c>
      <c r="AI41" s="294">
        <f t="shared" si="4"/>
        <v>-1187673.83</v>
      </c>
    </row>
    <row r="42" spans="1:35" x14ac:dyDescent="0.25">
      <c r="A42" s="6" t="s">
        <v>39</v>
      </c>
      <c r="B42" s="7"/>
      <c r="H42" s="15" t="s">
        <v>127</v>
      </c>
      <c r="I42" s="26" t="e">
        <f ca="1">_xll.EVPRO($B$1,$H42,"STYLE")</f>
        <v>#NAME?</v>
      </c>
      <c r="J42" s="26" t="e">
        <f ca="1">_xll.EVPRO($B$1,$H42,"CALC")</f>
        <v>#NAME?</v>
      </c>
      <c r="K42" s="26"/>
      <c r="L42" s="26" t="e">
        <f ca="1">_xll.EVPRO($B$1,H42,"JDEID")</f>
        <v>#NAME?</v>
      </c>
      <c r="M42" s="162" t="e">
        <f ca="1">IF(AND(I42="N",J42="N"),_xll.EVPRO($B$1,H42,"PSFTID"),"")</f>
        <v>#NAME?</v>
      </c>
      <c r="N42" s="26" t="e">
        <f ca="1">IF(_xll.EVDES(H42,$B$1)="#NODATA","",_xll.EVDES(H42,$B$1))</f>
        <v>#NAME?</v>
      </c>
      <c r="O42" s="89">
        <v>172756.18</v>
      </c>
      <c r="P42" s="273">
        <v>256475.68</v>
      </c>
      <c r="Q42" s="273">
        <v>376331.11</v>
      </c>
      <c r="R42" s="273">
        <v>304287.84999999998</v>
      </c>
      <c r="S42" s="273">
        <v>231485.9</v>
      </c>
      <c r="T42" s="273">
        <v>210889.32</v>
      </c>
      <c r="U42" s="273">
        <v>162973.60999999999</v>
      </c>
      <c r="V42" s="273">
        <v>76787.66</v>
      </c>
      <c r="W42" s="273">
        <v>89631.35</v>
      </c>
      <c r="X42" s="273">
        <v>128445.53</v>
      </c>
      <c r="Y42" s="273">
        <v>127089.2</v>
      </c>
      <c r="Z42" s="273">
        <v>204458.25</v>
      </c>
      <c r="AA42" s="273">
        <f t="shared" si="0"/>
        <v>2341611.64</v>
      </c>
      <c r="AB42" s="91" t="str">
        <f t="shared" ca="1" si="1"/>
        <v/>
      </c>
      <c r="AD42" s="90">
        <v>1846184.6</v>
      </c>
      <c r="AE42" s="91" t="str">
        <f t="shared" ca="1" si="2"/>
        <v/>
      </c>
      <c r="AF42" s="92">
        <f t="shared" si="3"/>
        <v>495427.04000000004</v>
      </c>
      <c r="AG42" s="92">
        <v>2094437</v>
      </c>
      <c r="AH42" s="91" t="str">
        <f t="shared" ca="1" si="5"/>
        <v/>
      </c>
      <c r="AI42" s="294">
        <f t="shared" si="4"/>
        <v>247174.64000000013</v>
      </c>
    </row>
    <row r="43" spans="1:35" x14ac:dyDescent="0.25">
      <c r="A43" s="6" t="s">
        <v>40</v>
      </c>
      <c r="B43" s="7"/>
      <c r="H43" s="15" t="s">
        <v>128</v>
      </c>
      <c r="I43" s="26" t="e">
        <f ca="1">_xll.EVPRO($B$1,$H43,"STYLE")</f>
        <v>#NAME?</v>
      </c>
      <c r="J43" s="26" t="e">
        <f ca="1">_xll.EVPRO($B$1,$H43,"CALC")</f>
        <v>#NAME?</v>
      </c>
      <c r="K43" s="26"/>
      <c r="L43" s="26" t="e">
        <f ca="1">_xll.EVPRO($B$1,H43,"JDEID")</f>
        <v>#NAME?</v>
      </c>
      <c r="M43" s="162" t="e">
        <f ca="1">IF(AND(I43="N",J43="N"),_xll.EVPRO($B$1,H43,"PSFTID"),"")</f>
        <v>#NAME?</v>
      </c>
      <c r="N43" s="26" t="e">
        <f ca="1">IF(_xll.EVDES(H43,$B$1)="#NODATA","",_xll.EVDES(H43,$B$1))</f>
        <v>#NAME?</v>
      </c>
      <c r="O43" s="89"/>
      <c r="P43" s="273"/>
      <c r="Q43" s="273"/>
      <c r="R43" s="273"/>
      <c r="S43" s="273"/>
      <c r="T43" s="273"/>
      <c r="U43" s="273"/>
      <c r="V43" s="273"/>
      <c r="W43" s="273"/>
      <c r="X43" s="273"/>
      <c r="Y43" s="273"/>
      <c r="Z43" s="273"/>
      <c r="AA43" s="273">
        <f t="shared" si="0"/>
        <v>0</v>
      </c>
      <c r="AB43" s="91" t="str">
        <f t="shared" si="1"/>
        <v/>
      </c>
      <c r="AD43" s="90"/>
      <c r="AE43" s="91" t="str">
        <f t="shared" si="2"/>
        <v/>
      </c>
      <c r="AF43" s="92">
        <f t="shared" si="3"/>
        <v>0</v>
      </c>
      <c r="AG43" s="92"/>
      <c r="AH43" s="91" t="str">
        <f t="shared" si="5"/>
        <v/>
      </c>
      <c r="AI43" s="294">
        <f t="shared" si="4"/>
        <v>0</v>
      </c>
    </row>
    <row r="44" spans="1:35" x14ac:dyDescent="0.25">
      <c r="A44" s="6" t="s">
        <v>41</v>
      </c>
      <c r="B44" s="7"/>
      <c r="H44" s="15" t="s">
        <v>85</v>
      </c>
      <c r="I44" s="28" t="e">
        <f ca="1">_xll.EVPRO($B$1,$H44,"STYLE")</f>
        <v>#NAME?</v>
      </c>
      <c r="J44" s="28" t="e">
        <f ca="1">_xll.EVPRO($B$1,$H44,"CALC")</f>
        <v>#NAME?</v>
      </c>
      <c r="K44" s="119"/>
      <c r="L44" s="25" t="e">
        <f ca="1">_xll.EVPRO($B$1,H44,"JDEID")</f>
        <v>#NAME?</v>
      </c>
      <c r="M44" s="162" t="e">
        <f ca="1">IF(AND(I44="N",J44="N"),_xll.EVPRO($B$1,H44,"PSFTID"),"")</f>
        <v>#NAME?</v>
      </c>
      <c r="N44" s="25" t="e">
        <f ca="1">IF(_xll.EVDES(H44,$B$1)="#NODATA","",_xll.EVDES(H44,$B$1))</f>
        <v>#NAME?</v>
      </c>
      <c r="O44" s="77">
        <v>29045.79</v>
      </c>
      <c r="P44" s="272">
        <v>34901.53</v>
      </c>
      <c r="Q44" s="272">
        <v>73753.33</v>
      </c>
      <c r="R44" s="272">
        <v>38470.370000000003</v>
      </c>
      <c r="S44" s="272">
        <v>16132.03</v>
      </c>
      <c r="T44" s="272">
        <v>32468.01</v>
      </c>
      <c r="U44" s="272">
        <v>18281.759999999998</v>
      </c>
      <c r="V44" s="272">
        <v>18980.04</v>
      </c>
      <c r="W44" s="272">
        <v>17393.57</v>
      </c>
      <c r="X44" s="272">
        <v>23218.3</v>
      </c>
      <c r="Y44" s="272">
        <v>34769.050000000003</v>
      </c>
      <c r="Z44" s="272">
        <v>28607.78</v>
      </c>
      <c r="AA44" s="272">
        <f t="shared" si="0"/>
        <v>366021.55999999994</v>
      </c>
      <c r="AB44" s="79" t="str">
        <f t="shared" ca="1" si="1"/>
        <v/>
      </c>
      <c r="AD44" s="78">
        <v>463149.29</v>
      </c>
      <c r="AE44" s="79" t="str">
        <f t="shared" ca="1" si="2"/>
        <v/>
      </c>
      <c r="AF44" s="80">
        <f t="shared" si="3"/>
        <v>-97127.73000000004</v>
      </c>
      <c r="AG44" s="80">
        <v>431690.63</v>
      </c>
      <c r="AH44" s="79" t="str">
        <f t="shared" ca="1" si="5"/>
        <v/>
      </c>
      <c r="AI44" s="293">
        <f t="shared" si="4"/>
        <v>-65669.070000000065</v>
      </c>
    </row>
    <row r="45" spans="1:35" x14ac:dyDescent="0.25">
      <c r="A45" s="6" t="s">
        <v>42</v>
      </c>
      <c r="B45" s="7"/>
      <c r="H45" s="15" t="s">
        <v>129</v>
      </c>
      <c r="I45" s="26" t="e">
        <f ca="1">_xll.EVPRO($B$1,$H45,"STYLE")</f>
        <v>#NAME?</v>
      </c>
      <c r="J45" s="26" t="e">
        <f ca="1">_xll.EVPRO($B$1,$H45,"CALC")</f>
        <v>#NAME?</v>
      </c>
      <c r="K45" s="26"/>
      <c r="L45" s="26" t="e">
        <f ca="1">_xll.EVPRO($B$1,H45,"JDEID")</f>
        <v>#NAME?</v>
      </c>
      <c r="M45" s="162" t="e">
        <f ca="1">IF(AND(I45="N",J45="N"),_xll.EVPRO($B$1,H45,"PSFTID"),"")</f>
        <v>#NAME?</v>
      </c>
      <c r="N45" s="26" t="e">
        <f ca="1">IF(_xll.EVDES(H45,$B$1)="#NODATA","",_xll.EVDES(H45,$B$1))</f>
        <v>#NAME?</v>
      </c>
      <c r="O45" s="89">
        <v>9207.7900000000009</v>
      </c>
      <c r="P45" s="273">
        <v>17933.95</v>
      </c>
      <c r="Q45" s="273">
        <v>23534.61</v>
      </c>
      <c r="R45" s="273">
        <v>15379.37</v>
      </c>
      <c r="S45" s="273">
        <v>2047.04</v>
      </c>
      <c r="T45" s="273">
        <v>6835.53</v>
      </c>
      <c r="U45" s="273">
        <v>8954.2800000000007</v>
      </c>
      <c r="V45" s="273">
        <v>5309.6</v>
      </c>
      <c r="W45" s="273">
        <v>6603.13</v>
      </c>
      <c r="X45" s="273">
        <v>7327.83</v>
      </c>
      <c r="Y45" s="273">
        <v>2492.9</v>
      </c>
      <c r="Z45" s="273">
        <v>6700.82</v>
      </c>
      <c r="AA45" s="273">
        <f t="shared" si="0"/>
        <v>112326.85</v>
      </c>
      <c r="AB45" s="91" t="str">
        <f t="shared" ca="1" si="1"/>
        <v/>
      </c>
      <c r="AD45" s="90">
        <v>52446.65</v>
      </c>
      <c r="AE45" s="91" t="str">
        <f t="shared" ca="1" si="2"/>
        <v/>
      </c>
      <c r="AF45" s="92">
        <f t="shared" si="3"/>
        <v>59880.200000000004</v>
      </c>
      <c r="AG45" s="92">
        <v>84065.26</v>
      </c>
      <c r="AH45" s="91" t="str">
        <f t="shared" ca="1" si="5"/>
        <v/>
      </c>
      <c r="AI45" s="294">
        <f t="shared" si="4"/>
        <v>28261.590000000011</v>
      </c>
    </row>
    <row r="46" spans="1:35" x14ac:dyDescent="0.25">
      <c r="A46" s="6" t="s">
        <v>43</v>
      </c>
      <c r="B46" s="7"/>
      <c r="H46" s="15" t="s">
        <v>130</v>
      </c>
      <c r="I46" s="26" t="e">
        <f ca="1">_xll.EVPRO($B$1,$H46,"STYLE")</f>
        <v>#NAME?</v>
      </c>
      <c r="J46" s="26" t="e">
        <f ca="1">_xll.EVPRO($B$1,$H46,"CALC")</f>
        <v>#NAME?</v>
      </c>
      <c r="K46" s="26"/>
      <c r="L46" s="26" t="e">
        <f ca="1">_xll.EVPRO($B$1,H46,"JDEID")</f>
        <v>#NAME?</v>
      </c>
      <c r="M46" s="162" t="e">
        <f ca="1">IF(AND(I46="N",J46="N"),_xll.EVPRO($B$1,H46,"PSFTID"),"")</f>
        <v>#NAME?</v>
      </c>
      <c r="N46" s="26" t="e">
        <f ca="1">IF(_xll.EVDES(H46,$B$1)="#NODATA","",_xll.EVDES(H46,$B$1))</f>
        <v>#NAME?</v>
      </c>
      <c r="O46" s="89">
        <v>18382</v>
      </c>
      <c r="P46" s="273">
        <v>13804.58</v>
      </c>
      <c r="Q46" s="273">
        <v>26994.28</v>
      </c>
      <c r="R46" s="273">
        <v>16892.2</v>
      </c>
      <c r="S46" s="273">
        <v>7921.65</v>
      </c>
      <c r="T46" s="273">
        <v>7706.46</v>
      </c>
      <c r="U46" s="273">
        <v>2868.21</v>
      </c>
      <c r="V46" s="273">
        <v>10578.44</v>
      </c>
      <c r="W46" s="273">
        <v>8640.44</v>
      </c>
      <c r="X46" s="273">
        <v>13718.86</v>
      </c>
      <c r="Y46" s="273">
        <v>18065.439999999999</v>
      </c>
      <c r="Z46" s="273">
        <v>6481.96</v>
      </c>
      <c r="AA46" s="273">
        <f t="shared" si="0"/>
        <v>152054.51999999999</v>
      </c>
      <c r="AB46" s="91" t="str">
        <f t="shared" ca="1" si="1"/>
        <v/>
      </c>
      <c r="AD46" s="90">
        <v>165469.07999999999</v>
      </c>
      <c r="AE46" s="91" t="str">
        <f t="shared" ca="1" si="2"/>
        <v/>
      </c>
      <c r="AF46" s="92">
        <f t="shared" si="3"/>
        <v>-13414.559999999998</v>
      </c>
      <c r="AG46" s="92">
        <v>137876.87</v>
      </c>
      <c r="AH46" s="91" t="str">
        <f t="shared" ca="1" si="5"/>
        <v/>
      </c>
      <c r="AI46" s="294">
        <f t="shared" si="4"/>
        <v>14177.649999999994</v>
      </c>
    </row>
    <row r="47" spans="1:35" x14ac:dyDescent="0.25">
      <c r="A47" s="6" t="s">
        <v>44</v>
      </c>
      <c r="B47" s="7"/>
      <c r="H47" s="15" t="s">
        <v>131</v>
      </c>
      <c r="I47" s="26" t="e">
        <f ca="1">_xll.EVPRO($B$1,$H47,"STYLE")</f>
        <v>#NAME?</v>
      </c>
      <c r="J47" s="26" t="e">
        <f ca="1">_xll.EVPRO($B$1,$H47,"CALC")</f>
        <v>#NAME?</v>
      </c>
      <c r="K47" s="26"/>
      <c r="L47" s="26" t="e">
        <f ca="1">_xll.EVPRO($B$1,H47,"JDEID")</f>
        <v>#NAME?</v>
      </c>
      <c r="M47" s="162" t="e">
        <f ca="1">IF(AND(I47="N",J47="N"),_xll.EVPRO($B$1,H47,"PSFTID"),"")</f>
        <v>#NAME?</v>
      </c>
      <c r="N47" s="26" t="e">
        <f ca="1">IF(_xll.EVDES(H47,$B$1)="#NODATA","",_xll.EVDES(H47,$B$1))</f>
        <v>#NAME?</v>
      </c>
      <c r="O47" s="89">
        <v>1456</v>
      </c>
      <c r="P47" s="273">
        <v>3163</v>
      </c>
      <c r="Q47" s="273">
        <v>23224.44</v>
      </c>
      <c r="R47" s="273">
        <v>6198.8</v>
      </c>
      <c r="S47" s="273">
        <v>6163.34</v>
      </c>
      <c r="T47" s="273">
        <v>17926.02</v>
      </c>
      <c r="U47" s="273">
        <v>6459.27</v>
      </c>
      <c r="V47" s="273">
        <v>3092</v>
      </c>
      <c r="W47" s="273">
        <v>2150</v>
      </c>
      <c r="X47" s="273">
        <v>2171.61</v>
      </c>
      <c r="Y47" s="273">
        <v>14210.71</v>
      </c>
      <c r="Z47" s="273">
        <v>15425</v>
      </c>
      <c r="AA47" s="273">
        <f t="shared" si="0"/>
        <v>101640.19</v>
      </c>
      <c r="AB47" s="91" t="str">
        <f t="shared" ca="1" si="1"/>
        <v/>
      </c>
      <c r="AD47" s="90">
        <v>245233.56</v>
      </c>
      <c r="AE47" s="91" t="str">
        <f t="shared" ca="1" si="2"/>
        <v/>
      </c>
      <c r="AF47" s="92">
        <f t="shared" si="3"/>
        <v>-143593.37</v>
      </c>
      <c r="AG47" s="92">
        <v>209748.5</v>
      </c>
      <c r="AH47" s="91" t="str">
        <f t="shared" ca="1" si="5"/>
        <v/>
      </c>
      <c r="AI47" s="294">
        <f t="shared" si="4"/>
        <v>-108108.31</v>
      </c>
    </row>
    <row r="48" spans="1:35" x14ac:dyDescent="0.25">
      <c r="A48" s="6" t="s">
        <v>45</v>
      </c>
      <c r="B48" s="7"/>
      <c r="H48" s="15" t="s">
        <v>86</v>
      </c>
      <c r="I48" s="28" t="e">
        <f ca="1">_xll.EVPRO($B$1,$H48,"STYLE")</f>
        <v>#NAME?</v>
      </c>
      <c r="J48" s="28" t="e">
        <f ca="1">_xll.EVPRO($B$1,$H48,"CALC")</f>
        <v>#NAME?</v>
      </c>
      <c r="K48" s="119"/>
      <c r="L48" s="25" t="e">
        <f ca="1">_xll.EVPRO($B$1,H48,"JDEID")</f>
        <v>#NAME?</v>
      </c>
      <c r="M48" s="162" t="e">
        <f ca="1">IF(AND(I48="N",J48="N"),_xll.EVPRO($B$1,H48,"PSFTID"),"")</f>
        <v>#NAME?</v>
      </c>
      <c r="N48" s="25" t="e">
        <f ca="1">IF(_xll.EVDES(H48,$B$1)="#NODATA","",_xll.EVDES(H48,$B$1))</f>
        <v>#NAME?</v>
      </c>
      <c r="O48" s="77">
        <v>12897.45</v>
      </c>
      <c r="P48" s="272">
        <v>13772.79</v>
      </c>
      <c r="Q48" s="272">
        <v>19137.62</v>
      </c>
      <c r="R48" s="272">
        <v>19722.97</v>
      </c>
      <c r="S48" s="272">
        <v>6273.83</v>
      </c>
      <c r="T48" s="272">
        <v>9065.98</v>
      </c>
      <c r="U48" s="272">
        <v>19315.46</v>
      </c>
      <c r="V48" s="272">
        <v>17526.02</v>
      </c>
      <c r="W48" s="272">
        <v>11783.75</v>
      </c>
      <c r="X48" s="272">
        <v>14355.46</v>
      </c>
      <c r="Y48" s="272">
        <v>21457.599999999999</v>
      </c>
      <c r="Z48" s="272">
        <v>12188.2</v>
      </c>
      <c r="AA48" s="272">
        <f t="shared" si="0"/>
        <v>177497.13000000003</v>
      </c>
      <c r="AB48" s="79" t="str">
        <f t="shared" ca="1" si="1"/>
        <v/>
      </c>
      <c r="AD48" s="78">
        <v>280730.15999999997</v>
      </c>
      <c r="AE48" s="79" t="str">
        <f t="shared" ca="1" si="2"/>
        <v/>
      </c>
      <c r="AF48" s="80">
        <f t="shared" si="3"/>
        <v>-103233.02999999994</v>
      </c>
      <c r="AG48" s="80">
        <v>170733.47</v>
      </c>
      <c r="AH48" s="79" t="str">
        <f t="shared" ca="1" si="5"/>
        <v/>
      </c>
      <c r="AI48" s="293">
        <f t="shared" si="4"/>
        <v>6763.6600000000326</v>
      </c>
    </row>
    <row r="49" spans="1:35" x14ac:dyDescent="0.25">
      <c r="A49" s="6" t="s">
        <v>46</v>
      </c>
      <c r="B49" s="7"/>
      <c r="H49" s="15" t="s">
        <v>132</v>
      </c>
      <c r="I49" s="26" t="e">
        <f ca="1">_xll.EVPRO($B$1,$H49,"STYLE")</f>
        <v>#NAME?</v>
      </c>
      <c r="J49" s="26" t="e">
        <f ca="1">_xll.EVPRO($B$1,$H49,"CALC")</f>
        <v>#NAME?</v>
      </c>
      <c r="K49" s="26"/>
      <c r="L49" s="26" t="e">
        <f ca="1">_xll.EVPRO($B$1,H49,"JDEID")</f>
        <v>#NAME?</v>
      </c>
      <c r="M49" s="162" t="e">
        <f ca="1">IF(AND(I49="N",J49="N"),_xll.EVPRO($B$1,H49,"PSFTID"),"")</f>
        <v>#NAME?</v>
      </c>
      <c r="N49" s="26" t="e">
        <f ca="1">IF(_xll.EVDES(H49,$B$1)="#NODATA","",_xll.EVDES(H49,$B$1))</f>
        <v>#NAME?</v>
      </c>
      <c r="O49" s="89">
        <v>7737.45</v>
      </c>
      <c r="P49" s="273">
        <v>9472.7900000000009</v>
      </c>
      <c r="Q49" s="273">
        <v>16557.62</v>
      </c>
      <c r="R49" s="273">
        <v>17608.97</v>
      </c>
      <c r="S49" s="273">
        <v>4008.83</v>
      </c>
      <c r="T49" s="273">
        <v>8071.98</v>
      </c>
      <c r="U49" s="273">
        <v>16759.46</v>
      </c>
      <c r="V49" s="273">
        <v>17100.02</v>
      </c>
      <c r="W49" s="273">
        <v>11499.75</v>
      </c>
      <c r="X49" s="273">
        <v>13172.46</v>
      </c>
      <c r="Y49" s="273">
        <v>14697.6</v>
      </c>
      <c r="Z49" s="273">
        <v>9823.2000000000007</v>
      </c>
      <c r="AA49" s="273">
        <f t="shared" si="0"/>
        <v>146510.13000000003</v>
      </c>
      <c r="AB49" s="91" t="str">
        <f t="shared" ca="1" si="1"/>
        <v/>
      </c>
      <c r="AD49" s="90">
        <v>244874.16</v>
      </c>
      <c r="AE49" s="91" t="str">
        <f t="shared" ca="1" si="2"/>
        <v/>
      </c>
      <c r="AF49" s="92">
        <f t="shared" si="3"/>
        <v>-98364.02999999997</v>
      </c>
      <c r="AG49" s="92">
        <v>158194.47</v>
      </c>
      <c r="AH49" s="91" t="str">
        <f t="shared" ca="1" si="5"/>
        <v/>
      </c>
      <c r="AI49" s="294">
        <f t="shared" si="4"/>
        <v>-11684.339999999967</v>
      </c>
    </row>
    <row r="50" spans="1:35" x14ac:dyDescent="0.25">
      <c r="H50" s="15" t="s">
        <v>133</v>
      </c>
      <c r="I50" s="26" t="e">
        <f ca="1">_xll.EVPRO($B$1,$H50,"STYLE")</f>
        <v>#NAME?</v>
      </c>
      <c r="J50" s="26" t="e">
        <f ca="1">_xll.EVPRO($B$1,$H50,"CALC")</f>
        <v>#NAME?</v>
      </c>
      <c r="K50" s="26"/>
      <c r="L50" s="26" t="e">
        <f ca="1">_xll.EVPRO($B$1,H50,"JDEID")</f>
        <v>#NAME?</v>
      </c>
      <c r="M50" s="162" t="e">
        <f ca="1">IF(AND(I50="N",J50="N"),_xll.EVPRO($B$1,H50,"PSFTID"),"")</f>
        <v>#NAME?</v>
      </c>
      <c r="N50" s="26" t="e">
        <f ca="1">IF(_xll.EVDES(H50,$B$1)="#NODATA","",_xll.EVDES(H50,$B$1))</f>
        <v>#NAME?</v>
      </c>
      <c r="O50" s="89">
        <v>5160</v>
      </c>
      <c r="P50" s="273">
        <v>4300</v>
      </c>
      <c r="Q50" s="273">
        <v>2580</v>
      </c>
      <c r="R50" s="273">
        <v>2114</v>
      </c>
      <c r="S50" s="273">
        <v>2265</v>
      </c>
      <c r="T50" s="273">
        <v>994</v>
      </c>
      <c r="U50" s="273">
        <v>2556</v>
      </c>
      <c r="V50" s="273">
        <v>426</v>
      </c>
      <c r="W50" s="273">
        <v>284</v>
      </c>
      <c r="X50" s="273">
        <v>1183</v>
      </c>
      <c r="Y50" s="273">
        <v>6760</v>
      </c>
      <c r="Z50" s="273">
        <v>2365</v>
      </c>
      <c r="AA50" s="273">
        <f t="shared" si="0"/>
        <v>30987</v>
      </c>
      <c r="AB50" s="91" t="str">
        <f t="shared" ca="1" si="1"/>
        <v/>
      </c>
      <c r="AD50" s="90">
        <v>35856</v>
      </c>
      <c r="AE50" s="91" t="str">
        <f t="shared" ca="1" si="2"/>
        <v/>
      </c>
      <c r="AF50" s="92">
        <f t="shared" si="3"/>
        <v>-4869</v>
      </c>
      <c r="AG50" s="92">
        <v>12539</v>
      </c>
      <c r="AH50" s="91" t="str">
        <f t="shared" ca="1" si="5"/>
        <v/>
      </c>
      <c r="AI50" s="294">
        <f t="shared" si="4"/>
        <v>18448</v>
      </c>
    </row>
    <row r="51" spans="1:35" x14ac:dyDescent="0.25">
      <c r="H51" s="15" t="s">
        <v>65</v>
      </c>
      <c r="I51" s="28" t="e">
        <f ca="1">_xll.EVPRO($B$1,$H51,"STYLE")</f>
        <v>#NAME?</v>
      </c>
      <c r="J51" s="28" t="e">
        <f ca="1">_xll.EVPRO($B$1,$H51,"CALC")</f>
        <v>#NAME?</v>
      </c>
      <c r="K51" s="119"/>
      <c r="L51" s="25" t="e">
        <f ca="1">_xll.EVPRO($B$1,H51,"JDEID")</f>
        <v>#NAME?</v>
      </c>
      <c r="M51" s="162" t="e">
        <f ca="1">IF(AND(I51="N",J51="N"),_xll.EVPRO($B$1,H51,"PSFTID"),"")</f>
        <v>#NAME?</v>
      </c>
      <c r="N51" s="25" t="e">
        <f ca="1">IF(_xll.EVDES(H51,$B$1)="#NODATA","",_xll.EVDES(H51,$B$1))</f>
        <v>#NAME?</v>
      </c>
      <c r="O51" s="85">
        <v>28182.16</v>
      </c>
      <c r="P51" s="274">
        <v>15615.17</v>
      </c>
      <c r="Q51" s="274">
        <v>86710.27</v>
      </c>
      <c r="R51" s="274">
        <v>85758.27</v>
      </c>
      <c r="S51" s="274">
        <v>50316.57</v>
      </c>
      <c r="T51" s="274">
        <v>62175.48</v>
      </c>
      <c r="U51" s="274">
        <v>58692.39</v>
      </c>
      <c r="V51" s="274">
        <v>59986.87</v>
      </c>
      <c r="W51" s="274">
        <v>27140.560000000001</v>
      </c>
      <c r="X51" s="274">
        <v>32925.74</v>
      </c>
      <c r="Y51" s="274">
        <v>40050.120000000003</v>
      </c>
      <c r="Z51" s="274">
        <v>71125.86</v>
      </c>
      <c r="AA51" s="274">
        <f t="shared" si="0"/>
        <v>618679.46</v>
      </c>
      <c r="AB51" s="87" t="str">
        <f t="shared" ca="1" si="1"/>
        <v/>
      </c>
      <c r="AD51" s="86">
        <v>621721</v>
      </c>
      <c r="AE51" s="87" t="str">
        <f t="shared" ca="1" si="2"/>
        <v/>
      </c>
      <c r="AF51" s="88">
        <f t="shared" si="3"/>
        <v>-3041.5400000000373</v>
      </c>
      <c r="AG51" s="88">
        <v>468968.04</v>
      </c>
      <c r="AH51" s="87" t="str">
        <f t="shared" ca="1" si="5"/>
        <v/>
      </c>
      <c r="AI51" s="295">
        <f t="shared" si="4"/>
        <v>149711.41999999998</v>
      </c>
    </row>
    <row r="52" spans="1:35" x14ac:dyDescent="0.25">
      <c r="H52" s="15" t="s">
        <v>66</v>
      </c>
      <c r="I52" s="28" t="e">
        <f ca="1">_xll.EVPRO($B$1,$H52,"STYLE")</f>
        <v>#NAME?</v>
      </c>
      <c r="J52" s="28" t="e">
        <f ca="1">_xll.EVPRO($B$1,$H52,"CALC")</f>
        <v>#NAME?</v>
      </c>
      <c r="K52" s="119"/>
      <c r="L52" s="25" t="e">
        <f ca="1">_xll.EVPRO($B$1,H52,"JDEID")</f>
        <v>#NAME?</v>
      </c>
      <c r="M52" s="162" t="e">
        <f ca="1">IF(AND(I52="N",J52="N"),_xll.EVPRO($B$1,H52,"PSFTID"),"")</f>
        <v>#NAME?</v>
      </c>
      <c r="N52" s="25" t="e">
        <f ca="1">IF(_xll.EVDES(H52,$B$1)="#NODATA","",_xll.EVDES(H52,$B$1))</f>
        <v>#NAME?</v>
      </c>
      <c r="O52" s="153">
        <v>874038.46</v>
      </c>
      <c r="P52" s="275">
        <v>1009220.73</v>
      </c>
      <c r="Q52" s="275">
        <v>1041620.27</v>
      </c>
      <c r="R52" s="275">
        <v>842415.3</v>
      </c>
      <c r="S52" s="275">
        <v>640111.80000000005</v>
      </c>
      <c r="T52" s="275">
        <v>567405.57999999996</v>
      </c>
      <c r="U52" s="275">
        <v>615850.23</v>
      </c>
      <c r="V52" s="275">
        <v>485242.81</v>
      </c>
      <c r="W52" s="275">
        <v>413503.8</v>
      </c>
      <c r="X52" s="275">
        <v>531187.31999999995</v>
      </c>
      <c r="Y52" s="275">
        <v>544075.18999999994</v>
      </c>
      <c r="Z52" s="275">
        <v>930675.02</v>
      </c>
      <c r="AA52" s="275">
        <f t="shared" si="0"/>
        <v>8495346.5099999979</v>
      </c>
      <c r="AB52" s="154" t="str">
        <f t="shared" ca="1" si="1"/>
        <v/>
      </c>
      <c r="AD52" s="155">
        <v>9982102.0500000007</v>
      </c>
      <c r="AE52" s="154" t="str">
        <f t="shared" ca="1" si="2"/>
        <v/>
      </c>
      <c r="AF52" s="156">
        <f t="shared" si="3"/>
        <v>-1486755.5400000028</v>
      </c>
      <c r="AG52" s="156">
        <v>9909844.4399999995</v>
      </c>
      <c r="AH52" s="154" t="str">
        <f t="shared" ca="1" si="5"/>
        <v/>
      </c>
      <c r="AI52" s="296">
        <f t="shared" si="4"/>
        <v>-1414497.9300000016</v>
      </c>
    </row>
    <row r="53" spans="1:35" x14ac:dyDescent="0.25">
      <c r="H53" s="15" t="s">
        <v>175</v>
      </c>
      <c r="I53" s="28" t="e">
        <f ca="1">_xll.EVPRO($B$1,$H53,"STYLE")</f>
        <v>#NAME?</v>
      </c>
      <c r="J53" s="28" t="e">
        <f ca="1">_xll.EVPRO($B$1,$H53,"CALC")</f>
        <v>#NAME?</v>
      </c>
      <c r="K53" s="119"/>
      <c r="L53" s="25" t="e">
        <f ca="1">_xll.EVPRO($B$1,H53,"JDEID")</f>
        <v>#NAME?</v>
      </c>
      <c r="M53" s="162" t="e">
        <f ca="1">IF(AND(I53="N",J53="N"),_xll.EVPRO($B$1,H53,"PSFTID"),"")</f>
        <v>#NAME?</v>
      </c>
      <c r="N53" s="25" t="e">
        <f ca="1">IF(_xll.EVDES(H53,$B$1)="#NODATA","",_xll.EVDES(H53,$B$1))</f>
        <v>#NAME?</v>
      </c>
      <c r="O53" s="81"/>
      <c r="P53" s="276"/>
      <c r="Q53" s="276"/>
      <c r="R53" s="276"/>
      <c r="S53" s="276"/>
      <c r="T53" s="276"/>
      <c r="U53" s="276"/>
      <c r="V53" s="276"/>
      <c r="W53" s="276"/>
      <c r="X53" s="276"/>
      <c r="Y53" s="276"/>
      <c r="Z53" s="276"/>
      <c r="AA53" s="276"/>
      <c r="AB53" s="83" t="str">
        <f t="shared" si="1"/>
        <v/>
      </c>
      <c r="AD53" s="82"/>
      <c r="AE53" s="83" t="str">
        <f t="shared" si="2"/>
        <v/>
      </c>
      <c r="AF53" s="84" t="str">
        <f t="shared" si="3"/>
        <v/>
      </c>
      <c r="AG53" s="84"/>
      <c r="AH53" s="83" t="str">
        <f t="shared" si="5"/>
        <v/>
      </c>
      <c r="AI53" s="297" t="str">
        <f t="shared" si="4"/>
        <v/>
      </c>
    </row>
    <row r="54" spans="1:35" x14ac:dyDescent="0.25">
      <c r="H54" s="15" t="s">
        <v>87</v>
      </c>
      <c r="I54" s="28" t="e">
        <f ca="1">_xll.EVPRO($B$1,$H54,"STYLE")</f>
        <v>#NAME?</v>
      </c>
      <c r="J54" s="28" t="e">
        <f ca="1">_xll.EVPRO($B$1,$H54,"CALC")</f>
        <v>#NAME?</v>
      </c>
      <c r="K54" s="119"/>
      <c r="L54" s="25" t="e">
        <f ca="1">_xll.EVPRO($B$1,H54,"JDEID")</f>
        <v>#NAME?</v>
      </c>
      <c r="M54" s="162" t="e">
        <f ca="1">IF(AND(I54="N",J54="N"),_xll.EVPRO($B$1,H54,"PSFTID"),"")</f>
        <v>#NAME?</v>
      </c>
      <c r="N54" s="25" t="e">
        <f ca="1">IF(_xll.EVDES(H54,$B$1)="#NODATA","",_xll.EVDES(H54,$B$1))</f>
        <v>#NAME?</v>
      </c>
      <c r="O54" s="77">
        <v>188372</v>
      </c>
      <c r="P54" s="272">
        <v>185434.97</v>
      </c>
      <c r="Q54" s="272">
        <v>118614.47</v>
      </c>
      <c r="R54" s="272">
        <v>44425.82</v>
      </c>
      <c r="S54" s="272">
        <v>176450.39</v>
      </c>
      <c r="T54" s="272">
        <v>16615</v>
      </c>
      <c r="U54" s="272">
        <v>2067</v>
      </c>
      <c r="V54" s="272">
        <v>3549</v>
      </c>
      <c r="W54" s="272">
        <v>5699</v>
      </c>
      <c r="X54" s="272">
        <v>46527.3</v>
      </c>
      <c r="Y54" s="272">
        <v>92828.82</v>
      </c>
      <c r="Z54" s="272">
        <v>201989</v>
      </c>
      <c r="AA54" s="272">
        <f t="shared" ref="AA54:AA69" si="6">SUM(O54:Z54)</f>
        <v>1082572.77</v>
      </c>
      <c r="AB54" s="79" t="str">
        <f t="shared" ca="1" si="1"/>
        <v/>
      </c>
      <c r="AD54" s="78">
        <v>1330422.3</v>
      </c>
      <c r="AE54" s="79" t="str">
        <f t="shared" ca="1" si="2"/>
        <v/>
      </c>
      <c r="AF54" s="80">
        <f t="shared" si="3"/>
        <v>-247849.53000000003</v>
      </c>
      <c r="AG54" s="80">
        <v>1152221.83</v>
      </c>
      <c r="AH54" s="79" t="str">
        <f t="shared" ca="1" si="5"/>
        <v/>
      </c>
      <c r="AI54" s="293">
        <f t="shared" si="4"/>
        <v>-69649.060000000056</v>
      </c>
    </row>
    <row r="55" spans="1:35" x14ac:dyDescent="0.25">
      <c r="H55" s="15" t="s">
        <v>134</v>
      </c>
      <c r="I55" s="26" t="e">
        <f ca="1">_xll.EVPRO($B$1,$H55,"STYLE")</f>
        <v>#NAME?</v>
      </c>
      <c r="J55" s="26" t="e">
        <f ca="1">_xll.EVPRO($B$1,$H55,"CALC")</f>
        <v>#NAME?</v>
      </c>
      <c r="K55" s="26"/>
      <c r="L55" s="26" t="e">
        <f ca="1">_xll.EVPRO($B$1,H55,"JDEID")</f>
        <v>#NAME?</v>
      </c>
      <c r="M55" s="162" t="e">
        <f ca="1">IF(AND(I55="N",J55="N"),_xll.EVPRO($B$1,H55,"PSFTID"),"")</f>
        <v>#NAME?</v>
      </c>
      <c r="N55" s="26" t="e">
        <f ca="1">IF(_xll.EVDES(H55,$B$1)="#NODATA","",_xll.EVDES(H55,$B$1))</f>
        <v>#NAME?</v>
      </c>
      <c r="O55" s="89">
        <v>181224</v>
      </c>
      <c r="P55" s="273">
        <v>99637</v>
      </c>
      <c r="Q55" s="273">
        <v>59051.46</v>
      </c>
      <c r="R55" s="273">
        <v>32714.82</v>
      </c>
      <c r="S55" s="273">
        <v>176450.39</v>
      </c>
      <c r="T55" s="273">
        <v>10446</v>
      </c>
      <c r="U55" s="273">
        <v>2067</v>
      </c>
      <c r="V55" s="273"/>
      <c r="W55" s="273">
        <v>5699</v>
      </c>
      <c r="X55" s="273">
        <v>46527.3</v>
      </c>
      <c r="Y55" s="273">
        <v>92828.82</v>
      </c>
      <c r="Z55" s="273">
        <v>185438</v>
      </c>
      <c r="AA55" s="273">
        <f t="shared" si="6"/>
        <v>892083.79</v>
      </c>
      <c r="AB55" s="91" t="str">
        <f t="shared" ca="1" si="1"/>
        <v/>
      </c>
      <c r="AD55" s="90">
        <v>887485.12</v>
      </c>
      <c r="AE55" s="91" t="str">
        <f t="shared" ca="1" si="2"/>
        <v/>
      </c>
      <c r="AF55" s="92">
        <f t="shared" si="3"/>
        <v>4598.6700000000419</v>
      </c>
      <c r="AG55" s="92">
        <v>740337.83</v>
      </c>
      <c r="AH55" s="91" t="str">
        <f t="shared" ca="1" si="5"/>
        <v/>
      </c>
      <c r="AI55" s="294">
        <f t="shared" si="4"/>
        <v>151745.96000000008</v>
      </c>
    </row>
    <row r="56" spans="1:35" x14ac:dyDescent="0.25">
      <c r="G56" s="14"/>
      <c r="H56" s="15" t="s">
        <v>135</v>
      </c>
      <c r="I56" s="26" t="e">
        <f ca="1">_xll.EVPRO($B$1,$H56,"STYLE")</f>
        <v>#NAME?</v>
      </c>
      <c r="J56" s="26" t="e">
        <f ca="1">_xll.EVPRO($B$1,$H56,"CALC")</f>
        <v>#NAME?</v>
      </c>
      <c r="K56" s="26"/>
      <c r="L56" s="26" t="e">
        <f ca="1">_xll.EVPRO($B$1,H56,"JDEID")</f>
        <v>#NAME?</v>
      </c>
      <c r="M56" s="162" t="e">
        <f ca="1">IF(AND(I56="N",J56="N"),_xll.EVPRO($B$1,H56,"PSFTID"),"")</f>
        <v>#NAME?</v>
      </c>
      <c r="N56" s="26" t="e">
        <f ca="1">IF(_xll.EVDES(H56,$B$1)="#NODATA","",_xll.EVDES(H56,$B$1))</f>
        <v>#NAME?</v>
      </c>
      <c r="O56" s="89">
        <v>7148</v>
      </c>
      <c r="P56" s="273">
        <v>85797.97</v>
      </c>
      <c r="Q56" s="273">
        <v>59563.01</v>
      </c>
      <c r="R56" s="273">
        <v>11711</v>
      </c>
      <c r="S56" s="273"/>
      <c r="T56" s="273">
        <v>6169</v>
      </c>
      <c r="U56" s="273"/>
      <c r="V56" s="273">
        <v>3549</v>
      </c>
      <c r="W56" s="273"/>
      <c r="X56" s="273"/>
      <c r="Y56" s="273"/>
      <c r="Z56" s="273">
        <v>16551</v>
      </c>
      <c r="AA56" s="273">
        <f t="shared" si="6"/>
        <v>190488.98</v>
      </c>
      <c r="AB56" s="91" t="str">
        <f t="shared" ca="1" si="1"/>
        <v/>
      </c>
      <c r="AD56" s="90">
        <v>442937.18</v>
      </c>
      <c r="AE56" s="91" t="str">
        <f t="shared" ca="1" si="2"/>
        <v/>
      </c>
      <c r="AF56" s="92">
        <f t="shared" si="3"/>
        <v>-252448.19999999998</v>
      </c>
      <c r="AG56" s="92">
        <v>411884</v>
      </c>
      <c r="AH56" s="91" t="str">
        <f t="shared" ca="1" si="5"/>
        <v/>
      </c>
      <c r="AI56" s="294">
        <f t="shared" si="4"/>
        <v>-221395.02</v>
      </c>
    </row>
    <row r="57" spans="1:35" x14ac:dyDescent="0.25">
      <c r="H57" s="15" t="s">
        <v>88</v>
      </c>
      <c r="I57" s="28" t="e">
        <f ca="1">_xll.EVPRO($B$1,$H57,"STYLE")</f>
        <v>#NAME?</v>
      </c>
      <c r="J57" s="28" t="e">
        <f ca="1">_xll.EVPRO($B$1,$H57,"CALC")</f>
        <v>#NAME?</v>
      </c>
      <c r="K57" s="119"/>
      <c r="L57" s="25" t="e">
        <f ca="1">_xll.EVPRO($B$1,H57,"JDEID")</f>
        <v>#NAME?</v>
      </c>
      <c r="M57" s="162" t="e">
        <f ca="1">IF(AND(I57="N",J57="N"),_xll.EVPRO($B$1,H57,"PSFTID"),"")</f>
        <v>#NAME?</v>
      </c>
      <c r="N57" s="25" t="e">
        <f ca="1">IF(_xll.EVDES(H57,$B$1)="#NODATA","",_xll.EVDES(H57,$B$1))</f>
        <v>#NAME?</v>
      </c>
      <c r="O57" s="77"/>
      <c r="P57" s="272"/>
      <c r="Q57" s="272"/>
      <c r="R57" s="272">
        <v>5133</v>
      </c>
      <c r="S57" s="272"/>
      <c r="T57" s="272">
        <v>32469</v>
      </c>
      <c r="U57" s="272">
        <v>0.06</v>
      </c>
      <c r="V57" s="272">
        <v>0.1</v>
      </c>
      <c r="W57" s="272">
        <v>0.04</v>
      </c>
      <c r="X57" s="272">
        <v>0.2</v>
      </c>
      <c r="Y57" s="272">
        <v>498.29</v>
      </c>
      <c r="Z57" s="272">
        <v>0.26</v>
      </c>
      <c r="AA57" s="272">
        <f t="shared" si="6"/>
        <v>38100.949999999997</v>
      </c>
      <c r="AB57" s="79" t="str">
        <f t="shared" ca="1" si="1"/>
        <v/>
      </c>
      <c r="AD57" s="78">
        <v>147592.14000000001</v>
      </c>
      <c r="AE57" s="79" t="str">
        <f t="shared" ca="1" si="2"/>
        <v/>
      </c>
      <c r="AF57" s="80">
        <f t="shared" si="3"/>
        <v>-109491.19000000002</v>
      </c>
      <c r="AG57" s="80">
        <v>70104</v>
      </c>
      <c r="AH57" s="79" t="str">
        <f t="shared" ca="1" si="5"/>
        <v/>
      </c>
      <c r="AI57" s="293">
        <f t="shared" si="4"/>
        <v>-32003.050000000003</v>
      </c>
    </row>
    <row r="58" spans="1:35" x14ac:dyDescent="0.25">
      <c r="H58" s="15" t="s">
        <v>136</v>
      </c>
      <c r="I58" s="26" t="e">
        <f ca="1">_xll.EVPRO($B$1,$H58,"STYLE")</f>
        <v>#NAME?</v>
      </c>
      <c r="J58" s="26" t="e">
        <f ca="1">_xll.EVPRO($B$1,$H58,"CALC")</f>
        <v>#NAME?</v>
      </c>
      <c r="K58" s="26"/>
      <c r="L58" s="26" t="e">
        <f ca="1">_xll.EVPRO($B$1,H58,"JDEID")</f>
        <v>#NAME?</v>
      </c>
      <c r="M58" s="162" t="e">
        <f ca="1">IF(AND(I58="N",J58="N"),_xll.EVPRO($B$1,H58,"PSFTID"),"")</f>
        <v>#NAME?</v>
      </c>
      <c r="N58" s="26" t="e">
        <f ca="1">IF(_xll.EVDES(H58,$B$1)="#NODATA","",_xll.EVDES(H58,$B$1))</f>
        <v>#NAME?</v>
      </c>
      <c r="O58" s="89"/>
      <c r="P58" s="273"/>
      <c r="Q58" s="273"/>
      <c r="R58" s="273"/>
      <c r="S58" s="273"/>
      <c r="T58" s="273">
        <v>12473</v>
      </c>
      <c r="U58" s="273">
        <v>0.06</v>
      </c>
      <c r="V58" s="273">
        <v>0.1</v>
      </c>
      <c r="W58" s="273">
        <v>0.04</v>
      </c>
      <c r="X58" s="273">
        <v>0.2</v>
      </c>
      <c r="Y58" s="273">
        <v>498.29</v>
      </c>
      <c r="Z58" s="273">
        <v>0.26</v>
      </c>
      <c r="AA58" s="273">
        <f t="shared" si="6"/>
        <v>12971.950000000003</v>
      </c>
      <c r="AB58" s="91" t="str">
        <f t="shared" ca="1" si="1"/>
        <v/>
      </c>
      <c r="AD58" s="90">
        <v>122319.34</v>
      </c>
      <c r="AE58" s="91" t="str">
        <f t="shared" ca="1" si="2"/>
        <v/>
      </c>
      <c r="AF58" s="92">
        <f t="shared" si="3"/>
        <v>-109347.39</v>
      </c>
      <c r="AG58" s="92">
        <v>47353</v>
      </c>
      <c r="AH58" s="91" t="str">
        <f t="shared" ca="1" si="5"/>
        <v/>
      </c>
      <c r="AI58" s="294">
        <f t="shared" si="4"/>
        <v>-34381.049999999996</v>
      </c>
    </row>
    <row r="59" spans="1:35" x14ac:dyDescent="0.25">
      <c r="H59" s="15" t="s">
        <v>137</v>
      </c>
      <c r="I59" s="26" t="e">
        <f ca="1">_xll.EVPRO($B$1,$H59,"STYLE")</f>
        <v>#NAME?</v>
      </c>
      <c r="J59" s="26" t="e">
        <f ca="1">_xll.EVPRO($B$1,$H59,"CALC")</f>
        <v>#NAME?</v>
      </c>
      <c r="K59" s="26"/>
      <c r="L59" s="26" t="e">
        <f ca="1">_xll.EVPRO($B$1,H59,"JDEID")</f>
        <v>#NAME?</v>
      </c>
      <c r="M59" s="162" t="e">
        <f ca="1">IF(AND(I59="N",J59="N"),_xll.EVPRO($B$1,H59,"PSFTID"),"")</f>
        <v>#NAME?</v>
      </c>
      <c r="N59" s="26" t="e">
        <f ca="1">IF(_xll.EVDES(H59,$B$1)="#NODATA","",_xll.EVDES(H59,$B$1))</f>
        <v>#NAME?</v>
      </c>
      <c r="O59" s="89"/>
      <c r="P59" s="273"/>
      <c r="Q59" s="273"/>
      <c r="R59" s="273">
        <v>5133</v>
      </c>
      <c r="S59" s="273"/>
      <c r="T59" s="273">
        <v>19996</v>
      </c>
      <c r="U59" s="273"/>
      <c r="V59" s="273"/>
      <c r="W59" s="273"/>
      <c r="X59" s="273"/>
      <c r="Y59" s="273"/>
      <c r="Z59" s="273"/>
      <c r="AA59" s="273">
        <f t="shared" si="6"/>
        <v>25129</v>
      </c>
      <c r="AB59" s="91" t="str">
        <f t="shared" ca="1" si="1"/>
        <v/>
      </c>
      <c r="AD59" s="90">
        <v>25272.799999999999</v>
      </c>
      <c r="AE59" s="91" t="str">
        <f t="shared" ca="1" si="2"/>
        <v/>
      </c>
      <c r="AF59" s="92">
        <f t="shared" si="3"/>
        <v>-143.79999999999927</v>
      </c>
      <c r="AG59" s="92">
        <v>22751</v>
      </c>
      <c r="AH59" s="91" t="str">
        <f t="shared" ca="1" si="5"/>
        <v/>
      </c>
      <c r="AI59" s="294">
        <f t="shared" si="4"/>
        <v>2378</v>
      </c>
    </row>
    <row r="60" spans="1:35" x14ac:dyDescent="0.25">
      <c r="H60" s="15" t="s">
        <v>89</v>
      </c>
      <c r="I60" s="28" t="e">
        <f ca="1">_xll.EVPRO($B$1,$H60,"STYLE")</f>
        <v>#NAME?</v>
      </c>
      <c r="J60" s="28" t="e">
        <f ca="1">_xll.EVPRO($B$1,$H60,"CALC")</f>
        <v>#NAME?</v>
      </c>
      <c r="K60" s="119"/>
      <c r="L60" s="25" t="e">
        <f ca="1">_xll.EVPRO($B$1,H60,"JDEID")</f>
        <v>#NAME?</v>
      </c>
      <c r="M60" s="162" t="e">
        <f ca="1">IF(AND(I60="N",J60="N"),_xll.EVPRO($B$1,H60,"PSFTID"),"")</f>
        <v>#NAME?</v>
      </c>
      <c r="N60" s="25" t="e">
        <f ca="1">IF(_xll.EVDES(H60,$B$1)="#NODATA","",_xll.EVDES(H60,$B$1))</f>
        <v>#NAME?</v>
      </c>
      <c r="O60" s="77"/>
      <c r="P60" s="272"/>
      <c r="Q60" s="272"/>
      <c r="R60" s="272"/>
      <c r="S60" s="272"/>
      <c r="T60" s="272"/>
      <c r="U60" s="272"/>
      <c r="V60" s="272"/>
      <c r="W60" s="272"/>
      <c r="X60" s="272"/>
      <c r="Y60" s="272"/>
      <c r="Z60" s="272"/>
      <c r="AA60" s="272">
        <f t="shared" si="6"/>
        <v>0</v>
      </c>
      <c r="AB60" s="79" t="str">
        <f t="shared" si="1"/>
        <v/>
      </c>
      <c r="AD60" s="78"/>
      <c r="AE60" s="79" t="str">
        <f t="shared" si="2"/>
        <v/>
      </c>
      <c r="AF60" s="80">
        <f t="shared" si="3"/>
        <v>0</v>
      </c>
      <c r="AG60" s="80"/>
      <c r="AH60" s="79" t="str">
        <f t="shared" si="5"/>
        <v/>
      </c>
      <c r="AI60" s="293">
        <f t="shared" si="4"/>
        <v>0</v>
      </c>
    </row>
    <row r="61" spans="1:35" x14ac:dyDescent="0.25">
      <c r="H61" s="15" t="s">
        <v>90</v>
      </c>
      <c r="I61" s="28" t="e">
        <f ca="1">_xll.EVPRO($B$1,$H61,"STYLE")</f>
        <v>#NAME?</v>
      </c>
      <c r="J61" s="28" t="e">
        <f ca="1">_xll.EVPRO($B$1,$H61,"CALC")</f>
        <v>#NAME?</v>
      </c>
      <c r="K61" s="119"/>
      <c r="L61" s="25" t="e">
        <f ca="1">_xll.EVPRO($B$1,H61,"JDEID")</f>
        <v>#NAME?</v>
      </c>
      <c r="M61" s="162" t="e">
        <f ca="1">IF(AND(I61="N",J61="N"),_xll.EVPRO($B$1,H61,"PSFTID"),"")</f>
        <v>#NAME?</v>
      </c>
      <c r="N61" s="25" t="e">
        <f ca="1">IF(_xll.EVDES(H61,$B$1)="#NODATA","",_xll.EVDES(H61,$B$1))</f>
        <v>#NAME?</v>
      </c>
      <c r="O61" s="77"/>
      <c r="P61" s="272"/>
      <c r="Q61" s="272"/>
      <c r="R61" s="272"/>
      <c r="S61" s="272"/>
      <c r="T61" s="272"/>
      <c r="U61" s="272"/>
      <c r="V61" s="272"/>
      <c r="W61" s="272"/>
      <c r="X61" s="272"/>
      <c r="Y61" s="272"/>
      <c r="Z61" s="272"/>
      <c r="AA61" s="272">
        <f t="shared" si="6"/>
        <v>0</v>
      </c>
      <c r="AB61" s="79" t="str">
        <f t="shared" si="1"/>
        <v/>
      </c>
      <c r="AD61" s="78"/>
      <c r="AE61" s="79" t="str">
        <f t="shared" si="2"/>
        <v/>
      </c>
      <c r="AF61" s="80">
        <f t="shared" si="3"/>
        <v>0</v>
      </c>
      <c r="AG61" s="80"/>
      <c r="AH61" s="79" t="str">
        <f t="shared" si="5"/>
        <v/>
      </c>
      <c r="AI61" s="293">
        <f t="shared" si="4"/>
        <v>0</v>
      </c>
    </row>
    <row r="62" spans="1:35" x14ac:dyDescent="0.25">
      <c r="H62" s="15" t="s">
        <v>138</v>
      </c>
      <c r="I62" s="26" t="e">
        <f ca="1">_xll.EVPRO($B$1,$H62,"STYLE")</f>
        <v>#NAME?</v>
      </c>
      <c r="J62" s="26" t="e">
        <f ca="1">_xll.EVPRO($B$1,$H62,"CALC")</f>
        <v>#NAME?</v>
      </c>
      <c r="K62" s="26"/>
      <c r="L62" s="26" t="e">
        <f ca="1">_xll.EVPRO($B$1,H62,"JDEID")</f>
        <v>#NAME?</v>
      </c>
      <c r="M62" s="162" t="e">
        <f ca="1">IF(AND(I62="N",J62="N"),_xll.EVPRO($B$1,H62,"PSFTID"),"")</f>
        <v>#NAME?</v>
      </c>
      <c r="N62" s="26" t="e">
        <f ca="1">IF(_xll.EVDES(H62,$B$1)="#NODATA","",_xll.EVDES(H62,$B$1))</f>
        <v>#NAME?</v>
      </c>
      <c r="O62" s="89"/>
      <c r="P62" s="273"/>
      <c r="Q62" s="273"/>
      <c r="R62" s="273"/>
      <c r="S62" s="273"/>
      <c r="T62" s="273"/>
      <c r="U62" s="273"/>
      <c r="V62" s="273"/>
      <c r="W62" s="273"/>
      <c r="X62" s="273"/>
      <c r="Y62" s="273"/>
      <c r="Z62" s="273"/>
      <c r="AA62" s="273">
        <f t="shared" si="6"/>
        <v>0</v>
      </c>
      <c r="AB62" s="91" t="str">
        <f t="shared" si="1"/>
        <v/>
      </c>
      <c r="AD62" s="90"/>
      <c r="AE62" s="91" t="str">
        <f t="shared" si="2"/>
        <v/>
      </c>
      <c r="AF62" s="92">
        <f t="shared" si="3"/>
        <v>0</v>
      </c>
      <c r="AG62" s="92"/>
      <c r="AH62" s="91" t="str">
        <f t="shared" si="5"/>
        <v/>
      </c>
      <c r="AI62" s="294">
        <f t="shared" si="4"/>
        <v>0</v>
      </c>
    </row>
    <row r="63" spans="1:35" x14ac:dyDescent="0.25">
      <c r="H63" s="15" t="s">
        <v>139</v>
      </c>
      <c r="I63" s="26" t="e">
        <f ca="1">_xll.EVPRO($B$1,$H63,"STYLE")</f>
        <v>#NAME?</v>
      </c>
      <c r="J63" s="26" t="e">
        <f ca="1">_xll.EVPRO($B$1,$H63,"CALC")</f>
        <v>#NAME?</v>
      </c>
      <c r="K63" s="26"/>
      <c r="L63" s="26" t="e">
        <f ca="1">_xll.EVPRO($B$1,H63,"JDEID")</f>
        <v>#NAME?</v>
      </c>
      <c r="M63" s="162" t="e">
        <f ca="1">IF(AND(I63="N",J63="N"),_xll.EVPRO($B$1,H63,"PSFTID"),"")</f>
        <v>#NAME?</v>
      </c>
      <c r="N63" s="26" t="e">
        <f ca="1">IF(_xll.EVDES(H63,$B$1)="#NODATA","",_xll.EVDES(H63,$B$1))</f>
        <v>#NAME?</v>
      </c>
      <c r="O63" s="89"/>
      <c r="P63" s="273"/>
      <c r="Q63" s="273"/>
      <c r="R63" s="273"/>
      <c r="S63" s="273"/>
      <c r="T63" s="273"/>
      <c r="U63" s="273"/>
      <c r="V63" s="273"/>
      <c r="W63" s="273"/>
      <c r="X63" s="273"/>
      <c r="Y63" s="273"/>
      <c r="Z63" s="273"/>
      <c r="AA63" s="273">
        <f t="shared" si="6"/>
        <v>0</v>
      </c>
      <c r="AB63" s="91" t="str">
        <f t="shared" si="1"/>
        <v/>
      </c>
      <c r="AD63" s="90"/>
      <c r="AE63" s="91" t="str">
        <f t="shared" si="2"/>
        <v/>
      </c>
      <c r="AF63" s="92">
        <f t="shared" si="3"/>
        <v>0</v>
      </c>
      <c r="AG63" s="92"/>
      <c r="AH63" s="91" t="str">
        <f t="shared" si="5"/>
        <v/>
      </c>
      <c r="AI63" s="294">
        <f t="shared" si="4"/>
        <v>0</v>
      </c>
    </row>
    <row r="64" spans="1:35" x14ac:dyDescent="0.25">
      <c r="H64" s="15" t="s">
        <v>68</v>
      </c>
      <c r="I64" s="28" t="e">
        <f ca="1">_xll.EVPRO($B$1,$H64,"STYLE")</f>
        <v>#NAME?</v>
      </c>
      <c r="J64" s="28" t="e">
        <f ca="1">_xll.EVPRO($B$1,$H64,"CALC")</f>
        <v>#NAME?</v>
      </c>
      <c r="K64" s="119"/>
      <c r="L64" s="25" t="e">
        <f ca="1">_xll.EVPRO($B$1,H64,"JDEID")</f>
        <v>#NAME?</v>
      </c>
      <c r="M64" s="162" t="e">
        <f ca="1">IF(AND(I64="N",J64="N"),_xll.EVPRO($B$1,H64,"PSFTID"),"")</f>
        <v>#NAME?</v>
      </c>
      <c r="N64" s="25" t="e">
        <f ca="1">IF(_xll.EVDES(H64,$B$1)="#NODATA","",_xll.EVDES(H64,$B$1))</f>
        <v>#NAME?</v>
      </c>
      <c r="O64" s="85">
        <v>20190</v>
      </c>
      <c r="P64" s="274">
        <v>1914</v>
      </c>
      <c r="Q64" s="274"/>
      <c r="R64" s="274">
        <v>3237</v>
      </c>
      <c r="S64" s="274"/>
      <c r="T64" s="274">
        <v>11405</v>
      </c>
      <c r="U64" s="274"/>
      <c r="V64" s="274">
        <v>6416</v>
      </c>
      <c r="W64" s="274">
        <v>5936</v>
      </c>
      <c r="X64" s="274">
        <v>1611</v>
      </c>
      <c r="Y64" s="274">
        <v>23431.68</v>
      </c>
      <c r="Z64" s="274">
        <v>2561.9899999999998</v>
      </c>
      <c r="AA64" s="274">
        <f t="shared" si="6"/>
        <v>76702.67</v>
      </c>
      <c r="AB64" s="87" t="str">
        <f t="shared" ca="1" si="1"/>
        <v/>
      </c>
      <c r="AD64" s="86">
        <v>118126.67</v>
      </c>
      <c r="AE64" s="87" t="str">
        <f t="shared" ca="1" si="2"/>
        <v/>
      </c>
      <c r="AF64" s="88">
        <f t="shared" si="3"/>
        <v>-41424</v>
      </c>
      <c r="AG64" s="88">
        <v>88455.47</v>
      </c>
      <c r="AH64" s="87" t="str">
        <f t="shared" ca="1" si="5"/>
        <v/>
      </c>
      <c r="AI64" s="295">
        <f t="shared" si="4"/>
        <v>-11752.800000000003</v>
      </c>
    </row>
    <row r="65" spans="7:35" x14ac:dyDescent="0.25">
      <c r="H65" s="15" t="s">
        <v>64</v>
      </c>
      <c r="I65" s="28" t="e">
        <f ca="1">_xll.EVPRO($B$1,$H65,"STYLE")</f>
        <v>#NAME?</v>
      </c>
      <c r="J65" s="28" t="e">
        <f ca="1">_xll.EVPRO($B$1,$H65,"CALC")</f>
        <v>#NAME?</v>
      </c>
      <c r="K65" s="119"/>
      <c r="L65" s="25" t="e">
        <f ca="1">_xll.EVPRO($B$1,H65,"JDEID")</f>
        <v>#NAME?</v>
      </c>
      <c r="M65" s="162" t="e">
        <f ca="1">IF(AND(I65="N",J65="N"),_xll.EVPRO($B$1,H65,"PSFTID"),"")</f>
        <v>#NAME?</v>
      </c>
      <c r="N65" s="25" t="e">
        <f ca="1">IF(_xll.EVDES(H65,$B$1)="#NODATA","",_xll.EVDES(H65,$B$1))</f>
        <v>#NAME?</v>
      </c>
      <c r="O65" s="153">
        <v>208562</v>
      </c>
      <c r="P65" s="275">
        <v>187348.97</v>
      </c>
      <c r="Q65" s="275">
        <v>118614.47</v>
      </c>
      <c r="R65" s="275">
        <v>52795.82</v>
      </c>
      <c r="S65" s="275">
        <v>176450.39</v>
      </c>
      <c r="T65" s="275">
        <v>60489</v>
      </c>
      <c r="U65" s="275">
        <v>2067.06</v>
      </c>
      <c r="V65" s="275">
        <v>9965.1</v>
      </c>
      <c r="W65" s="275">
        <v>11635.04</v>
      </c>
      <c r="X65" s="275">
        <v>48138.5</v>
      </c>
      <c r="Y65" s="275">
        <v>116758.79</v>
      </c>
      <c r="Z65" s="275">
        <v>204551.25</v>
      </c>
      <c r="AA65" s="275">
        <f t="shared" si="6"/>
        <v>1197376.3900000001</v>
      </c>
      <c r="AB65" s="154" t="str">
        <f t="shared" ca="1" si="1"/>
        <v/>
      </c>
      <c r="AD65" s="155">
        <v>1596141.11</v>
      </c>
      <c r="AE65" s="154" t="str">
        <f t="shared" ca="1" si="2"/>
        <v/>
      </c>
      <c r="AF65" s="156">
        <f t="shared" si="3"/>
        <v>-398764.72</v>
      </c>
      <c r="AG65" s="156">
        <v>1310781.3</v>
      </c>
      <c r="AH65" s="154" t="str">
        <f t="shared" ca="1" si="5"/>
        <v/>
      </c>
      <c r="AI65" s="296">
        <f t="shared" si="4"/>
        <v>-113404.90999999992</v>
      </c>
    </row>
    <row r="66" spans="7:35" x14ac:dyDescent="0.25">
      <c r="H66" s="15" t="s">
        <v>140</v>
      </c>
      <c r="I66" s="26" t="e">
        <f ca="1">_xll.EVPRO($B$1,$H66,"STYLE")</f>
        <v>#NAME?</v>
      </c>
      <c r="J66" s="26" t="e">
        <f ca="1">_xll.EVPRO($B$1,$H66,"CALC")</f>
        <v>#NAME?</v>
      </c>
      <c r="K66" s="26"/>
      <c r="L66" s="26" t="e">
        <f ca="1">_xll.EVPRO($B$1,H66,"JDEID")</f>
        <v>#NAME?</v>
      </c>
      <c r="M66" s="162" t="e">
        <f ca="1">IF(AND(I66="N",J66="N"),_xll.EVPRO($B$1,H66,"PSFTID"),"")</f>
        <v>#NAME?</v>
      </c>
      <c r="N66" s="26" t="e">
        <f ca="1">IF(_xll.EVDES(H66,$B$1)="#NODATA","",_xll.EVDES(H66,$B$1))</f>
        <v>#NAME?</v>
      </c>
      <c r="O66" s="93"/>
      <c r="P66" s="277"/>
      <c r="Q66" s="277"/>
      <c r="R66" s="277"/>
      <c r="S66" s="277"/>
      <c r="T66" s="277"/>
      <c r="U66" s="277"/>
      <c r="V66" s="277"/>
      <c r="W66" s="277"/>
      <c r="X66" s="277"/>
      <c r="Y66" s="277"/>
      <c r="Z66" s="277"/>
      <c r="AA66" s="277">
        <f t="shared" si="6"/>
        <v>0</v>
      </c>
      <c r="AB66" s="94" t="str">
        <f t="shared" si="1"/>
        <v/>
      </c>
      <c r="AD66" s="75"/>
      <c r="AE66" s="94" t="str">
        <f t="shared" si="2"/>
        <v/>
      </c>
      <c r="AF66" s="95">
        <f t="shared" si="3"/>
        <v>0</v>
      </c>
      <c r="AG66" s="95"/>
      <c r="AH66" s="94" t="str">
        <f t="shared" si="5"/>
        <v/>
      </c>
      <c r="AI66" s="298">
        <f t="shared" si="4"/>
        <v>0</v>
      </c>
    </row>
    <row r="67" spans="7:35" x14ac:dyDescent="0.25">
      <c r="H67" s="15" t="s">
        <v>67</v>
      </c>
      <c r="I67" s="28" t="e">
        <f ca="1">_xll.EVPRO($B$1,$H67,"STYLE")</f>
        <v>#NAME?</v>
      </c>
      <c r="J67" s="28" t="e">
        <f ca="1">_xll.EVPRO($B$1,$H67,"CALC")</f>
        <v>#NAME?</v>
      </c>
      <c r="K67" s="119"/>
      <c r="L67" s="25" t="e">
        <f ca="1">_xll.EVPRO($B$1,H67,"JDEID")</f>
        <v>#NAME?</v>
      </c>
      <c r="M67" s="162" t="e">
        <f ca="1">IF(AND(I67="N",J67="N"),_xll.EVPRO($B$1,H67,"PSFTID"),"")</f>
        <v>#NAME?</v>
      </c>
      <c r="N67" s="25" t="e">
        <f ca="1">IF(_xll.EVDES(H67,$B$1)="#NODATA","",_xll.EVDES(H67,$B$1))</f>
        <v>#NAME?</v>
      </c>
      <c r="O67" s="77">
        <v>5852.09</v>
      </c>
      <c r="P67" s="272">
        <v>8302.25</v>
      </c>
      <c r="Q67" s="272">
        <v>20759.419999999998</v>
      </c>
      <c r="R67" s="272">
        <v>18701.37</v>
      </c>
      <c r="S67" s="272">
        <v>16230.75</v>
      </c>
      <c r="T67" s="272">
        <v>8497.84</v>
      </c>
      <c r="U67" s="272">
        <v>9870.2800000000007</v>
      </c>
      <c r="V67" s="272">
        <v>10152.99</v>
      </c>
      <c r="W67" s="272">
        <v>11777.16</v>
      </c>
      <c r="X67" s="272">
        <v>10992.01</v>
      </c>
      <c r="Y67" s="272">
        <v>12277.5</v>
      </c>
      <c r="Z67" s="272">
        <v>12560.47</v>
      </c>
      <c r="AA67" s="272">
        <f t="shared" si="6"/>
        <v>145974.12999999998</v>
      </c>
      <c r="AB67" s="79" t="str">
        <f t="shared" ca="1" si="1"/>
        <v/>
      </c>
      <c r="AD67" s="78">
        <v>99787.21</v>
      </c>
      <c r="AE67" s="79" t="str">
        <f t="shared" ca="1" si="2"/>
        <v/>
      </c>
      <c r="AF67" s="80">
        <f t="shared" si="3"/>
        <v>46186.919999999969</v>
      </c>
      <c r="AG67" s="80">
        <v>105058.86</v>
      </c>
      <c r="AH67" s="79" t="str">
        <f t="shared" ca="1" si="5"/>
        <v/>
      </c>
      <c r="AI67" s="293">
        <f t="shared" si="4"/>
        <v>40915.269999999975</v>
      </c>
    </row>
    <row r="68" spans="7:35" x14ac:dyDescent="0.25">
      <c r="H68" s="15" t="s">
        <v>91</v>
      </c>
      <c r="I68" s="26" t="e">
        <f ca="1">_xll.EVPRO($B$1,$H68,"STYLE")</f>
        <v>#NAME?</v>
      </c>
      <c r="J68" s="26" t="e">
        <f ca="1">_xll.EVPRO($B$1,$H68,"CALC")</f>
        <v>#NAME?</v>
      </c>
      <c r="K68" s="26"/>
      <c r="L68" s="26" t="e">
        <f ca="1">_xll.EVPRO($B$1,H68,"JDEID")</f>
        <v>#NAME?</v>
      </c>
      <c r="M68" s="162" t="e">
        <f ca="1">IF(AND(I68="N",J68="N"),_xll.EVPRO($B$1,H68,"PSFTID"),"")</f>
        <v>#NAME?</v>
      </c>
      <c r="N68" s="26" t="e">
        <f ca="1">IF(_xll.EVDES(H68,$B$1)="#NODATA","",_xll.EVDES(H68,$B$1))</f>
        <v>#NAME?</v>
      </c>
      <c r="O68" s="96">
        <v>-2078.38</v>
      </c>
      <c r="P68" s="278">
        <v>-911.04</v>
      </c>
      <c r="Q68" s="278">
        <v>-1352.87</v>
      </c>
      <c r="R68" s="278">
        <v>-4383.9799999999996</v>
      </c>
      <c r="S68" s="278">
        <v>-3537.4</v>
      </c>
      <c r="T68" s="278">
        <v>-5312.71</v>
      </c>
      <c r="U68" s="278">
        <v>-2373.9499999999998</v>
      </c>
      <c r="V68" s="278">
        <v>-1055.3800000000001</v>
      </c>
      <c r="W68" s="278">
        <v>-2887.01</v>
      </c>
      <c r="X68" s="278">
        <v>-1679.75</v>
      </c>
      <c r="Y68" s="278">
        <v>-56.05</v>
      </c>
      <c r="Z68" s="278">
        <v>-5075.18</v>
      </c>
      <c r="AA68" s="278">
        <f t="shared" si="6"/>
        <v>-30703.7</v>
      </c>
      <c r="AB68" s="112" t="str">
        <f t="shared" ca="1" si="1"/>
        <v/>
      </c>
      <c r="AD68" s="97">
        <v>-39506</v>
      </c>
      <c r="AE68" s="112" t="str">
        <f t="shared" ca="1" si="2"/>
        <v/>
      </c>
      <c r="AF68" s="98">
        <f t="shared" si="3"/>
        <v>8802.2999999999993</v>
      </c>
      <c r="AG68" s="98">
        <v>-35162.1</v>
      </c>
      <c r="AH68" s="112" t="str">
        <f t="shared" ca="1" si="5"/>
        <v/>
      </c>
      <c r="AI68" s="299">
        <f t="shared" si="4"/>
        <v>4458.3999999999978</v>
      </c>
    </row>
    <row r="69" spans="7:35" x14ac:dyDescent="0.25">
      <c r="G69" s="14"/>
      <c r="H69" s="15" t="s">
        <v>72</v>
      </c>
      <c r="I69" s="28" t="e">
        <f ca="1">_xll.EVPRO($B$1,$H69,"STYLE")</f>
        <v>#NAME?</v>
      </c>
      <c r="J69" s="28" t="e">
        <f ca="1">_xll.EVPRO($B$1,$H69,"CALC")</f>
        <v>#NAME?</v>
      </c>
      <c r="K69" s="119"/>
      <c r="L69" s="25" t="e">
        <f ca="1">_xll.EVPRO($B$1,H69,"JDEID")</f>
        <v>#NAME?</v>
      </c>
      <c r="M69" s="162" t="e">
        <f ca="1">IF(AND(I69="N",J69="N"),_xll.EVPRO($B$1,H69,"PSFTID"),"")</f>
        <v>#NAME?</v>
      </c>
      <c r="N69" s="25" t="e">
        <f ca="1">IF(_xll.EVDES(H69,$B$1)="#NODATA","",_xll.EVDES(H69,$B$1))</f>
        <v>#NAME?</v>
      </c>
      <c r="O69" s="153">
        <v>1086374.17</v>
      </c>
      <c r="P69" s="275">
        <v>1203960.9099999999</v>
      </c>
      <c r="Q69" s="275">
        <v>1179641.29</v>
      </c>
      <c r="R69" s="275">
        <v>909528.51</v>
      </c>
      <c r="S69" s="275">
        <v>829255.54</v>
      </c>
      <c r="T69" s="275">
        <v>631079.71</v>
      </c>
      <c r="U69" s="275">
        <v>625413.62</v>
      </c>
      <c r="V69" s="275">
        <v>504305.52</v>
      </c>
      <c r="W69" s="275">
        <v>434028.99</v>
      </c>
      <c r="X69" s="275">
        <v>588638.07999999996</v>
      </c>
      <c r="Y69" s="275">
        <v>673055.43</v>
      </c>
      <c r="Z69" s="275">
        <v>1142711.56</v>
      </c>
      <c r="AA69" s="275">
        <f t="shared" si="6"/>
        <v>9807993.3300000001</v>
      </c>
      <c r="AB69" s="154" t="str">
        <f t="shared" ca="1" si="1"/>
        <v/>
      </c>
      <c r="AD69" s="155">
        <v>11638524.369999999</v>
      </c>
      <c r="AE69" s="154" t="str">
        <f t="shared" ca="1" si="2"/>
        <v/>
      </c>
      <c r="AF69" s="156">
        <f t="shared" si="3"/>
        <v>-1830531.0399999991</v>
      </c>
      <c r="AG69" s="156">
        <v>11290522.5</v>
      </c>
      <c r="AH69" s="154" t="str">
        <f t="shared" ca="1" si="5"/>
        <v/>
      </c>
      <c r="AI69" s="296">
        <f t="shared" si="4"/>
        <v>-1482529.17</v>
      </c>
    </row>
    <row r="70" spans="7:35" x14ac:dyDescent="0.25">
      <c r="G70" s="14"/>
      <c r="H70" s="73"/>
      <c r="O70" s="53"/>
      <c r="P70" s="54"/>
      <c r="Q70" s="54"/>
      <c r="R70" s="54"/>
      <c r="S70" s="54"/>
      <c r="T70" s="54"/>
      <c r="U70" s="54"/>
      <c r="V70" s="54"/>
      <c r="W70" s="54"/>
      <c r="X70" s="54"/>
      <c r="Y70" s="54"/>
      <c r="Z70" s="54"/>
      <c r="AA70" s="54"/>
      <c r="AB70" s="55"/>
      <c r="AD70" s="53"/>
      <c r="AE70" s="54"/>
      <c r="AF70" s="55"/>
      <c r="AG70" s="53"/>
      <c r="AH70" s="54"/>
      <c r="AI70" s="55"/>
    </row>
    <row r="71" spans="7:35" x14ac:dyDescent="0.25">
      <c r="G71" s="14"/>
      <c r="H71" s="1" t="s">
        <v>173</v>
      </c>
      <c r="I71" s="11" t="e">
        <f ca="1">_xll.EVPRO($B$1,$H71,"STYLE")</f>
        <v>#NAME?</v>
      </c>
      <c r="J71" s="11" t="e">
        <f ca="1">_xll.EVPRO($B$1,$H71,"CALC")</f>
        <v>#NAME?</v>
      </c>
      <c r="N71" s="40" t="e">
        <f ca="1">IF(_xll.EVDES(H71,$B$1)="#NODATA","",_xll.EVDES(H71,$B$1))</f>
        <v>#NAME?</v>
      </c>
      <c r="O71" s="53"/>
      <c r="P71" s="54"/>
      <c r="Q71" s="54"/>
      <c r="R71" s="54"/>
      <c r="S71" s="54"/>
      <c r="T71" s="54"/>
      <c r="U71" s="54"/>
      <c r="V71" s="54"/>
      <c r="W71" s="54"/>
      <c r="X71" s="54"/>
      <c r="Y71" s="54"/>
      <c r="Z71" s="54"/>
      <c r="AA71" s="54"/>
      <c r="AB71" s="308" t="s">
        <v>742</v>
      </c>
      <c r="AD71" s="53"/>
      <c r="AE71" s="54"/>
      <c r="AF71" s="55"/>
      <c r="AG71" s="53"/>
      <c r="AH71" s="54"/>
      <c r="AI71" s="55"/>
    </row>
    <row r="72" spans="7:35" x14ac:dyDescent="0.25">
      <c r="H72" s="15" t="s">
        <v>142</v>
      </c>
      <c r="I72" s="28" t="e">
        <f ca="1">_xll.EVPRO($B$1,$H72,"STYLE")</f>
        <v>#NAME?</v>
      </c>
      <c r="J72" s="28" t="e">
        <f ca="1">_xll.EVPRO($B$1,$H72,"CALC")</f>
        <v>#NAME?</v>
      </c>
      <c r="K72" s="69"/>
      <c r="L72" s="25" t="e">
        <f ca="1">_xll.EVPRO($B$1,H72,"JDEID")</f>
        <v>#NAME?</v>
      </c>
      <c r="M72" s="162" t="e">
        <f ca="1">IF(AND(I72="N",J72="N"),_xll.EVPRO($B$1,H72,"PSFTID"),"")</f>
        <v>#NAME?</v>
      </c>
      <c r="N72" s="25" t="e">
        <f ca="1">IF(_xll.EVDES(H72,$B$1)="#NODATA","",_xll.EVDES(H72,$B$1))</f>
        <v>#NAME?</v>
      </c>
      <c r="O72" s="77">
        <v>1400</v>
      </c>
      <c r="P72" s="272">
        <v>1370</v>
      </c>
      <c r="Q72" s="272">
        <v>1266</v>
      </c>
      <c r="R72" s="272">
        <v>1304</v>
      </c>
      <c r="S72" s="272">
        <v>1130</v>
      </c>
      <c r="T72" s="272">
        <v>1036</v>
      </c>
      <c r="U72" s="272">
        <v>1215</v>
      </c>
      <c r="V72" s="272">
        <v>1344</v>
      </c>
      <c r="W72" s="272">
        <v>1418</v>
      </c>
      <c r="X72" s="272">
        <v>1699</v>
      </c>
      <c r="Y72" s="272">
        <v>1297</v>
      </c>
      <c r="Z72" s="272">
        <v>1581</v>
      </c>
      <c r="AA72" s="272">
        <f t="shared" ref="AA72:AA116" si="7">SUM(O72:Z72)</f>
        <v>16060</v>
      </c>
      <c r="AB72" s="114" t="str">
        <f t="shared" ref="AB72:AB116" ca="1" si="8">IF($H72="907300",TEXT(IFERROR(AA72/AA$20,""),"0.00"),IF(AA72=0,"",IFERROR(AA72/AA$20,"")))</f>
        <v/>
      </c>
      <c r="AD72" s="78">
        <v>13118</v>
      </c>
      <c r="AE72" s="114" t="str">
        <f t="shared" ref="AE72:AE116" ca="1" si="9">IF($H72="907300",TEXT(IFERROR(AD72/AD$20,""),"0.00"),IF(AD72=0,"",IFERROR(AD72/AD$20,"""")))</f>
        <v>"</v>
      </c>
      <c r="AF72" s="80">
        <f t="shared" ref="AF72:AF116" si="10">IF(AND($AA72="",AD72=""),"",$AA72-AD72)</f>
        <v>2942</v>
      </c>
      <c r="AG72" s="80">
        <v>16358</v>
      </c>
      <c r="AH72" s="114" t="str">
        <f ca="1">IF($H72="907300",TEXT(IFERROR(AG72/AG$20,""),"0.00"),IF(AG72=0,"",IFERROR(AG72/AG$20,"""")))</f>
        <v>"</v>
      </c>
      <c r="AI72" s="293">
        <f t="shared" ref="AI72:AI116" si="11">IF(AND($AA72="",AG72=""),"",$AA72-AG72)</f>
        <v>-298</v>
      </c>
    </row>
    <row r="73" spans="7:35" x14ac:dyDescent="0.25">
      <c r="H73" s="15" t="s">
        <v>143</v>
      </c>
      <c r="I73" s="26" t="e">
        <f ca="1">_xll.EVPRO($B$1,$H73,"STYLE")</f>
        <v>#NAME?</v>
      </c>
      <c r="J73" s="26" t="e">
        <f ca="1">_xll.EVPRO($B$1,$H73,"CALC")</f>
        <v>#NAME?</v>
      </c>
      <c r="K73" s="26"/>
      <c r="L73" s="26" t="e">
        <f ca="1">_xll.EVPRO($B$1,H73,"JDEID")</f>
        <v>#NAME?</v>
      </c>
      <c r="M73" s="162" t="e">
        <f ca="1">IF(AND(I73="N",J73="N"),_xll.EVPRO($B$1,H73,"PSFTID"),"")</f>
        <v>#NAME?</v>
      </c>
      <c r="N73" s="26" t="e">
        <f ca="1">IF(_xll.EVDES(H73,$B$1)="#NODATA","",_xll.EVDES(H73,$B$1))</f>
        <v>#NAME?</v>
      </c>
      <c r="O73" s="89">
        <v>149</v>
      </c>
      <c r="P73" s="273">
        <v>231</v>
      </c>
      <c r="Q73" s="273">
        <v>237</v>
      </c>
      <c r="R73" s="273">
        <v>233</v>
      </c>
      <c r="S73" s="273">
        <v>189</v>
      </c>
      <c r="T73" s="273">
        <v>130</v>
      </c>
      <c r="U73" s="273">
        <v>230</v>
      </c>
      <c r="V73" s="273">
        <v>215</v>
      </c>
      <c r="W73" s="273">
        <v>185</v>
      </c>
      <c r="X73" s="273">
        <v>115</v>
      </c>
      <c r="Y73" s="273">
        <v>147</v>
      </c>
      <c r="Z73" s="273">
        <v>287</v>
      </c>
      <c r="AA73" s="273">
        <f t="shared" si="7"/>
        <v>2348</v>
      </c>
      <c r="AB73" s="115" t="str">
        <f t="shared" ca="1" si="8"/>
        <v/>
      </c>
      <c r="AD73" s="90">
        <v>2111</v>
      </c>
      <c r="AE73" s="115" t="str">
        <f t="shared" ca="1" si="9"/>
        <v>"</v>
      </c>
      <c r="AF73" s="92">
        <f t="shared" si="10"/>
        <v>237</v>
      </c>
      <c r="AG73" s="92">
        <v>1806</v>
      </c>
      <c r="AH73" s="115" t="str">
        <f t="shared" ref="AH73:AH116" ca="1" si="12">IF($H73="907300",TEXT(IFERROR(AG73/AG$20,""),"0.00"),IF(AG73=0,"",IFERROR(AG73/AG$20,"""")))</f>
        <v>"</v>
      </c>
      <c r="AI73" s="294">
        <f t="shared" si="11"/>
        <v>542</v>
      </c>
    </row>
    <row r="74" spans="7:35" x14ac:dyDescent="0.25">
      <c r="H74" s="15" t="s">
        <v>144</v>
      </c>
      <c r="I74" s="26" t="e">
        <f ca="1">_xll.EVPRO($B$1,$H74,"STYLE")</f>
        <v>#NAME?</v>
      </c>
      <c r="J74" s="26" t="e">
        <f ca="1">_xll.EVPRO($B$1,$H74,"CALC")</f>
        <v>#NAME?</v>
      </c>
      <c r="K74" s="26"/>
      <c r="L74" s="26" t="e">
        <f ca="1">_xll.EVPRO($B$1,H74,"JDEID")</f>
        <v>#NAME?</v>
      </c>
      <c r="M74" s="162" t="e">
        <f ca="1">IF(AND(I74="N",J74="N"),_xll.EVPRO($B$1,H74,"PSFTID"),"")</f>
        <v>#NAME?</v>
      </c>
      <c r="N74" s="26" t="e">
        <f ca="1">IF(_xll.EVDES(H74,$B$1)="#NODATA","",_xll.EVDES(H74,$B$1))</f>
        <v>#NAME?</v>
      </c>
      <c r="O74" s="89">
        <v>1251</v>
      </c>
      <c r="P74" s="273">
        <v>1139</v>
      </c>
      <c r="Q74" s="273">
        <v>1029</v>
      </c>
      <c r="R74" s="273">
        <v>1071</v>
      </c>
      <c r="S74" s="273">
        <v>941</v>
      </c>
      <c r="T74" s="273">
        <v>906</v>
      </c>
      <c r="U74" s="273">
        <v>985</v>
      </c>
      <c r="V74" s="273">
        <v>1129</v>
      </c>
      <c r="W74" s="273">
        <v>1233</v>
      </c>
      <c r="X74" s="273">
        <v>1584</v>
      </c>
      <c r="Y74" s="273">
        <v>1150</v>
      </c>
      <c r="Z74" s="273">
        <v>1294</v>
      </c>
      <c r="AA74" s="273">
        <f t="shared" si="7"/>
        <v>13712</v>
      </c>
      <c r="AB74" s="115" t="str">
        <f t="shared" ca="1" si="8"/>
        <v/>
      </c>
      <c r="AD74" s="90">
        <v>11007</v>
      </c>
      <c r="AE74" s="115" t="str">
        <f t="shared" ca="1" si="9"/>
        <v>"</v>
      </c>
      <c r="AF74" s="92">
        <f t="shared" si="10"/>
        <v>2705</v>
      </c>
      <c r="AG74" s="92">
        <v>14552</v>
      </c>
      <c r="AH74" s="115" t="str">
        <f t="shared" ca="1" si="12"/>
        <v>"</v>
      </c>
      <c r="AI74" s="294">
        <f t="shared" si="11"/>
        <v>-840</v>
      </c>
    </row>
    <row r="75" spans="7:35" x14ac:dyDescent="0.25">
      <c r="H75" s="15" t="s">
        <v>145</v>
      </c>
      <c r="I75" s="28" t="e">
        <f ca="1">_xll.EVPRO($B$1,$H75,"STYLE")</f>
        <v>#NAME?</v>
      </c>
      <c r="J75" s="28" t="e">
        <f ca="1">_xll.EVPRO($B$1,$H75,"CALC")</f>
        <v>#NAME?</v>
      </c>
      <c r="K75" s="69"/>
      <c r="L75" s="25" t="e">
        <f ca="1">_xll.EVPRO($B$1,H75,"JDEID")</f>
        <v>#NAME?</v>
      </c>
      <c r="M75" s="162" t="e">
        <f ca="1">IF(AND(I75="N",J75="N"),_xll.EVPRO($B$1,H75,"PSFTID"),"")</f>
        <v>#NAME?</v>
      </c>
      <c r="N75" s="25" t="e">
        <f ca="1">IF(_xll.EVDES(H75,$B$1)="#NODATA","",_xll.EVDES(H75,$B$1))</f>
        <v>#NAME?</v>
      </c>
      <c r="O75" s="77">
        <v>1323</v>
      </c>
      <c r="P75" s="272">
        <v>1097</v>
      </c>
      <c r="Q75" s="272">
        <v>1396</v>
      </c>
      <c r="R75" s="272">
        <v>1322</v>
      </c>
      <c r="S75" s="272">
        <v>1219</v>
      </c>
      <c r="T75" s="272">
        <v>1403</v>
      </c>
      <c r="U75" s="272">
        <v>1597</v>
      </c>
      <c r="V75" s="272">
        <v>985</v>
      </c>
      <c r="W75" s="272">
        <v>803</v>
      </c>
      <c r="X75" s="272">
        <v>805</v>
      </c>
      <c r="Y75" s="272">
        <v>727</v>
      </c>
      <c r="Z75" s="272">
        <v>906</v>
      </c>
      <c r="AA75" s="272">
        <f t="shared" si="7"/>
        <v>13583</v>
      </c>
      <c r="AB75" s="114" t="str">
        <f t="shared" ca="1" si="8"/>
        <v/>
      </c>
      <c r="AD75" s="78">
        <v>17026</v>
      </c>
      <c r="AE75" s="114" t="str">
        <f t="shared" ca="1" si="9"/>
        <v>"</v>
      </c>
      <c r="AF75" s="80">
        <f t="shared" si="10"/>
        <v>-3443</v>
      </c>
      <c r="AG75" s="80">
        <v>15450</v>
      </c>
      <c r="AH75" s="114" t="str">
        <f t="shared" ca="1" si="12"/>
        <v>"</v>
      </c>
      <c r="AI75" s="293">
        <f t="shared" si="11"/>
        <v>-1867</v>
      </c>
    </row>
    <row r="76" spans="7:35" x14ac:dyDescent="0.25">
      <c r="G76" s="14"/>
      <c r="H76" s="15" t="s">
        <v>146</v>
      </c>
      <c r="I76" s="26" t="e">
        <f ca="1">_xll.EVPRO($B$1,$H76,"STYLE")</f>
        <v>#NAME?</v>
      </c>
      <c r="J76" s="26" t="e">
        <f ca="1">_xll.EVPRO($B$1,$H76,"CALC")</f>
        <v>#NAME?</v>
      </c>
      <c r="K76" s="26"/>
      <c r="L76" s="26" t="e">
        <f ca="1">_xll.EVPRO($B$1,H76,"JDEID")</f>
        <v>#NAME?</v>
      </c>
      <c r="M76" s="162" t="e">
        <f ca="1">IF(AND(I76="N",J76="N"),_xll.EVPRO($B$1,H76,"PSFTID"),"")</f>
        <v>#NAME?</v>
      </c>
      <c r="N76" s="26" t="e">
        <f ca="1">IF(_xll.EVDES(H76,$B$1)="#NODATA","",_xll.EVDES(H76,$B$1))</f>
        <v>#NAME?</v>
      </c>
      <c r="O76" s="89">
        <v>40</v>
      </c>
      <c r="P76" s="273">
        <v>36</v>
      </c>
      <c r="Q76" s="273">
        <v>26</v>
      </c>
      <c r="R76" s="273">
        <v>24</v>
      </c>
      <c r="S76" s="273">
        <v>48</v>
      </c>
      <c r="T76" s="273">
        <v>35</v>
      </c>
      <c r="U76" s="273">
        <v>56</v>
      </c>
      <c r="V76" s="273">
        <v>20</v>
      </c>
      <c r="W76" s="273">
        <v>22</v>
      </c>
      <c r="X76" s="273">
        <v>3</v>
      </c>
      <c r="Y76" s="273">
        <v>20</v>
      </c>
      <c r="Z76" s="273">
        <v>54</v>
      </c>
      <c r="AA76" s="273">
        <f t="shared" si="7"/>
        <v>384</v>
      </c>
      <c r="AB76" s="115" t="str">
        <f t="shared" ca="1" si="8"/>
        <v/>
      </c>
      <c r="AD76" s="90">
        <v>275</v>
      </c>
      <c r="AE76" s="115" t="str">
        <f t="shared" ca="1" si="9"/>
        <v>"</v>
      </c>
      <c r="AF76" s="92">
        <f t="shared" si="10"/>
        <v>109</v>
      </c>
      <c r="AG76" s="92">
        <v>198</v>
      </c>
      <c r="AH76" s="115" t="str">
        <f t="shared" ca="1" si="12"/>
        <v>"</v>
      </c>
      <c r="AI76" s="294">
        <f t="shared" si="11"/>
        <v>186</v>
      </c>
    </row>
    <row r="77" spans="7:35" x14ac:dyDescent="0.25">
      <c r="G77" s="14"/>
      <c r="H77" s="15" t="s">
        <v>147</v>
      </c>
      <c r="I77" s="26" t="e">
        <f ca="1">_xll.EVPRO($B$1,$H77,"STYLE")</f>
        <v>#NAME?</v>
      </c>
      <c r="J77" s="26" t="e">
        <f ca="1">_xll.EVPRO($B$1,$H77,"CALC")</f>
        <v>#NAME?</v>
      </c>
      <c r="K77" s="26"/>
      <c r="L77" s="26" t="e">
        <f ca="1">_xll.EVPRO($B$1,H77,"JDEID")</f>
        <v>#NAME?</v>
      </c>
      <c r="M77" s="162" t="e">
        <f ca="1">IF(AND(I77="N",J77="N"),_xll.EVPRO($B$1,H77,"PSFTID"),"")</f>
        <v>#NAME?</v>
      </c>
      <c r="N77" s="26" t="e">
        <f ca="1">IF(_xll.EVDES(H77,$B$1)="#NODATA","",_xll.EVDES(H77,$B$1))</f>
        <v>#NAME?</v>
      </c>
      <c r="O77" s="89">
        <v>53</v>
      </c>
      <c r="P77" s="273">
        <v>68</v>
      </c>
      <c r="Q77" s="273">
        <v>49</v>
      </c>
      <c r="R77" s="273">
        <v>43</v>
      </c>
      <c r="S77" s="273">
        <v>73</v>
      </c>
      <c r="T77" s="273">
        <v>84</v>
      </c>
      <c r="U77" s="273">
        <v>152</v>
      </c>
      <c r="V77" s="273">
        <v>79</v>
      </c>
      <c r="W77" s="273">
        <v>58</v>
      </c>
      <c r="X77" s="273">
        <v>38</v>
      </c>
      <c r="Y77" s="273">
        <v>57</v>
      </c>
      <c r="Z77" s="273">
        <v>91</v>
      </c>
      <c r="AA77" s="273">
        <f t="shared" si="7"/>
        <v>845</v>
      </c>
      <c r="AB77" s="115" t="str">
        <f t="shared" ca="1" si="8"/>
        <v/>
      </c>
      <c r="AD77" s="90">
        <v>1545</v>
      </c>
      <c r="AE77" s="115" t="str">
        <f t="shared" ca="1" si="9"/>
        <v>"</v>
      </c>
      <c r="AF77" s="92">
        <f t="shared" si="10"/>
        <v>-700</v>
      </c>
      <c r="AG77" s="92">
        <v>1398</v>
      </c>
      <c r="AH77" s="115" t="str">
        <f t="shared" ca="1" si="12"/>
        <v>"</v>
      </c>
      <c r="AI77" s="294">
        <f t="shared" si="11"/>
        <v>-553</v>
      </c>
    </row>
    <row r="78" spans="7:35" x14ac:dyDescent="0.25">
      <c r="H78" s="15" t="s">
        <v>148</v>
      </c>
      <c r="I78" s="26" t="e">
        <f ca="1">_xll.EVPRO($B$1,$H78,"STYLE")</f>
        <v>#NAME?</v>
      </c>
      <c r="J78" s="26" t="e">
        <f ca="1">_xll.EVPRO($B$1,$H78,"CALC")</f>
        <v>#NAME?</v>
      </c>
      <c r="K78" s="26"/>
      <c r="L78" s="26" t="e">
        <f ca="1">_xll.EVPRO($B$1,H78,"JDEID")</f>
        <v>#NAME?</v>
      </c>
      <c r="M78" s="162" t="e">
        <f ca="1">IF(AND(I78="N",J78="N"),_xll.EVPRO($B$1,H78,"PSFTID"),"")</f>
        <v>#NAME?</v>
      </c>
      <c r="N78" s="26" t="e">
        <f ca="1">IF(_xll.EVDES(H78,$B$1)="#NODATA","",_xll.EVDES(H78,$B$1))</f>
        <v>#NAME?</v>
      </c>
      <c r="O78" s="89">
        <v>631</v>
      </c>
      <c r="P78" s="273">
        <v>276</v>
      </c>
      <c r="Q78" s="273">
        <v>179</v>
      </c>
      <c r="R78" s="273">
        <v>178</v>
      </c>
      <c r="S78" s="273">
        <v>184</v>
      </c>
      <c r="T78" s="273">
        <v>214</v>
      </c>
      <c r="U78" s="273">
        <v>337</v>
      </c>
      <c r="V78" s="273">
        <v>342</v>
      </c>
      <c r="W78" s="273">
        <v>218</v>
      </c>
      <c r="X78" s="273">
        <v>167</v>
      </c>
      <c r="Y78" s="273">
        <v>164</v>
      </c>
      <c r="Z78" s="273">
        <v>161</v>
      </c>
      <c r="AA78" s="273">
        <f t="shared" si="7"/>
        <v>3051</v>
      </c>
      <c r="AB78" s="115" t="str">
        <f t="shared" ca="1" si="8"/>
        <v/>
      </c>
      <c r="AD78" s="90">
        <v>2291</v>
      </c>
      <c r="AE78" s="115" t="str">
        <f t="shared" ca="1" si="9"/>
        <v>"</v>
      </c>
      <c r="AF78" s="92">
        <f t="shared" si="10"/>
        <v>760</v>
      </c>
      <c r="AG78" s="92">
        <v>3070</v>
      </c>
      <c r="AH78" s="115" t="str">
        <f t="shared" ca="1" si="12"/>
        <v>"</v>
      </c>
      <c r="AI78" s="294">
        <f t="shared" si="11"/>
        <v>-19</v>
      </c>
    </row>
    <row r="79" spans="7:35" x14ac:dyDescent="0.25">
      <c r="H79" s="15" t="s">
        <v>149</v>
      </c>
      <c r="I79" s="26" t="e">
        <f ca="1">_xll.EVPRO($B$1,$H79,"STYLE")</f>
        <v>#NAME?</v>
      </c>
      <c r="J79" s="26" t="e">
        <f ca="1">_xll.EVPRO($B$1,$H79,"CALC")</f>
        <v>#NAME?</v>
      </c>
      <c r="K79" s="26"/>
      <c r="L79" s="26" t="e">
        <f ca="1">_xll.EVPRO($B$1,H79,"JDEID")</f>
        <v>#NAME?</v>
      </c>
      <c r="M79" s="162" t="e">
        <f ca="1">IF(AND(I79="N",J79="N"),_xll.EVPRO($B$1,H79,"PSFTID"),"")</f>
        <v>#NAME?</v>
      </c>
      <c r="N79" s="26" t="e">
        <f ca="1">IF(_xll.EVDES(H79,$B$1)="#NODATA","",_xll.EVDES(H79,$B$1))</f>
        <v>#NAME?</v>
      </c>
      <c r="O79" s="89">
        <v>51</v>
      </c>
      <c r="P79" s="273">
        <v>25</v>
      </c>
      <c r="Q79" s="273">
        <v>62</v>
      </c>
      <c r="R79" s="273">
        <v>55</v>
      </c>
      <c r="S79" s="273">
        <v>53</v>
      </c>
      <c r="T79" s="273">
        <v>82</v>
      </c>
      <c r="U79" s="273">
        <v>305</v>
      </c>
      <c r="V79" s="273">
        <v>136</v>
      </c>
      <c r="W79" s="273">
        <v>13</v>
      </c>
      <c r="X79" s="273">
        <v>6</v>
      </c>
      <c r="Y79" s="273">
        <v>7</v>
      </c>
      <c r="Z79" s="273">
        <v>47</v>
      </c>
      <c r="AA79" s="273">
        <f t="shared" si="7"/>
        <v>842</v>
      </c>
      <c r="AB79" s="115" t="str">
        <f t="shared" ca="1" si="8"/>
        <v/>
      </c>
      <c r="AD79" s="90">
        <v>6030</v>
      </c>
      <c r="AE79" s="115" t="str">
        <f t="shared" ca="1" si="9"/>
        <v>"</v>
      </c>
      <c r="AF79" s="92">
        <f t="shared" si="10"/>
        <v>-5188</v>
      </c>
      <c r="AG79" s="92">
        <v>3752</v>
      </c>
      <c r="AH79" s="115" t="str">
        <f t="shared" ca="1" si="12"/>
        <v>"</v>
      </c>
      <c r="AI79" s="294">
        <f t="shared" si="11"/>
        <v>-2910</v>
      </c>
    </row>
    <row r="80" spans="7:35" x14ac:dyDescent="0.25">
      <c r="H80" s="15" t="s">
        <v>150</v>
      </c>
      <c r="I80" s="26" t="e">
        <f ca="1">_xll.EVPRO($B$1,$H80,"STYLE")</f>
        <v>#NAME?</v>
      </c>
      <c r="J80" s="26" t="e">
        <f ca="1">_xll.EVPRO($B$1,$H80,"CALC")</f>
        <v>#NAME?</v>
      </c>
      <c r="K80" s="26"/>
      <c r="L80" s="26" t="e">
        <f ca="1">_xll.EVPRO($B$1,H80,"JDEID")</f>
        <v>#NAME?</v>
      </c>
      <c r="M80" s="162" t="e">
        <f ca="1">IF(AND(I80="N",J80="N"),_xll.EVPRO($B$1,H80,"PSFTID"),"")</f>
        <v>#NAME?</v>
      </c>
      <c r="N80" s="26" t="e">
        <f ca="1">IF(_xll.EVDES(H80,$B$1)="#NODATA","",_xll.EVDES(H80,$B$1))</f>
        <v>#NAME?</v>
      </c>
      <c r="O80" s="89">
        <v>548</v>
      </c>
      <c r="P80" s="273">
        <v>692</v>
      </c>
      <c r="Q80" s="273">
        <v>1080</v>
      </c>
      <c r="R80" s="273">
        <v>1022</v>
      </c>
      <c r="S80" s="273">
        <v>861</v>
      </c>
      <c r="T80" s="273">
        <v>988</v>
      </c>
      <c r="U80" s="273">
        <v>747</v>
      </c>
      <c r="V80" s="273">
        <v>408</v>
      </c>
      <c r="W80" s="273">
        <v>492</v>
      </c>
      <c r="X80" s="273">
        <v>591</v>
      </c>
      <c r="Y80" s="273">
        <v>479</v>
      </c>
      <c r="Z80" s="273">
        <v>553</v>
      </c>
      <c r="AA80" s="273">
        <f t="shared" si="7"/>
        <v>8461</v>
      </c>
      <c r="AB80" s="115" t="str">
        <f t="shared" ca="1" si="8"/>
        <v/>
      </c>
      <c r="AD80" s="90">
        <v>6885</v>
      </c>
      <c r="AE80" s="115" t="str">
        <f t="shared" ca="1" si="9"/>
        <v>"</v>
      </c>
      <c r="AF80" s="92">
        <f t="shared" si="10"/>
        <v>1576</v>
      </c>
      <c r="AG80" s="92">
        <v>7032</v>
      </c>
      <c r="AH80" s="115" t="str">
        <f t="shared" ca="1" si="12"/>
        <v>"</v>
      </c>
      <c r="AI80" s="294">
        <f t="shared" si="11"/>
        <v>1429</v>
      </c>
    </row>
    <row r="81" spans="8:35" x14ac:dyDescent="0.25">
      <c r="H81" s="15" t="s">
        <v>151</v>
      </c>
      <c r="I81" s="26" t="e">
        <f ca="1">_xll.EVPRO($B$1,$H81,"STYLE")</f>
        <v>#NAME?</v>
      </c>
      <c r="J81" s="26" t="e">
        <f ca="1">_xll.EVPRO($B$1,$H81,"CALC")</f>
        <v>#NAME?</v>
      </c>
      <c r="K81" s="26"/>
      <c r="L81" s="26" t="e">
        <f ca="1">_xll.EVPRO($B$1,H81,"JDEID")</f>
        <v>#NAME?</v>
      </c>
      <c r="M81" s="162" t="e">
        <f ca="1">IF(AND(I81="N",J81="N"),_xll.EVPRO($B$1,H81,"PSFTID"),"")</f>
        <v>#NAME?</v>
      </c>
      <c r="N81" s="26" t="e">
        <f ca="1">IF(_xll.EVDES(H81,$B$1)="#NODATA","",_xll.EVDES(H81,$B$1))</f>
        <v>#NAME?</v>
      </c>
      <c r="O81" s="89"/>
      <c r="P81" s="273"/>
      <c r="Q81" s="273"/>
      <c r="R81" s="273"/>
      <c r="S81" s="273"/>
      <c r="T81" s="273"/>
      <c r="U81" s="273"/>
      <c r="V81" s="273"/>
      <c r="W81" s="273"/>
      <c r="X81" s="273"/>
      <c r="Y81" s="273"/>
      <c r="Z81" s="273"/>
      <c r="AA81" s="273">
        <f t="shared" si="7"/>
        <v>0</v>
      </c>
      <c r="AB81" s="115" t="str">
        <f t="shared" si="8"/>
        <v/>
      </c>
      <c r="AD81" s="90"/>
      <c r="AE81" s="115" t="str">
        <f t="shared" si="9"/>
        <v/>
      </c>
      <c r="AF81" s="92">
        <f t="shared" si="10"/>
        <v>0</v>
      </c>
      <c r="AG81" s="92"/>
      <c r="AH81" s="115" t="str">
        <f t="shared" si="12"/>
        <v/>
      </c>
      <c r="AI81" s="294">
        <f t="shared" si="11"/>
        <v>0</v>
      </c>
    </row>
    <row r="82" spans="8:35" x14ac:dyDescent="0.25">
      <c r="H82" s="15" t="s">
        <v>152</v>
      </c>
      <c r="I82" s="28" t="e">
        <f ca="1">_xll.EVPRO($B$1,$H82,"STYLE")</f>
        <v>#NAME?</v>
      </c>
      <c r="J82" s="28" t="e">
        <f ca="1">_xll.EVPRO($B$1,$H82,"CALC")</f>
        <v>#NAME?</v>
      </c>
      <c r="K82" s="69"/>
      <c r="L82" s="25" t="e">
        <f ca="1">_xll.EVPRO($B$1,H82,"JDEID")</f>
        <v>#NAME?</v>
      </c>
      <c r="M82" s="162" t="e">
        <f ca="1">IF(AND(I82="N",J82="N"),_xll.EVPRO($B$1,H82,"PSFTID"),"")</f>
        <v>#NAME?</v>
      </c>
      <c r="N82" s="25" t="e">
        <f ca="1">IF(_xll.EVDES(H82,$B$1)="#NODATA","",_xll.EVDES(H82,$B$1))</f>
        <v>#NAME?</v>
      </c>
      <c r="O82" s="77">
        <v>81</v>
      </c>
      <c r="P82" s="272">
        <v>82</v>
      </c>
      <c r="Q82" s="272">
        <v>210</v>
      </c>
      <c r="R82" s="272">
        <v>133</v>
      </c>
      <c r="S82" s="272">
        <v>65</v>
      </c>
      <c r="T82" s="272">
        <v>139</v>
      </c>
      <c r="U82" s="272">
        <v>82</v>
      </c>
      <c r="V82" s="272">
        <v>93</v>
      </c>
      <c r="W82" s="272">
        <v>94</v>
      </c>
      <c r="X82" s="272">
        <v>103</v>
      </c>
      <c r="Y82" s="272">
        <v>120</v>
      </c>
      <c r="Z82" s="272">
        <v>76</v>
      </c>
      <c r="AA82" s="272">
        <f t="shared" si="7"/>
        <v>1278</v>
      </c>
      <c r="AB82" s="114" t="str">
        <f t="shared" ca="1" si="8"/>
        <v/>
      </c>
      <c r="AD82" s="78">
        <v>1484</v>
      </c>
      <c r="AE82" s="114" t="str">
        <f t="shared" ca="1" si="9"/>
        <v>"</v>
      </c>
      <c r="AF82" s="80">
        <f t="shared" si="10"/>
        <v>-206</v>
      </c>
      <c r="AG82" s="80">
        <v>1379</v>
      </c>
      <c r="AH82" s="114" t="str">
        <f t="shared" ca="1" si="12"/>
        <v>"</v>
      </c>
      <c r="AI82" s="293">
        <f t="shared" si="11"/>
        <v>-101</v>
      </c>
    </row>
    <row r="83" spans="8:35" x14ac:dyDescent="0.25">
      <c r="H83" s="15" t="s">
        <v>153</v>
      </c>
      <c r="I83" s="26" t="e">
        <f ca="1">_xll.EVPRO($B$1,$H83,"STYLE")</f>
        <v>#NAME?</v>
      </c>
      <c r="J83" s="26" t="e">
        <f ca="1">_xll.EVPRO($B$1,$H83,"CALC")</f>
        <v>#NAME?</v>
      </c>
      <c r="K83" s="26"/>
      <c r="L83" s="26" t="e">
        <f ca="1">_xll.EVPRO($B$1,H83,"JDEID")</f>
        <v>#NAME?</v>
      </c>
      <c r="M83" s="162" t="e">
        <f ca="1">IF(AND(I83="N",J83="N"),_xll.EVPRO($B$1,H83,"PSFTID"),"")</f>
        <v>#NAME?</v>
      </c>
      <c r="N83" s="26" t="e">
        <f ca="1">IF(_xll.EVDES(H83,$B$1)="#NODATA","",_xll.EVDES(H83,$B$1))</f>
        <v>#NAME?</v>
      </c>
      <c r="O83" s="89">
        <v>21</v>
      </c>
      <c r="P83" s="273">
        <v>34</v>
      </c>
      <c r="Q83" s="273">
        <v>61</v>
      </c>
      <c r="R83" s="273">
        <v>49</v>
      </c>
      <c r="S83" s="273">
        <v>9</v>
      </c>
      <c r="T83" s="273">
        <v>29</v>
      </c>
      <c r="U83" s="273">
        <v>41</v>
      </c>
      <c r="V83" s="273">
        <v>24</v>
      </c>
      <c r="W83" s="273">
        <v>37</v>
      </c>
      <c r="X83" s="273">
        <v>32</v>
      </c>
      <c r="Y83" s="273">
        <v>10</v>
      </c>
      <c r="Z83" s="273">
        <v>20</v>
      </c>
      <c r="AA83" s="273">
        <f t="shared" si="7"/>
        <v>367</v>
      </c>
      <c r="AB83" s="115" t="str">
        <f t="shared" ca="1" si="8"/>
        <v/>
      </c>
      <c r="AD83" s="90">
        <v>143</v>
      </c>
      <c r="AE83" s="115" t="str">
        <f t="shared" ca="1" si="9"/>
        <v>"</v>
      </c>
      <c r="AF83" s="92">
        <f t="shared" si="10"/>
        <v>224</v>
      </c>
      <c r="AG83" s="92">
        <v>215</v>
      </c>
      <c r="AH83" s="115" t="str">
        <f t="shared" ca="1" si="12"/>
        <v>"</v>
      </c>
      <c r="AI83" s="294">
        <f t="shared" si="11"/>
        <v>152</v>
      </c>
    </row>
    <row r="84" spans="8:35" x14ac:dyDescent="0.25">
      <c r="H84" s="15" t="s">
        <v>154</v>
      </c>
      <c r="I84" s="26" t="e">
        <f ca="1">_xll.EVPRO($B$1,$H84,"STYLE")</f>
        <v>#NAME?</v>
      </c>
      <c r="J84" s="26" t="e">
        <f ca="1">_xll.EVPRO($B$1,$H84,"CALC")</f>
        <v>#NAME?</v>
      </c>
      <c r="K84" s="26"/>
      <c r="L84" s="26" t="e">
        <f ca="1">_xll.EVPRO($B$1,H84,"JDEID")</f>
        <v>#NAME?</v>
      </c>
      <c r="M84" s="162" t="e">
        <f ca="1">IF(AND(I84="N",J84="N"),_xll.EVPRO($B$1,H84,"PSFTID"),"")</f>
        <v>#NAME?</v>
      </c>
      <c r="N84" s="26" t="e">
        <f ca="1">IF(_xll.EVDES(H84,$B$1)="#NODATA","",_xll.EVDES(H84,$B$1))</f>
        <v>#NAME?</v>
      </c>
      <c r="O84" s="89">
        <v>56</v>
      </c>
      <c r="P84" s="273">
        <v>39</v>
      </c>
      <c r="Q84" s="273">
        <v>80</v>
      </c>
      <c r="R84" s="273">
        <v>59</v>
      </c>
      <c r="S84" s="273">
        <v>33</v>
      </c>
      <c r="T84" s="273">
        <v>36</v>
      </c>
      <c r="U84" s="273">
        <v>14</v>
      </c>
      <c r="V84" s="273">
        <v>51</v>
      </c>
      <c r="W84" s="273">
        <v>47</v>
      </c>
      <c r="X84" s="273">
        <v>61</v>
      </c>
      <c r="Y84" s="273">
        <v>59</v>
      </c>
      <c r="Z84" s="273">
        <v>18</v>
      </c>
      <c r="AA84" s="273">
        <f t="shared" si="7"/>
        <v>553</v>
      </c>
      <c r="AB84" s="115" t="str">
        <f t="shared" ca="1" si="8"/>
        <v/>
      </c>
      <c r="AD84" s="90">
        <v>513</v>
      </c>
      <c r="AE84" s="115" t="str">
        <f t="shared" ca="1" si="9"/>
        <v>"</v>
      </c>
      <c r="AF84" s="92">
        <f t="shared" si="10"/>
        <v>40</v>
      </c>
      <c r="AG84" s="92">
        <v>463</v>
      </c>
      <c r="AH84" s="115" t="str">
        <f t="shared" ca="1" si="12"/>
        <v>"</v>
      </c>
      <c r="AI84" s="294">
        <f t="shared" si="11"/>
        <v>90</v>
      </c>
    </row>
    <row r="85" spans="8:35" x14ac:dyDescent="0.25">
      <c r="H85" s="15" t="s">
        <v>155</v>
      </c>
      <c r="I85" s="26" t="e">
        <f ca="1">_xll.EVPRO($B$1,$H85,"STYLE")</f>
        <v>#NAME?</v>
      </c>
      <c r="J85" s="26" t="e">
        <f ca="1">_xll.EVPRO($B$1,$H85,"CALC")</f>
        <v>#NAME?</v>
      </c>
      <c r="K85" s="26"/>
      <c r="L85" s="26" t="e">
        <f ca="1">_xll.EVPRO($B$1,H85,"JDEID")</f>
        <v>#NAME?</v>
      </c>
      <c r="M85" s="162" t="e">
        <f ca="1">IF(AND(I85="N",J85="N"),_xll.EVPRO($B$1,H85,"PSFTID"),"")</f>
        <v>#NAME?</v>
      </c>
      <c r="N85" s="26" t="e">
        <f ca="1">IF(_xll.EVDES(H85,$B$1)="#NODATA","",_xll.EVDES(H85,$B$1))</f>
        <v>#NAME?</v>
      </c>
      <c r="O85" s="89">
        <v>4</v>
      </c>
      <c r="P85" s="273">
        <v>9</v>
      </c>
      <c r="Q85" s="273">
        <v>69</v>
      </c>
      <c r="R85" s="273">
        <v>25</v>
      </c>
      <c r="S85" s="273">
        <v>23</v>
      </c>
      <c r="T85" s="273">
        <v>74</v>
      </c>
      <c r="U85" s="273">
        <v>27</v>
      </c>
      <c r="V85" s="273">
        <v>18</v>
      </c>
      <c r="W85" s="273">
        <v>10</v>
      </c>
      <c r="X85" s="273">
        <v>10</v>
      </c>
      <c r="Y85" s="273">
        <v>51</v>
      </c>
      <c r="Z85" s="273">
        <v>38</v>
      </c>
      <c r="AA85" s="273">
        <f t="shared" si="7"/>
        <v>358</v>
      </c>
      <c r="AB85" s="115" t="str">
        <f t="shared" ca="1" si="8"/>
        <v/>
      </c>
      <c r="AD85" s="90">
        <v>828</v>
      </c>
      <c r="AE85" s="115" t="str">
        <f t="shared" ca="1" si="9"/>
        <v>"</v>
      </c>
      <c r="AF85" s="92">
        <f t="shared" si="10"/>
        <v>-470</v>
      </c>
      <c r="AG85" s="92">
        <v>701</v>
      </c>
      <c r="AH85" s="115" t="str">
        <f t="shared" ca="1" si="12"/>
        <v>"</v>
      </c>
      <c r="AI85" s="294">
        <f t="shared" si="11"/>
        <v>-343</v>
      </c>
    </row>
    <row r="86" spans="8:35" x14ac:dyDescent="0.25">
      <c r="H86" s="15" t="s">
        <v>156</v>
      </c>
      <c r="I86" s="28" t="e">
        <f ca="1">_xll.EVPRO($B$1,$H86,"STYLE")</f>
        <v>#NAME?</v>
      </c>
      <c r="J86" s="28" t="e">
        <f ca="1">_xll.EVPRO($B$1,$H86,"CALC")</f>
        <v>#NAME?</v>
      </c>
      <c r="K86" s="69"/>
      <c r="L86" s="25" t="e">
        <f ca="1">_xll.EVPRO($B$1,H86,"JDEID")</f>
        <v>#NAME?</v>
      </c>
      <c r="M86" s="162" t="e">
        <f ca="1">IF(AND(I86="N",J86="N"),_xll.EVPRO($B$1,H86,"PSFTID"),"")</f>
        <v>#NAME?</v>
      </c>
      <c r="N86" s="25" t="e">
        <f ca="1">IF(_xll.EVDES(H86,$B$1)="#NODATA","",_xll.EVDES(H86,$B$1))</f>
        <v>#NAME?</v>
      </c>
      <c r="O86" s="77">
        <v>79</v>
      </c>
      <c r="P86" s="272">
        <v>78</v>
      </c>
      <c r="Q86" s="272">
        <v>86</v>
      </c>
      <c r="R86" s="272">
        <v>92</v>
      </c>
      <c r="S86" s="272">
        <v>40</v>
      </c>
      <c r="T86" s="272">
        <v>66</v>
      </c>
      <c r="U86" s="272">
        <v>107</v>
      </c>
      <c r="V86" s="272">
        <v>115</v>
      </c>
      <c r="W86" s="272">
        <v>97</v>
      </c>
      <c r="X86" s="272">
        <v>98</v>
      </c>
      <c r="Y86" s="272">
        <v>120</v>
      </c>
      <c r="Z86" s="272">
        <v>69</v>
      </c>
      <c r="AA86" s="272">
        <f t="shared" si="7"/>
        <v>1047</v>
      </c>
      <c r="AB86" s="114" t="str">
        <f t="shared" ca="1" si="8"/>
        <v/>
      </c>
      <c r="AD86" s="78">
        <v>1144</v>
      </c>
      <c r="AE86" s="114" t="str">
        <f t="shared" ca="1" si="9"/>
        <v>"</v>
      </c>
      <c r="AF86" s="80">
        <f t="shared" si="10"/>
        <v>-97</v>
      </c>
      <c r="AG86" s="80">
        <v>933</v>
      </c>
      <c r="AH86" s="114" t="str">
        <f t="shared" ca="1" si="12"/>
        <v>"</v>
      </c>
      <c r="AI86" s="293">
        <f t="shared" si="11"/>
        <v>114</v>
      </c>
    </row>
    <row r="87" spans="8:35" x14ac:dyDescent="0.25">
      <c r="H87" s="15" t="s">
        <v>157</v>
      </c>
      <c r="I87" s="26" t="e">
        <f ca="1">_xll.EVPRO($B$1,$H87,"STYLE")</f>
        <v>#NAME?</v>
      </c>
      <c r="J87" s="26" t="e">
        <f ca="1">_xll.EVPRO($B$1,$H87,"CALC")</f>
        <v>#NAME?</v>
      </c>
      <c r="K87" s="26"/>
      <c r="L87" s="26" t="e">
        <f ca="1">_xll.EVPRO($B$1,H87,"JDEID")</f>
        <v>#NAME?</v>
      </c>
      <c r="M87" s="162" t="e">
        <f ca="1">IF(AND(I87="N",J87="N"),_xll.EVPRO($B$1,H87,"PSFTID"),"")</f>
        <v>#NAME?</v>
      </c>
      <c r="N87" s="26" t="e">
        <f ca="1">IF(_xll.EVDES(H87,$B$1)="#NODATA","",_xll.EVDES(H87,$B$1))</f>
        <v>#NAME?</v>
      </c>
      <c r="O87" s="89">
        <v>55</v>
      </c>
      <c r="P87" s="273">
        <v>58</v>
      </c>
      <c r="Q87" s="273">
        <v>74</v>
      </c>
      <c r="R87" s="273">
        <v>78</v>
      </c>
      <c r="S87" s="273">
        <v>25</v>
      </c>
      <c r="T87" s="273">
        <v>59</v>
      </c>
      <c r="U87" s="273">
        <v>89</v>
      </c>
      <c r="V87" s="273">
        <v>112</v>
      </c>
      <c r="W87" s="273">
        <v>95</v>
      </c>
      <c r="X87" s="273">
        <v>91</v>
      </c>
      <c r="Y87" s="273">
        <v>80</v>
      </c>
      <c r="Z87" s="273">
        <v>58</v>
      </c>
      <c r="AA87" s="273">
        <f t="shared" si="7"/>
        <v>874</v>
      </c>
      <c r="AB87" s="115" t="str">
        <f t="shared" ca="1" si="8"/>
        <v/>
      </c>
      <c r="AD87" s="90">
        <v>917</v>
      </c>
      <c r="AE87" s="115" t="str">
        <f t="shared" ca="1" si="9"/>
        <v>"</v>
      </c>
      <c r="AF87" s="92">
        <f t="shared" si="10"/>
        <v>-43</v>
      </c>
      <c r="AG87" s="92">
        <v>836</v>
      </c>
      <c r="AH87" s="115" t="str">
        <f t="shared" ca="1" si="12"/>
        <v>"</v>
      </c>
      <c r="AI87" s="294">
        <f t="shared" si="11"/>
        <v>38</v>
      </c>
    </row>
    <row r="88" spans="8:35" x14ac:dyDescent="0.25">
      <c r="H88" s="15" t="s">
        <v>158</v>
      </c>
      <c r="I88" s="26" t="e">
        <f ca="1">_xll.EVPRO($B$1,$H88,"STYLE")</f>
        <v>#NAME?</v>
      </c>
      <c r="J88" s="26" t="e">
        <f ca="1">_xll.EVPRO($B$1,$H88,"CALC")</f>
        <v>#NAME?</v>
      </c>
      <c r="K88" s="26"/>
      <c r="L88" s="26" t="e">
        <f ca="1">_xll.EVPRO($B$1,H88,"JDEID")</f>
        <v>#NAME?</v>
      </c>
      <c r="M88" s="162" t="e">
        <f ca="1">IF(AND(I88="N",J88="N"),_xll.EVPRO($B$1,H88,"PSFTID"),"")</f>
        <v>#NAME?</v>
      </c>
      <c r="N88" s="26" t="e">
        <f ca="1">IF(_xll.EVDES(H88,$B$1)="#NODATA","",_xll.EVDES(H88,$B$1))</f>
        <v>#NAME?</v>
      </c>
      <c r="O88" s="89">
        <v>24</v>
      </c>
      <c r="P88" s="273">
        <v>20</v>
      </c>
      <c r="Q88" s="273">
        <v>12</v>
      </c>
      <c r="R88" s="273">
        <v>14</v>
      </c>
      <c r="S88" s="273">
        <v>15</v>
      </c>
      <c r="T88" s="273">
        <v>7</v>
      </c>
      <c r="U88" s="273">
        <v>18</v>
      </c>
      <c r="V88" s="273">
        <v>3</v>
      </c>
      <c r="W88" s="273">
        <v>2</v>
      </c>
      <c r="X88" s="273">
        <v>7</v>
      </c>
      <c r="Y88" s="273">
        <v>40</v>
      </c>
      <c r="Z88" s="273">
        <v>11</v>
      </c>
      <c r="AA88" s="273">
        <f t="shared" si="7"/>
        <v>173</v>
      </c>
      <c r="AB88" s="115" t="str">
        <f t="shared" ca="1" si="8"/>
        <v/>
      </c>
      <c r="AD88" s="90">
        <v>227</v>
      </c>
      <c r="AE88" s="115" t="str">
        <f t="shared" ca="1" si="9"/>
        <v>"</v>
      </c>
      <c r="AF88" s="92">
        <f t="shared" si="10"/>
        <v>-54</v>
      </c>
      <c r="AG88" s="92">
        <v>97</v>
      </c>
      <c r="AH88" s="115" t="str">
        <f t="shared" ca="1" si="12"/>
        <v>"</v>
      </c>
      <c r="AI88" s="294">
        <f t="shared" si="11"/>
        <v>76</v>
      </c>
    </row>
    <row r="89" spans="8:35" x14ac:dyDescent="0.25">
      <c r="H89" s="15" t="s">
        <v>159</v>
      </c>
      <c r="I89" s="28" t="e">
        <f ca="1">_xll.EVPRO($B$1,$H89,"STYLE")</f>
        <v>#NAME?</v>
      </c>
      <c r="J89" s="28" t="e">
        <f ca="1">_xll.EVPRO($B$1,$H89,"CALC")</f>
        <v>#NAME?</v>
      </c>
      <c r="K89" s="69"/>
      <c r="L89" s="25" t="e">
        <f ca="1">_xll.EVPRO($B$1,H89,"JDEID")</f>
        <v>#NAME?</v>
      </c>
      <c r="M89" s="162" t="e">
        <f ca="1">IF(AND(I89="N",J89="N"),_xll.EVPRO($B$1,H89,"PSFTID"),"")</f>
        <v>#NAME?</v>
      </c>
      <c r="N89" s="25" t="e">
        <f ca="1">IF(_xll.EVDES(H89,$B$1)="#NODATA","",_xll.EVDES(H89,$B$1))</f>
        <v>#NAME?</v>
      </c>
      <c r="O89" s="85">
        <v>254</v>
      </c>
      <c r="P89" s="274">
        <v>279</v>
      </c>
      <c r="Q89" s="274">
        <v>367</v>
      </c>
      <c r="R89" s="274">
        <v>366</v>
      </c>
      <c r="S89" s="274">
        <v>301</v>
      </c>
      <c r="T89" s="274">
        <v>402</v>
      </c>
      <c r="U89" s="274">
        <v>358</v>
      </c>
      <c r="V89" s="274">
        <v>390</v>
      </c>
      <c r="W89" s="274">
        <v>192</v>
      </c>
      <c r="X89" s="274">
        <v>198</v>
      </c>
      <c r="Y89" s="274">
        <v>193</v>
      </c>
      <c r="Z89" s="274">
        <v>272</v>
      </c>
      <c r="AA89" s="274">
        <f t="shared" si="7"/>
        <v>3572</v>
      </c>
      <c r="AB89" s="116" t="str">
        <f t="shared" ca="1" si="8"/>
        <v/>
      </c>
      <c r="AD89" s="86">
        <v>2554</v>
      </c>
      <c r="AE89" s="116" t="str">
        <f t="shared" ca="1" si="9"/>
        <v>"</v>
      </c>
      <c r="AF89" s="88">
        <f t="shared" si="10"/>
        <v>1018</v>
      </c>
      <c r="AG89" s="88">
        <v>2263</v>
      </c>
      <c r="AH89" s="116" t="str">
        <f t="shared" ca="1" si="12"/>
        <v>"</v>
      </c>
      <c r="AI89" s="295">
        <f t="shared" si="11"/>
        <v>1309</v>
      </c>
    </row>
    <row r="90" spans="8:35" x14ac:dyDescent="0.25">
      <c r="H90" s="15" t="s">
        <v>141</v>
      </c>
      <c r="I90" s="28" t="e">
        <f ca="1">_xll.EVPRO($B$1,$H90,"STYLE")</f>
        <v>#NAME?</v>
      </c>
      <c r="J90" s="28" t="e">
        <f ca="1">_xll.EVPRO($B$1,$H90,"CALC")</f>
        <v>#NAME?</v>
      </c>
      <c r="K90" s="69"/>
      <c r="L90" s="25" t="e">
        <f ca="1">_xll.EVPRO($B$1,H90,"JDEID")</f>
        <v>#NAME?</v>
      </c>
      <c r="M90" s="162" t="e">
        <f ca="1">IF(AND(I90="N",J90="N"),_xll.EVPRO($B$1,H90,"PSFTID"),"")</f>
        <v>#NAME?</v>
      </c>
      <c r="N90" s="25" t="e">
        <f ca="1">IF(_xll.EVDES(H90,$B$1)="#NODATA","",_xll.EVDES(H90,$B$1))</f>
        <v>#NAME?</v>
      </c>
      <c r="O90" s="153">
        <v>3137</v>
      </c>
      <c r="P90" s="275">
        <v>2906</v>
      </c>
      <c r="Q90" s="275">
        <v>3325</v>
      </c>
      <c r="R90" s="275">
        <v>3217</v>
      </c>
      <c r="S90" s="275">
        <v>2755</v>
      </c>
      <c r="T90" s="275">
        <v>3046</v>
      </c>
      <c r="U90" s="275">
        <v>3359</v>
      </c>
      <c r="V90" s="275">
        <v>2927</v>
      </c>
      <c r="W90" s="275">
        <v>2604</v>
      </c>
      <c r="X90" s="275">
        <v>2903</v>
      </c>
      <c r="Y90" s="275">
        <v>2457</v>
      </c>
      <c r="Z90" s="275">
        <v>2904</v>
      </c>
      <c r="AA90" s="275">
        <f t="shared" si="7"/>
        <v>35540</v>
      </c>
      <c r="AB90" s="157" t="str">
        <f t="shared" ca="1" si="8"/>
        <v/>
      </c>
      <c r="AD90" s="155">
        <v>35326</v>
      </c>
      <c r="AE90" s="157" t="str">
        <f t="shared" ca="1" si="9"/>
        <v>"</v>
      </c>
      <c r="AF90" s="156">
        <f t="shared" si="10"/>
        <v>214</v>
      </c>
      <c r="AG90" s="156">
        <v>36383</v>
      </c>
      <c r="AH90" s="157" t="str">
        <f t="shared" ca="1" si="12"/>
        <v>"</v>
      </c>
      <c r="AI90" s="296">
        <f t="shared" si="11"/>
        <v>-843</v>
      </c>
    </row>
    <row r="91" spans="8:35" x14ac:dyDescent="0.25">
      <c r="H91" s="15" t="s">
        <v>175</v>
      </c>
      <c r="I91" s="26" t="e">
        <f ca="1">_xll.EVPRO($B$1,$H91,"STYLE")</f>
        <v>#NAME?</v>
      </c>
      <c r="J91" s="26" t="e">
        <f ca="1">_xll.EVPRO($B$1,$H91,"CALC")</f>
        <v>#NAME?</v>
      </c>
      <c r="K91" s="26"/>
      <c r="L91" s="26" t="e">
        <f ca="1">_xll.EVPRO($B$1,H91,"JDEID")</f>
        <v>#NAME?</v>
      </c>
      <c r="M91" s="162" t="e">
        <f ca="1">IF(AND(I91="N",J91="N"),_xll.EVPRO($B$1,H91,"PSFTID"),"")</f>
        <v>#NAME?</v>
      </c>
      <c r="N91" s="26" t="e">
        <f ca="1">IF(_xll.EVDES(H91,$B$1)="#NODATA","",_xll.EVDES(H91,$B$1))</f>
        <v>#NAME?</v>
      </c>
      <c r="O91" s="81"/>
      <c r="P91" s="276"/>
      <c r="Q91" s="276"/>
      <c r="R91" s="276"/>
      <c r="S91" s="276"/>
      <c r="T91" s="276"/>
      <c r="U91" s="276"/>
      <c r="V91" s="276"/>
      <c r="W91" s="276"/>
      <c r="X91" s="276"/>
      <c r="Y91" s="276"/>
      <c r="Z91" s="276"/>
      <c r="AA91" s="276">
        <f t="shared" si="7"/>
        <v>0</v>
      </c>
      <c r="AB91" s="117" t="str">
        <f t="shared" si="8"/>
        <v/>
      </c>
      <c r="AD91" s="82"/>
      <c r="AE91" s="117" t="str">
        <f t="shared" si="9"/>
        <v/>
      </c>
      <c r="AF91" s="84">
        <f t="shared" si="10"/>
        <v>0</v>
      </c>
      <c r="AG91" s="84"/>
      <c r="AH91" s="117" t="str">
        <f t="shared" si="12"/>
        <v/>
      </c>
      <c r="AI91" s="297">
        <f t="shared" si="11"/>
        <v>0</v>
      </c>
    </row>
    <row r="92" spans="8:35" x14ac:dyDescent="0.25">
      <c r="H92" s="15" t="s">
        <v>161</v>
      </c>
      <c r="I92" s="28" t="e">
        <f ca="1">_xll.EVPRO($B$1,$H92,"STYLE")</f>
        <v>#NAME?</v>
      </c>
      <c r="J92" s="28" t="e">
        <f ca="1">_xll.EVPRO($B$1,$H92,"CALC")</f>
        <v>#NAME?</v>
      </c>
      <c r="K92" s="69"/>
      <c r="L92" s="25" t="e">
        <f ca="1">_xll.EVPRO($B$1,H92,"JDEID")</f>
        <v>#NAME?</v>
      </c>
      <c r="M92" s="162" t="e">
        <f ca="1">IF(AND(I92="N",J92="N"),_xll.EVPRO($B$1,H92,"PSFTID"),"")</f>
        <v>#NAME?</v>
      </c>
      <c r="N92" s="25" t="e">
        <f ca="1">IF(_xll.EVDES(H92,$B$1)="#NODATA","",_xll.EVDES(H92,$B$1))</f>
        <v>#NAME?</v>
      </c>
      <c r="O92" s="77">
        <v>666</v>
      </c>
      <c r="P92" s="272">
        <v>559</v>
      </c>
      <c r="Q92" s="272">
        <v>425</v>
      </c>
      <c r="R92" s="272">
        <v>203</v>
      </c>
      <c r="S92" s="272">
        <v>407</v>
      </c>
      <c r="T92" s="272">
        <v>95</v>
      </c>
      <c r="U92" s="272">
        <v>13</v>
      </c>
      <c r="V92" s="272">
        <v>21</v>
      </c>
      <c r="W92" s="272">
        <v>41</v>
      </c>
      <c r="X92" s="272">
        <v>268</v>
      </c>
      <c r="Y92" s="272">
        <v>396</v>
      </c>
      <c r="Z92" s="272">
        <v>529</v>
      </c>
      <c r="AA92" s="272">
        <f t="shared" si="7"/>
        <v>3623</v>
      </c>
      <c r="AB92" s="114" t="str">
        <f t="shared" ca="1" si="8"/>
        <v/>
      </c>
      <c r="AD92" s="78">
        <v>4596</v>
      </c>
      <c r="AE92" s="114" t="str">
        <f t="shared" ca="1" si="9"/>
        <v>"</v>
      </c>
      <c r="AF92" s="80">
        <f t="shared" si="10"/>
        <v>-973</v>
      </c>
      <c r="AG92" s="80">
        <v>4039</v>
      </c>
      <c r="AH92" s="114" t="str">
        <f t="shared" ca="1" si="12"/>
        <v>"</v>
      </c>
      <c r="AI92" s="293">
        <f t="shared" si="11"/>
        <v>-416</v>
      </c>
    </row>
    <row r="93" spans="8:35" x14ac:dyDescent="0.25">
      <c r="H93" s="15" t="s">
        <v>162</v>
      </c>
      <c r="I93" s="26" t="e">
        <f ca="1">_xll.EVPRO($B$1,$H93,"STYLE")</f>
        <v>#NAME?</v>
      </c>
      <c r="J93" s="26" t="e">
        <f ca="1">_xll.EVPRO($B$1,$H93,"CALC")</f>
        <v>#NAME?</v>
      </c>
      <c r="K93" s="26"/>
      <c r="L93" s="26" t="e">
        <f ca="1">_xll.EVPRO($B$1,H93,"JDEID")</f>
        <v>#NAME?</v>
      </c>
      <c r="M93" s="162" t="e">
        <f ca="1">IF(AND(I93="N",J93="N"),_xll.EVPRO($B$1,H93,"PSFTID"),"")</f>
        <v>#NAME?</v>
      </c>
      <c r="N93" s="26" t="e">
        <f ca="1">IF(_xll.EVDES(H93,$B$1)="#NODATA","",_xll.EVDES(H93,$B$1))</f>
        <v>#NAME?</v>
      </c>
      <c r="O93" s="89">
        <v>644</v>
      </c>
      <c r="P93" s="273">
        <v>339</v>
      </c>
      <c r="Q93" s="273">
        <v>202</v>
      </c>
      <c r="R93" s="273">
        <v>154</v>
      </c>
      <c r="S93" s="273">
        <v>407</v>
      </c>
      <c r="T93" s="273">
        <v>64</v>
      </c>
      <c r="U93" s="273">
        <v>13</v>
      </c>
      <c r="V93" s="273"/>
      <c r="W93" s="273">
        <v>41</v>
      </c>
      <c r="X93" s="273">
        <v>268</v>
      </c>
      <c r="Y93" s="273">
        <v>396</v>
      </c>
      <c r="Z93" s="273">
        <v>480</v>
      </c>
      <c r="AA93" s="273">
        <f t="shared" si="7"/>
        <v>3008</v>
      </c>
      <c r="AB93" s="115" t="str">
        <f t="shared" ca="1" si="8"/>
        <v/>
      </c>
      <c r="AD93" s="90">
        <v>3149</v>
      </c>
      <c r="AE93" s="115" t="str">
        <f t="shared" ca="1" si="9"/>
        <v>"</v>
      </c>
      <c r="AF93" s="92">
        <f t="shared" si="10"/>
        <v>-141</v>
      </c>
      <c r="AG93" s="92">
        <v>2933</v>
      </c>
      <c r="AH93" s="115" t="str">
        <f t="shared" ca="1" si="12"/>
        <v>"</v>
      </c>
      <c r="AI93" s="294">
        <f t="shared" si="11"/>
        <v>75</v>
      </c>
    </row>
    <row r="94" spans="8:35" x14ac:dyDescent="0.25">
      <c r="H94" s="15" t="s">
        <v>163</v>
      </c>
      <c r="I94" s="26" t="e">
        <f ca="1">_xll.EVPRO($B$1,$H94,"STYLE")</f>
        <v>#NAME?</v>
      </c>
      <c r="J94" s="26" t="e">
        <f ca="1">_xll.EVPRO($B$1,$H94,"CALC")</f>
        <v>#NAME?</v>
      </c>
      <c r="K94" s="26"/>
      <c r="L94" s="26" t="e">
        <f ca="1">_xll.EVPRO($B$1,H94,"JDEID")</f>
        <v>#NAME?</v>
      </c>
      <c r="M94" s="162" t="e">
        <f ca="1">IF(AND(I94="N",J94="N"),_xll.EVPRO($B$1,H94,"PSFTID"),"")</f>
        <v>#NAME?</v>
      </c>
      <c r="N94" s="26" t="e">
        <f ca="1">IF(_xll.EVDES(H94,$B$1)="#NODATA","",_xll.EVDES(H94,$B$1))</f>
        <v>#NAME?</v>
      </c>
      <c r="O94" s="89">
        <v>22</v>
      </c>
      <c r="P94" s="273">
        <v>220</v>
      </c>
      <c r="Q94" s="273">
        <v>223</v>
      </c>
      <c r="R94" s="273">
        <v>49</v>
      </c>
      <c r="S94" s="273"/>
      <c r="T94" s="273">
        <v>31</v>
      </c>
      <c r="U94" s="273"/>
      <c r="V94" s="273">
        <v>21</v>
      </c>
      <c r="W94" s="273"/>
      <c r="X94" s="273"/>
      <c r="Y94" s="273"/>
      <c r="Z94" s="273">
        <v>49</v>
      </c>
      <c r="AA94" s="273">
        <f t="shared" si="7"/>
        <v>615</v>
      </c>
      <c r="AB94" s="115" t="str">
        <f t="shared" ca="1" si="8"/>
        <v/>
      </c>
      <c r="AD94" s="90">
        <v>1447</v>
      </c>
      <c r="AE94" s="115" t="str">
        <f t="shared" ca="1" si="9"/>
        <v>"</v>
      </c>
      <c r="AF94" s="92">
        <f t="shared" si="10"/>
        <v>-832</v>
      </c>
      <c r="AG94" s="92">
        <v>1106</v>
      </c>
      <c r="AH94" s="115" t="str">
        <f t="shared" ca="1" si="12"/>
        <v>"</v>
      </c>
      <c r="AI94" s="294">
        <f t="shared" si="11"/>
        <v>-491</v>
      </c>
    </row>
    <row r="95" spans="8:35" x14ac:dyDescent="0.25">
      <c r="H95" s="15" t="s">
        <v>164</v>
      </c>
      <c r="I95" s="28" t="e">
        <f ca="1">_xll.EVPRO($B$1,$H95,"STYLE")</f>
        <v>#NAME?</v>
      </c>
      <c r="J95" s="28" t="e">
        <f ca="1">_xll.EVPRO($B$1,$H95,"CALC")</f>
        <v>#NAME?</v>
      </c>
      <c r="K95" s="69"/>
      <c r="L95" s="25" t="e">
        <f ca="1">_xll.EVPRO($B$1,H95,"JDEID")</f>
        <v>#NAME?</v>
      </c>
      <c r="M95" s="162" t="e">
        <f ca="1">IF(AND(I95="N",J95="N"),_xll.EVPRO($B$1,H95,"PSFTID"),"")</f>
        <v>#NAME?</v>
      </c>
      <c r="N95" s="25" t="e">
        <f ca="1">IF(_xll.EVDES(H95,$B$1)="#NODATA","",_xll.EVDES(H95,$B$1))</f>
        <v>#NAME?</v>
      </c>
      <c r="O95" s="77"/>
      <c r="P95" s="272"/>
      <c r="Q95" s="272"/>
      <c r="R95" s="272">
        <v>17</v>
      </c>
      <c r="S95" s="272"/>
      <c r="T95" s="272">
        <v>217</v>
      </c>
      <c r="U95" s="272"/>
      <c r="V95" s="272"/>
      <c r="W95" s="272"/>
      <c r="X95" s="272"/>
      <c r="Y95" s="272">
        <v>2</v>
      </c>
      <c r="Z95" s="272"/>
      <c r="AA95" s="272">
        <f t="shared" si="7"/>
        <v>236</v>
      </c>
      <c r="AB95" s="114" t="str">
        <f t="shared" ca="1" si="8"/>
        <v/>
      </c>
      <c r="AD95" s="78">
        <v>465</v>
      </c>
      <c r="AE95" s="114" t="str">
        <f t="shared" ca="1" si="9"/>
        <v>"</v>
      </c>
      <c r="AF95" s="80">
        <f t="shared" si="10"/>
        <v>-229</v>
      </c>
      <c r="AG95" s="80">
        <v>241</v>
      </c>
      <c r="AH95" s="114" t="str">
        <f t="shared" ca="1" si="12"/>
        <v>"</v>
      </c>
      <c r="AI95" s="293">
        <f t="shared" si="11"/>
        <v>-5</v>
      </c>
    </row>
    <row r="96" spans="8:35" x14ac:dyDescent="0.25">
      <c r="H96" s="15" t="s">
        <v>165</v>
      </c>
      <c r="I96" s="26" t="e">
        <f ca="1">_xll.EVPRO($B$1,$H96,"STYLE")</f>
        <v>#NAME?</v>
      </c>
      <c r="J96" s="26" t="e">
        <f ca="1">_xll.EVPRO($B$1,$H96,"CALC")</f>
        <v>#NAME?</v>
      </c>
      <c r="K96" s="26"/>
      <c r="L96" s="26" t="e">
        <f ca="1">_xll.EVPRO($B$1,H96,"JDEID")</f>
        <v>#NAME?</v>
      </c>
      <c r="M96" s="162" t="e">
        <f ca="1">IF(AND(I96="N",J96="N"),_xll.EVPRO($B$1,H96,"PSFTID"),"")</f>
        <v>#NAME?</v>
      </c>
      <c r="N96" s="26" t="e">
        <f ca="1">IF(_xll.EVDES(H96,$B$1)="#NODATA","",_xll.EVDES(H96,$B$1))</f>
        <v>#NAME?</v>
      </c>
      <c r="O96" s="89"/>
      <c r="P96" s="273"/>
      <c r="Q96" s="273"/>
      <c r="R96" s="273"/>
      <c r="S96" s="273"/>
      <c r="T96" s="273">
        <v>67</v>
      </c>
      <c r="U96" s="273"/>
      <c r="V96" s="273"/>
      <c r="W96" s="273"/>
      <c r="X96" s="273"/>
      <c r="Y96" s="273">
        <v>2</v>
      </c>
      <c r="Z96" s="273"/>
      <c r="AA96" s="273">
        <f t="shared" si="7"/>
        <v>69</v>
      </c>
      <c r="AB96" s="115" t="str">
        <f t="shared" ca="1" si="8"/>
        <v/>
      </c>
      <c r="AD96" s="90">
        <v>385</v>
      </c>
      <c r="AE96" s="115" t="str">
        <f t="shared" ca="1" si="9"/>
        <v>"</v>
      </c>
      <c r="AF96" s="92">
        <f t="shared" si="10"/>
        <v>-316</v>
      </c>
      <c r="AG96" s="92">
        <v>167</v>
      </c>
      <c r="AH96" s="115" t="str">
        <f t="shared" ca="1" si="12"/>
        <v>"</v>
      </c>
      <c r="AI96" s="294">
        <f t="shared" si="11"/>
        <v>-98</v>
      </c>
    </row>
    <row r="97" spans="8:35" x14ac:dyDescent="0.25">
      <c r="H97" s="15" t="s">
        <v>166</v>
      </c>
      <c r="I97" s="26" t="e">
        <f ca="1">_xll.EVPRO($B$1,$H97,"STYLE")</f>
        <v>#NAME?</v>
      </c>
      <c r="J97" s="26" t="e">
        <f ca="1">_xll.EVPRO($B$1,$H97,"CALC")</f>
        <v>#NAME?</v>
      </c>
      <c r="K97" s="26"/>
      <c r="L97" s="26" t="e">
        <f ca="1">_xll.EVPRO($B$1,H97,"JDEID")</f>
        <v>#NAME?</v>
      </c>
      <c r="M97" s="162" t="e">
        <f ca="1">IF(AND(I97="N",J97="N"),_xll.EVPRO($B$1,H97,"PSFTID"),"")</f>
        <v>#NAME?</v>
      </c>
      <c r="N97" s="26" t="e">
        <f ca="1">IF(_xll.EVDES(H97,$B$1)="#NODATA","",_xll.EVDES(H97,$B$1))</f>
        <v>#NAME?</v>
      </c>
      <c r="O97" s="89"/>
      <c r="P97" s="273"/>
      <c r="Q97" s="273"/>
      <c r="R97" s="273">
        <v>17</v>
      </c>
      <c r="S97" s="273"/>
      <c r="T97" s="273">
        <v>150</v>
      </c>
      <c r="U97" s="273"/>
      <c r="V97" s="273"/>
      <c r="W97" s="273"/>
      <c r="X97" s="273"/>
      <c r="Y97" s="273"/>
      <c r="Z97" s="273"/>
      <c r="AA97" s="273">
        <f t="shared" si="7"/>
        <v>167</v>
      </c>
      <c r="AB97" s="115" t="str">
        <f t="shared" ca="1" si="8"/>
        <v/>
      </c>
      <c r="AD97" s="90">
        <v>80</v>
      </c>
      <c r="AE97" s="115" t="str">
        <f t="shared" ca="1" si="9"/>
        <v>"</v>
      </c>
      <c r="AF97" s="92">
        <f t="shared" si="10"/>
        <v>87</v>
      </c>
      <c r="AG97" s="92">
        <v>74</v>
      </c>
      <c r="AH97" s="115" t="str">
        <f t="shared" ca="1" si="12"/>
        <v>"</v>
      </c>
      <c r="AI97" s="294">
        <f t="shared" si="11"/>
        <v>93</v>
      </c>
    </row>
    <row r="98" spans="8:35" x14ac:dyDescent="0.25">
      <c r="H98" s="15" t="s">
        <v>167</v>
      </c>
      <c r="I98" s="28" t="e">
        <f ca="1">_xll.EVPRO($B$1,$H98,"STYLE")</f>
        <v>#NAME?</v>
      </c>
      <c r="J98" s="28" t="e">
        <f ca="1">_xll.EVPRO($B$1,$H98,"CALC")</f>
        <v>#NAME?</v>
      </c>
      <c r="K98" s="69"/>
      <c r="L98" s="25" t="e">
        <f ca="1">_xll.EVPRO($B$1,H98,"JDEID")</f>
        <v>#NAME?</v>
      </c>
      <c r="M98" s="162" t="e">
        <f ca="1">IF(AND(I98="N",J98="N"),_xll.EVPRO($B$1,H98,"PSFTID"),"")</f>
        <v>#NAME?</v>
      </c>
      <c r="N98" s="25" t="e">
        <f ca="1">IF(_xll.EVDES(H98,$B$1)="#NODATA","",_xll.EVDES(H98,$B$1))</f>
        <v>#NAME?</v>
      </c>
      <c r="O98" s="77"/>
      <c r="P98" s="272"/>
      <c r="Q98" s="272"/>
      <c r="R98" s="272"/>
      <c r="S98" s="272"/>
      <c r="T98" s="272"/>
      <c r="U98" s="272"/>
      <c r="V98" s="272"/>
      <c r="W98" s="272"/>
      <c r="X98" s="272"/>
      <c r="Y98" s="272"/>
      <c r="Z98" s="272"/>
      <c r="AA98" s="272">
        <f t="shared" si="7"/>
        <v>0</v>
      </c>
      <c r="AB98" s="114" t="str">
        <f t="shared" si="8"/>
        <v/>
      </c>
      <c r="AD98" s="78"/>
      <c r="AE98" s="114" t="str">
        <f t="shared" si="9"/>
        <v/>
      </c>
      <c r="AF98" s="80">
        <f t="shared" si="10"/>
        <v>0</v>
      </c>
      <c r="AG98" s="80"/>
      <c r="AH98" s="114" t="str">
        <f t="shared" si="12"/>
        <v/>
      </c>
      <c r="AI98" s="293">
        <f t="shared" si="11"/>
        <v>0</v>
      </c>
    </row>
    <row r="99" spans="8:35" x14ac:dyDescent="0.25">
      <c r="H99" s="15" t="s">
        <v>168</v>
      </c>
      <c r="I99" s="28" t="e">
        <f ca="1">_xll.EVPRO($B$1,$H99,"STYLE")</f>
        <v>#NAME?</v>
      </c>
      <c r="J99" s="28" t="e">
        <f ca="1">_xll.EVPRO($B$1,$H99,"CALC")</f>
        <v>#NAME?</v>
      </c>
      <c r="K99" s="69"/>
      <c r="L99" s="25" t="e">
        <f ca="1">_xll.EVPRO($B$1,H99,"JDEID")</f>
        <v>#NAME?</v>
      </c>
      <c r="M99" s="162" t="e">
        <f ca="1">IF(AND(I99="N",J99="N"),_xll.EVPRO($B$1,H99,"PSFTID"),"")</f>
        <v>#NAME?</v>
      </c>
      <c r="N99" s="25" t="e">
        <f ca="1">IF(_xll.EVDES(H99,$B$1)="#NODATA","",_xll.EVDES(H99,$B$1))</f>
        <v>#NAME?</v>
      </c>
      <c r="O99" s="77"/>
      <c r="P99" s="272"/>
      <c r="Q99" s="272"/>
      <c r="R99" s="272"/>
      <c r="S99" s="272"/>
      <c r="T99" s="272"/>
      <c r="U99" s="272"/>
      <c r="V99" s="272"/>
      <c r="W99" s="272"/>
      <c r="X99" s="272"/>
      <c r="Y99" s="272"/>
      <c r="Z99" s="272"/>
      <c r="AA99" s="272">
        <f t="shared" si="7"/>
        <v>0</v>
      </c>
      <c r="AB99" s="114" t="str">
        <f t="shared" si="8"/>
        <v/>
      </c>
      <c r="AD99" s="78"/>
      <c r="AE99" s="114" t="str">
        <f t="shared" si="9"/>
        <v/>
      </c>
      <c r="AF99" s="80">
        <f t="shared" si="10"/>
        <v>0</v>
      </c>
      <c r="AG99" s="80"/>
      <c r="AH99" s="114" t="str">
        <f t="shared" si="12"/>
        <v/>
      </c>
      <c r="AI99" s="293">
        <f t="shared" si="11"/>
        <v>0</v>
      </c>
    </row>
    <row r="100" spans="8:35" x14ac:dyDescent="0.25">
      <c r="H100" s="15" t="s">
        <v>169</v>
      </c>
      <c r="I100" s="26" t="e">
        <f ca="1">_xll.EVPRO($B$1,$H100,"STYLE")</f>
        <v>#NAME?</v>
      </c>
      <c r="J100" s="26" t="e">
        <f ca="1">_xll.EVPRO($B$1,$H100,"CALC")</f>
        <v>#NAME?</v>
      </c>
      <c r="K100" s="26"/>
      <c r="L100" s="26" t="e">
        <f ca="1">_xll.EVPRO($B$1,H100,"JDEID")</f>
        <v>#NAME?</v>
      </c>
      <c r="M100" s="162" t="e">
        <f ca="1">IF(AND(I100="N",J100="N"),_xll.EVPRO($B$1,H100,"PSFTID"),"")</f>
        <v>#NAME?</v>
      </c>
      <c r="N100" s="26" t="e">
        <f ca="1">IF(_xll.EVDES(H100,$B$1)="#NODATA","",_xll.EVDES(H100,$B$1))</f>
        <v>#NAME?</v>
      </c>
      <c r="O100" s="89"/>
      <c r="P100" s="273"/>
      <c r="Q100" s="273"/>
      <c r="R100" s="273"/>
      <c r="S100" s="273"/>
      <c r="T100" s="273"/>
      <c r="U100" s="273"/>
      <c r="V100" s="273"/>
      <c r="W100" s="273"/>
      <c r="X100" s="273"/>
      <c r="Y100" s="273"/>
      <c r="Z100" s="273"/>
      <c r="AA100" s="273">
        <f t="shared" si="7"/>
        <v>0</v>
      </c>
      <c r="AB100" s="115" t="str">
        <f t="shared" si="8"/>
        <v/>
      </c>
      <c r="AD100" s="90"/>
      <c r="AE100" s="115" t="str">
        <f t="shared" si="9"/>
        <v/>
      </c>
      <c r="AF100" s="92">
        <f t="shared" si="10"/>
        <v>0</v>
      </c>
      <c r="AG100" s="92"/>
      <c r="AH100" s="115" t="str">
        <f t="shared" si="12"/>
        <v/>
      </c>
      <c r="AI100" s="294">
        <f t="shared" si="11"/>
        <v>0</v>
      </c>
    </row>
    <row r="101" spans="8:35" x14ac:dyDescent="0.25">
      <c r="H101" s="15" t="s">
        <v>170</v>
      </c>
      <c r="I101" s="26" t="e">
        <f ca="1">_xll.EVPRO($B$1,$H101,"STYLE")</f>
        <v>#NAME?</v>
      </c>
      <c r="J101" s="26" t="e">
        <f ca="1">_xll.EVPRO($B$1,$H101,"CALC")</f>
        <v>#NAME?</v>
      </c>
      <c r="K101" s="26"/>
      <c r="L101" s="26" t="e">
        <f ca="1">_xll.EVPRO($B$1,H101,"JDEID")</f>
        <v>#NAME?</v>
      </c>
      <c r="M101" s="162" t="e">
        <f ca="1">IF(AND(I101="N",J101="N"),_xll.EVPRO($B$1,H101,"PSFTID"),"")</f>
        <v>#NAME?</v>
      </c>
      <c r="N101" s="26" t="e">
        <f ca="1">IF(_xll.EVDES(H101,$B$1)="#NODATA","",_xll.EVDES(H101,$B$1))</f>
        <v>#NAME?</v>
      </c>
      <c r="O101" s="89"/>
      <c r="P101" s="273"/>
      <c r="Q101" s="273"/>
      <c r="R101" s="273"/>
      <c r="S101" s="273"/>
      <c r="T101" s="273"/>
      <c r="U101" s="273"/>
      <c r="V101" s="273"/>
      <c r="W101" s="273"/>
      <c r="X101" s="273"/>
      <c r="Y101" s="273"/>
      <c r="Z101" s="273"/>
      <c r="AA101" s="273">
        <f t="shared" si="7"/>
        <v>0</v>
      </c>
      <c r="AB101" s="115" t="str">
        <f t="shared" si="8"/>
        <v/>
      </c>
      <c r="AD101" s="90"/>
      <c r="AE101" s="115" t="str">
        <f t="shared" si="9"/>
        <v/>
      </c>
      <c r="AF101" s="92">
        <f t="shared" si="10"/>
        <v>0</v>
      </c>
      <c r="AG101" s="92"/>
      <c r="AH101" s="115" t="str">
        <f t="shared" si="12"/>
        <v/>
      </c>
      <c r="AI101" s="294">
        <f t="shared" si="11"/>
        <v>0</v>
      </c>
    </row>
    <row r="102" spans="8:35" x14ac:dyDescent="0.25">
      <c r="H102" s="15" t="s">
        <v>171</v>
      </c>
      <c r="I102" s="28" t="e">
        <f ca="1">_xll.EVPRO($B$1,$H102,"STYLE")</f>
        <v>#NAME?</v>
      </c>
      <c r="J102" s="28" t="e">
        <f ca="1">_xll.EVPRO($B$1,$H102,"CALC")</f>
        <v>#NAME?</v>
      </c>
      <c r="K102" s="69"/>
      <c r="L102" s="25" t="e">
        <f ca="1">_xll.EVPRO($B$1,H102,"JDEID")</f>
        <v>#NAME?</v>
      </c>
      <c r="M102" s="162" t="e">
        <f ca="1">IF(AND(I102="N",J102="N"),_xll.EVPRO($B$1,H102,"PSFTID"),"")</f>
        <v>#NAME?</v>
      </c>
      <c r="N102" s="25" t="e">
        <f ca="1">IF(_xll.EVDES(H102,$B$1)="#NODATA","",_xll.EVDES(H102,$B$1))</f>
        <v>#NAME?</v>
      </c>
      <c r="O102" s="85">
        <v>60</v>
      </c>
      <c r="P102" s="274">
        <v>6</v>
      </c>
      <c r="Q102" s="274"/>
      <c r="R102" s="274">
        <v>13</v>
      </c>
      <c r="S102" s="274"/>
      <c r="T102" s="274">
        <v>45</v>
      </c>
      <c r="U102" s="274"/>
      <c r="V102" s="274">
        <v>34</v>
      </c>
      <c r="W102" s="274">
        <v>31</v>
      </c>
      <c r="X102" s="274">
        <v>9</v>
      </c>
      <c r="Y102" s="274">
        <v>89</v>
      </c>
      <c r="Z102" s="274">
        <v>10</v>
      </c>
      <c r="AA102" s="274">
        <f t="shared" si="7"/>
        <v>297</v>
      </c>
      <c r="AB102" s="116" t="str">
        <f t="shared" ca="1" si="8"/>
        <v/>
      </c>
      <c r="AD102" s="86">
        <v>623</v>
      </c>
      <c r="AE102" s="116" t="str">
        <f t="shared" ca="1" si="9"/>
        <v>"</v>
      </c>
      <c r="AF102" s="88">
        <f t="shared" si="10"/>
        <v>-326</v>
      </c>
      <c r="AG102" s="88">
        <v>304</v>
      </c>
      <c r="AH102" s="116" t="str">
        <f t="shared" ca="1" si="12"/>
        <v>"</v>
      </c>
      <c r="AI102" s="295">
        <f t="shared" si="11"/>
        <v>-7</v>
      </c>
    </row>
    <row r="103" spans="8:35" x14ac:dyDescent="0.25">
      <c r="H103" s="15" t="s">
        <v>160</v>
      </c>
      <c r="I103" s="28" t="e">
        <f ca="1">_xll.EVPRO($B$1,$H103,"STYLE")</f>
        <v>#NAME?</v>
      </c>
      <c r="J103" s="28" t="e">
        <f ca="1">_xll.EVPRO($B$1,$H103,"CALC")</f>
        <v>#NAME?</v>
      </c>
      <c r="K103" s="69"/>
      <c r="L103" s="25" t="e">
        <f ca="1">_xll.EVPRO($B$1,H103,"JDEID")</f>
        <v>#NAME?</v>
      </c>
      <c r="M103" s="162" t="e">
        <f ca="1">IF(AND(I103="N",J103="N"),_xll.EVPRO($B$1,H103,"PSFTID"),"")</f>
        <v>#NAME?</v>
      </c>
      <c r="N103" s="25" t="e">
        <f ca="1">IF(_xll.EVDES(H103,$B$1)="#NODATA","",_xll.EVDES(H103,$B$1))</f>
        <v>#NAME?</v>
      </c>
      <c r="O103" s="153">
        <v>726</v>
      </c>
      <c r="P103" s="275">
        <v>565</v>
      </c>
      <c r="Q103" s="275">
        <v>425</v>
      </c>
      <c r="R103" s="275">
        <v>233</v>
      </c>
      <c r="S103" s="275">
        <v>407</v>
      </c>
      <c r="T103" s="275">
        <v>357</v>
      </c>
      <c r="U103" s="275">
        <v>13</v>
      </c>
      <c r="V103" s="275">
        <v>55</v>
      </c>
      <c r="W103" s="275">
        <v>72</v>
      </c>
      <c r="X103" s="275">
        <v>277</v>
      </c>
      <c r="Y103" s="275">
        <v>487</v>
      </c>
      <c r="Z103" s="275">
        <v>539</v>
      </c>
      <c r="AA103" s="275">
        <f t="shared" si="7"/>
        <v>4156</v>
      </c>
      <c r="AB103" s="157" t="str">
        <f t="shared" ca="1" si="8"/>
        <v/>
      </c>
      <c r="AD103" s="155">
        <v>5684</v>
      </c>
      <c r="AE103" s="157" t="str">
        <f t="shared" ca="1" si="9"/>
        <v>"</v>
      </c>
      <c r="AF103" s="156">
        <f t="shared" si="10"/>
        <v>-1528</v>
      </c>
      <c r="AG103" s="156">
        <v>4584</v>
      </c>
      <c r="AH103" s="157" t="str">
        <f t="shared" ca="1" si="12"/>
        <v>"</v>
      </c>
      <c r="AI103" s="296">
        <f t="shared" si="11"/>
        <v>-428</v>
      </c>
    </row>
    <row r="104" spans="8:35" x14ac:dyDescent="0.25">
      <c r="H104" s="15" t="s">
        <v>172</v>
      </c>
      <c r="I104" s="26" t="e">
        <f ca="1">_xll.EVPRO($B$1,$H104,"STYLE")</f>
        <v>#NAME?</v>
      </c>
      <c r="J104" s="26" t="e">
        <f ca="1">_xll.EVPRO($B$1,$H104,"CALC")</f>
        <v>#NAME?</v>
      </c>
      <c r="K104" s="26"/>
      <c r="L104" s="26" t="e">
        <f ca="1">_xll.EVPRO($B$1,H104,"JDEID")</f>
        <v>#NAME?</v>
      </c>
      <c r="M104" s="162" t="e">
        <f ca="1">IF(AND(I104="N",J104="N"),_xll.EVPRO($B$1,H104,"PSFTID"),"")</f>
        <v>#NAME?</v>
      </c>
      <c r="N104" s="26" t="e">
        <f ca="1">IF(_xll.EVDES(H104,$B$1)="#NODATA","",_xll.EVDES(H104,$B$1))</f>
        <v>#NAME?</v>
      </c>
      <c r="O104" s="145"/>
      <c r="P104" s="279"/>
      <c r="Q104" s="279"/>
      <c r="R104" s="279"/>
      <c r="S104" s="279"/>
      <c r="T104" s="279"/>
      <c r="U104" s="279"/>
      <c r="V104" s="279"/>
      <c r="W104" s="279"/>
      <c r="X104" s="279"/>
      <c r="Y104" s="279"/>
      <c r="Z104" s="279"/>
      <c r="AA104" s="279">
        <f t="shared" si="7"/>
        <v>0</v>
      </c>
      <c r="AB104" s="146" t="str">
        <f t="shared" si="8"/>
        <v/>
      </c>
      <c r="AD104" s="147">
        <v>127</v>
      </c>
      <c r="AE104" s="146" t="str">
        <f t="shared" ca="1" si="9"/>
        <v>"</v>
      </c>
      <c r="AF104" s="148">
        <f t="shared" si="10"/>
        <v>-127</v>
      </c>
      <c r="AG104" s="148"/>
      <c r="AH104" s="146" t="str">
        <f t="shared" si="12"/>
        <v/>
      </c>
      <c r="AI104" s="300">
        <f t="shared" si="11"/>
        <v>0</v>
      </c>
    </row>
    <row r="105" spans="8:35" x14ac:dyDescent="0.25">
      <c r="H105" s="15" t="s">
        <v>257</v>
      </c>
      <c r="I105" s="28" t="e">
        <f ca="1">_xll.EVPRO($B$1,$H105,"STYLE")</f>
        <v>#NAME?</v>
      </c>
      <c r="J105" s="28" t="e">
        <f ca="1">_xll.EVPRO($B$1,$H105,"CALC")</f>
        <v>#NAME?</v>
      </c>
      <c r="K105" s="69"/>
      <c r="L105" s="25" t="e">
        <f ca="1">_xll.EVPRO($B$1,H105,"JDEID")</f>
        <v>#NAME?</v>
      </c>
      <c r="M105" s="162" t="e">
        <f ca="1">IF(AND(I105="N",J105="N"),_xll.EVPRO($B$1,H105,"PSFTID"),"")</f>
        <v>#NAME?</v>
      </c>
      <c r="N105" s="25" t="e">
        <f ca="1">IF(_xll.EVDES(H105,$B$1)="#NODATA","",_xll.EVDES(H105,$B$1))</f>
        <v>#NAME?</v>
      </c>
      <c r="O105" s="153">
        <v>3863</v>
      </c>
      <c r="P105" s="275">
        <v>3471</v>
      </c>
      <c r="Q105" s="275">
        <v>3750</v>
      </c>
      <c r="R105" s="275">
        <v>3450</v>
      </c>
      <c r="S105" s="275">
        <v>3162</v>
      </c>
      <c r="T105" s="275">
        <v>3403</v>
      </c>
      <c r="U105" s="275">
        <v>3372</v>
      </c>
      <c r="V105" s="275">
        <v>2982</v>
      </c>
      <c r="W105" s="275">
        <v>2676</v>
      </c>
      <c r="X105" s="275">
        <v>3180</v>
      </c>
      <c r="Y105" s="275">
        <v>2944</v>
      </c>
      <c r="Z105" s="275">
        <v>3443</v>
      </c>
      <c r="AA105" s="275">
        <f t="shared" si="7"/>
        <v>39696</v>
      </c>
      <c r="AB105" s="157" t="str">
        <f t="shared" ca="1" si="8"/>
        <v/>
      </c>
      <c r="AD105" s="155">
        <v>41137</v>
      </c>
      <c r="AE105" s="157" t="str">
        <f t="shared" ca="1" si="9"/>
        <v>"</v>
      </c>
      <c r="AF105" s="156">
        <f t="shared" si="10"/>
        <v>-1441</v>
      </c>
      <c r="AG105" s="156">
        <v>40967</v>
      </c>
      <c r="AH105" s="157" t="str">
        <f t="shared" ca="1" si="12"/>
        <v>"</v>
      </c>
      <c r="AI105" s="296">
        <f t="shared" si="11"/>
        <v>-1271</v>
      </c>
    </row>
    <row r="106" spans="8:35" x14ac:dyDescent="0.25">
      <c r="H106" s="15" t="s">
        <v>176</v>
      </c>
      <c r="I106" s="26" t="e">
        <f ca="1">_xll.EVPRO($B$1,$H106,"STYLE")</f>
        <v>#NAME?</v>
      </c>
      <c r="J106" s="26" t="e">
        <f ca="1">_xll.EVPRO($B$1,$H106,"CALC")</f>
        <v>#NAME?</v>
      </c>
      <c r="K106" s="26"/>
      <c r="L106" s="26" t="e">
        <f ca="1">_xll.EVPRO($B$1,H106,"JDEID")</f>
        <v>#NAME?</v>
      </c>
      <c r="M106" s="162" t="e">
        <f ca="1">IF(AND(I106="N",J106="N"),_xll.EVPRO($B$1,H106,"PSFTID"),"")</f>
        <v>#NAME?</v>
      </c>
      <c r="N106" s="26" t="e">
        <f ca="1">IF(_xll.EVDES(H106,$B$1)="#NODATA","",_xll.EVDES(H106,$B$1))</f>
        <v>#NAME?</v>
      </c>
      <c r="O106" s="145">
        <v>18</v>
      </c>
      <c r="P106" s="279">
        <v>48</v>
      </c>
      <c r="Q106" s="279">
        <v>12</v>
      </c>
      <c r="R106" s="279">
        <v>7</v>
      </c>
      <c r="S106" s="279">
        <v>2</v>
      </c>
      <c r="T106" s="279">
        <v>2</v>
      </c>
      <c r="U106" s="279">
        <v>7</v>
      </c>
      <c r="V106" s="279">
        <v>10</v>
      </c>
      <c r="W106" s="279">
        <v>4</v>
      </c>
      <c r="X106" s="279">
        <v>19</v>
      </c>
      <c r="Y106" s="279">
        <v>35</v>
      </c>
      <c r="Z106" s="279">
        <v>26</v>
      </c>
      <c r="AA106" s="279">
        <f t="shared" si="7"/>
        <v>190</v>
      </c>
      <c r="AB106" s="146" t="str">
        <f t="shared" ca="1" si="8"/>
        <v/>
      </c>
      <c r="AD106" s="147">
        <v>116</v>
      </c>
      <c r="AE106" s="146" t="str">
        <f t="shared" ca="1" si="9"/>
        <v>"</v>
      </c>
      <c r="AF106" s="148">
        <f t="shared" si="10"/>
        <v>74</v>
      </c>
      <c r="AG106" s="148">
        <v>347</v>
      </c>
      <c r="AH106" s="146" t="str">
        <f t="shared" ca="1" si="12"/>
        <v>"</v>
      </c>
      <c r="AI106" s="300">
        <f t="shared" si="11"/>
        <v>-157</v>
      </c>
    </row>
    <row r="107" spans="8:35" x14ac:dyDescent="0.25">
      <c r="H107" s="15" t="s">
        <v>174</v>
      </c>
      <c r="I107" s="28" t="e">
        <f ca="1">_xll.EVPRO($B$1,$H107,"STYLE")</f>
        <v>#NAME?</v>
      </c>
      <c r="J107" s="28" t="e">
        <f ca="1">_xll.EVPRO($B$1,$H107,"CALC")</f>
        <v>#NAME?</v>
      </c>
      <c r="K107" s="69"/>
      <c r="L107" s="25" t="e">
        <f ca="1">_xll.EVPRO($B$1,H107,"JDEID")</f>
        <v>#NAME?</v>
      </c>
      <c r="M107" s="162" t="e">
        <f ca="1">IF(AND(I107="N",J107="N"),_xll.EVPRO($B$1,H107,"PSFTID"),"")</f>
        <v>#NAME?</v>
      </c>
      <c r="N107" s="25" t="e">
        <f ca="1">IF(_xll.EVDES(H107,$B$1)="#NODATA","",_xll.EVDES(H107,$B$1))</f>
        <v>#NAME?</v>
      </c>
      <c r="O107" s="153">
        <v>3881</v>
      </c>
      <c r="P107" s="275">
        <v>3519</v>
      </c>
      <c r="Q107" s="275">
        <v>3762</v>
      </c>
      <c r="R107" s="275">
        <v>3457</v>
      </c>
      <c r="S107" s="275">
        <v>3164</v>
      </c>
      <c r="T107" s="275">
        <v>3405</v>
      </c>
      <c r="U107" s="275">
        <v>3379</v>
      </c>
      <c r="V107" s="275">
        <v>2992</v>
      </c>
      <c r="W107" s="275">
        <v>2680</v>
      </c>
      <c r="X107" s="275">
        <v>3199</v>
      </c>
      <c r="Y107" s="275">
        <v>2979</v>
      </c>
      <c r="Z107" s="275">
        <v>3469</v>
      </c>
      <c r="AA107" s="275">
        <f t="shared" si="7"/>
        <v>39886</v>
      </c>
      <c r="AB107" s="157" t="str">
        <f t="shared" ca="1" si="8"/>
        <v/>
      </c>
      <c r="AD107" s="155">
        <v>41253</v>
      </c>
      <c r="AE107" s="157" t="str">
        <f t="shared" ca="1" si="9"/>
        <v>"</v>
      </c>
      <c r="AF107" s="156">
        <f t="shared" si="10"/>
        <v>-1367</v>
      </c>
      <c r="AG107" s="156">
        <v>41314</v>
      </c>
      <c r="AH107" s="157" t="str">
        <f t="shared" ca="1" si="12"/>
        <v>"</v>
      </c>
      <c r="AI107" s="296">
        <f t="shared" si="11"/>
        <v>-1428</v>
      </c>
    </row>
    <row r="108" spans="8:35" x14ac:dyDescent="0.25">
      <c r="H108" s="15" t="s">
        <v>175</v>
      </c>
      <c r="I108" s="26" t="e">
        <f ca="1">_xll.EVPRO($B$1,$H108,"STYLE")</f>
        <v>#NAME?</v>
      </c>
      <c r="J108" s="26" t="e">
        <f ca="1">_xll.EVPRO($B$1,$H108,"CALC")</f>
        <v>#NAME?</v>
      </c>
      <c r="K108" s="26"/>
      <c r="L108" s="26" t="e">
        <f ca="1">_xll.EVPRO($B$1,H108,"JDEID")</f>
        <v>#NAME?</v>
      </c>
      <c r="M108" s="162" t="e">
        <f ca="1">IF(AND(I108="N",J108="N"),_xll.EVPRO($B$1,H108,"PSFTID"),"")</f>
        <v>#NAME?</v>
      </c>
      <c r="N108" s="26" t="e">
        <f ca="1">IF(_xll.EVDES(H108,$B$1)="#NODATA","",_xll.EVDES(H108,$B$1))</f>
        <v>#NAME?</v>
      </c>
      <c r="O108" s="81"/>
      <c r="P108" s="276"/>
      <c r="Q108" s="276"/>
      <c r="R108" s="276"/>
      <c r="S108" s="276"/>
      <c r="T108" s="276"/>
      <c r="U108" s="276"/>
      <c r="V108" s="276"/>
      <c r="W108" s="276"/>
      <c r="X108" s="276"/>
      <c r="Y108" s="276"/>
      <c r="Z108" s="276"/>
      <c r="AA108" s="276">
        <f t="shared" si="7"/>
        <v>0</v>
      </c>
      <c r="AB108" s="117" t="str">
        <f t="shared" si="8"/>
        <v/>
      </c>
      <c r="AD108" s="82"/>
      <c r="AE108" s="117" t="str">
        <f t="shared" si="9"/>
        <v/>
      </c>
      <c r="AF108" s="84">
        <f t="shared" si="10"/>
        <v>0</v>
      </c>
      <c r="AG108" s="84"/>
      <c r="AH108" s="117" t="str">
        <f t="shared" si="12"/>
        <v/>
      </c>
      <c r="AI108" s="297">
        <f t="shared" si="11"/>
        <v>0</v>
      </c>
    </row>
    <row r="109" spans="8:35" x14ac:dyDescent="0.25">
      <c r="H109" s="15" t="s">
        <v>211</v>
      </c>
      <c r="I109" s="26" t="e">
        <f ca="1">_xll.EVPRO($B$1,$H109,"STYLE")</f>
        <v>#NAME?</v>
      </c>
      <c r="J109" s="26" t="e">
        <f ca="1">_xll.EVPRO($B$1,$H109,"CALC")</f>
        <v>#NAME?</v>
      </c>
      <c r="K109" s="26"/>
      <c r="L109" s="26" t="e">
        <f ca="1">_xll.EVPRO($B$1,H109,"JDEID")</f>
        <v>#NAME?</v>
      </c>
      <c r="M109" s="162" t="e">
        <f ca="1">IF(AND(I109="N",J109="N"),_xll.EVPRO($B$1,H109,"PSFTID"),"")</f>
        <v>#NAME?</v>
      </c>
      <c r="N109" s="26" t="e">
        <f ca="1">IF(_xll.EVDES(H109,$B$1)="#NODATA","",_xll.EVDES(H109,$B$1))</f>
        <v>#NAME?</v>
      </c>
      <c r="O109" s="89">
        <v>4092</v>
      </c>
      <c r="P109" s="273">
        <v>3696</v>
      </c>
      <c r="Q109" s="273">
        <v>4092</v>
      </c>
      <c r="R109" s="273">
        <v>3960</v>
      </c>
      <c r="S109" s="273">
        <v>4092</v>
      </c>
      <c r="T109" s="273">
        <v>3960</v>
      </c>
      <c r="U109" s="273">
        <v>4092</v>
      </c>
      <c r="V109" s="273">
        <v>4092</v>
      </c>
      <c r="W109" s="273">
        <v>3960</v>
      </c>
      <c r="X109" s="273">
        <v>4092</v>
      </c>
      <c r="Y109" s="273">
        <v>3960</v>
      </c>
      <c r="Z109" s="273">
        <v>4092</v>
      </c>
      <c r="AA109" s="273">
        <f t="shared" si="7"/>
        <v>48180</v>
      </c>
      <c r="AB109" s="115" t="str">
        <f t="shared" ca="1" si="8"/>
        <v/>
      </c>
      <c r="AD109" s="90">
        <v>48180</v>
      </c>
      <c r="AE109" s="115" t="str">
        <f t="shared" ca="1" si="9"/>
        <v>"</v>
      </c>
      <c r="AF109" s="92">
        <f t="shared" si="10"/>
        <v>0</v>
      </c>
      <c r="AG109" s="92">
        <v>48180</v>
      </c>
      <c r="AH109" s="115" t="str">
        <f t="shared" ca="1" si="12"/>
        <v>"</v>
      </c>
      <c r="AI109" s="294">
        <f t="shared" si="11"/>
        <v>0</v>
      </c>
    </row>
    <row r="110" spans="8:35" x14ac:dyDescent="0.25">
      <c r="H110" s="15" t="s">
        <v>212</v>
      </c>
      <c r="I110" s="26" t="e">
        <f ca="1">_xll.EVPRO($B$1,$H110,"STYLE")</f>
        <v>#NAME?</v>
      </c>
      <c r="J110" s="26" t="e">
        <f ca="1">_xll.EVPRO($B$1,$H110,"CALC")</f>
        <v>#NAME?</v>
      </c>
      <c r="K110" s="26"/>
      <c r="L110" s="26" t="e">
        <f ca="1">_xll.EVPRO($B$1,H110,"JDEID")</f>
        <v>#NAME?</v>
      </c>
      <c r="M110" s="162" t="e">
        <f ca="1">IF(AND(I110="N",J110="N"),_xll.EVPRO($B$1,H110,"PSFTID"),"")</f>
        <v>#NAME?</v>
      </c>
      <c r="N110" s="26" t="e">
        <f ca="1">IF(_xll.EVDES(H110,$B$1)="#NODATA","",_xll.EVDES(H110,$B$1))</f>
        <v>#NAME?</v>
      </c>
      <c r="O110" s="89"/>
      <c r="P110" s="273"/>
      <c r="Q110" s="273"/>
      <c r="R110" s="273"/>
      <c r="S110" s="273"/>
      <c r="T110" s="273"/>
      <c r="U110" s="273"/>
      <c r="V110" s="273"/>
      <c r="W110" s="273"/>
      <c r="X110" s="273"/>
      <c r="Y110" s="273"/>
      <c r="Z110" s="273"/>
      <c r="AA110" s="273">
        <f t="shared" si="7"/>
        <v>0</v>
      </c>
      <c r="AB110" s="115" t="str">
        <f t="shared" si="8"/>
        <v/>
      </c>
      <c r="AD110" s="90"/>
      <c r="AE110" s="115" t="str">
        <f t="shared" si="9"/>
        <v/>
      </c>
      <c r="AF110" s="92">
        <f t="shared" si="10"/>
        <v>0</v>
      </c>
      <c r="AG110" s="92"/>
      <c r="AH110" s="115" t="str">
        <f t="shared" si="12"/>
        <v/>
      </c>
      <c r="AI110" s="294">
        <f t="shared" si="11"/>
        <v>0</v>
      </c>
    </row>
    <row r="111" spans="8:35" x14ac:dyDescent="0.25">
      <c r="H111" s="15" t="s">
        <v>213</v>
      </c>
      <c r="I111" s="26" t="e">
        <f ca="1">_xll.EVPRO($B$1,$H111,"STYLE")</f>
        <v>#NAME?</v>
      </c>
      <c r="J111" s="26" t="e">
        <f ca="1">_xll.EVPRO($B$1,$H111,"CALC")</f>
        <v>#NAME?</v>
      </c>
      <c r="K111" s="26"/>
      <c r="L111" s="26" t="e">
        <f ca="1">_xll.EVPRO($B$1,H111,"JDEID")</f>
        <v>#NAME?</v>
      </c>
      <c r="M111" s="162" t="e">
        <f ca="1">IF(AND(I111="N",J111="N"),_xll.EVPRO($B$1,H111,"PSFTID"),"")</f>
        <v>#NAME?</v>
      </c>
      <c r="N111" s="26" t="e">
        <f ca="1">IF(_xll.EVDES(H111,$B$1)="#NODATA","",_xll.EVDES(H111,$B$1))</f>
        <v>#NAME?</v>
      </c>
      <c r="O111" s="89">
        <v>66</v>
      </c>
      <c r="P111" s="273">
        <v>22</v>
      </c>
      <c r="Q111" s="273">
        <v>48</v>
      </c>
      <c r="R111" s="273">
        <v>79</v>
      </c>
      <c r="S111" s="273">
        <v>127</v>
      </c>
      <c r="T111" s="273">
        <v>61</v>
      </c>
      <c r="U111" s="273">
        <v>127</v>
      </c>
      <c r="V111" s="273">
        <v>240</v>
      </c>
      <c r="W111" s="273">
        <v>116</v>
      </c>
      <c r="X111" s="273">
        <v>62</v>
      </c>
      <c r="Y111" s="273">
        <v>79</v>
      </c>
      <c r="Z111" s="273">
        <v>80</v>
      </c>
      <c r="AA111" s="273">
        <f t="shared" si="7"/>
        <v>1107</v>
      </c>
      <c r="AB111" s="115" t="str">
        <f t="shared" ca="1" si="8"/>
        <v/>
      </c>
      <c r="AD111" s="90"/>
      <c r="AE111" s="115" t="str">
        <f t="shared" si="9"/>
        <v/>
      </c>
      <c r="AF111" s="92">
        <f t="shared" si="10"/>
        <v>1107</v>
      </c>
      <c r="AG111" s="92">
        <v>1538</v>
      </c>
      <c r="AH111" s="115" t="str">
        <f t="shared" ca="1" si="12"/>
        <v>"</v>
      </c>
      <c r="AI111" s="294">
        <f t="shared" si="11"/>
        <v>-431</v>
      </c>
    </row>
    <row r="112" spans="8:35" x14ac:dyDescent="0.25">
      <c r="H112" s="15" t="s">
        <v>214</v>
      </c>
      <c r="I112" s="26" t="e">
        <f ca="1">_xll.EVPRO($B$1,$H112,"STYLE")</f>
        <v>#NAME?</v>
      </c>
      <c r="J112" s="26" t="e">
        <f ca="1">_xll.EVPRO($B$1,$H112,"CALC")</f>
        <v>#NAME?</v>
      </c>
      <c r="K112" s="26"/>
      <c r="L112" s="26" t="e">
        <f ca="1">_xll.EVPRO($B$1,H112,"JDEID")</f>
        <v>#NAME?</v>
      </c>
      <c r="M112" s="162" t="e">
        <f ca="1">IF(AND(I112="N",J112="N"),_xll.EVPRO($B$1,H112,"PSFTID"),"")</f>
        <v>#NAME?</v>
      </c>
      <c r="N112" s="26" t="e">
        <f ca="1">IF(_xll.EVDES(H112,$B$1)="#NODATA","",_xll.EVDES(H112,$B$1))</f>
        <v>#NAME?</v>
      </c>
      <c r="O112" s="89"/>
      <c r="P112" s="273"/>
      <c r="Q112" s="273"/>
      <c r="R112" s="273"/>
      <c r="S112" s="273"/>
      <c r="T112" s="273"/>
      <c r="U112" s="273"/>
      <c r="V112" s="273"/>
      <c r="W112" s="273"/>
      <c r="X112" s="273"/>
      <c r="Y112" s="273"/>
      <c r="Z112" s="273"/>
      <c r="AA112" s="273">
        <f t="shared" si="7"/>
        <v>0</v>
      </c>
      <c r="AB112" s="115" t="str">
        <f t="shared" si="8"/>
        <v/>
      </c>
      <c r="AD112" s="90"/>
      <c r="AE112" s="115" t="str">
        <f t="shared" si="9"/>
        <v/>
      </c>
      <c r="AF112" s="92">
        <f t="shared" si="10"/>
        <v>0</v>
      </c>
      <c r="AG112" s="92"/>
      <c r="AH112" s="115" t="str">
        <f t="shared" si="12"/>
        <v/>
      </c>
      <c r="AI112" s="294">
        <f t="shared" si="11"/>
        <v>0</v>
      </c>
    </row>
    <row r="113" spans="7:35" x14ac:dyDescent="0.25">
      <c r="H113" s="15" t="s">
        <v>215</v>
      </c>
      <c r="I113" s="26" t="e">
        <f ca="1">_xll.EVPRO($B$1,$H113,"STYLE")</f>
        <v>#NAME?</v>
      </c>
      <c r="J113" s="26" t="e">
        <f ca="1">_xll.EVPRO($B$1,$H113,"CALC")</f>
        <v>#NAME?</v>
      </c>
      <c r="K113" s="26"/>
      <c r="L113" s="26" t="e">
        <f ca="1">_xll.EVPRO($B$1,H113,"JDEID")</f>
        <v>#NAME?</v>
      </c>
      <c r="M113" s="162" t="e">
        <f ca="1">IF(AND(I113="N",J113="N"),_xll.EVPRO($B$1,H113,"PSFTID"),"")</f>
        <v>#NAME?</v>
      </c>
      <c r="N113" s="26" t="e">
        <f ca="1">IF(_xll.EVDES(H113,$B$1)="#NODATA","",_xll.EVDES(H113,$B$1))</f>
        <v>#NAME?</v>
      </c>
      <c r="O113" s="89">
        <v>1465</v>
      </c>
      <c r="P113" s="273">
        <v>1336</v>
      </c>
      <c r="Q113" s="273">
        <v>1291</v>
      </c>
      <c r="R113" s="273">
        <v>1219</v>
      </c>
      <c r="S113" s="273">
        <v>1200</v>
      </c>
      <c r="T113" s="273">
        <v>1324</v>
      </c>
      <c r="U113" s="273">
        <v>1261</v>
      </c>
      <c r="V113" s="273">
        <v>1149</v>
      </c>
      <c r="W113" s="273">
        <v>1082</v>
      </c>
      <c r="X113" s="273">
        <v>1238</v>
      </c>
      <c r="Y113" s="273">
        <v>1145</v>
      </c>
      <c r="Z113" s="273">
        <v>1395</v>
      </c>
      <c r="AA113" s="273">
        <f t="shared" si="7"/>
        <v>15105</v>
      </c>
      <c r="AB113" s="115" t="str">
        <f t="shared" ca="1" si="8"/>
        <v/>
      </c>
      <c r="AD113" s="90"/>
      <c r="AE113" s="115" t="str">
        <f t="shared" si="9"/>
        <v/>
      </c>
      <c r="AF113" s="92">
        <f t="shared" si="10"/>
        <v>15105</v>
      </c>
      <c r="AG113" s="92">
        <v>14280</v>
      </c>
      <c r="AH113" s="115" t="str">
        <f t="shared" ca="1" si="12"/>
        <v>"</v>
      </c>
      <c r="AI113" s="294">
        <f t="shared" si="11"/>
        <v>825</v>
      </c>
    </row>
    <row r="114" spans="7:35" x14ac:dyDescent="0.25">
      <c r="H114" s="15" t="s">
        <v>216</v>
      </c>
      <c r="I114" s="26" t="e">
        <f ca="1">_xll.EVPRO($B$1,$H114,"STYLE")</f>
        <v>#NAME?</v>
      </c>
      <c r="J114" s="26" t="e">
        <f ca="1">_xll.EVPRO($B$1,$H114,"CALC")</f>
        <v>#NAME?</v>
      </c>
      <c r="K114" s="26"/>
      <c r="L114" s="26" t="e">
        <f ca="1">_xll.EVPRO($B$1,H114,"JDEID")</f>
        <v>#NAME?</v>
      </c>
      <c r="M114" s="162" t="e">
        <f ca="1">IF(AND(I114="N",J114="N"),_xll.EVPRO($B$1,H114,"PSFTID"),"")</f>
        <v>#NAME?</v>
      </c>
      <c r="N114" s="26" t="e">
        <f ca="1">IF(_xll.EVDES(H114,$B$1)="#NODATA","",_xll.EVDES(H114,$B$1))</f>
        <v>#NAME?</v>
      </c>
      <c r="O114" s="89">
        <v>1472</v>
      </c>
      <c r="P114" s="273">
        <v>1336</v>
      </c>
      <c r="Q114" s="273">
        <v>1300</v>
      </c>
      <c r="R114" s="273">
        <v>1219</v>
      </c>
      <c r="S114" s="273">
        <v>1217</v>
      </c>
      <c r="T114" s="273">
        <v>1215</v>
      </c>
      <c r="U114" s="273">
        <v>2375</v>
      </c>
      <c r="V114" s="273">
        <v>1146</v>
      </c>
      <c r="W114" s="273">
        <v>1056</v>
      </c>
      <c r="X114" s="273">
        <v>1260</v>
      </c>
      <c r="Y114" s="273">
        <v>1135</v>
      </c>
      <c r="Z114" s="273">
        <v>1363</v>
      </c>
      <c r="AA114" s="273">
        <f t="shared" si="7"/>
        <v>16094</v>
      </c>
      <c r="AB114" s="115" t="str">
        <f t="shared" ca="1" si="8"/>
        <v/>
      </c>
      <c r="AD114" s="90"/>
      <c r="AE114" s="115" t="str">
        <f t="shared" si="9"/>
        <v/>
      </c>
      <c r="AF114" s="92">
        <f t="shared" si="10"/>
        <v>16094</v>
      </c>
      <c r="AG114" s="92">
        <v>15211</v>
      </c>
      <c r="AH114" s="115" t="str">
        <f t="shared" ca="1" si="12"/>
        <v>"</v>
      </c>
      <c r="AI114" s="294">
        <f t="shared" si="11"/>
        <v>883</v>
      </c>
    </row>
    <row r="115" spans="7:35" x14ac:dyDescent="0.25">
      <c r="H115" s="15" t="s">
        <v>217</v>
      </c>
      <c r="I115" s="26" t="e">
        <f ca="1">_xll.EVPRO($B$1,$H115,"STYLE")</f>
        <v>#NAME?</v>
      </c>
      <c r="J115" s="26" t="e">
        <f ca="1">_xll.EVPRO($B$1,$H115,"CALC")</f>
        <v>#NAME?</v>
      </c>
      <c r="K115" s="26"/>
      <c r="L115" s="26" t="e">
        <f ca="1">_xll.EVPRO($B$1,H115,"JDEID")</f>
        <v>#NAME?</v>
      </c>
      <c r="M115" s="162" t="e">
        <f ca="1">IF(AND(I115="N",J115="N"),_xll.EVPRO($B$1,H115,"PSFTID"),"")</f>
        <v>#NAME?</v>
      </c>
      <c r="N115" s="26" t="e">
        <f ca="1">IF(_xll.EVDES(H115,$B$1)="#NODATA","",_xll.EVDES(H115,$B$1))</f>
        <v>#NAME?</v>
      </c>
      <c r="O115" s="89">
        <v>1258</v>
      </c>
      <c r="P115" s="273">
        <v>992</v>
      </c>
      <c r="Q115" s="273">
        <v>1133</v>
      </c>
      <c r="R115" s="273">
        <v>1049</v>
      </c>
      <c r="S115" s="273">
        <v>819</v>
      </c>
      <c r="T115" s="273">
        <v>1103</v>
      </c>
      <c r="U115" s="273">
        <v>819</v>
      </c>
      <c r="V115" s="273">
        <v>807</v>
      </c>
      <c r="W115" s="273">
        <v>647</v>
      </c>
      <c r="X115" s="273">
        <v>740</v>
      </c>
      <c r="Y115" s="273">
        <v>841</v>
      </c>
      <c r="Z115" s="273">
        <v>960</v>
      </c>
      <c r="AA115" s="273">
        <f t="shared" si="7"/>
        <v>11168</v>
      </c>
      <c r="AB115" s="115" t="str">
        <f t="shared" ca="1" si="8"/>
        <v/>
      </c>
      <c r="AD115" s="90">
        <v>9371</v>
      </c>
      <c r="AE115" s="115" t="str">
        <f t="shared" ca="1" si="9"/>
        <v>"</v>
      </c>
      <c r="AF115" s="92">
        <f t="shared" si="10"/>
        <v>1797</v>
      </c>
      <c r="AG115" s="92">
        <v>8893</v>
      </c>
      <c r="AH115" s="115" t="str">
        <f t="shared" ca="1" si="12"/>
        <v>"</v>
      </c>
      <c r="AI115" s="294">
        <f t="shared" si="11"/>
        <v>2275</v>
      </c>
    </row>
    <row r="116" spans="7:35" x14ac:dyDescent="0.25">
      <c r="H116" s="15" t="s">
        <v>218</v>
      </c>
      <c r="I116" s="26" t="e">
        <f ca="1">_xll.EVPRO($B$1,$H116,"STYLE")</f>
        <v>#NAME?</v>
      </c>
      <c r="J116" s="26" t="e">
        <f ca="1">_xll.EVPRO($B$1,$H116,"CALC")</f>
        <v>#NAME?</v>
      </c>
      <c r="K116" s="26"/>
      <c r="L116" s="26" t="e">
        <f ca="1">_xll.EVPRO($B$1,H116,"JDEID")</f>
        <v>#NAME?</v>
      </c>
      <c r="M116" s="162" t="e">
        <f ca="1">IF(AND(I116="N",J116="N"),_xll.EVPRO($B$1,H116,"PSFTID"),"")</f>
        <v>#NAME?</v>
      </c>
      <c r="N116" s="26" t="e">
        <f ca="1">IF(_xll.EVDES(H116,$B$1)="#NODATA","",_xll.EVDES(H116,$B$1))</f>
        <v>#NAME?</v>
      </c>
      <c r="O116" s="109">
        <v>6518</v>
      </c>
      <c r="P116" s="280">
        <v>5829</v>
      </c>
      <c r="Q116" s="280">
        <v>6468</v>
      </c>
      <c r="R116" s="280">
        <v>6403</v>
      </c>
      <c r="S116" s="280">
        <v>5322</v>
      </c>
      <c r="T116" s="280">
        <v>5664</v>
      </c>
      <c r="U116" s="280">
        <v>6509</v>
      </c>
      <c r="V116" s="280">
        <v>5635</v>
      </c>
      <c r="W116" s="280">
        <v>4627</v>
      </c>
      <c r="X116" s="280">
        <v>5570</v>
      </c>
      <c r="Y116" s="280">
        <v>5127</v>
      </c>
      <c r="Z116" s="280">
        <v>6249</v>
      </c>
      <c r="AA116" s="280">
        <f t="shared" si="7"/>
        <v>69921</v>
      </c>
      <c r="AB116" s="113" t="str">
        <f t="shared" ca="1" si="8"/>
        <v/>
      </c>
      <c r="AD116" s="110"/>
      <c r="AE116" s="113" t="str">
        <f t="shared" ca="1" si="9"/>
        <v/>
      </c>
      <c r="AF116" s="111">
        <f t="shared" si="10"/>
        <v>69921</v>
      </c>
      <c r="AG116" s="111">
        <v>73746</v>
      </c>
      <c r="AH116" s="113" t="str">
        <f t="shared" ca="1" si="12"/>
        <v/>
      </c>
      <c r="AI116" s="301">
        <f t="shared" si="11"/>
        <v>-3825</v>
      </c>
    </row>
    <row r="117" spans="7:35" x14ac:dyDescent="0.25">
      <c r="I117" s="1"/>
      <c r="J117" s="1"/>
      <c r="N117" s="26"/>
      <c r="O117" s="53"/>
      <c r="P117" s="54"/>
      <c r="Q117" s="54"/>
      <c r="R117" s="54"/>
      <c r="S117" s="54"/>
      <c r="T117" s="54"/>
      <c r="U117" s="54"/>
      <c r="V117" s="54"/>
      <c r="W117" s="54"/>
      <c r="X117" s="54"/>
      <c r="Y117" s="54"/>
      <c r="Z117" s="54"/>
      <c r="AA117" s="54"/>
      <c r="AB117" s="55"/>
      <c r="AD117" s="53"/>
      <c r="AE117" s="54"/>
      <c r="AF117" s="55"/>
      <c r="AG117" s="53"/>
      <c r="AH117" s="54"/>
      <c r="AI117" s="55"/>
    </row>
    <row r="118" spans="7:35" x14ac:dyDescent="0.25">
      <c r="H118" s="1" t="s">
        <v>494</v>
      </c>
      <c r="I118" s="11" t="e">
        <f ca="1">_xll.EVPRO($B$1,$H118,"STYLE")</f>
        <v>#NAME?</v>
      </c>
      <c r="J118" s="11" t="e">
        <f ca="1">_xll.EVPRO($B$1,$H118,"CALC")</f>
        <v>#NAME?</v>
      </c>
      <c r="N118" s="40" t="e">
        <f ca="1">IF(_xll.EVDES(H118,$B$1)="#NODATA","",_xll.EVDES(H118,$B$1))</f>
        <v>#NAME?</v>
      </c>
      <c r="O118" s="202" t="s">
        <v>743</v>
      </c>
      <c r="P118" s="202" t="s">
        <v>743</v>
      </c>
      <c r="Q118" s="202" t="s">
        <v>743</v>
      </c>
      <c r="R118" s="202" t="s">
        <v>743</v>
      </c>
      <c r="S118" s="202" t="s">
        <v>743</v>
      </c>
      <c r="T118" s="202" t="s">
        <v>743</v>
      </c>
      <c r="U118" s="202" t="s">
        <v>743</v>
      </c>
      <c r="V118" s="202" t="s">
        <v>743</v>
      </c>
      <c r="W118" s="202" t="s">
        <v>743</v>
      </c>
      <c r="X118" s="202" t="s">
        <v>743</v>
      </c>
      <c r="Y118" s="202" t="s">
        <v>743</v>
      </c>
      <c r="Z118" s="202" t="s">
        <v>743</v>
      </c>
      <c r="AA118" s="202" t="s">
        <v>743</v>
      </c>
      <c r="AB118" s="202" t="s">
        <v>744</v>
      </c>
      <c r="AD118" s="202" t="s">
        <v>743</v>
      </c>
      <c r="AE118" s="202" t="s">
        <v>744</v>
      </c>
      <c r="AF118" s="202"/>
      <c r="AG118" s="202" t="s">
        <v>743</v>
      </c>
      <c r="AH118" s="202" t="s">
        <v>744</v>
      </c>
      <c r="AI118" s="202"/>
    </row>
    <row r="119" spans="7:35" x14ac:dyDescent="0.25">
      <c r="G119" s="69" t="str">
        <f t="shared" ref="G119:G151" si="13">REPLACE(H119,1,3,"OCC")</f>
        <v>OCC_RETAIL</v>
      </c>
      <c r="H119" s="15" t="s">
        <v>190</v>
      </c>
      <c r="I119" s="28" t="e">
        <f ca="1">_xll.EVPRO($B$1,$H119,"STYLE")</f>
        <v>#NAME?</v>
      </c>
      <c r="J119" s="28" t="e">
        <f ca="1">_xll.EVPRO($B$1,$H119,"CALC")</f>
        <v>#NAME?</v>
      </c>
      <c r="L119" s="25" t="e">
        <f ca="1">_xll.EVPRO($B$1,H119,"JDEID")</f>
        <v>#NAME?</v>
      </c>
      <c r="M119" s="162" t="e">
        <f ca="1">IF(AND(I119="N",J119="N"),_xll.EVPRO($B$1,H119,"PSFTID"),"")</f>
        <v>#NAME?</v>
      </c>
      <c r="N119" s="25" t="e">
        <f ca="1">IF(_xll.EVDES(H119,$B$1)="#NODATA","",_xll.EVDES(H119,$B$1))</f>
        <v>#NAME?</v>
      </c>
      <c r="O119" s="100">
        <v>290.81170714285702</v>
      </c>
      <c r="P119" s="281">
        <v>413.02911678832101</v>
      </c>
      <c r="Q119" s="281">
        <v>314.98905213270098</v>
      </c>
      <c r="R119" s="281">
        <v>254.79092024539901</v>
      </c>
      <c r="S119" s="281">
        <v>239.281044247788</v>
      </c>
      <c r="T119" s="281">
        <v>186.48071428571399</v>
      </c>
      <c r="U119" s="281">
        <v>188.40574485596699</v>
      </c>
      <c r="V119" s="281">
        <v>182.43303571428601</v>
      </c>
      <c r="W119" s="281">
        <v>168.74749647390701</v>
      </c>
      <c r="X119" s="281">
        <v>182.699340788699</v>
      </c>
      <c r="Y119" s="281">
        <v>221.42559753276799</v>
      </c>
      <c r="Z119" s="281">
        <v>329.88385199240997</v>
      </c>
      <c r="AA119" s="281">
        <f t="shared" ref="AA119:AA150" si="14">IFERROR(AA34/AA72,0)</f>
        <v>249.07346575342467</v>
      </c>
      <c r="AB119" s="197" t="e">
        <f ca="1">IF(_xll.EVGET($B$1,$B$3,$B$5,$B$6,$B$7,$B$9,AA$16,AA$17,AA$18,$G119)="#NODATA","",_xll.EVGET($B$1,$B$3,$B$5,$B$6,$B$7,$B$9,AA$16,AA$17,AA$18,$G119))</f>
        <v>#NAME?</v>
      </c>
      <c r="AD119" s="100">
        <v>305.69016237231301</v>
      </c>
      <c r="AE119" s="197" t="e">
        <f ca="1">IF(_xll.EVGET($B$1,$B$3,$B$5,$B$6,$B$7,$B$9,AD$16,AD$17,AD$18,$G119)="#NODATA","",_xll.EVGET($B$1,$B$3,$B$5,$B$6,$B$7,$B$9,AD$16,AD$17,AD$18,$G119))</f>
        <v>#NAME?</v>
      </c>
      <c r="AF119" s="101">
        <f t="shared" ref="AF119:AF151" si="15">IF(AND($AA119="",AD119=""),"",$AA119-AD119)</f>
        <v>-56.616696618888341</v>
      </c>
      <c r="AG119" s="100">
        <v>267.18962281452502</v>
      </c>
      <c r="AH119" s="197" t="e">
        <f ca="1">IF(_xll.EVGET($B$1,$B$3,$B$5,$B$6,$B$7,$B$9,AG$16,AG$17,AG$18,$G119)="#NODATA","",_xll.EVGET($B$1,$B$3,$B$5,$B$6,$B$7,$B$9,AG$16,AG$17,AG$18,$G119))</f>
        <v>#NAME?</v>
      </c>
      <c r="AI119" s="302">
        <f t="shared" ref="AI119:AI152" si="16">IF(AND($AA119="",AG119=""),"",$AA119-AG119)</f>
        <v>-18.116157061100353</v>
      </c>
    </row>
    <row r="120" spans="7:35" x14ac:dyDescent="0.25">
      <c r="G120" s="76" t="str">
        <f t="shared" si="13"/>
        <v>OCC_ROOM</v>
      </c>
      <c r="H120" s="15" t="s">
        <v>191</v>
      </c>
      <c r="I120" s="26" t="e">
        <f ca="1">_xll.EVPRO($B$1,$H120,"STYLE")</f>
        <v>#NAME?</v>
      </c>
      <c r="J120" s="26" t="e">
        <f ca="1">_xll.EVPRO($B$1,$H120,"CALC")</f>
        <v>#NAME?</v>
      </c>
      <c r="L120" s="26" t="e">
        <f ca="1">_xll.EVPRO($B$1,H120,"JDEID")</f>
        <v>#NAME?</v>
      </c>
      <c r="M120" s="162" t="e">
        <f ca="1">IF(AND(I120="N",J120="N"),_xll.EVPRO($B$1,H120,"PSFTID"),"")</f>
        <v>#NAME?</v>
      </c>
      <c r="N120" s="26" t="e">
        <f ca="1">IF(_xll.EVDES(H120,$B$1)="#NODATA","",_xll.EVDES(H120,$B$1))</f>
        <v>#NAME?</v>
      </c>
      <c r="O120" s="107">
        <v>575.88469798657695</v>
      </c>
      <c r="P120" s="282">
        <v>747.395367965368</v>
      </c>
      <c r="Q120" s="282">
        <v>438.62751054852299</v>
      </c>
      <c r="R120" s="282">
        <v>316.40506437768198</v>
      </c>
      <c r="S120" s="282">
        <v>314.85423280423299</v>
      </c>
      <c r="T120" s="282">
        <v>231.707384615385</v>
      </c>
      <c r="U120" s="282">
        <v>197.72743478260901</v>
      </c>
      <c r="V120" s="282">
        <v>199.934465116279</v>
      </c>
      <c r="W120" s="282">
        <v>177.749189189189</v>
      </c>
      <c r="X120" s="282">
        <v>185.291043478261</v>
      </c>
      <c r="Y120" s="282">
        <v>258.37238095238098</v>
      </c>
      <c r="Z120" s="282">
        <v>451.19543554006998</v>
      </c>
      <c r="AA120" s="282">
        <f t="shared" si="14"/>
        <v>356.00118398637136</v>
      </c>
      <c r="AB120" s="201" t="e">
        <f ca="1">IF(_xll.EVGET($B$1,$B$3,$B$5,$B$6,$B$7,$B$9,AA$16,AA$17,AA$18,$G120)="#NODATA","",_xll.EVGET($B$1,$B$3,$B$5,$B$6,$B$7,$B$9,AA$16,AA$17,AA$18,$G120))</f>
        <v>#NAME?</v>
      </c>
      <c r="AD120" s="107">
        <v>347.80151586925598</v>
      </c>
      <c r="AE120" s="201" t="e">
        <f ca="1">IF(_xll.EVGET($B$1,$B$3,$B$5,$B$6,$B$7,$B$9,AD$16,AD$17,AD$18,$G120)="#NODATA","",_xll.EVGET($B$1,$B$3,$B$5,$B$6,$B$7,$B$9,AD$16,AD$17,AD$18,$G120))</f>
        <v>#NAME?</v>
      </c>
      <c r="AF120" s="108">
        <f t="shared" si="15"/>
        <v>8.1996681171153796</v>
      </c>
      <c r="AG120" s="107">
        <v>375.83981173864902</v>
      </c>
      <c r="AH120" s="201" t="e">
        <f ca="1">IF(_xll.EVGET($B$1,$B$3,$B$5,$B$6,$B$7,$B$9,AG$16,AG$17,AG$18,$G120)="#NODATA","",_xll.EVGET($B$1,$B$3,$B$5,$B$6,$B$7,$B$9,AG$16,AG$17,AG$18,$G120))</f>
        <v>#NAME?</v>
      </c>
      <c r="AI120" s="303">
        <f t="shared" si="16"/>
        <v>-19.83862775227766</v>
      </c>
    </row>
    <row r="121" spans="7:35" x14ac:dyDescent="0.25">
      <c r="G121" s="76" t="str">
        <f t="shared" si="13"/>
        <v>OCC_RWEB</v>
      </c>
      <c r="H121" s="15" t="s">
        <v>192</v>
      </c>
      <c r="I121" s="26" t="e">
        <f ca="1">_xll.EVPRO($B$1,$H121,"STYLE")</f>
        <v>#NAME?</v>
      </c>
      <c r="J121" s="26" t="e">
        <f ca="1">_xll.EVPRO($B$1,$H121,"CALC")</f>
        <v>#NAME?</v>
      </c>
      <c r="L121" s="26" t="e">
        <f ca="1">_xll.EVPRO($B$1,H121,"JDEID")</f>
        <v>#NAME?</v>
      </c>
      <c r="M121" s="162" t="e">
        <f ca="1">IF(AND(I121="N",J121="N"),_xll.EVPRO($B$1,H121,"PSFTID"),"")</f>
        <v>#NAME?</v>
      </c>
      <c r="N121" s="26" t="e">
        <f ca="1">IF(_xll.EVDES(H121,$B$1)="#NODATA","",_xll.EVDES(H121,$B$1))</f>
        <v>#NAME?</v>
      </c>
      <c r="O121" s="107">
        <v>256.85816946442799</v>
      </c>
      <c r="P121" s="282">
        <v>345.21647058823498</v>
      </c>
      <c r="Q121" s="282">
        <v>286.51255587949498</v>
      </c>
      <c r="R121" s="282">
        <v>241.38653594771199</v>
      </c>
      <c r="S121" s="282">
        <v>224.10215727949</v>
      </c>
      <c r="T121" s="282">
        <v>179.99123620309001</v>
      </c>
      <c r="U121" s="282">
        <v>186.229106598985</v>
      </c>
      <c r="V121" s="282">
        <v>179.10016829052299</v>
      </c>
      <c r="W121" s="282">
        <v>167.39687753446901</v>
      </c>
      <c r="X121" s="282">
        <v>182.511180555556</v>
      </c>
      <c r="Y121" s="282">
        <v>216.70283478260899</v>
      </c>
      <c r="Z121" s="282">
        <v>302.97780525502299</v>
      </c>
      <c r="AA121" s="282">
        <f t="shared" si="14"/>
        <v>230.76349766627771</v>
      </c>
      <c r="AB121" s="201" t="e">
        <f ca="1">IF(_xll.EVGET($B$1,$B$3,$B$5,$B$6,$B$7,$B$9,AA$16,AA$17,AA$18,$G121)="#NODATA","",_xll.EVGET($B$1,$B$3,$B$5,$B$6,$B$7,$B$9,AA$16,AA$17,AA$18,$G121))</f>
        <v>#NAME?</v>
      </c>
      <c r="AD121" s="107">
        <v>297.61375034069198</v>
      </c>
      <c r="AE121" s="201" t="e">
        <f ca="1">IF(_xll.EVGET($B$1,$B$3,$B$5,$B$6,$B$7,$B$9,AD$16,AD$17,AD$18,$G121)="#NODATA","",_xll.EVGET($B$1,$B$3,$B$5,$B$6,$B$7,$B$9,AD$16,AD$17,AD$18,$G121))</f>
        <v>#NAME?</v>
      </c>
      <c r="AF121" s="108">
        <f t="shared" si="15"/>
        <v>-66.850252674414264</v>
      </c>
      <c r="AG121" s="107">
        <v>253.70541162726801</v>
      </c>
      <c r="AH121" s="201" t="e">
        <f ca="1">IF(_xll.EVGET($B$1,$B$3,$B$5,$B$6,$B$7,$B$9,AG$16,AG$17,AG$18,$G121)="#NODATA","",_xll.EVGET($B$1,$B$3,$B$5,$B$6,$B$7,$B$9,AG$16,AG$17,AG$18,$G121))</f>
        <v>#NAME?</v>
      </c>
      <c r="AI121" s="303">
        <f t="shared" si="16"/>
        <v>-22.941913960990291</v>
      </c>
    </row>
    <row r="122" spans="7:35" x14ac:dyDescent="0.25">
      <c r="G122" s="69" t="str">
        <f t="shared" si="13"/>
        <v>OCC_DISCNT</v>
      </c>
      <c r="H122" s="15" t="s">
        <v>193</v>
      </c>
      <c r="I122" s="28" t="e">
        <f ca="1">_xll.EVPRO($B$1,$H122,"STYLE")</f>
        <v>#NAME?</v>
      </c>
      <c r="J122" s="28" t="e">
        <f ca="1">_xll.EVPRO($B$1,$H122,"CALC")</f>
        <v>#NAME?</v>
      </c>
      <c r="L122" s="25" t="e">
        <f ca="1">_xll.EVPRO($B$1,H122,"JDEID")</f>
        <v>#NAME?</v>
      </c>
      <c r="M122" s="162" t="e">
        <f ca="1">IF(AND(I122="N",J122="N"),_xll.EVPRO($B$1,H122,"PSFTID"),"")</f>
        <v>#NAME?</v>
      </c>
      <c r="N122" s="25" t="e">
        <f ca="1">IF(_xll.EVDES(H122,$B$1)="#NODATA","",_xll.EVDES(H122,$B$1))</f>
        <v>#NAME?</v>
      </c>
      <c r="O122" s="100">
        <v>299.90678004535198</v>
      </c>
      <c r="P122" s="281">
        <v>345.56185050136702</v>
      </c>
      <c r="Q122" s="281">
        <v>331.83589541547298</v>
      </c>
      <c r="R122" s="281">
        <v>277.01689107413</v>
      </c>
      <c r="S122" s="281">
        <v>243.643798195242</v>
      </c>
      <c r="T122" s="281">
        <v>192.80263007840301</v>
      </c>
      <c r="U122" s="281">
        <v>181.99601753287399</v>
      </c>
      <c r="V122" s="281">
        <v>145.74607106599001</v>
      </c>
      <c r="W122" s="281">
        <v>146.82686176836901</v>
      </c>
      <c r="X122" s="281">
        <v>186.68526708074501</v>
      </c>
      <c r="Y122" s="281">
        <v>220.92079779917501</v>
      </c>
      <c r="Z122" s="281">
        <v>328.042836644592</v>
      </c>
      <c r="AA122" s="281">
        <f t="shared" si="14"/>
        <v>245.38235294117649</v>
      </c>
      <c r="AB122" s="197" t="e">
        <f ca="1">IF(_xll.EVGET($B$1,$B$3,$B$5,$B$6,$B$7,$B$9,AA$16,AA$17,AA$18,$G122)="#NODATA","",_xll.EVGET($B$1,$B$3,$B$5,$B$6,$B$7,$B$9,AA$16,AA$17,AA$18,$G122))</f>
        <v>#NAME?</v>
      </c>
      <c r="AD122" s="100">
        <v>270.55433161047802</v>
      </c>
      <c r="AE122" s="197" t="e">
        <f ca="1">IF(_xll.EVGET($B$1,$B$3,$B$5,$B$6,$B$7,$B$9,AD$16,AD$17,AD$18,$G122)="#NODATA","",_xll.EVGET($B$1,$B$3,$B$5,$B$6,$B$7,$B$9,AD$16,AD$17,AD$18,$G122))</f>
        <v>#NAME?</v>
      </c>
      <c r="AF122" s="101">
        <f t="shared" si="15"/>
        <v>-25.171978669301524</v>
      </c>
      <c r="AG122" s="100">
        <v>289.17569255663398</v>
      </c>
      <c r="AH122" s="197" t="e">
        <f ca="1">IF(_xll.EVGET($B$1,$B$3,$B$5,$B$6,$B$7,$B$9,AG$16,AG$17,AG$18,$G122)="#NODATA","",_xll.EVGET($B$1,$B$3,$B$5,$B$6,$B$7,$B$9,AG$16,AG$17,AG$18,$G122))</f>
        <v>#NAME?</v>
      </c>
      <c r="AI122" s="302">
        <f t="shared" si="16"/>
        <v>-43.793339615457484</v>
      </c>
    </row>
    <row r="123" spans="7:35" x14ac:dyDescent="0.25">
      <c r="G123" s="76" t="str">
        <f t="shared" si="13"/>
        <v>OCC_PACK</v>
      </c>
      <c r="H123" s="15" t="s">
        <v>194</v>
      </c>
      <c r="I123" s="26" t="e">
        <f ca="1">_xll.EVPRO($B$1,$H123,"STYLE")</f>
        <v>#NAME?</v>
      </c>
      <c r="J123" s="26" t="e">
        <f ca="1">_xll.EVPRO($B$1,$H123,"CALC")</f>
        <v>#NAME?</v>
      </c>
      <c r="L123" s="26" t="e">
        <f ca="1">_xll.EVPRO($B$1,H123,"JDEID")</f>
        <v>#NAME?</v>
      </c>
      <c r="M123" s="162" t="e">
        <f ca="1">IF(AND(I123="N",J123="N"),_xll.EVPRO($B$1,H123,"PSFTID"),"")</f>
        <v>#NAME?</v>
      </c>
      <c r="N123" s="26" t="e">
        <f ca="1">IF(_xll.EVDES(H123,$B$1)="#NODATA","",_xll.EVDES(H123,$B$1))</f>
        <v>#NAME?</v>
      </c>
      <c r="O123" s="107">
        <v>415.245</v>
      </c>
      <c r="P123" s="282">
        <v>391.11944444444401</v>
      </c>
      <c r="Q123" s="282">
        <v>484.88461538461502</v>
      </c>
      <c r="R123" s="282">
        <v>381.57916666666699</v>
      </c>
      <c r="S123" s="282">
        <v>337.92708333333297</v>
      </c>
      <c r="T123" s="282">
        <v>259.10571428571399</v>
      </c>
      <c r="U123" s="282">
        <v>254.771428571429</v>
      </c>
      <c r="V123" s="282">
        <v>267.90649999999999</v>
      </c>
      <c r="W123" s="282">
        <v>231.82499999999999</v>
      </c>
      <c r="X123" s="282">
        <v>278.32</v>
      </c>
      <c r="Y123" s="282">
        <v>306.30599999999998</v>
      </c>
      <c r="Z123" s="282">
        <v>505.86629629629601</v>
      </c>
      <c r="AA123" s="282">
        <f t="shared" si="14"/>
        <v>356.11338541666663</v>
      </c>
      <c r="AB123" s="201" t="e">
        <f ca="1">IF(_xll.EVGET($B$1,$B$3,$B$5,$B$6,$B$7,$B$9,AA$16,AA$17,AA$18,$G123)="#NODATA","",_xll.EVGET($B$1,$B$3,$B$5,$B$6,$B$7,$B$9,AA$16,AA$17,AA$18,$G123))</f>
        <v>#NAME?</v>
      </c>
      <c r="AD123" s="107">
        <v>369.54272727272701</v>
      </c>
      <c r="AE123" s="201" t="e">
        <f ca="1">IF(_xll.EVGET($B$1,$B$3,$B$5,$B$6,$B$7,$B$9,AD$16,AD$17,AD$18,$G123)="#NODATA","",_xll.EVGET($B$1,$B$3,$B$5,$B$6,$B$7,$B$9,AD$16,AD$17,AD$18,$G123))</f>
        <v>#NAME?</v>
      </c>
      <c r="AF123" s="108">
        <f t="shared" si="15"/>
        <v>-13.429341856060375</v>
      </c>
      <c r="AG123" s="107">
        <v>396.65126262626302</v>
      </c>
      <c r="AH123" s="201" t="e">
        <f ca="1">IF(_xll.EVGET($B$1,$B$3,$B$5,$B$6,$B$7,$B$9,AG$16,AG$17,AG$18,$G123)="#NODATA","",_xll.EVGET($B$1,$B$3,$B$5,$B$6,$B$7,$B$9,AG$16,AG$17,AG$18,$G123))</f>
        <v>#NAME?</v>
      </c>
      <c r="AI123" s="303">
        <f t="shared" si="16"/>
        <v>-40.537877209596388</v>
      </c>
    </row>
    <row r="124" spans="7:35" x14ac:dyDescent="0.25">
      <c r="G124" s="76" t="str">
        <f t="shared" si="13"/>
        <v>OCC_OTA</v>
      </c>
      <c r="H124" s="15" t="s">
        <v>195</v>
      </c>
      <c r="I124" s="26" t="e">
        <f ca="1">_xll.EVPRO($B$1,$H124,"STYLE")</f>
        <v>#NAME?</v>
      </c>
      <c r="J124" s="26" t="e">
        <f ca="1">_xll.EVPRO($B$1,$H124,"CALC")</f>
        <v>#NAME?</v>
      </c>
      <c r="L124" s="26" t="e">
        <f ca="1">_xll.EVPRO($B$1,H124,"JDEID")</f>
        <v>#NAME?</v>
      </c>
      <c r="M124" s="162" t="e">
        <f ca="1">IF(AND(I124="N",J124="N"),_xll.EVPRO($B$1,H124,"PSFTID"),"")</f>
        <v>#NAME?</v>
      </c>
      <c r="N124" s="26" t="e">
        <f ca="1">IF(_xll.EVDES(H124,$B$1)="#NODATA","",_xll.EVDES(H124,$B$1))</f>
        <v>#NAME?</v>
      </c>
      <c r="O124" s="107">
        <v>288.35547169811298</v>
      </c>
      <c r="P124" s="282">
        <v>322.32073529411798</v>
      </c>
      <c r="Q124" s="282">
        <v>315.11408163265298</v>
      </c>
      <c r="R124" s="282">
        <v>242.90046511627901</v>
      </c>
      <c r="S124" s="282">
        <v>208.06849315068499</v>
      </c>
      <c r="T124" s="282">
        <v>154.31297619047601</v>
      </c>
      <c r="U124" s="282">
        <v>166.42921052631601</v>
      </c>
      <c r="V124" s="282">
        <v>158.770253164557</v>
      </c>
      <c r="W124" s="282">
        <v>133.53431034482799</v>
      </c>
      <c r="X124" s="282">
        <v>160.25447368421101</v>
      </c>
      <c r="Y124" s="282">
        <v>183.37754385964899</v>
      </c>
      <c r="Z124" s="282">
        <v>317.702857142857</v>
      </c>
      <c r="AA124" s="282">
        <f t="shared" si="14"/>
        <v>215.71062721893492</v>
      </c>
      <c r="AB124" s="201" t="e">
        <f ca="1">IF(_xll.EVGET($B$1,$B$3,$B$5,$B$6,$B$7,$B$9,AA$16,AA$17,AA$18,$G124)="#NODATA","",_xll.EVGET($B$1,$B$3,$B$5,$B$6,$B$7,$B$9,AA$16,AA$17,AA$18,$G124))</f>
        <v>#NAME?</v>
      </c>
      <c r="AD124" s="107">
        <v>238.57524271844699</v>
      </c>
      <c r="AE124" s="201" t="e">
        <f ca="1">IF(_xll.EVGET($B$1,$B$3,$B$5,$B$6,$B$7,$B$9,AD$16,AD$17,AD$18,$G124)="#NODATA","",_xll.EVGET($B$1,$B$3,$B$5,$B$6,$B$7,$B$9,AD$16,AD$17,AD$18,$G124))</f>
        <v>#NAME?</v>
      </c>
      <c r="AF124" s="108">
        <f t="shared" si="15"/>
        <v>-22.86461549951207</v>
      </c>
      <c r="AG124" s="107">
        <v>225.78396995708201</v>
      </c>
      <c r="AH124" s="201" t="e">
        <f ca="1">IF(_xll.EVGET($B$1,$B$3,$B$5,$B$6,$B$7,$B$9,AG$16,AG$17,AG$18,$G124)="#NODATA","",_xll.EVGET($B$1,$B$3,$B$5,$B$6,$B$7,$B$9,AG$16,AG$17,AG$18,$G124))</f>
        <v>#NAME?</v>
      </c>
      <c r="AI124" s="303">
        <f t="shared" si="16"/>
        <v>-10.07334273814709</v>
      </c>
    </row>
    <row r="125" spans="7:35" x14ac:dyDescent="0.25">
      <c r="G125" s="76" t="str">
        <f t="shared" si="13"/>
        <v>OCC_BMPRO</v>
      </c>
      <c r="H125" s="15" t="s">
        <v>196</v>
      </c>
      <c r="I125" s="26" t="e">
        <f ca="1">_xll.EVPRO($B$1,$H125,"STYLE")</f>
        <v>#NAME?</v>
      </c>
      <c r="J125" s="26" t="e">
        <f ca="1">_xll.EVPRO($B$1,$H125,"CALC")</f>
        <v>#NAME?</v>
      </c>
      <c r="L125" s="26" t="e">
        <f ca="1">_xll.EVPRO($B$1,H125,"JDEID")</f>
        <v>#NAME?</v>
      </c>
      <c r="M125" s="162" t="e">
        <f ca="1">IF(AND(I125="N",J125="N"),_xll.EVPRO($B$1,H125,"PSFTID"),"")</f>
        <v>#NAME?</v>
      </c>
      <c r="N125" s="26" t="e">
        <f ca="1">IF(_xll.EVDES(H125,$B$1)="#NODATA","",_xll.EVDES(H125,$B$1))</f>
        <v>#NAME?</v>
      </c>
      <c r="O125" s="107">
        <v>279.14453248811401</v>
      </c>
      <c r="P125" s="282">
        <v>281.91152173913002</v>
      </c>
      <c r="Q125" s="282">
        <v>180.62921787709499</v>
      </c>
      <c r="R125" s="282">
        <v>131.36151685393301</v>
      </c>
      <c r="S125" s="282">
        <v>120.697282608696</v>
      </c>
      <c r="T125" s="282">
        <v>92.736728971962606</v>
      </c>
      <c r="U125" s="282">
        <v>93.870860534124603</v>
      </c>
      <c r="V125" s="282">
        <v>71.7773684210526</v>
      </c>
      <c r="W125" s="282">
        <v>61.634999999999998</v>
      </c>
      <c r="X125" s="282">
        <v>78.526706586826293</v>
      </c>
      <c r="Y125" s="282">
        <v>92.269878048780498</v>
      </c>
      <c r="Z125" s="282">
        <v>150.565093167702</v>
      </c>
      <c r="AA125" s="282">
        <f t="shared" si="14"/>
        <v>155.30078334972137</v>
      </c>
      <c r="AB125" s="201" t="e">
        <f ca="1">IF(_xll.EVGET($B$1,$B$3,$B$5,$B$6,$B$7,$B$9,AA$16,AA$17,AA$18,$G125)="#NODATA","",_xll.EVGET($B$1,$B$3,$B$5,$B$6,$B$7,$B$9,AA$16,AA$17,AA$18,$G125))</f>
        <v>#NAME?</v>
      </c>
      <c r="AD125" s="107">
        <v>188.50914447839401</v>
      </c>
      <c r="AE125" s="201" t="e">
        <f ca="1">IF(_xll.EVGET($B$1,$B$3,$B$5,$B$6,$B$7,$B$9,AD$16,AD$17,AD$18,$G125)="#NODATA","",_xll.EVGET($B$1,$B$3,$B$5,$B$6,$B$7,$B$9,AD$16,AD$17,AD$18,$G125))</f>
        <v>#NAME?</v>
      </c>
      <c r="AF125" s="108">
        <f t="shared" si="15"/>
        <v>-33.208361128672635</v>
      </c>
      <c r="AG125" s="107">
        <v>193.12688273615601</v>
      </c>
      <c r="AH125" s="201" t="e">
        <f ca="1">IF(_xll.EVGET($B$1,$B$3,$B$5,$B$6,$B$7,$B$9,AG$16,AG$17,AG$18,$G125)="#NODATA","",_xll.EVGET($B$1,$B$3,$B$5,$B$6,$B$7,$B$9,AG$16,AG$17,AG$18,$G125))</f>
        <v>#NAME?</v>
      </c>
      <c r="AI125" s="303">
        <f t="shared" si="16"/>
        <v>-37.826099386434635</v>
      </c>
    </row>
    <row r="126" spans="7:35" x14ac:dyDescent="0.25">
      <c r="G126" s="76" t="str">
        <f t="shared" si="13"/>
        <v>OCC_ADVPR</v>
      </c>
      <c r="H126" s="15" t="s">
        <v>197</v>
      </c>
      <c r="I126" s="26" t="e">
        <f ca="1">_xll.EVPRO($B$1,$H126,"STYLE")</f>
        <v>#NAME?</v>
      </c>
      <c r="J126" s="26" t="e">
        <f ca="1">_xll.EVPRO($B$1,$H126,"CALC")</f>
        <v>#NAME?</v>
      </c>
      <c r="L126" s="26" t="e">
        <f ca="1">_xll.EVPRO($B$1,H126,"JDEID")</f>
        <v>#NAME?</v>
      </c>
      <c r="M126" s="162" t="e">
        <f ca="1">IF(AND(I126="N",J126="N"),_xll.EVPRO($B$1,H126,"PSFTID"),"")</f>
        <v>#NAME?</v>
      </c>
      <c r="N126" s="26" t="e">
        <f ca="1">IF(_xll.EVDES(H126,$B$1)="#NODATA","",_xll.EVDES(H126,$B$1))</f>
        <v>#NAME?</v>
      </c>
      <c r="O126" s="107">
        <v>313.48333333333301</v>
      </c>
      <c r="P126" s="282">
        <v>351.99919999999997</v>
      </c>
      <c r="Q126" s="282">
        <v>427.92870967741902</v>
      </c>
      <c r="R126" s="282">
        <v>344.42745454545502</v>
      </c>
      <c r="S126" s="282">
        <v>224.49226415094299</v>
      </c>
      <c r="T126" s="282">
        <v>216.29414634146301</v>
      </c>
      <c r="U126" s="282">
        <v>185.164295081967</v>
      </c>
      <c r="V126" s="282">
        <v>178.848382352941</v>
      </c>
      <c r="W126" s="282">
        <v>153.00384615384601</v>
      </c>
      <c r="X126" s="282">
        <v>299.58666666666699</v>
      </c>
      <c r="Y126" s="282">
        <v>258.474285714286</v>
      </c>
      <c r="Z126" s="282">
        <v>261.27319148936198</v>
      </c>
      <c r="AA126" s="282">
        <f t="shared" si="14"/>
        <v>235.83271971496433</v>
      </c>
      <c r="AB126" s="201" t="e">
        <f ca="1">IF(_xll.EVGET($B$1,$B$3,$B$5,$B$6,$B$7,$B$9,AA$16,AA$17,AA$18,$G126)="#NODATA","",_xll.EVGET($B$1,$B$3,$B$5,$B$6,$B$7,$B$9,AA$16,AA$17,AA$18,$G126))</f>
        <v>#NAME?</v>
      </c>
      <c r="AD126" s="107">
        <v>308.15522388059702</v>
      </c>
      <c r="AE126" s="201" t="e">
        <f ca="1">IF(_xll.EVGET($B$1,$B$3,$B$5,$B$6,$B$7,$B$9,AD$16,AD$17,AD$18,$G126)="#NODATA","",_xll.EVGET($B$1,$B$3,$B$5,$B$6,$B$7,$B$9,AD$16,AD$17,AD$18,$G126))</f>
        <v>#NAME?</v>
      </c>
      <c r="AF126" s="108">
        <f t="shared" si="15"/>
        <v>-72.322504165632694</v>
      </c>
      <c r="AG126" s="107">
        <v>369.46827825159897</v>
      </c>
      <c r="AH126" s="201" t="e">
        <f ca="1">IF(_xll.EVGET($B$1,$B$3,$B$5,$B$6,$B$7,$B$9,AG$16,AG$17,AG$18,$G126)="#NODATA","",_xll.EVGET($B$1,$B$3,$B$5,$B$6,$B$7,$B$9,AG$16,AG$17,AG$18,$G126))</f>
        <v>#NAME?</v>
      </c>
      <c r="AI126" s="303">
        <f t="shared" si="16"/>
        <v>-133.63555853663465</v>
      </c>
    </row>
    <row r="127" spans="7:35" x14ac:dyDescent="0.25">
      <c r="G127" s="76" t="str">
        <f t="shared" si="13"/>
        <v>OCC_LDISCNT</v>
      </c>
      <c r="H127" s="15" t="s">
        <v>198</v>
      </c>
      <c r="I127" s="26" t="e">
        <f ca="1">_xll.EVPRO($B$1,$H127,"STYLE")</f>
        <v>#NAME?</v>
      </c>
      <c r="J127" s="26" t="e">
        <f ca="1">_xll.EVPRO($B$1,$H127,"CALC")</f>
        <v>#NAME?</v>
      </c>
      <c r="L127" s="26" t="e">
        <f ca="1">_xll.EVPRO($B$1,H127,"JDEID")</f>
        <v>#NAME?</v>
      </c>
      <c r="M127" s="162" t="e">
        <f ca="1">IF(AND(I127="N",J127="N"),_xll.EVPRO($B$1,H127,"PSFTID"),"")</f>
        <v>#NAME?</v>
      </c>
      <c r="N127" s="26" t="e">
        <f ca="1">IF(_xll.EVDES(H127,$B$1)="#NODATA","",_xll.EVDES(H127,$B$1))</f>
        <v>#NAME?</v>
      </c>
      <c r="O127" s="107">
        <v>315.24850364963498</v>
      </c>
      <c r="P127" s="282">
        <v>370.629595375723</v>
      </c>
      <c r="Q127" s="282">
        <v>348.45473148148102</v>
      </c>
      <c r="R127" s="282">
        <v>297.737622309198</v>
      </c>
      <c r="S127" s="282">
        <v>268.85702671312401</v>
      </c>
      <c r="T127" s="282">
        <v>213.450728744939</v>
      </c>
      <c r="U127" s="282">
        <v>218.170829986613</v>
      </c>
      <c r="V127" s="282">
        <v>188.205049019608</v>
      </c>
      <c r="W127" s="282">
        <v>182.177540650407</v>
      </c>
      <c r="X127" s="282">
        <v>217.33592216582099</v>
      </c>
      <c r="Y127" s="282">
        <v>265.321920668058</v>
      </c>
      <c r="Z127" s="282">
        <v>369.72558770343602</v>
      </c>
      <c r="AA127" s="282">
        <f t="shared" si="14"/>
        <v>276.75353267935236</v>
      </c>
      <c r="AB127" s="201" t="e">
        <f ca="1">IF(_xll.EVGET($B$1,$B$3,$B$5,$B$6,$B$7,$B$9,AA$16,AA$17,AA$18,$G127)="#NODATA","",_xll.EVGET($B$1,$B$3,$B$5,$B$6,$B$7,$B$9,AA$16,AA$17,AA$18,$G127))</f>
        <v>#NAME?</v>
      </c>
      <c r="AD127" s="107">
        <v>268.14591140159803</v>
      </c>
      <c r="AE127" s="201" t="e">
        <f ca="1">IF(_xll.EVGET($B$1,$B$3,$B$5,$B$6,$B$7,$B$9,AD$16,AD$17,AD$18,$G127)="#NODATA","",_xll.EVGET($B$1,$B$3,$B$5,$B$6,$B$7,$B$9,AD$16,AD$17,AD$18,$G127))</f>
        <v>#NAME?</v>
      </c>
      <c r="AF127" s="108">
        <f t="shared" si="15"/>
        <v>8.6076212777543333</v>
      </c>
      <c r="AG127" s="107">
        <v>297.84371444823699</v>
      </c>
      <c r="AH127" s="201" t="e">
        <f ca="1">IF(_xll.EVGET($B$1,$B$3,$B$5,$B$6,$B$7,$B$9,AG$16,AG$17,AG$18,$G127)="#NODATA","",_xll.EVGET($B$1,$B$3,$B$5,$B$6,$B$7,$B$9,AG$16,AG$17,AG$18,$G127))</f>
        <v>#NAME?</v>
      </c>
      <c r="AI127" s="303">
        <f t="shared" si="16"/>
        <v>-21.090181768884634</v>
      </c>
    </row>
    <row r="128" spans="7:35" x14ac:dyDescent="0.25">
      <c r="G128" s="76" t="str">
        <f t="shared" si="13"/>
        <v>OCC_PAPR</v>
      </c>
      <c r="H128" s="15" t="s">
        <v>199</v>
      </c>
      <c r="I128" s="26" t="e">
        <f ca="1">_xll.EVPRO($B$1,$H128,"STYLE")</f>
        <v>#NAME?</v>
      </c>
      <c r="J128" s="26" t="e">
        <f ca="1">_xll.EVPRO($B$1,$H128,"CALC")</f>
        <v>#NAME?</v>
      </c>
      <c r="L128" s="26" t="e">
        <f ca="1">_xll.EVPRO($B$1,H128,"JDEID")</f>
        <v>#NAME?</v>
      </c>
      <c r="M128" s="162" t="e">
        <f ca="1">IF(AND(I128="N",J128="N"),_xll.EVPRO($B$1,H128,"PSFTID"),"")</f>
        <v>#NAME?</v>
      </c>
      <c r="N128" s="26" t="e">
        <f ca="1">IF(_xll.EVDES(H128,$B$1)="#NODATA","",_xll.EVDES(H128,$B$1))</f>
        <v>#NAME?</v>
      </c>
      <c r="O128" s="107"/>
      <c r="P128" s="282"/>
      <c r="Q128" s="282"/>
      <c r="R128" s="282"/>
      <c r="S128" s="282"/>
      <c r="T128" s="282"/>
      <c r="U128" s="282"/>
      <c r="V128" s="282"/>
      <c r="W128" s="282"/>
      <c r="X128" s="282"/>
      <c r="Y128" s="282"/>
      <c r="Z128" s="282"/>
      <c r="AA128" s="282">
        <f t="shared" si="14"/>
        <v>0</v>
      </c>
      <c r="AB128" s="201" t="e">
        <f ca="1">IF(_xll.EVGET($B$1,$B$3,$B$5,$B$6,$B$7,$B$9,AA$16,AA$17,AA$18,$G128)="#NODATA","",_xll.EVGET($B$1,$B$3,$B$5,$B$6,$B$7,$B$9,AA$16,AA$17,AA$18,$G128))</f>
        <v>#NAME?</v>
      </c>
      <c r="AD128" s="107"/>
      <c r="AE128" s="201" t="e">
        <f ca="1">IF(_xll.EVGET($B$1,$B$3,$B$5,$B$6,$B$7,$B$9,AD$16,AD$17,AD$18,$G128)="#NODATA","",_xll.EVGET($B$1,$B$3,$B$5,$B$6,$B$7,$B$9,AD$16,AD$17,AD$18,$G128))</f>
        <v>#NAME?</v>
      </c>
      <c r="AF128" s="108">
        <f t="shared" si="15"/>
        <v>0</v>
      </c>
      <c r="AG128" s="107"/>
      <c r="AH128" s="201" t="e">
        <f ca="1">IF(_xll.EVGET($B$1,$B$3,$B$5,$B$6,$B$7,$B$9,AG$16,AG$17,AG$18,$G128)="#NODATA","",_xll.EVGET($B$1,$B$3,$B$5,$B$6,$B$7,$B$9,AG$16,AG$17,AG$18,$G128))</f>
        <v>#NAME?</v>
      </c>
      <c r="AI128" s="303">
        <f t="shared" si="16"/>
        <v>0</v>
      </c>
    </row>
    <row r="129" spans="7:35" x14ac:dyDescent="0.25">
      <c r="G129" s="69" t="str">
        <f t="shared" si="13"/>
        <v>OCC_NEGOT</v>
      </c>
      <c r="H129" s="15" t="s">
        <v>200</v>
      </c>
      <c r="I129" s="28" t="e">
        <f ca="1">_xll.EVPRO($B$1,$H129,"STYLE")</f>
        <v>#NAME?</v>
      </c>
      <c r="J129" s="28" t="e">
        <f ca="1">_xll.EVPRO($B$1,$H129,"CALC")</f>
        <v>#NAME?</v>
      </c>
      <c r="L129" s="25" t="e">
        <f ca="1">_xll.EVPRO($B$1,H129,"JDEID")</f>
        <v>#NAME?</v>
      </c>
      <c r="M129" s="162" t="e">
        <f ca="1">IF(AND(I129="N",J129="N"),_xll.EVPRO($B$1,H129,"PSFTID"),"")</f>
        <v>#NAME?</v>
      </c>
      <c r="N129" s="25" t="e">
        <f ca="1">IF(_xll.EVDES(H129,$B$1)="#NODATA","",_xll.EVDES(H129,$B$1))</f>
        <v>#NAME?</v>
      </c>
      <c r="O129" s="100">
        <v>358.59</v>
      </c>
      <c r="P129" s="281">
        <v>425.628414634146</v>
      </c>
      <c r="Q129" s="281">
        <v>351.20633333333302</v>
      </c>
      <c r="R129" s="281">
        <v>289.25090225563901</v>
      </c>
      <c r="S129" s="281">
        <v>248.18507692307699</v>
      </c>
      <c r="T129" s="281">
        <v>233.58280575539601</v>
      </c>
      <c r="U129" s="281">
        <v>222.94829268292699</v>
      </c>
      <c r="V129" s="281">
        <v>204.08645161290301</v>
      </c>
      <c r="W129" s="281">
        <v>185.037978723404</v>
      </c>
      <c r="X129" s="281">
        <v>225.42038834951501</v>
      </c>
      <c r="Y129" s="281">
        <v>289.74208333333303</v>
      </c>
      <c r="Z129" s="281">
        <v>376.41815789473702</v>
      </c>
      <c r="AA129" s="281">
        <f t="shared" si="14"/>
        <v>286.40184663536769</v>
      </c>
      <c r="AB129" s="197" t="e">
        <f ca="1">IF(_xll.EVGET($B$1,$B$3,$B$5,$B$6,$B$7,$B$9,AA$16,AA$17,AA$18,$G129)="#NODATA","",_xll.EVGET($B$1,$B$3,$B$5,$B$6,$B$7,$B$9,AA$16,AA$17,AA$18,$G129))</f>
        <v>#NAME?</v>
      </c>
      <c r="AD129" s="100">
        <v>312.09520889487902</v>
      </c>
      <c r="AE129" s="197" t="e">
        <f ca="1">IF(_xll.EVGET($B$1,$B$3,$B$5,$B$6,$B$7,$B$9,AD$16,AD$17,AD$18,$G129)="#NODATA","",_xll.EVGET($B$1,$B$3,$B$5,$B$6,$B$7,$B$9,AD$16,AD$17,AD$18,$G129))</f>
        <v>#NAME?</v>
      </c>
      <c r="AF129" s="101">
        <f t="shared" si="15"/>
        <v>-25.693362259511332</v>
      </c>
      <c r="AG129" s="100">
        <v>313.04614213197999</v>
      </c>
      <c r="AH129" s="197" t="e">
        <f ca="1">IF(_xll.EVGET($B$1,$B$3,$B$5,$B$6,$B$7,$B$9,AG$16,AG$17,AG$18,$G129)="#NODATA","",_xll.EVGET($B$1,$B$3,$B$5,$B$6,$B$7,$B$9,AG$16,AG$17,AG$18,$G129))</f>
        <v>#NAME?</v>
      </c>
      <c r="AI129" s="302">
        <f t="shared" si="16"/>
        <v>-26.644295496612301</v>
      </c>
    </row>
    <row r="130" spans="7:35" x14ac:dyDescent="0.25">
      <c r="G130" s="76" t="str">
        <f t="shared" si="13"/>
        <v>OCC_CONS</v>
      </c>
      <c r="H130" s="15" t="s">
        <v>201</v>
      </c>
      <c r="I130" s="26" t="e">
        <f ca="1">_xll.EVPRO($B$1,$H130,"STYLE")</f>
        <v>#NAME?</v>
      </c>
      <c r="J130" s="26" t="e">
        <f ca="1">_xll.EVPRO($B$1,$H130,"CALC")</f>
        <v>#NAME?</v>
      </c>
      <c r="L130" s="26" t="e">
        <f ca="1">_xll.EVPRO($B$1,H130,"JDEID")</f>
        <v>#NAME?</v>
      </c>
      <c r="M130" s="162" t="e">
        <f ca="1">IF(AND(I130="N",J130="N"),_xll.EVPRO($B$1,H130,"PSFTID"),"")</f>
        <v>#NAME?</v>
      </c>
      <c r="N130" s="26" t="e">
        <f ca="1">IF(_xll.EVDES(H130,$B$1)="#NODATA","",_xll.EVDES(H130,$B$1))</f>
        <v>#NAME?</v>
      </c>
      <c r="O130" s="107">
        <v>438.46619047618998</v>
      </c>
      <c r="P130" s="282">
        <v>527.46911764705897</v>
      </c>
      <c r="Q130" s="282">
        <v>385.81327868852497</v>
      </c>
      <c r="R130" s="282">
        <v>313.86469387755102</v>
      </c>
      <c r="S130" s="282">
        <v>227.448888888889</v>
      </c>
      <c r="T130" s="282">
        <v>235.70793103448301</v>
      </c>
      <c r="U130" s="282">
        <v>218.397073170732</v>
      </c>
      <c r="V130" s="282">
        <v>221.23333333333301</v>
      </c>
      <c r="W130" s="282">
        <v>178.46297297297301</v>
      </c>
      <c r="X130" s="282">
        <v>228.9946875</v>
      </c>
      <c r="Y130" s="282">
        <v>249.29</v>
      </c>
      <c r="Z130" s="282">
        <v>335.041</v>
      </c>
      <c r="AA130" s="282">
        <f t="shared" si="14"/>
        <v>306.06771117166215</v>
      </c>
      <c r="AB130" s="201" t="e">
        <f ca="1">IF(_xll.EVGET($B$1,$B$3,$B$5,$B$6,$B$7,$B$9,AA$16,AA$17,AA$18,$G130)="#NODATA","",_xll.EVGET($B$1,$B$3,$B$5,$B$6,$B$7,$B$9,AA$16,AA$17,AA$18,$G130))</f>
        <v>#NAME?</v>
      </c>
      <c r="AD130" s="107">
        <v>366.75979020979003</v>
      </c>
      <c r="AE130" s="201" t="e">
        <f ca="1">IF(_xll.EVGET($B$1,$B$3,$B$5,$B$6,$B$7,$B$9,AD$16,AD$17,AD$18,$G130)="#NODATA","",_xll.EVGET($B$1,$B$3,$B$5,$B$6,$B$7,$B$9,AD$16,AD$17,AD$18,$G130))</f>
        <v>#NAME?</v>
      </c>
      <c r="AF130" s="108">
        <f t="shared" si="15"/>
        <v>-60.692079038127872</v>
      </c>
      <c r="AG130" s="107">
        <v>391.001209302326</v>
      </c>
      <c r="AH130" s="201" t="e">
        <f ca="1">IF(_xll.EVGET($B$1,$B$3,$B$5,$B$6,$B$7,$B$9,AG$16,AG$17,AG$18,$G130)="#NODATA","",_xll.EVGET($B$1,$B$3,$B$5,$B$6,$B$7,$B$9,AG$16,AG$17,AG$18,$G130))</f>
        <v>#NAME?</v>
      </c>
      <c r="AI130" s="303">
        <f t="shared" si="16"/>
        <v>-84.93349813066385</v>
      </c>
    </row>
    <row r="131" spans="7:35" x14ac:dyDescent="0.25">
      <c r="G131" s="76" t="str">
        <f t="shared" si="13"/>
        <v>OCC_NNEG</v>
      </c>
      <c r="H131" s="15" t="s">
        <v>202</v>
      </c>
      <c r="I131" s="26" t="e">
        <f ca="1">_xll.EVPRO($B$1,$H131,"STYLE")</f>
        <v>#NAME?</v>
      </c>
      <c r="J131" s="26" t="e">
        <f ca="1">_xll.EVPRO($B$1,$H131,"CALC")</f>
        <v>#NAME?</v>
      </c>
      <c r="L131" s="26" t="e">
        <f ca="1">_xll.EVPRO($B$1,H131,"JDEID")</f>
        <v>#NAME?</v>
      </c>
      <c r="M131" s="162" t="e">
        <f ca="1">IF(AND(I131="N",J131="N"),_xll.EVPRO($B$1,H131,"PSFTID"),"")</f>
        <v>#NAME?</v>
      </c>
      <c r="N131" s="26" t="e">
        <f ca="1">IF(_xll.EVDES(H131,$B$1)="#NODATA","",_xll.EVDES(H131,$B$1))</f>
        <v>#NAME?</v>
      </c>
      <c r="O131" s="107">
        <v>328.25</v>
      </c>
      <c r="P131" s="282">
        <v>353.96358974358998</v>
      </c>
      <c r="Q131" s="282">
        <v>337.42849999999999</v>
      </c>
      <c r="R131" s="282">
        <v>286.30847457627101</v>
      </c>
      <c r="S131" s="282">
        <v>240.05</v>
      </c>
      <c r="T131" s="282">
        <v>214.06833333333299</v>
      </c>
      <c r="U131" s="282">
        <v>204.87214285714299</v>
      </c>
      <c r="V131" s="282">
        <v>207.42039215686299</v>
      </c>
      <c r="W131" s="282">
        <v>183.83914893617001</v>
      </c>
      <c r="X131" s="282">
        <v>224.89934426229499</v>
      </c>
      <c r="Y131" s="282">
        <v>306.19389830508499</v>
      </c>
      <c r="Z131" s="282">
        <v>360.108888888889</v>
      </c>
      <c r="AA131" s="282">
        <f t="shared" si="14"/>
        <v>274.96296564195296</v>
      </c>
      <c r="AB131" s="201" t="e">
        <f ca="1">IF(_xll.EVGET($B$1,$B$3,$B$5,$B$6,$B$7,$B$9,AA$16,AA$17,AA$18,$G131)="#NODATA","",_xll.EVGET($B$1,$B$3,$B$5,$B$6,$B$7,$B$9,AA$16,AA$17,AA$18,$G131))</f>
        <v>#NAME?</v>
      </c>
      <c r="AD131" s="107">
        <v>322.55181286549703</v>
      </c>
      <c r="AE131" s="201" t="e">
        <f ca="1">IF(_xll.EVGET($B$1,$B$3,$B$5,$B$6,$B$7,$B$9,AD$16,AD$17,AD$18,$G131)="#NODATA","",_xll.EVGET($B$1,$B$3,$B$5,$B$6,$B$7,$B$9,AD$16,AD$17,AD$18,$G131))</f>
        <v>#NAME?</v>
      </c>
      <c r="AF131" s="108">
        <f t="shared" si="15"/>
        <v>-47.588847223544064</v>
      </c>
      <c r="AG131" s="107">
        <v>297.79021598272101</v>
      </c>
      <c r="AH131" s="201" t="e">
        <f ca="1">IF(_xll.EVGET($B$1,$B$3,$B$5,$B$6,$B$7,$B$9,AG$16,AG$17,AG$18,$G131)="#NODATA","",_xll.EVGET($B$1,$B$3,$B$5,$B$6,$B$7,$B$9,AG$16,AG$17,AG$18,$G131))</f>
        <v>#NAME?</v>
      </c>
      <c r="AI131" s="303">
        <f t="shared" si="16"/>
        <v>-22.827250340768046</v>
      </c>
    </row>
    <row r="132" spans="7:35" x14ac:dyDescent="0.25">
      <c r="G132" s="76" t="str">
        <f t="shared" si="13"/>
        <v>OCC_LNEG</v>
      </c>
      <c r="H132" s="15" t="s">
        <v>203</v>
      </c>
      <c r="I132" s="26" t="e">
        <f ca="1">_xll.EVPRO($B$1,$H132,"STYLE")</f>
        <v>#NAME?</v>
      </c>
      <c r="J132" s="26" t="e">
        <f ca="1">_xll.EVPRO($B$1,$H132,"CALC")</f>
        <v>#NAME?</v>
      </c>
      <c r="L132" s="26" t="e">
        <f ca="1">_xll.EVPRO($B$1,H132,"JDEID")</f>
        <v>#NAME?</v>
      </c>
      <c r="M132" s="162" t="e">
        <f ca="1">IF(AND(I132="N",J132="N"),_xll.EVPRO($B$1,H132,"PSFTID"),"")</f>
        <v>#NAME?</v>
      </c>
      <c r="N132" s="26" t="e">
        <f ca="1">IF(_xll.EVDES(H132,$B$1)="#NODATA","",_xll.EVDES(H132,$B$1))</f>
        <v>#NAME?</v>
      </c>
      <c r="O132" s="107">
        <v>364</v>
      </c>
      <c r="P132" s="282">
        <v>351.444444444444</v>
      </c>
      <c r="Q132" s="282">
        <v>336.58608695652202</v>
      </c>
      <c r="R132" s="282">
        <v>247.952</v>
      </c>
      <c r="S132" s="282">
        <v>267.97130434782599</v>
      </c>
      <c r="T132" s="282">
        <v>242.24351351351399</v>
      </c>
      <c r="U132" s="282">
        <v>239.23222222222199</v>
      </c>
      <c r="V132" s="282">
        <v>171.777777777778</v>
      </c>
      <c r="W132" s="282">
        <v>215</v>
      </c>
      <c r="X132" s="282">
        <v>217.161</v>
      </c>
      <c r="Y132" s="282">
        <v>278.64137254901999</v>
      </c>
      <c r="Z132" s="282">
        <v>405.92105263157902</v>
      </c>
      <c r="AA132" s="282">
        <f t="shared" si="14"/>
        <v>283.91114525139665</v>
      </c>
      <c r="AB132" s="201" t="e">
        <f ca="1">IF(_xll.EVGET($B$1,$B$3,$B$5,$B$6,$B$7,$B$9,AA$16,AA$17,AA$18,$G132)="#NODATA","",_xll.EVGET($B$1,$B$3,$B$5,$B$6,$B$7,$B$9,AA$16,AA$17,AA$18,$G132))</f>
        <v>#NAME?</v>
      </c>
      <c r="AD132" s="107">
        <v>296.17579710144901</v>
      </c>
      <c r="AE132" s="201" t="e">
        <f ca="1">IF(_xll.EVGET($B$1,$B$3,$B$5,$B$6,$B$7,$B$9,AD$16,AD$17,AD$18,$G132)="#NODATA","",_xll.EVGET($B$1,$B$3,$B$5,$B$6,$B$7,$B$9,AD$16,AD$17,AD$18,$G132))</f>
        <v>#NAME?</v>
      </c>
      <c r="AF132" s="108">
        <f t="shared" si="15"/>
        <v>-12.26465185005236</v>
      </c>
      <c r="AG132" s="107">
        <v>299.21326676176898</v>
      </c>
      <c r="AH132" s="201" t="e">
        <f ca="1">IF(_xll.EVGET($B$1,$B$3,$B$5,$B$6,$B$7,$B$9,AG$16,AG$17,AG$18,$G132)="#NODATA","",_xll.EVGET($B$1,$B$3,$B$5,$B$6,$B$7,$B$9,AG$16,AG$17,AG$18,$G132))</f>
        <v>#NAME?</v>
      </c>
      <c r="AI132" s="303">
        <f t="shared" si="16"/>
        <v>-15.302121510372331</v>
      </c>
    </row>
    <row r="133" spans="7:35" x14ac:dyDescent="0.25">
      <c r="G133" s="69" t="str">
        <f t="shared" si="13"/>
        <v>OCC_QUALF</v>
      </c>
      <c r="H133" s="15" t="s">
        <v>204</v>
      </c>
      <c r="I133" s="28" t="e">
        <f ca="1">_xll.EVPRO($B$1,$H133,"STYLE")</f>
        <v>#NAME?</v>
      </c>
      <c r="J133" s="28" t="e">
        <f ca="1">_xll.EVPRO($B$1,$H133,"CALC")</f>
        <v>#NAME?</v>
      </c>
      <c r="L133" s="25" t="e">
        <f ca="1">_xll.EVPRO($B$1,H133,"JDEID")</f>
        <v>#NAME?</v>
      </c>
      <c r="M133" s="162" t="e">
        <f ca="1">IF(AND(I133="N",J133="N"),_xll.EVPRO($B$1,H133,"PSFTID"),"")</f>
        <v>#NAME?</v>
      </c>
      <c r="N133" s="25" t="e">
        <f ca="1">IF(_xll.EVDES(H133,$B$1)="#NODATA","",_xll.EVDES(H133,$B$1))</f>
        <v>#NAME?</v>
      </c>
      <c r="O133" s="100">
        <v>163.25886075949401</v>
      </c>
      <c r="P133" s="281">
        <v>176.57423076923101</v>
      </c>
      <c r="Q133" s="281">
        <v>222.530465116279</v>
      </c>
      <c r="R133" s="281">
        <v>214.38010869565201</v>
      </c>
      <c r="S133" s="281">
        <v>156.84575000000001</v>
      </c>
      <c r="T133" s="281">
        <v>137.363333333333</v>
      </c>
      <c r="U133" s="281">
        <v>180.51831775700899</v>
      </c>
      <c r="V133" s="281">
        <v>152.40017391304301</v>
      </c>
      <c r="W133" s="281">
        <v>121.481958762887</v>
      </c>
      <c r="X133" s="281">
        <v>146.48428571428599</v>
      </c>
      <c r="Y133" s="281">
        <v>178.81333333333299</v>
      </c>
      <c r="Z133" s="281">
        <v>176.640579710145</v>
      </c>
      <c r="AA133" s="281">
        <f t="shared" si="14"/>
        <v>169.52925501432668</v>
      </c>
      <c r="AB133" s="197" t="e">
        <f ca="1">IF(_xll.EVGET($B$1,$B$3,$B$5,$B$6,$B$7,$B$9,AA$16,AA$17,AA$18,$G133)="#NODATA","",_xll.EVGET($B$1,$B$3,$B$5,$B$6,$B$7,$B$9,AA$16,AA$17,AA$18,$G133))</f>
        <v>#NAME?</v>
      </c>
      <c r="AD133" s="100">
        <v>245.393496503497</v>
      </c>
      <c r="AE133" s="197" t="e">
        <f ca="1">IF(_xll.EVGET($B$1,$B$3,$B$5,$B$6,$B$7,$B$9,AD$16,AD$17,AD$18,$G133)="#NODATA","",_xll.EVGET($B$1,$B$3,$B$5,$B$6,$B$7,$B$9,AD$16,AD$17,AD$18,$G133))</f>
        <v>#NAME?</v>
      </c>
      <c r="AF133" s="101">
        <f t="shared" si="15"/>
        <v>-75.864241489170325</v>
      </c>
      <c r="AG133" s="100">
        <v>182.994072883173</v>
      </c>
      <c r="AH133" s="197" t="e">
        <f ca="1">IF(_xll.EVGET($B$1,$B$3,$B$5,$B$6,$B$7,$B$9,AG$16,AG$17,AG$18,$G133)="#NODATA","",_xll.EVGET($B$1,$B$3,$B$5,$B$6,$B$7,$B$9,AG$16,AG$17,AG$18,$G133))</f>
        <v>#NAME?</v>
      </c>
      <c r="AI133" s="302">
        <f t="shared" si="16"/>
        <v>-13.464817868846325</v>
      </c>
    </row>
    <row r="134" spans="7:35" x14ac:dyDescent="0.25">
      <c r="G134" s="76" t="str">
        <f t="shared" si="13"/>
        <v>OCC_QUDI</v>
      </c>
      <c r="H134" s="15" t="s">
        <v>205</v>
      </c>
      <c r="I134" s="26" t="e">
        <f ca="1">_xll.EVPRO($B$1,$H134,"STYLE")</f>
        <v>#NAME?</v>
      </c>
      <c r="J134" s="26" t="e">
        <f ca="1">_xll.EVPRO($B$1,$H134,"CALC")</f>
        <v>#NAME?</v>
      </c>
      <c r="L134" s="26" t="e">
        <f ca="1">_xll.EVPRO($B$1,H134,"JDEID")</f>
        <v>#NAME?</v>
      </c>
      <c r="M134" s="162" t="e">
        <f ca="1">IF(AND(I134="N",J134="N"),_xll.EVPRO($B$1,H134,"PSFTID"),"")</f>
        <v>#NAME?</v>
      </c>
      <c r="N134" s="26" t="e">
        <f ca="1">IF(_xll.EVDES(H134,$B$1)="#NODATA","",_xll.EVDES(H134,$B$1))</f>
        <v>#NAME?</v>
      </c>
      <c r="O134" s="107">
        <v>140.68090909090901</v>
      </c>
      <c r="P134" s="282">
        <v>163.32396551724099</v>
      </c>
      <c r="Q134" s="282">
        <v>223.75162162162201</v>
      </c>
      <c r="R134" s="282">
        <v>225.75602564102601</v>
      </c>
      <c r="S134" s="282">
        <v>160.35319999999999</v>
      </c>
      <c r="T134" s="282">
        <v>136.813220338983</v>
      </c>
      <c r="U134" s="282">
        <v>188.30853932584299</v>
      </c>
      <c r="V134" s="282">
        <v>152.67875000000001</v>
      </c>
      <c r="W134" s="282">
        <v>121.05</v>
      </c>
      <c r="X134" s="282">
        <v>144.75230769230799</v>
      </c>
      <c r="Y134" s="282">
        <v>183.72</v>
      </c>
      <c r="Z134" s="282">
        <v>169.365517241379</v>
      </c>
      <c r="AA134" s="282">
        <f t="shared" si="14"/>
        <v>167.63172768878724</v>
      </c>
      <c r="AB134" s="201" t="e">
        <f ca="1">IF(_xll.EVGET($B$1,$B$3,$B$5,$B$6,$B$7,$B$9,AA$16,AA$17,AA$18,$G134)="#NODATA","",_xll.EVGET($B$1,$B$3,$B$5,$B$6,$B$7,$B$9,AA$16,AA$17,AA$18,$G134))</f>
        <v>#NAME?</v>
      </c>
      <c r="AD134" s="107">
        <v>267.03834242093802</v>
      </c>
      <c r="AE134" s="201" t="e">
        <f ca="1">IF(_xll.EVGET($B$1,$B$3,$B$5,$B$6,$B$7,$B$9,AD$16,AD$17,AD$18,$G134)="#NODATA","",_xll.EVGET($B$1,$B$3,$B$5,$B$6,$B$7,$B$9,AD$16,AD$17,AD$18,$G134))</f>
        <v>#NAME?</v>
      </c>
      <c r="AF134" s="108">
        <f t="shared" si="15"/>
        <v>-99.406614732150786</v>
      </c>
      <c r="AG134" s="107">
        <v>189.22783492823001</v>
      </c>
      <c r="AH134" s="201" t="e">
        <f ca="1">IF(_xll.EVGET($B$1,$B$3,$B$5,$B$6,$B$7,$B$9,AG$16,AG$17,AG$18,$G134)="#NODATA","",_xll.EVGET($B$1,$B$3,$B$5,$B$6,$B$7,$B$9,AG$16,AG$17,AG$18,$G134))</f>
        <v>#NAME?</v>
      </c>
      <c r="AI134" s="303">
        <f t="shared" si="16"/>
        <v>-21.596107239442773</v>
      </c>
    </row>
    <row r="135" spans="7:35" x14ac:dyDescent="0.25">
      <c r="G135" s="76" t="str">
        <f t="shared" si="13"/>
        <v>OCC_TGOV</v>
      </c>
      <c r="H135" s="15" t="s">
        <v>206</v>
      </c>
      <c r="I135" s="26" t="e">
        <f ca="1">_xll.EVPRO($B$1,$H135,"STYLE")</f>
        <v>#NAME?</v>
      </c>
      <c r="J135" s="26" t="e">
        <f ca="1">_xll.EVPRO($B$1,$H135,"CALC")</f>
        <v>#NAME?</v>
      </c>
      <c r="L135" s="26" t="e">
        <f ca="1">_xll.EVPRO($B$1,H135,"JDEID")</f>
        <v>#NAME?</v>
      </c>
      <c r="M135" s="162" t="e">
        <f ca="1">IF(AND(I135="N",J135="N"),_xll.EVPRO($B$1,H135,"PSFTID"),"")</f>
        <v>#NAME?</v>
      </c>
      <c r="N135" s="26" t="e">
        <f ca="1">IF(_xll.EVDES(H135,$B$1)="#NODATA","",_xll.EVDES(H135,$B$1))</f>
        <v>#NAME?</v>
      </c>
      <c r="O135" s="107">
        <v>215</v>
      </c>
      <c r="P135" s="282">
        <v>215</v>
      </c>
      <c r="Q135" s="282">
        <v>215</v>
      </c>
      <c r="R135" s="282">
        <v>151</v>
      </c>
      <c r="S135" s="282">
        <v>151</v>
      </c>
      <c r="T135" s="282">
        <v>142</v>
      </c>
      <c r="U135" s="282">
        <v>142</v>
      </c>
      <c r="V135" s="282">
        <v>142</v>
      </c>
      <c r="W135" s="282">
        <v>142</v>
      </c>
      <c r="X135" s="282">
        <v>169</v>
      </c>
      <c r="Y135" s="282">
        <v>169</v>
      </c>
      <c r="Z135" s="282">
        <v>215</v>
      </c>
      <c r="AA135" s="282">
        <f t="shared" si="14"/>
        <v>179.11560693641619</v>
      </c>
      <c r="AB135" s="201" t="e">
        <f ca="1">IF(_xll.EVGET($B$1,$B$3,$B$5,$B$6,$B$7,$B$9,AA$16,AA$17,AA$18,$G135)="#NODATA","",_xll.EVGET($B$1,$B$3,$B$5,$B$6,$B$7,$B$9,AA$16,AA$17,AA$18,$G135))</f>
        <v>#NAME?</v>
      </c>
      <c r="AD135" s="107">
        <v>157.95594713656399</v>
      </c>
      <c r="AE135" s="201" t="e">
        <f ca="1">IF(_xll.EVGET($B$1,$B$3,$B$5,$B$6,$B$7,$B$9,AD$16,AD$17,AD$18,$G135)="#NODATA","",_xll.EVGET($B$1,$B$3,$B$5,$B$6,$B$7,$B$9,AD$16,AD$17,AD$18,$G135))</f>
        <v>#NAME?</v>
      </c>
      <c r="AF135" s="108">
        <f t="shared" si="15"/>
        <v>21.159659799852193</v>
      </c>
      <c r="AG135" s="107">
        <v>129.26804123711301</v>
      </c>
      <c r="AH135" s="201" t="e">
        <f ca="1">IF(_xll.EVGET($B$1,$B$3,$B$5,$B$6,$B$7,$B$9,AG$16,AG$17,AG$18,$G135)="#NODATA","",_xll.EVGET($B$1,$B$3,$B$5,$B$6,$B$7,$B$9,AG$16,AG$17,AG$18,$G135))</f>
        <v>#NAME?</v>
      </c>
      <c r="AI135" s="303">
        <f t="shared" si="16"/>
        <v>49.847565699303175</v>
      </c>
    </row>
    <row r="136" spans="7:35" x14ac:dyDescent="0.25">
      <c r="G136" s="69" t="str">
        <f t="shared" si="13"/>
        <v>OCC_WHOL</v>
      </c>
      <c r="H136" s="15" t="s">
        <v>207</v>
      </c>
      <c r="I136" s="28" t="e">
        <f ca="1">_xll.EVPRO($B$1,$H136,"STYLE")</f>
        <v>#NAME?</v>
      </c>
      <c r="J136" s="28" t="e">
        <f ca="1">_xll.EVPRO($B$1,$H136,"CALC")</f>
        <v>#NAME?</v>
      </c>
      <c r="L136" s="25" t="e">
        <f ca="1">_xll.EVPRO($B$1,H136,"JDEID")</f>
        <v>#NAME?</v>
      </c>
      <c r="M136" s="162" t="e">
        <f ca="1">IF(AND(I136="N",J136="N"),_xll.EVPRO($B$1,H136,"PSFTID"),"")</f>
        <v>#NAME?</v>
      </c>
      <c r="N136" s="25" t="e">
        <f ca="1">IF(_xll.EVDES(H136,$B$1)="#NODATA","",_xll.EVDES(H136,$B$1))</f>
        <v>#NAME?</v>
      </c>
      <c r="O136" s="105">
        <v>110.95338582677201</v>
      </c>
      <c r="P136" s="283">
        <v>55.968351254480297</v>
      </c>
      <c r="Q136" s="283">
        <v>236.26776566757499</v>
      </c>
      <c r="R136" s="283">
        <v>234.312213114754</v>
      </c>
      <c r="S136" s="283">
        <v>167.164684385382</v>
      </c>
      <c r="T136" s="283">
        <v>154.66537313432801</v>
      </c>
      <c r="U136" s="283">
        <v>163.945223463687</v>
      </c>
      <c r="V136" s="283">
        <v>153.81248717948699</v>
      </c>
      <c r="W136" s="283">
        <v>141.35708333333301</v>
      </c>
      <c r="X136" s="283">
        <v>166.29161616161599</v>
      </c>
      <c r="Y136" s="283">
        <v>207.51357512953399</v>
      </c>
      <c r="Z136" s="283">
        <v>261.49213235294098</v>
      </c>
      <c r="AA136" s="283">
        <f t="shared" si="14"/>
        <v>173.20253639417692</v>
      </c>
      <c r="AB136" s="200" t="e">
        <f ca="1">IF(_xll.EVGET($B$1,$B$3,$B$5,$B$6,$B$7,$B$9,AA$16,AA$17,AA$18,$G136)="#NODATA","",_xll.EVGET($B$1,$B$3,$B$5,$B$6,$B$7,$B$9,AA$16,AA$17,AA$18,$G136))</f>
        <v>#NAME?</v>
      </c>
      <c r="AD136" s="105">
        <v>243.430305403289</v>
      </c>
      <c r="AE136" s="200" t="e">
        <f ca="1">IF(_xll.EVGET($B$1,$B$3,$B$5,$B$6,$B$7,$B$9,AD$16,AD$17,AD$18,$G136)="#NODATA","",_xll.EVGET($B$1,$B$3,$B$5,$B$6,$B$7,$B$9,AD$16,AD$17,AD$18,$G136))</f>
        <v>#NAME?</v>
      </c>
      <c r="AF136" s="106">
        <f t="shared" si="15"/>
        <v>-70.22776900911208</v>
      </c>
      <c r="AG136" s="105">
        <v>207.23289438798099</v>
      </c>
      <c r="AH136" s="200" t="e">
        <f ca="1">IF(_xll.EVGET($B$1,$B$3,$B$5,$B$6,$B$7,$B$9,AG$16,AG$17,AG$18,$G136)="#NODATA","",_xll.EVGET($B$1,$B$3,$B$5,$B$6,$B$7,$B$9,AG$16,AG$17,AG$18,$G136))</f>
        <v>#NAME?</v>
      </c>
      <c r="AI136" s="304">
        <f t="shared" si="16"/>
        <v>-34.030357993804074</v>
      </c>
    </row>
    <row r="137" spans="7:35" x14ac:dyDescent="0.25">
      <c r="G137" s="69" t="str">
        <f t="shared" si="13"/>
        <v>OCC_INDT</v>
      </c>
      <c r="H137" s="15" t="s">
        <v>177</v>
      </c>
      <c r="I137" s="28" t="e">
        <f ca="1">_xll.EVPRO($B$1,$H137,"STYLE")</f>
        <v>#NAME?</v>
      </c>
      <c r="J137" s="28" t="e">
        <f ca="1">_xll.EVPRO($B$1,$H137,"CALC")</f>
        <v>#NAME?</v>
      </c>
      <c r="L137" s="25" t="e">
        <f ca="1">_xll.EVPRO($B$1,H137,"JDEID")</f>
        <v>#NAME?</v>
      </c>
      <c r="M137" s="162" t="e">
        <f ca="1">IF(AND(I137="N",J137="N"),_xll.EVPRO($B$1,H137,"PSFTID"),"")</f>
        <v>#NAME?</v>
      </c>
      <c r="N137" s="25" t="e">
        <f ca="1">IF(_xll.EVDES(H137,$B$1)="#NODATA","",_xll.EVDES(H137,$B$1))</f>
        <v>#NAME?</v>
      </c>
      <c r="O137" s="158">
        <v>278.62239719477202</v>
      </c>
      <c r="P137" s="284">
        <v>347.28862009635202</v>
      </c>
      <c r="Q137" s="284">
        <v>313.26925413533797</v>
      </c>
      <c r="R137" s="284">
        <v>261.86363071184297</v>
      </c>
      <c r="S137" s="284">
        <v>232.34548094373901</v>
      </c>
      <c r="T137" s="284">
        <v>186.27891661195</v>
      </c>
      <c r="U137" s="284">
        <v>183.34332539446299</v>
      </c>
      <c r="V137" s="284">
        <v>165.78162282200199</v>
      </c>
      <c r="W137" s="284">
        <v>158.79562211981599</v>
      </c>
      <c r="X137" s="284">
        <v>182.97875301412299</v>
      </c>
      <c r="Y137" s="284">
        <v>221.43882376882399</v>
      </c>
      <c r="Z137" s="284">
        <v>320.48037878787898</v>
      </c>
      <c r="AA137" s="284">
        <f t="shared" si="14"/>
        <v>239.03619893078215</v>
      </c>
      <c r="AB137" s="199" t="e">
        <f ca="1">IF(_xll.EVGET($B$1,$B$3,$B$5,$B$6,$B$7,$B$9,AA$16,AA$17,AA$18,$G137)="#NODATA","",_xll.EVGET($B$1,$B$3,$B$5,$B$6,$B$7,$B$9,AA$16,AA$17,AA$18,$G137))</f>
        <v>#NAME?</v>
      </c>
      <c r="AD137" s="158">
        <v>282.57096897469302</v>
      </c>
      <c r="AE137" s="199" t="e">
        <f ca="1">IF(_xll.EVGET($B$1,$B$3,$B$5,$B$6,$B$7,$B$9,AD$16,AD$17,AD$18,$G137)="#NODATA","",_xll.EVGET($B$1,$B$3,$B$5,$B$6,$B$7,$B$9,AD$16,AD$17,AD$18,$G137))</f>
        <v>#NAME?</v>
      </c>
      <c r="AF137" s="159">
        <f t="shared" si="15"/>
        <v>-43.534770043910868</v>
      </c>
      <c r="AG137" s="158">
        <v>272.37568204930898</v>
      </c>
      <c r="AH137" s="199" t="e">
        <f ca="1">IF(_xll.EVGET($B$1,$B$3,$B$5,$B$6,$B$7,$B$9,AG$16,AG$17,AG$18,$G137)="#NODATA","",_xll.EVGET($B$1,$B$3,$B$5,$B$6,$B$7,$B$9,AG$16,AG$17,AG$18,$G137))</f>
        <v>#NAME?</v>
      </c>
      <c r="AI137" s="305">
        <f t="shared" si="16"/>
        <v>-33.339483118526829</v>
      </c>
    </row>
    <row r="138" spans="7:35" x14ac:dyDescent="0.25">
      <c r="G138" s="76" t="str">
        <f t="shared" si="13"/>
        <v>OCCNKROW</v>
      </c>
      <c r="H138" s="15" t="s">
        <v>175</v>
      </c>
      <c r="I138" s="26" t="e">
        <f ca="1">_xll.EVPRO($B$1,$H138,"STYLE")</f>
        <v>#NAME?</v>
      </c>
      <c r="J138" s="26" t="e">
        <f ca="1">_xll.EVPRO($B$1,$H138,"CALC")</f>
        <v>#NAME?</v>
      </c>
      <c r="L138" s="26" t="e">
        <f ca="1">_xll.EVPRO($B$1,H138,"JDEID")</f>
        <v>#NAME?</v>
      </c>
      <c r="M138" s="162" t="e">
        <f ca="1">IF(AND(I138="N",J138="N"),_xll.EVPRO($B$1,H138,"PSFTID"),"")</f>
        <v>#NAME?</v>
      </c>
      <c r="N138" s="26" t="e">
        <f ca="1">IF(_xll.EVDES(H138,$B$1)="#NODATA","",_xll.EVDES(H138,$B$1))</f>
        <v>#NAME?</v>
      </c>
      <c r="O138" s="103"/>
      <c r="P138" s="285"/>
      <c r="Q138" s="285"/>
      <c r="R138" s="285"/>
      <c r="S138" s="285"/>
      <c r="T138" s="285"/>
      <c r="U138" s="285"/>
      <c r="V138" s="285"/>
      <c r="W138" s="285"/>
      <c r="X138" s="285"/>
      <c r="Y138" s="285"/>
      <c r="Z138" s="285"/>
      <c r="AA138" s="285">
        <f t="shared" si="14"/>
        <v>0</v>
      </c>
      <c r="AB138" s="198" t="e">
        <f ca="1">IF(_xll.EVGET($B$1,$B$3,$B$5,$B$6,$B$7,$B$9,AA$16,AA$17,AA$18,$G138)="#NODATA","",_xll.EVGET($B$1,$B$3,$B$5,$B$6,$B$7,$B$9,AA$16,AA$17,AA$18,$G138))</f>
        <v>#NAME?</v>
      </c>
      <c r="AD138" s="103"/>
      <c r="AE138" s="198" t="e">
        <f ca="1">IF(_xll.EVGET($B$1,$B$3,$B$5,$B$6,$B$7,$B$9,AD$16,AD$17,AD$18,$G138)="#NODATA","",_xll.EVGET($B$1,$B$3,$B$5,$B$6,$B$7,$B$9,AD$16,AD$17,AD$18,$G138))</f>
        <v>#NAME?</v>
      </c>
      <c r="AF138" s="104">
        <f t="shared" si="15"/>
        <v>0</v>
      </c>
      <c r="AG138" s="103"/>
      <c r="AH138" s="198" t="e">
        <f ca="1">IF(_xll.EVGET($B$1,$B$3,$B$5,$B$6,$B$7,$B$9,AG$16,AG$17,AG$18,$G138)="#NODATA","",_xll.EVGET($B$1,$B$3,$B$5,$B$6,$B$7,$B$9,AG$16,AG$17,AG$18,$G138))</f>
        <v>#NAME?</v>
      </c>
      <c r="AI138" s="306">
        <f t="shared" si="16"/>
        <v>0</v>
      </c>
    </row>
    <row r="139" spans="7:35" x14ac:dyDescent="0.25">
      <c r="G139" s="69" t="str">
        <f t="shared" si="13"/>
        <v>OCC_CORPT</v>
      </c>
      <c r="H139" s="15" t="s">
        <v>179</v>
      </c>
      <c r="I139" s="28" t="e">
        <f ca="1">_xll.EVPRO($B$1,$H139,"STYLE")</f>
        <v>#NAME?</v>
      </c>
      <c r="J139" s="28" t="e">
        <f ca="1">_xll.EVPRO($B$1,$H139,"CALC")</f>
        <v>#NAME?</v>
      </c>
      <c r="L139" s="25" t="e">
        <f ca="1">_xll.EVPRO($B$1,H139,"JDEID")</f>
        <v>#NAME?</v>
      </c>
      <c r="M139" s="162" t="e">
        <f ca="1">IF(AND(I139="N",J139="N"),_xll.EVPRO($B$1,H139,"PSFTID"),"")</f>
        <v>#NAME?</v>
      </c>
      <c r="N139" s="25" t="e">
        <f ca="1">IF(_xll.EVDES(H139,$B$1)="#NODATA","",_xll.EVDES(H139,$B$1))</f>
        <v>#NAME?</v>
      </c>
      <c r="O139" s="100">
        <v>282.840840840841</v>
      </c>
      <c r="P139" s="281">
        <v>331.72624329159203</v>
      </c>
      <c r="Q139" s="281">
        <v>279.09287058823497</v>
      </c>
      <c r="R139" s="281">
        <v>218.846403940887</v>
      </c>
      <c r="S139" s="281">
        <v>433.539041769042</v>
      </c>
      <c r="T139" s="281">
        <v>174.894736842105</v>
      </c>
      <c r="U139" s="281">
        <v>159</v>
      </c>
      <c r="V139" s="281">
        <v>169</v>
      </c>
      <c r="W139" s="281">
        <v>139</v>
      </c>
      <c r="X139" s="281">
        <v>173.60932835820901</v>
      </c>
      <c r="Y139" s="281">
        <v>234.416212121212</v>
      </c>
      <c r="Z139" s="281">
        <v>381.831758034026</v>
      </c>
      <c r="AA139" s="281">
        <f t="shared" si="14"/>
        <v>298.80562241236544</v>
      </c>
      <c r="AB139" s="197" t="e">
        <f ca="1">IF(_xll.EVGET($B$1,$B$3,$B$5,$B$6,$B$7,$B$9,AA$16,AA$17,AA$18,$G139)="#NODATA","",_xll.EVGET($B$1,$B$3,$B$5,$B$6,$B$7,$B$9,AA$16,AA$17,AA$18,$G139))</f>
        <v>#NAME?</v>
      </c>
      <c r="AD139" s="100">
        <v>289.473955613577</v>
      </c>
      <c r="AE139" s="197" t="e">
        <f ca="1">IF(_xll.EVGET($B$1,$B$3,$B$5,$B$6,$B$7,$B$9,AD$16,AD$17,AD$18,$G139)="#NODATA","",_xll.EVGET($B$1,$B$3,$B$5,$B$6,$B$7,$B$9,AD$16,AD$17,AD$18,$G139))</f>
        <v>#NAME?</v>
      </c>
      <c r="AF139" s="101">
        <f t="shared" si="15"/>
        <v>9.331666798788433</v>
      </c>
      <c r="AG139" s="100">
        <v>285.27403565238899</v>
      </c>
      <c r="AH139" s="197" t="e">
        <f ca="1">IF(_xll.EVGET($B$1,$B$3,$B$5,$B$6,$B$7,$B$9,AG$16,AG$17,AG$18,$G139)="#NODATA","",_xll.EVGET($B$1,$B$3,$B$5,$B$6,$B$7,$B$9,AG$16,AG$17,AG$18,$G139))</f>
        <v>#NAME?</v>
      </c>
      <c r="AI139" s="302">
        <f t="shared" si="16"/>
        <v>13.531586759976449</v>
      </c>
    </row>
    <row r="140" spans="7:35" x14ac:dyDescent="0.25">
      <c r="G140" s="76" t="str">
        <f t="shared" si="13"/>
        <v>OCC_CORP</v>
      </c>
      <c r="H140" s="15" t="s">
        <v>180</v>
      </c>
      <c r="I140" s="26" t="e">
        <f ca="1">_xll.EVPRO($B$1,$H140,"STYLE")</f>
        <v>#NAME?</v>
      </c>
      <c r="J140" s="26" t="e">
        <f ca="1">_xll.EVPRO($B$1,$H140,"CALC")</f>
        <v>#NAME?</v>
      </c>
      <c r="L140" s="26" t="e">
        <f ca="1">_xll.EVPRO($B$1,H140,"JDEID")</f>
        <v>#NAME?</v>
      </c>
      <c r="M140" s="162" t="e">
        <f ca="1">IF(AND(I140="N",J140="N"),_xll.EVPRO($B$1,H140,"PSFTID"),"")</f>
        <v>#NAME?</v>
      </c>
      <c r="N140" s="26" t="e">
        <f ca="1">IF(_xll.EVDES(H140,$B$1)="#NODATA","",_xll.EVDES(H140,$B$1))</f>
        <v>#NAME?</v>
      </c>
      <c r="O140" s="107">
        <v>281.403726708075</v>
      </c>
      <c r="P140" s="282">
        <v>293.91445427728598</v>
      </c>
      <c r="Q140" s="282">
        <v>292.33396039604003</v>
      </c>
      <c r="R140" s="282">
        <v>212.43389610389599</v>
      </c>
      <c r="S140" s="282">
        <v>433.539041769042</v>
      </c>
      <c r="T140" s="282">
        <v>163.21875</v>
      </c>
      <c r="U140" s="282">
        <v>159</v>
      </c>
      <c r="V140" s="282"/>
      <c r="W140" s="282">
        <v>139</v>
      </c>
      <c r="X140" s="282">
        <v>173.60932835820901</v>
      </c>
      <c r="Y140" s="282">
        <v>234.416212121212</v>
      </c>
      <c r="Z140" s="282">
        <v>386.32916666666699</v>
      </c>
      <c r="AA140" s="282">
        <f t="shared" si="14"/>
        <v>296.5704089095745</v>
      </c>
      <c r="AB140" s="201" t="e">
        <f ca="1">IF(_xll.EVGET($B$1,$B$3,$B$5,$B$6,$B$7,$B$9,AA$16,AA$17,AA$18,$G140)="#NODATA","",_xll.EVGET($B$1,$B$3,$B$5,$B$6,$B$7,$B$9,AA$16,AA$17,AA$18,$G140))</f>
        <v>#NAME?</v>
      </c>
      <c r="AD140" s="107">
        <v>281.83077802476998</v>
      </c>
      <c r="AE140" s="201" t="e">
        <f ca="1">IF(_xll.EVGET($B$1,$B$3,$B$5,$B$6,$B$7,$B$9,AD$16,AD$17,AD$18,$G140)="#NODATA","",_xll.EVGET($B$1,$B$3,$B$5,$B$6,$B$7,$B$9,AD$16,AD$17,AD$18,$G140))</f>
        <v>#NAME?</v>
      </c>
      <c r="AF140" s="108">
        <f t="shared" si="15"/>
        <v>14.739630884804512</v>
      </c>
      <c r="AG140" s="107">
        <v>252.41658029321499</v>
      </c>
      <c r="AH140" s="201" t="e">
        <f ca="1">IF(_xll.EVGET($B$1,$B$3,$B$5,$B$6,$B$7,$B$9,AG$16,AG$17,AG$18,$G140)="#NODATA","",_xll.EVGET($B$1,$B$3,$B$5,$B$6,$B$7,$B$9,AG$16,AG$17,AG$18,$G140))</f>
        <v>#NAME?</v>
      </c>
      <c r="AI140" s="303">
        <f t="shared" si="16"/>
        <v>44.153828616359505</v>
      </c>
    </row>
    <row r="141" spans="7:35" x14ac:dyDescent="0.25">
      <c r="G141" s="76" t="str">
        <f t="shared" si="13"/>
        <v>OCC_ENTR</v>
      </c>
      <c r="H141" s="15" t="s">
        <v>181</v>
      </c>
      <c r="I141" s="26" t="e">
        <f ca="1">_xll.EVPRO($B$1,$H141,"STYLE")</f>
        <v>#NAME?</v>
      </c>
      <c r="J141" s="26" t="e">
        <f ca="1">_xll.EVPRO($B$1,$H141,"CALC")</f>
        <v>#NAME?</v>
      </c>
      <c r="L141" s="26" t="e">
        <f ca="1">_xll.EVPRO($B$1,H141,"JDEID")</f>
        <v>#NAME?</v>
      </c>
      <c r="M141" s="162" t="e">
        <f ca="1">IF(AND(I141="N",J141="N"),_xll.EVPRO($B$1,H141,"PSFTID"),"")</f>
        <v>#NAME?</v>
      </c>
      <c r="N141" s="26" t="e">
        <f ca="1">IF(_xll.EVDES(H141,$B$1)="#NODATA","",_xll.EVDES(H141,$B$1))</f>
        <v>#NAME?</v>
      </c>
      <c r="O141" s="107">
        <v>324.90909090909099</v>
      </c>
      <c r="P141" s="282">
        <v>389.990772727273</v>
      </c>
      <c r="Q141" s="282">
        <v>267.09869955157001</v>
      </c>
      <c r="R141" s="282">
        <v>239</v>
      </c>
      <c r="S141" s="282"/>
      <c r="T141" s="282">
        <v>199</v>
      </c>
      <c r="U141" s="282"/>
      <c r="V141" s="282">
        <v>169</v>
      </c>
      <c r="W141" s="282"/>
      <c r="X141" s="282"/>
      <c r="Y141" s="282"/>
      <c r="Z141" s="282">
        <v>337.77551020408202</v>
      </c>
      <c r="AA141" s="282">
        <f t="shared" si="14"/>
        <v>309.73817886178864</v>
      </c>
      <c r="AB141" s="201" t="e">
        <f ca="1">IF(_xll.EVGET($B$1,$B$3,$B$5,$B$6,$B$7,$B$9,AA$16,AA$17,AA$18,$G141)="#NODATA","",_xll.EVGET($B$1,$B$3,$B$5,$B$6,$B$7,$B$9,AA$16,AA$17,AA$18,$G141))</f>
        <v>#NAME?</v>
      </c>
      <c r="AD141" s="107">
        <v>306.10724257083598</v>
      </c>
      <c r="AE141" s="201" t="e">
        <f ca="1">IF(_xll.EVGET($B$1,$B$3,$B$5,$B$6,$B$7,$B$9,AD$16,AD$17,AD$18,$G141)="#NODATA","",_xll.EVGET($B$1,$B$3,$B$5,$B$6,$B$7,$B$9,AD$16,AD$17,AD$18,$G141))</f>
        <v>#NAME?</v>
      </c>
      <c r="AF141" s="108">
        <f t="shared" si="15"/>
        <v>3.6309362909526612</v>
      </c>
      <c r="AG141" s="107">
        <v>372.40867992766698</v>
      </c>
      <c r="AH141" s="201" t="e">
        <f ca="1">IF(_xll.EVGET($B$1,$B$3,$B$5,$B$6,$B$7,$B$9,AG$16,AG$17,AG$18,$G141)="#NODATA","",_xll.EVGET($B$1,$B$3,$B$5,$B$6,$B$7,$B$9,AG$16,AG$17,AG$18,$G141))</f>
        <v>#NAME?</v>
      </c>
      <c r="AI141" s="303">
        <f t="shared" si="16"/>
        <v>-62.670501065878341</v>
      </c>
    </row>
    <row r="142" spans="7:35" x14ac:dyDescent="0.25">
      <c r="G142" s="69" t="str">
        <f t="shared" si="13"/>
        <v>OCC_ASSCN</v>
      </c>
      <c r="H142" s="15" t="s">
        <v>182</v>
      </c>
      <c r="I142" s="28" t="e">
        <f ca="1">_xll.EVPRO($B$1,$H142,"STYLE")</f>
        <v>#NAME?</v>
      </c>
      <c r="J142" s="28" t="e">
        <f ca="1">_xll.EVPRO($B$1,$H142,"CALC")</f>
        <v>#NAME?</v>
      </c>
      <c r="L142" s="25" t="e">
        <f ca="1">_xll.EVPRO($B$1,H142,"JDEID")</f>
        <v>#NAME?</v>
      </c>
      <c r="M142" s="162" t="e">
        <f ca="1">IF(AND(I142="N",J142="N"),_xll.EVPRO($B$1,H142,"PSFTID"),"")</f>
        <v>#NAME?</v>
      </c>
      <c r="N142" s="25" t="e">
        <f ca="1">IF(_xll.EVDES(H142,$B$1)="#NODATA","",_xll.EVDES(H142,$B$1))</f>
        <v>#NAME?</v>
      </c>
      <c r="O142" s="100"/>
      <c r="P142" s="281"/>
      <c r="Q142" s="281"/>
      <c r="R142" s="281">
        <v>301.941176470588</v>
      </c>
      <c r="S142" s="281"/>
      <c r="T142" s="281">
        <v>149.626728110599</v>
      </c>
      <c r="U142" s="281"/>
      <c r="V142" s="281"/>
      <c r="W142" s="281"/>
      <c r="X142" s="281"/>
      <c r="Y142" s="281">
        <v>249.14500000000001</v>
      </c>
      <c r="Z142" s="281"/>
      <c r="AA142" s="281">
        <f t="shared" si="14"/>
        <v>161.44470338983049</v>
      </c>
      <c r="AB142" s="197" t="e">
        <f ca="1">IF(_xll.EVGET($B$1,$B$3,$B$5,$B$6,$B$7,$B$9,AA$16,AA$17,AA$18,$G142)="#NODATA","",_xll.EVGET($B$1,$B$3,$B$5,$B$6,$B$7,$B$9,AA$16,AA$17,AA$18,$G142))</f>
        <v>#NAME?</v>
      </c>
      <c r="AD142" s="100">
        <v>317.40245161290301</v>
      </c>
      <c r="AE142" s="197" t="e">
        <f ca="1">IF(_xll.EVGET($B$1,$B$3,$B$5,$B$6,$B$7,$B$9,AD$16,AD$17,AD$18,$G142)="#NODATA","",_xll.EVGET($B$1,$B$3,$B$5,$B$6,$B$7,$B$9,AD$16,AD$17,AD$18,$G142))</f>
        <v>#NAME?</v>
      </c>
      <c r="AF142" s="101">
        <f t="shared" si="15"/>
        <v>-155.95774822307251</v>
      </c>
      <c r="AG142" s="100">
        <v>290.88796680497899</v>
      </c>
      <c r="AH142" s="197" t="e">
        <f ca="1">IF(_xll.EVGET($B$1,$B$3,$B$5,$B$6,$B$7,$B$9,AG$16,AG$17,AG$18,$G142)="#NODATA","",_xll.EVGET($B$1,$B$3,$B$5,$B$6,$B$7,$B$9,AG$16,AG$17,AG$18,$G142))</f>
        <v>#NAME?</v>
      </c>
      <c r="AI142" s="302">
        <f t="shared" si="16"/>
        <v>-129.44326341514849</v>
      </c>
    </row>
    <row r="143" spans="7:35" x14ac:dyDescent="0.25">
      <c r="G143" s="76" t="str">
        <f t="shared" si="13"/>
        <v>OCC_ASSC</v>
      </c>
      <c r="H143" s="15" t="s">
        <v>183</v>
      </c>
      <c r="I143" s="26" t="e">
        <f ca="1">_xll.EVPRO($B$1,$H143,"STYLE")</f>
        <v>#NAME?</v>
      </c>
      <c r="J143" s="26" t="e">
        <f ca="1">_xll.EVPRO($B$1,$H143,"CALC")</f>
        <v>#NAME?</v>
      </c>
      <c r="L143" s="26" t="e">
        <f ca="1">_xll.EVPRO($B$1,H143,"JDEID")</f>
        <v>#NAME?</v>
      </c>
      <c r="M143" s="162" t="e">
        <f ca="1">IF(AND(I143="N",J143="N"),_xll.EVPRO($B$1,H143,"PSFTID"),"")</f>
        <v>#NAME?</v>
      </c>
      <c r="N143" s="26" t="e">
        <f ca="1">IF(_xll.EVDES(H143,$B$1)="#NODATA","",_xll.EVDES(H143,$B$1))</f>
        <v>#NAME?</v>
      </c>
      <c r="O143" s="107"/>
      <c r="P143" s="282"/>
      <c r="Q143" s="282"/>
      <c r="R143" s="282"/>
      <c r="S143" s="282"/>
      <c r="T143" s="282">
        <v>186.16417910447799</v>
      </c>
      <c r="U143" s="282"/>
      <c r="V143" s="282"/>
      <c r="W143" s="282"/>
      <c r="X143" s="282"/>
      <c r="Y143" s="282">
        <v>249.14500000000001</v>
      </c>
      <c r="Z143" s="282"/>
      <c r="AA143" s="282">
        <f t="shared" si="14"/>
        <v>187.99927536231888</v>
      </c>
      <c r="AB143" s="201" t="e">
        <f ca="1">IF(_xll.EVGET($B$1,$B$3,$B$5,$B$6,$B$7,$B$9,AA$16,AA$17,AA$18,$G143)="#NODATA","",_xll.EVGET($B$1,$B$3,$B$5,$B$6,$B$7,$B$9,AA$16,AA$17,AA$18,$G143))</f>
        <v>#NAME?</v>
      </c>
      <c r="AD143" s="107">
        <v>317.71257142857098</v>
      </c>
      <c r="AE143" s="201" t="e">
        <f ca="1">IF(_xll.EVGET($B$1,$B$3,$B$5,$B$6,$B$7,$B$9,AD$16,AD$17,AD$18,$G143)="#NODATA","",_xll.EVGET($B$1,$B$3,$B$5,$B$6,$B$7,$B$9,AD$16,AD$17,AD$18,$G143))</f>
        <v>#NAME?</v>
      </c>
      <c r="AF143" s="108">
        <f t="shared" si="15"/>
        <v>-129.7132960662521</v>
      </c>
      <c r="AG143" s="107">
        <v>283.55089820359302</v>
      </c>
      <c r="AH143" s="201" t="e">
        <f ca="1">IF(_xll.EVGET($B$1,$B$3,$B$5,$B$6,$B$7,$B$9,AG$16,AG$17,AG$18,$G143)="#NODATA","",_xll.EVGET($B$1,$B$3,$B$5,$B$6,$B$7,$B$9,AG$16,AG$17,AG$18,$G143))</f>
        <v>#NAME?</v>
      </c>
      <c r="AI143" s="303">
        <f t="shared" si="16"/>
        <v>-95.551622841274138</v>
      </c>
    </row>
    <row r="144" spans="7:35" x14ac:dyDescent="0.25">
      <c r="G144" s="76" t="str">
        <f t="shared" si="13"/>
        <v>OCC_CONV</v>
      </c>
      <c r="H144" s="15" t="s">
        <v>184</v>
      </c>
      <c r="I144" s="26" t="e">
        <f ca="1">_xll.EVPRO($B$1,$H144,"STYLE")</f>
        <v>#NAME?</v>
      </c>
      <c r="J144" s="26" t="e">
        <f ca="1">_xll.EVPRO($B$1,$H144,"CALC")</f>
        <v>#NAME?</v>
      </c>
      <c r="L144" s="26" t="e">
        <f ca="1">_xll.EVPRO($B$1,H144,"JDEID")</f>
        <v>#NAME?</v>
      </c>
      <c r="M144" s="162" t="e">
        <f ca="1">IF(AND(I144="N",J144="N"),_xll.EVPRO($B$1,H144,"PSFTID"),"")</f>
        <v>#NAME?</v>
      </c>
      <c r="N144" s="26" t="e">
        <f ca="1">IF(_xll.EVDES(H144,$B$1)="#NODATA","",_xll.EVDES(H144,$B$1))</f>
        <v>#NAME?</v>
      </c>
      <c r="O144" s="107"/>
      <c r="P144" s="282"/>
      <c r="Q144" s="282"/>
      <c r="R144" s="282">
        <v>301.941176470588</v>
      </c>
      <c r="S144" s="282"/>
      <c r="T144" s="282">
        <v>133.30666666666701</v>
      </c>
      <c r="U144" s="282"/>
      <c r="V144" s="282"/>
      <c r="W144" s="282"/>
      <c r="X144" s="282"/>
      <c r="Y144" s="282"/>
      <c r="Z144" s="282"/>
      <c r="AA144" s="282">
        <f t="shared" si="14"/>
        <v>150.47305389221557</v>
      </c>
      <c r="AB144" s="201" t="e">
        <f ca="1">IF(_xll.EVGET($B$1,$B$3,$B$5,$B$6,$B$7,$B$9,AA$16,AA$17,AA$18,$G144)="#NODATA","",_xll.EVGET($B$1,$B$3,$B$5,$B$6,$B$7,$B$9,AA$16,AA$17,AA$18,$G144))</f>
        <v>#NAME?</v>
      </c>
      <c r="AD144" s="107">
        <v>315.91000000000003</v>
      </c>
      <c r="AE144" s="201" t="e">
        <f ca="1">IF(_xll.EVGET($B$1,$B$3,$B$5,$B$6,$B$7,$B$9,AD$16,AD$17,AD$18,$G144)="#NODATA","",_xll.EVGET($B$1,$B$3,$B$5,$B$6,$B$7,$B$9,AD$16,AD$17,AD$18,$G144))</f>
        <v>#NAME?</v>
      </c>
      <c r="AF144" s="108">
        <f t="shared" si="15"/>
        <v>-165.43694610778445</v>
      </c>
      <c r="AG144" s="107">
        <v>307.44594594594599</v>
      </c>
      <c r="AH144" s="201" t="e">
        <f ca="1">IF(_xll.EVGET($B$1,$B$3,$B$5,$B$6,$B$7,$B$9,AG$16,AG$17,AG$18,$G144)="#NODATA","",_xll.EVGET($B$1,$B$3,$B$5,$B$6,$B$7,$B$9,AG$16,AG$17,AG$18,$G144))</f>
        <v>#NAME?</v>
      </c>
      <c r="AI144" s="303">
        <f t="shared" si="16"/>
        <v>-156.97289205373042</v>
      </c>
    </row>
    <row r="145" spans="7:35" x14ac:dyDescent="0.25">
      <c r="G145" s="69" t="str">
        <f t="shared" si="13"/>
        <v>OCC_GGOV</v>
      </c>
      <c r="H145" s="15" t="s">
        <v>185</v>
      </c>
      <c r="I145" s="28" t="e">
        <f ca="1">_xll.EVPRO($B$1,$H145,"STYLE")</f>
        <v>#NAME?</v>
      </c>
      <c r="J145" s="28" t="e">
        <f ca="1">_xll.EVPRO($B$1,$H145,"CALC")</f>
        <v>#NAME?</v>
      </c>
      <c r="L145" s="25" t="e">
        <f ca="1">_xll.EVPRO($B$1,H145,"JDEID")</f>
        <v>#NAME?</v>
      </c>
      <c r="M145" s="162" t="e">
        <f ca="1">IF(AND(I145="N",J145="N"),_xll.EVPRO($B$1,H145,"PSFTID"),"")</f>
        <v>#NAME?</v>
      </c>
      <c r="N145" s="25" t="e">
        <f ca="1">IF(_xll.EVDES(H145,$B$1)="#NODATA","",_xll.EVDES(H145,$B$1))</f>
        <v>#NAME?</v>
      </c>
      <c r="O145" s="100"/>
      <c r="P145" s="281"/>
      <c r="Q145" s="281"/>
      <c r="R145" s="281"/>
      <c r="S145" s="281"/>
      <c r="T145" s="281"/>
      <c r="U145" s="281"/>
      <c r="V145" s="281"/>
      <c r="W145" s="281"/>
      <c r="X145" s="281"/>
      <c r="Y145" s="281"/>
      <c r="Z145" s="281"/>
      <c r="AA145" s="281">
        <f t="shared" si="14"/>
        <v>0</v>
      </c>
      <c r="AB145" s="197" t="e">
        <f ca="1">IF(_xll.EVGET($B$1,$B$3,$B$5,$B$6,$B$7,$B$9,AA$16,AA$17,AA$18,$G145)="#NODATA","",_xll.EVGET($B$1,$B$3,$B$5,$B$6,$B$7,$B$9,AA$16,AA$17,AA$18,$G145))</f>
        <v>#NAME?</v>
      </c>
      <c r="AD145" s="100"/>
      <c r="AE145" s="197" t="e">
        <f ca="1">IF(_xll.EVGET($B$1,$B$3,$B$5,$B$6,$B$7,$B$9,AD$16,AD$17,AD$18,$G145)="#NODATA","",_xll.EVGET($B$1,$B$3,$B$5,$B$6,$B$7,$B$9,AD$16,AD$17,AD$18,$G145))</f>
        <v>#NAME?</v>
      </c>
      <c r="AF145" s="101">
        <f t="shared" si="15"/>
        <v>0</v>
      </c>
      <c r="AG145" s="100"/>
      <c r="AH145" s="197" t="e">
        <f ca="1">IF(_xll.EVGET($B$1,$B$3,$B$5,$B$6,$B$7,$B$9,AG$16,AG$17,AG$18,$G145)="#NODATA","",_xll.EVGET($B$1,$B$3,$B$5,$B$6,$B$7,$B$9,AG$16,AG$17,AG$18,$G145))</f>
        <v>#NAME?</v>
      </c>
      <c r="AI145" s="302">
        <f t="shared" si="16"/>
        <v>0</v>
      </c>
    </row>
    <row r="146" spans="7:35" x14ac:dyDescent="0.25">
      <c r="G146" s="69" t="str">
        <f t="shared" si="13"/>
        <v>OCC_TOURW</v>
      </c>
      <c r="H146" s="15" t="s">
        <v>186</v>
      </c>
      <c r="I146" s="28" t="e">
        <f ca="1">_xll.EVPRO($B$1,$H146,"STYLE")</f>
        <v>#NAME?</v>
      </c>
      <c r="J146" s="28" t="e">
        <f ca="1">_xll.EVPRO($B$1,$H146,"CALC")</f>
        <v>#NAME?</v>
      </c>
      <c r="L146" s="25" t="e">
        <f ca="1">_xll.EVPRO($B$1,H146,"JDEID")</f>
        <v>#NAME?</v>
      </c>
      <c r="M146" s="162" t="e">
        <f ca="1">IF(AND(I146="N",J146="N"),_xll.EVPRO($B$1,H146,"PSFTID"),"")</f>
        <v>#NAME?</v>
      </c>
      <c r="N146" s="25" t="e">
        <f ca="1">IF(_xll.EVDES(H146,$B$1)="#NODATA","",_xll.EVDES(H146,$B$1))</f>
        <v>#NAME?</v>
      </c>
      <c r="O146" s="100"/>
      <c r="P146" s="281"/>
      <c r="Q146" s="281"/>
      <c r="R146" s="281"/>
      <c r="S146" s="281"/>
      <c r="T146" s="281"/>
      <c r="U146" s="281"/>
      <c r="V146" s="281"/>
      <c r="W146" s="281"/>
      <c r="X146" s="281"/>
      <c r="Y146" s="281"/>
      <c r="Z146" s="281"/>
      <c r="AA146" s="281">
        <f t="shared" si="14"/>
        <v>0</v>
      </c>
      <c r="AB146" s="197" t="e">
        <f ca="1">IF(_xll.EVGET($B$1,$B$3,$B$5,$B$6,$B$7,$B$9,AA$16,AA$17,AA$18,$G146)="#NODATA","",_xll.EVGET($B$1,$B$3,$B$5,$B$6,$B$7,$B$9,AA$16,AA$17,AA$18,$G146))</f>
        <v>#NAME?</v>
      </c>
      <c r="AD146" s="100"/>
      <c r="AE146" s="197" t="e">
        <f ca="1">IF(_xll.EVGET($B$1,$B$3,$B$5,$B$6,$B$7,$B$9,AD$16,AD$17,AD$18,$G146)="#NODATA","",_xll.EVGET($B$1,$B$3,$B$5,$B$6,$B$7,$B$9,AD$16,AD$17,AD$18,$G146))</f>
        <v>#NAME?</v>
      </c>
      <c r="AF146" s="101">
        <f t="shared" si="15"/>
        <v>0</v>
      </c>
      <c r="AG146" s="100"/>
      <c r="AH146" s="197" t="e">
        <f ca="1">IF(_xll.EVGET($B$1,$B$3,$B$5,$B$6,$B$7,$B$9,AG$16,AG$17,AG$18,$G146)="#NODATA","",_xll.EVGET($B$1,$B$3,$B$5,$B$6,$B$7,$B$9,AG$16,AG$17,AG$18,$G146))</f>
        <v>#NAME?</v>
      </c>
      <c r="AI146" s="302">
        <f t="shared" si="16"/>
        <v>0</v>
      </c>
    </row>
    <row r="147" spans="7:35" x14ac:dyDescent="0.25">
      <c r="G147" s="76" t="str">
        <f t="shared" si="13"/>
        <v>OCC_WHTT</v>
      </c>
      <c r="H147" s="15" t="s">
        <v>187</v>
      </c>
      <c r="I147" s="26" t="e">
        <f ca="1">_xll.EVPRO($B$1,$H147,"STYLE")</f>
        <v>#NAME?</v>
      </c>
      <c r="J147" s="26" t="e">
        <f ca="1">_xll.EVPRO($B$1,$H147,"CALC")</f>
        <v>#NAME?</v>
      </c>
      <c r="L147" s="26" t="e">
        <f ca="1">_xll.EVPRO($B$1,H147,"JDEID")</f>
        <v>#NAME?</v>
      </c>
      <c r="M147" s="162" t="e">
        <f ca="1">IF(AND(I147="N",J147="N"),_xll.EVPRO($B$1,H147,"PSFTID"),"")</f>
        <v>#NAME?</v>
      </c>
      <c r="N147" s="26" t="e">
        <f ca="1">IF(_xll.EVDES(H147,$B$1)="#NODATA","",_xll.EVDES(H147,$B$1))</f>
        <v>#NAME?</v>
      </c>
      <c r="O147" s="107"/>
      <c r="P147" s="282"/>
      <c r="Q147" s="282"/>
      <c r="R147" s="282"/>
      <c r="S147" s="282"/>
      <c r="T147" s="282"/>
      <c r="U147" s="282"/>
      <c r="V147" s="282"/>
      <c r="W147" s="282"/>
      <c r="X147" s="282"/>
      <c r="Y147" s="282"/>
      <c r="Z147" s="282"/>
      <c r="AA147" s="282">
        <f t="shared" si="14"/>
        <v>0</v>
      </c>
      <c r="AB147" s="201" t="e">
        <f ca="1">IF(_xll.EVGET($B$1,$B$3,$B$5,$B$6,$B$7,$B$9,AA$16,AA$17,AA$18,$G147)="#NODATA","",_xll.EVGET($B$1,$B$3,$B$5,$B$6,$B$7,$B$9,AA$16,AA$17,AA$18,$G147))</f>
        <v>#NAME?</v>
      </c>
      <c r="AD147" s="107"/>
      <c r="AE147" s="201" t="e">
        <f ca="1">IF(_xll.EVGET($B$1,$B$3,$B$5,$B$6,$B$7,$B$9,AD$16,AD$17,AD$18,$G147)="#NODATA","",_xll.EVGET($B$1,$B$3,$B$5,$B$6,$B$7,$B$9,AD$16,AD$17,AD$18,$G147))</f>
        <v>#NAME?</v>
      </c>
      <c r="AF147" s="108">
        <f t="shared" si="15"/>
        <v>0</v>
      </c>
      <c r="AG147" s="107"/>
      <c r="AH147" s="201" t="e">
        <f ca="1">IF(_xll.EVGET($B$1,$B$3,$B$5,$B$6,$B$7,$B$9,AG$16,AG$17,AG$18,$G147)="#NODATA","",_xll.EVGET($B$1,$B$3,$B$5,$B$6,$B$7,$B$9,AG$16,AG$17,AG$18,$G147))</f>
        <v>#NAME?</v>
      </c>
      <c r="AI147" s="303">
        <f t="shared" si="16"/>
        <v>0</v>
      </c>
    </row>
    <row r="148" spans="7:35" x14ac:dyDescent="0.25">
      <c r="G148" s="76" t="str">
        <f t="shared" si="13"/>
        <v>OCC_MICE</v>
      </c>
      <c r="H148" s="15" t="s">
        <v>188</v>
      </c>
      <c r="I148" s="26" t="e">
        <f ca="1">_xll.EVPRO($B$1,$H148,"STYLE")</f>
        <v>#NAME?</v>
      </c>
      <c r="J148" s="26" t="e">
        <f ca="1">_xll.EVPRO($B$1,$H148,"CALC")</f>
        <v>#NAME?</v>
      </c>
      <c r="L148" s="26" t="e">
        <f ca="1">_xll.EVPRO($B$1,H148,"JDEID")</f>
        <v>#NAME?</v>
      </c>
      <c r="M148" s="162" t="e">
        <f ca="1">IF(AND(I148="N",J148="N"),_xll.EVPRO($B$1,H148,"PSFTID"),"")</f>
        <v>#NAME?</v>
      </c>
      <c r="N148" s="26" t="e">
        <f ca="1">IF(_xll.EVDES(H148,$B$1)="#NODATA","",_xll.EVDES(H148,$B$1))</f>
        <v>#NAME?</v>
      </c>
      <c r="O148" s="107"/>
      <c r="P148" s="282"/>
      <c r="Q148" s="282"/>
      <c r="R148" s="282"/>
      <c r="S148" s="282"/>
      <c r="T148" s="282"/>
      <c r="U148" s="282"/>
      <c r="V148" s="282"/>
      <c r="W148" s="282"/>
      <c r="X148" s="282"/>
      <c r="Y148" s="282"/>
      <c r="Z148" s="282"/>
      <c r="AA148" s="282">
        <f t="shared" si="14"/>
        <v>0</v>
      </c>
      <c r="AB148" s="201" t="e">
        <f ca="1">IF(_xll.EVGET($B$1,$B$3,$B$5,$B$6,$B$7,$B$9,AA$16,AA$17,AA$18,$G148)="#NODATA","",_xll.EVGET($B$1,$B$3,$B$5,$B$6,$B$7,$B$9,AA$16,AA$17,AA$18,$G148))</f>
        <v>#NAME?</v>
      </c>
      <c r="AD148" s="107"/>
      <c r="AE148" s="201" t="e">
        <f ca="1">IF(_xll.EVGET($B$1,$B$3,$B$5,$B$6,$B$7,$B$9,AD$16,AD$17,AD$18,$G148)="#NODATA","",_xll.EVGET($B$1,$B$3,$B$5,$B$6,$B$7,$B$9,AD$16,AD$17,AD$18,$G148))</f>
        <v>#NAME?</v>
      </c>
      <c r="AF148" s="108">
        <f t="shared" si="15"/>
        <v>0</v>
      </c>
      <c r="AG148" s="107"/>
      <c r="AH148" s="201" t="e">
        <f ca="1">IF(_xll.EVGET($B$1,$B$3,$B$5,$B$6,$B$7,$B$9,AG$16,AG$17,AG$18,$G148)="#NODATA","",_xll.EVGET($B$1,$B$3,$B$5,$B$6,$B$7,$B$9,AG$16,AG$17,AG$18,$G148))</f>
        <v>#NAME?</v>
      </c>
      <c r="AI148" s="303">
        <f t="shared" si="16"/>
        <v>0</v>
      </c>
    </row>
    <row r="149" spans="7:35" x14ac:dyDescent="0.25">
      <c r="G149" s="69" t="str">
        <f t="shared" si="13"/>
        <v>OCC_SMERF</v>
      </c>
      <c r="H149" s="15" t="s">
        <v>189</v>
      </c>
      <c r="I149" s="28" t="e">
        <f ca="1">_xll.EVPRO($B$1,$H149,"STYLE")</f>
        <v>#NAME?</v>
      </c>
      <c r="J149" s="28" t="e">
        <f ca="1">_xll.EVPRO($B$1,$H149,"CALC")</f>
        <v>#NAME?</v>
      </c>
      <c r="L149" s="25" t="e">
        <f ca="1">_xll.EVPRO($B$1,H149,"JDEID")</f>
        <v>#NAME?</v>
      </c>
      <c r="M149" s="162" t="e">
        <f ca="1">IF(AND(I149="N",J149="N"),_xll.EVPRO($B$1,H149,"PSFTID"),"")</f>
        <v>#NAME?</v>
      </c>
      <c r="N149" s="25" t="e">
        <f ca="1">IF(_xll.EVDES(H149,$B$1)="#NODATA","",_xll.EVDES(H149,$B$1))</f>
        <v>#NAME?</v>
      </c>
      <c r="O149" s="105">
        <v>336.5</v>
      </c>
      <c r="P149" s="283">
        <v>319</v>
      </c>
      <c r="Q149" s="283"/>
      <c r="R149" s="283">
        <v>249</v>
      </c>
      <c r="S149" s="283"/>
      <c r="T149" s="283">
        <v>253.444444444444</v>
      </c>
      <c r="U149" s="283"/>
      <c r="V149" s="283">
        <v>188.70588235294099</v>
      </c>
      <c r="W149" s="283">
        <v>191.48387096774201</v>
      </c>
      <c r="X149" s="283">
        <v>179</v>
      </c>
      <c r="Y149" s="283">
        <v>263.27730337078702</v>
      </c>
      <c r="Z149" s="283">
        <v>256.19900000000001</v>
      </c>
      <c r="AA149" s="283">
        <f t="shared" si="14"/>
        <v>258.25814814814817</v>
      </c>
      <c r="AB149" s="200" t="e">
        <f ca="1">IF(_xll.EVGET($B$1,$B$3,$B$5,$B$6,$B$7,$B$9,AA$16,AA$17,AA$18,$G149)="#NODATA","",_xll.EVGET($B$1,$B$3,$B$5,$B$6,$B$7,$B$9,AA$16,AA$17,AA$18,$G149))</f>
        <v>#NAME?</v>
      </c>
      <c r="AD149" s="105">
        <v>189.60942215088301</v>
      </c>
      <c r="AE149" s="200" t="e">
        <f ca="1">IF(_xll.EVGET($B$1,$B$3,$B$5,$B$6,$B$7,$B$9,AD$16,AD$17,AD$18,$G149)="#NODATA","",_xll.EVGET($B$1,$B$3,$B$5,$B$6,$B$7,$B$9,AD$16,AD$17,AD$18,$G149))</f>
        <v>#NAME?</v>
      </c>
      <c r="AF149" s="106">
        <f t="shared" si="15"/>
        <v>68.64872599726516</v>
      </c>
      <c r="AG149" s="105">
        <v>290.97194078947399</v>
      </c>
      <c r="AH149" s="200" t="e">
        <f ca="1">IF(_xll.EVGET($B$1,$B$3,$B$5,$B$6,$B$7,$B$9,AG$16,AG$17,AG$18,$G149)="#NODATA","",_xll.EVGET($B$1,$B$3,$B$5,$B$6,$B$7,$B$9,AG$16,AG$17,AG$18,$G149))</f>
        <v>#NAME?</v>
      </c>
      <c r="AI149" s="304">
        <f t="shared" si="16"/>
        <v>-32.713792641325824</v>
      </c>
    </row>
    <row r="150" spans="7:35" x14ac:dyDescent="0.25">
      <c r="G150" s="69" t="str">
        <f t="shared" si="13"/>
        <v>OCC_GROP</v>
      </c>
      <c r="H150" s="15" t="s">
        <v>178</v>
      </c>
      <c r="I150" s="28" t="e">
        <f ca="1">_xll.EVPRO($B$1,$H150,"STYLE")</f>
        <v>#NAME?</v>
      </c>
      <c r="J150" s="28" t="e">
        <f ca="1">_xll.EVPRO($B$1,$H150,"CALC")</f>
        <v>#NAME?</v>
      </c>
      <c r="L150" s="25" t="e">
        <f ca="1">_xll.EVPRO($B$1,H150,"JDEID")</f>
        <v>#NAME?</v>
      </c>
      <c r="M150" s="162" t="e">
        <f ca="1">IF(AND(I150="N",J150="N"),_xll.EVPRO($B$1,H150,"PSFTID"),"")</f>
        <v>#NAME?</v>
      </c>
      <c r="N150" s="25" t="e">
        <f ca="1">IF(_xll.EVDES(H150,$B$1)="#NODATA","",_xll.EVDES(H150,$B$1))</f>
        <v>#NAME?</v>
      </c>
      <c r="O150" s="158">
        <v>287.27548209366398</v>
      </c>
      <c r="P150" s="284">
        <v>331.59109734513299</v>
      </c>
      <c r="Q150" s="284">
        <v>279.09287058823497</v>
      </c>
      <c r="R150" s="284">
        <v>226.59150214592299</v>
      </c>
      <c r="S150" s="284">
        <v>433.539041769042</v>
      </c>
      <c r="T150" s="284">
        <v>169.43697478991601</v>
      </c>
      <c r="U150" s="284">
        <v>159.00461538461499</v>
      </c>
      <c r="V150" s="284">
        <v>181.183636363636</v>
      </c>
      <c r="W150" s="284">
        <v>161.59777777777799</v>
      </c>
      <c r="X150" s="284">
        <v>173.78519855595701</v>
      </c>
      <c r="Y150" s="284">
        <v>239.75110882956901</v>
      </c>
      <c r="Z150" s="284">
        <v>379.50139146567699</v>
      </c>
      <c r="AA150" s="284">
        <f t="shared" si="14"/>
        <v>288.10788979788259</v>
      </c>
      <c r="AB150" s="199" t="e">
        <f ca="1">IF(_xll.EVGET($B$1,$B$3,$B$5,$B$6,$B$7,$B$9,AA$16,AA$17,AA$18,$G150)="#NODATA","",_xll.EVGET($B$1,$B$3,$B$5,$B$6,$B$7,$B$9,AA$16,AA$17,AA$18,$G150))</f>
        <v>#NAME?</v>
      </c>
      <c r="AD150" s="158">
        <v>280.81300316678397</v>
      </c>
      <c r="AE150" s="199" t="e">
        <f ca="1">IF(_xll.EVGET($B$1,$B$3,$B$5,$B$6,$B$7,$B$9,AD$16,AD$17,AD$18,$G150)="#NODATA","",_xll.EVGET($B$1,$B$3,$B$5,$B$6,$B$7,$B$9,AD$16,AD$17,AD$18,$G150))</f>
        <v>#NAME?</v>
      </c>
      <c r="AF150" s="159">
        <f t="shared" si="15"/>
        <v>7.2948866310986205</v>
      </c>
      <c r="AG150" s="158">
        <v>285.94705497382199</v>
      </c>
      <c r="AH150" s="199" t="e">
        <f ca="1">IF(_xll.EVGET($B$1,$B$3,$B$5,$B$6,$B$7,$B$9,AG$16,AG$17,AG$18,$G150)="#NODATA","",_xll.EVGET($B$1,$B$3,$B$5,$B$6,$B$7,$B$9,AG$16,AG$17,AG$18,$G150))</f>
        <v>#NAME?</v>
      </c>
      <c r="AI150" s="305">
        <f t="shared" si="16"/>
        <v>2.1608348240606006</v>
      </c>
    </row>
    <row r="151" spans="7:35" x14ac:dyDescent="0.25">
      <c r="G151" s="76" t="str">
        <f t="shared" si="13"/>
        <v>OCC_CONT</v>
      </c>
      <c r="H151" s="15" t="s">
        <v>210</v>
      </c>
      <c r="I151" s="26" t="e">
        <f ca="1">_xll.EVPRO($B$1,$H151,"STYLE")</f>
        <v>#NAME?</v>
      </c>
      <c r="J151" s="26" t="e">
        <f ca="1">_xll.EVPRO($B$1,$H151,"CALC")</f>
        <v>#NAME?</v>
      </c>
      <c r="L151" s="26" t="e">
        <f ca="1">_xll.EVPRO($B$1,H151,"JDEID")</f>
        <v>#NAME?</v>
      </c>
      <c r="M151" s="162" t="e">
        <f ca="1">IF(AND(I151="N",J151="N"),_xll.EVPRO($B$1,H151,"PSFTID"),"")</f>
        <v>#NAME?</v>
      </c>
      <c r="N151" s="26" t="e">
        <f ca="1">IF(_xll.EVDES(H151,$B$1)="#NODATA","",_xll.EVDES(H151,$B$1))</f>
        <v>#NAME?</v>
      </c>
      <c r="O151" s="207"/>
      <c r="P151" s="286"/>
      <c r="Q151" s="286"/>
      <c r="R151" s="286"/>
      <c r="S151" s="286"/>
      <c r="T151" s="286"/>
      <c r="U151" s="286"/>
      <c r="V151" s="286"/>
      <c r="W151" s="286"/>
      <c r="X151" s="286"/>
      <c r="Y151" s="286"/>
      <c r="Z151" s="286"/>
      <c r="AA151" s="286"/>
      <c r="AB151" s="208" t="e">
        <f ca="1">IF(_xll.EVGET($B$1,$B$3,$B$5,$B$6,$B$7,$B$9,AA$16,AA$17,AA$18,$G151)="#NODATA","",_xll.EVGET($B$1,$B$3,$B$5,$B$6,$B$7,$B$9,AA$16,AA$17,AA$18,$G151))</f>
        <v>#NAME?</v>
      </c>
      <c r="AD151" s="207"/>
      <c r="AE151" s="208" t="e">
        <f ca="1">IF(_xll.EVGET($B$1,$B$3,$B$5,$B$6,$B$7,$B$9,AD$16,AD$17,AD$18,$G151)="#NODATA","",_xll.EVGET($B$1,$B$3,$B$5,$B$6,$B$7,$B$9,AD$16,AD$17,AD$18,$G151))</f>
        <v>#NAME?</v>
      </c>
      <c r="AF151" s="209" t="str">
        <f t="shared" si="15"/>
        <v/>
      </c>
      <c r="AG151" s="207"/>
      <c r="AH151" s="208" t="e">
        <f ca="1">IF(_xll.EVGET($B$1,$B$3,$B$5,$B$6,$B$7,$B$9,AG$16,AG$17,AG$18,$G151)="#NODATA","",_xll.EVGET($B$1,$B$3,$B$5,$B$6,$B$7,$B$9,AG$16,AG$17,AG$18,$G151))</f>
        <v>#NAME?</v>
      </c>
      <c r="AI151" s="307" t="str">
        <f t="shared" si="16"/>
        <v/>
      </c>
    </row>
    <row r="152" spans="7:35" x14ac:dyDescent="0.25">
      <c r="G152" s="69" t="s">
        <v>495</v>
      </c>
      <c r="H152" s="15" t="s">
        <v>208</v>
      </c>
      <c r="I152" s="28" t="e">
        <f ca="1">_xll.EVPRO($B$1,$H152,"STYLE")</f>
        <v>#NAME?</v>
      </c>
      <c r="J152" s="28" t="e">
        <f ca="1">_xll.EVPRO($B$1,$H152,"CALC")</f>
        <v>#NAME?</v>
      </c>
      <c r="L152" s="25" t="e">
        <f ca="1">_xll.EVPRO($B$1,H152,"JDEID")</f>
        <v>#NAME?</v>
      </c>
      <c r="M152" s="162" t="e">
        <f ca="1">IF(AND(I152="N",J152="N"),_xll.EVPRO($B$1,H152,"PSFTID"),"")</f>
        <v>#NAME?</v>
      </c>
      <c r="N152" s="25" t="s">
        <v>496</v>
      </c>
      <c r="O152" s="204" t="e">
        <f ca="1">IF(_xll.EVGET($B$1,$B$3,$B$5,$B$6,$B$7,$B$9,O$16,O$17,O$18,$H152)="#NODATA","",_xll.EVGET($B$1,$B$3,$B$5,$B$6,$B$7,$B$9,O$16,O$17,O$18,$H152))</f>
        <v>#NAME?</v>
      </c>
      <c r="P152" s="204" t="e">
        <f ca="1">IF(_xll.EVGET($B$1,$B$3,$B$5,$B$6,$B$7,$B$9,P$16,P$17,P$18,$H152)="#NODATA","",_xll.EVGET($B$1,$B$3,$B$5,$B$6,$B$7,$B$9,P$16,P$17,P$18,$H152))</f>
        <v>#NAME?</v>
      </c>
      <c r="Q152" s="204" t="e">
        <f ca="1">IF(_xll.EVGET($B$1,$B$3,$B$5,$B$6,$B$7,$B$9,Q$16,Q$17,Q$18,$H152)="#NODATA","",_xll.EVGET($B$1,$B$3,$B$5,$B$6,$B$7,$B$9,Q$16,Q$17,Q$18,$H152))</f>
        <v>#NAME?</v>
      </c>
      <c r="R152" s="204" t="e">
        <f ca="1">IF(_xll.EVGET($B$1,$B$3,$B$5,$B$6,$B$7,$B$9,R$16,R$17,R$18,$H152)="#NODATA","",_xll.EVGET($B$1,$B$3,$B$5,$B$6,$B$7,$B$9,R$16,R$17,R$18,$H152))</f>
        <v>#NAME?</v>
      </c>
      <c r="S152" s="204" t="e">
        <f ca="1">IF(_xll.EVGET($B$1,$B$3,$B$5,$B$6,$B$7,$B$9,S$16,S$17,S$18,$H152)="#NODATA","",_xll.EVGET($B$1,$B$3,$B$5,$B$6,$B$7,$B$9,S$16,S$17,S$18,$H152))</f>
        <v>#NAME?</v>
      </c>
      <c r="T152" s="204" t="e">
        <f ca="1">IF(_xll.EVGET($B$1,$B$3,$B$5,$B$6,$B$7,$B$9,T$16,T$17,T$18,$H152)="#NODATA","",_xll.EVGET($B$1,$B$3,$B$5,$B$6,$B$7,$B$9,T$16,T$17,T$18,$H152))</f>
        <v>#NAME?</v>
      </c>
      <c r="U152" s="204" t="e">
        <f ca="1">IF(_xll.EVGET($B$1,$B$3,$B$5,$B$6,$B$7,$B$9,U$16,U$17,U$18,$H152)="#NODATA","",_xll.EVGET($B$1,$B$3,$B$5,$B$6,$B$7,$B$9,U$16,U$17,U$18,$H152))</f>
        <v>#NAME?</v>
      </c>
      <c r="V152" s="204" t="e">
        <f ca="1">IF(_xll.EVGET($B$1,$B$3,$B$5,$B$6,$B$7,$B$9,V$16,V$17,V$18,$H152)="#NODATA","",_xll.EVGET($B$1,$B$3,$B$5,$B$6,$B$7,$B$9,V$16,V$17,V$18,$H152))</f>
        <v>#NAME?</v>
      </c>
      <c r="W152" s="204" t="e">
        <f ca="1">IF(_xll.EVGET($B$1,$B$3,$B$5,$B$6,$B$7,$B$9,W$16,W$17,W$18,$H152)="#NODATA","",_xll.EVGET($B$1,$B$3,$B$5,$B$6,$B$7,$B$9,W$16,W$17,W$18,$H152))</f>
        <v>#NAME?</v>
      </c>
      <c r="X152" s="204" t="e">
        <f ca="1">IF(_xll.EVGET($B$1,$B$3,$B$5,$B$6,$B$7,$B$9,X$16,X$17,X$18,$H152)="#NODATA","",_xll.EVGET($B$1,$B$3,$B$5,$B$6,$B$7,$B$9,X$16,X$17,X$18,$H152))</f>
        <v>#NAME?</v>
      </c>
      <c r="Y152" s="204" t="e">
        <f ca="1">IF(_xll.EVGET($B$1,$B$3,$B$5,$B$6,$B$7,$B$9,Y$16,Y$17,Y$18,$H152)="#NODATA","",_xll.EVGET($B$1,$B$3,$B$5,$B$6,$B$7,$B$9,Y$16,Y$17,Y$18,$H152))</f>
        <v>#NAME?</v>
      </c>
      <c r="Z152" s="204" t="e">
        <f ca="1">IF(_xll.EVGET($B$1,$B$3,$B$5,$B$6,$B$7,$B$9,Z$16,Z$17,Z$18,$H152)="#NODATA","",_xll.EVGET($B$1,$B$3,$B$5,$B$6,$B$7,$B$9,Z$16,Z$17,Z$18,$H152))</f>
        <v>#NAME?</v>
      </c>
      <c r="AA152" s="204" t="e">
        <f ca="1">IF(_xll.EVGET($B$1,$B$3,$B$5,$B$6,$B$7,$B$9,AA$16,AA$17,AA$18,$H152)="#NODATA","",_xll.EVGET($B$1,$B$3,$B$5,$B$6,$B$7,$B$9,AA$16,AA$17,AA$18,$H152))</f>
        <v>#NAME?</v>
      </c>
      <c r="AB152" s="205" t="e">
        <f ca="1">IF(_xll.EVGET($B$1,$B$3,$B$5,$B$6,$B$7,$B$9,AA$16,AA$17,AA$18,$G152)="#NODATA","",_xll.EVGET($B$1,$B$3,$B$5,$B$6,$B$7,$B$9,AA$16,AA$17,AA$18,$G152))</f>
        <v>#NAME?</v>
      </c>
      <c r="AD152" s="204" t="e">
        <f ca="1">IF(_xll.EVGET($B$1,$B$3,$B$5,$B$6,$B$7,$B$9,AD$16,AD$17,AD$18,$H152)="#NODATA","",_xll.EVGET($B$1,$B$3,$B$5,$B$6,$B$7,$B$9,AD$16,AD$17,AD$18,$H152))</f>
        <v>#NAME?</v>
      </c>
      <c r="AE152" s="205" t="e">
        <f ca="1">IF(_xll.EVGET($B$1,$B$3,$B$5,$B$6,$B$7,$B$9,AD$16,AD$17,AD$18,$G152)="#NODATA","",_xll.EVGET($B$1,$B$3,$B$5,$B$6,$B$7,$B$9,AD$16,AD$17,AD$18,$G152))</f>
        <v>#NAME?</v>
      </c>
      <c r="AF152" s="206" t="e">
        <f t="shared" ref="AF152" ca="1" si="17">IF(AND($AA152="",AD152=""),"",$AA152-AD152)</f>
        <v>#NAME?</v>
      </c>
      <c r="AG152" s="204" t="e">
        <f ca="1">IF(_xll.EVGET($B$1,$B$3,$B$5,$B$6,$B$7,$B$9,AG$16,AG$17,AG$18,$H152)="#NODATA","",_xll.EVGET($B$1,$B$3,$B$5,$B$6,$B$7,$B$9,AG$16,AG$17,AG$18,$H152))</f>
        <v>#NAME?</v>
      </c>
      <c r="AH152" s="205" t="e">
        <f ca="1">IF(_xll.EVGET($B$1,$B$3,$B$5,$B$6,$B$7,$B$9,AG$16,AG$17,AG$18,$G152)="#NODATA","",_xll.EVGET($B$1,$B$3,$B$5,$B$6,$B$7,$B$9,AG$16,AG$17,AG$18,$G152))</f>
        <v>#NAME?</v>
      </c>
      <c r="AI152" s="206" t="e">
        <f t="shared" ca="1" si="16"/>
        <v>#NAME?</v>
      </c>
    </row>
    <row r="154" spans="7:35" x14ac:dyDescent="0.25">
      <c r="I154" s="1"/>
      <c r="J154" s="1"/>
      <c r="N154" s="26" t="str">
        <f>N152&amp;" - Check"</f>
        <v>Total ADR/ OCC% - Check</v>
      </c>
      <c r="O154" s="118">
        <f>IFERROR(O69/O105,0)</f>
        <v>281.22551643800153</v>
      </c>
      <c r="P154" s="118">
        <f t="shared" ref="P154:Z154" si="18">IFERROR(P69/P105,0)</f>
        <v>346.86283779890522</v>
      </c>
      <c r="Q154" s="118">
        <f t="shared" si="18"/>
        <v>314.57101066666667</v>
      </c>
      <c r="R154" s="118">
        <f t="shared" si="18"/>
        <v>263.63145217391303</v>
      </c>
      <c r="S154" s="118">
        <f t="shared" si="18"/>
        <v>262.25665401644528</v>
      </c>
      <c r="T154" s="118">
        <f t="shared" si="18"/>
        <v>185.4480487804878</v>
      </c>
      <c r="U154" s="118">
        <f t="shared" si="18"/>
        <v>185.47260379596679</v>
      </c>
      <c r="V154" s="118">
        <f t="shared" si="18"/>
        <v>169.11653923541249</v>
      </c>
      <c r="W154" s="118">
        <f t="shared" si="18"/>
        <v>162.19319506726458</v>
      </c>
      <c r="X154" s="118">
        <f t="shared" si="18"/>
        <v>185.10631446540879</v>
      </c>
      <c r="Y154" s="118">
        <f t="shared" si="18"/>
        <v>228.61937160326087</v>
      </c>
      <c r="Z154" s="118">
        <f t="shared" si="18"/>
        <v>331.89415045018882</v>
      </c>
      <c r="AA154" s="118">
        <f>IFERROR(AA69/AA105,0)</f>
        <v>247.07762318621525</v>
      </c>
      <c r="AB154" s="203">
        <f>IFERROR(AA105/AA109,0)</f>
        <v>0.82391033623910337</v>
      </c>
      <c r="AD154" s="118">
        <f>IFERROR(AD69/AD105,0)</f>
        <v>282.92107761868874</v>
      </c>
      <c r="AE154" s="203">
        <f>IFERROR(AD105/AD109,0)</f>
        <v>0.85381901203819011</v>
      </c>
      <c r="AF154" s="21"/>
      <c r="AG154" s="118">
        <f>IFERROR(AG69/AG105,0)</f>
        <v>275.60042229111235</v>
      </c>
      <c r="AH154" s="203">
        <f>IFERROR(AG105/AG109,0)</f>
        <v>0.85029057700290578</v>
      </c>
      <c r="AI154" s="21"/>
    </row>
  </sheetData>
  <mergeCells count="2">
    <mergeCell ref="AD31:AE31"/>
    <mergeCell ref="AG31:AH31"/>
  </mergeCells>
  <conditionalFormatting sqref="AF34:AF69 AI34:AI69 AF72:AF116 AI72:AI116">
    <cfRule type="expression" dxfId="359" priority="12">
      <formula>AF$32="Variance"</formula>
    </cfRule>
  </conditionalFormatting>
  <conditionalFormatting sqref="AF119:AF152">
    <cfRule type="expression" dxfId="358" priority="4">
      <formula>AF$32="Variance"</formula>
    </cfRule>
  </conditionalFormatting>
  <conditionalFormatting sqref="AI119:AI152">
    <cfRule type="expression" dxfId="357"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6112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61122" r:id="rId7" name="FPMExcelClientSheetOptionstb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lapsed="1"/>
    <col min="13" max="13" width="9.7109375" style="1" hidden="1" customWidth="1" outlineLevel="1"/>
    <col min="14" max="14" width="35.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c r="L4" s="11"/>
      <c r="M4" s="11"/>
    </row>
    <row r="5" spans="1:35" hidden="1" outlineLevel="1" x14ac:dyDescent="0.25">
      <c r="A5" s="8" t="s">
        <v>51</v>
      </c>
      <c r="B5" s="12" t="s">
        <v>59</v>
      </c>
      <c r="C5" s="1" t="s">
        <v>59</v>
      </c>
      <c r="L5" s="11"/>
      <c r="M5" s="11"/>
    </row>
    <row r="6" spans="1:35" hidden="1" outlineLevel="1" x14ac:dyDescent="0.25">
      <c r="A6" s="8" t="s">
        <v>52</v>
      </c>
      <c r="B6" s="12" t="s">
        <v>60</v>
      </c>
      <c r="C6" s="1" t="s">
        <v>1020</v>
      </c>
      <c r="E6" s="49" t="s">
        <v>749</v>
      </c>
      <c r="F6" s="1" t="s">
        <v>278</v>
      </c>
      <c r="L6" s="11"/>
      <c r="M6" s="11"/>
    </row>
    <row r="7" spans="1:35" hidden="1" outlineLevel="1" x14ac:dyDescent="0.25">
      <c r="A7" s="8" t="s">
        <v>53</v>
      </c>
      <c r="B7" s="12" t="s">
        <v>61</v>
      </c>
      <c r="C7" s="1" t="s">
        <v>983</v>
      </c>
      <c r="L7" s="11"/>
      <c r="M7" s="11"/>
    </row>
    <row r="8" spans="1:35" hidden="1" outlineLevel="1" x14ac:dyDescent="0.25">
      <c r="A8" s="8" t="s">
        <v>20</v>
      </c>
      <c r="B8" s="12" t="s">
        <v>63</v>
      </c>
      <c r="C8" s="1" t="s">
        <v>984</v>
      </c>
      <c r="L8" s="11"/>
      <c r="M8" s="11"/>
    </row>
    <row r="9" spans="1:35" hidden="1" outlineLevel="1" x14ac:dyDescent="0.25">
      <c r="A9" s="8" t="s">
        <v>54</v>
      </c>
      <c r="B9" s="9" t="str">
        <f>SetUp!$D$10</f>
        <v>LC</v>
      </c>
      <c r="C9" s="1" t="s">
        <v>985</v>
      </c>
      <c r="L9" s="11"/>
      <c r="M9" s="11"/>
    </row>
    <row r="10" spans="1:35" hidden="1" outlineLevel="1" x14ac:dyDescent="0.25">
      <c r="A10" s="8" t="s">
        <v>18</v>
      </c>
      <c r="B10" s="9" t="str">
        <f>SetUp!$D$7</f>
        <v>2023.TOTAL</v>
      </c>
      <c r="C10" s="1" t="s">
        <v>986</v>
      </c>
      <c r="D10" s="234" t="s">
        <v>987</v>
      </c>
      <c r="L10" s="11"/>
      <c r="M10" s="11"/>
    </row>
    <row r="11" spans="1:35" hidden="1" outlineLevel="1" x14ac:dyDescent="0.25">
      <c r="B11" s="8"/>
      <c r="L11" s="11"/>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L12" s="11"/>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L13" s="11"/>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B14" s="8" t="s">
        <v>361</v>
      </c>
      <c r="C14" s="102"/>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1119</v>
      </c>
      <c r="L17" s="11"/>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1120</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IF(SetUp!$O$1=TRUE,"TRAILING12",IF(AA17="CURRENT","ROLLINGFORECAST","PERIODIC"))</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1121</v>
      </c>
      <c r="G19" s="18" t="str">
        <f>$B$6</f>
        <v>D_ROOMS_CON</v>
      </c>
      <c r="H19" s="18">
        <v>400000</v>
      </c>
      <c r="I19" s="19"/>
      <c r="J19" s="19"/>
      <c r="K19" s="18"/>
      <c r="L19" s="18"/>
      <c r="M19" s="18"/>
      <c r="N19" s="18" t="s">
        <v>1003</v>
      </c>
      <c r="O19" s="20">
        <v>1086374.17</v>
      </c>
      <c r="P19" s="20">
        <v>1203960.9099999999</v>
      </c>
      <c r="Q19" s="20">
        <v>1179641.29</v>
      </c>
      <c r="R19" s="20">
        <v>909528.51</v>
      </c>
      <c r="S19" s="20">
        <v>829255.54</v>
      </c>
      <c r="T19" s="20">
        <v>631079.71</v>
      </c>
      <c r="U19" s="20">
        <v>625413.62</v>
      </c>
      <c r="V19" s="20">
        <v>504305.52</v>
      </c>
      <c r="W19" s="20">
        <v>434028.99</v>
      </c>
      <c r="X19" s="20">
        <v>588638.07999999996</v>
      </c>
      <c r="Y19" s="20">
        <v>673055.43</v>
      </c>
      <c r="Z19" s="20">
        <v>1142711.56</v>
      </c>
      <c r="AA19" s="20">
        <f>SUM(O19:Z19)</f>
        <v>9807993.3300000001</v>
      </c>
      <c r="AB19" s="18"/>
      <c r="AC19" s="18"/>
      <c r="AD19" s="20">
        <v>11638524.369999999</v>
      </c>
      <c r="AE19" s="18"/>
      <c r="AF19" s="18"/>
      <c r="AG19" s="20">
        <v>11290522.5</v>
      </c>
      <c r="AH19" s="18"/>
      <c r="AI19" s="18"/>
    </row>
    <row r="20" spans="1:35" hidden="1" outlineLevel="1" x14ac:dyDescent="0.25">
      <c r="A20" s="6" t="s">
        <v>5</v>
      </c>
      <c r="B20" s="7"/>
      <c r="G20" s="18" t="str">
        <f>$B$6</f>
        <v>D_ROOMS_CON</v>
      </c>
      <c r="H20" s="18">
        <v>900200</v>
      </c>
      <c r="I20" s="19"/>
      <c r="J20" s="19"/>
      <c r="K20" s="18"/>
      <c r="L20" s="18"/>
      <c r="M20" s="18"/>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35" hidden="1" outlineLevel="1" x14ac:dyDescent="0.25">
      <c r="A21" s="6" t="s">
        <v>6</v>
      </c>
      <c r="B21" s="7"/>
    </row>
    <row r="22" spans="1:35" hidden="1" outlineLevel="1" x14ac:dyDescent="0.25">
      <c r="A22" s="6" t="s">
        <v>7</v>
      </c>
      <c r="B22" s="7"/>
    </row>
    <row r="23" spans="1:35" hidden="1" outlineLevel="1" x14ac:dyDescent="0.25">
      <c r="A23" s="6" t="s">
        <v>47</v>
      </c>
      <c r="B23" s="16" t="s">
        <v>1122</v>
      </c>
      <c r="K23" s="57"/>
      <c r="L23" s="57"/>
      <c r="M23" s="57"/>
    </row>
    <row r="24" spans="1:35" hidden="1" outlineLevel="1" x14ac:dyDescent="0.25">
      <c r="A24" s="6" t="s">
        <v>8</v>
      </c>
      <c r="B24" s="7"/>
    </row>
    <row r="25" spans="1:35" collapsed="1" x14ac:dyDescent="0.25"/>
    <row r="26" spans="1:35" ht="22.5" x14ac:dyDescent="0.3">
      <c r="N26" s="65" t="s">
        <v>981</v>
      </c>
    </row>
    <row r="27" spans="1:35" ht="18" x14ac:dyDescent="0.25">
      <c r="A27" s="3" t="s">
        <v>23</v>
      </c>
      <c r="B27" s="5" t="s">
        <v>24</v>
      </c>
      <c r="N27" s="70" t="s">
        <v>1056</v>
      </c>
    </row>
    <row r="28" spans="1:35" ht="15.75" x14ac:dyDescent="0.25">
      <c r="A28" s="6" t="s">
        <v>25</v>
      </c>
      <c r="B28" s="7"/>
      <c r="N28" s="71" t="s">
        <v>1005</v>
      </c>
    </row>
    <row r="29" spans="1:35" ht="15" customHeight="1" x14ac:dyDescent="0.25">
      <c r="A29" s="6" t="s">
        <v>26</v>
      </c>
      <c r="B29" s="7"/>
      <c r="N29" s="71" t="s">
        <v>985</v>
      </c>
    </row>
    <row r="30" spans="1:35" x14ac:dyDescent="0.25">
      <c r="A30" s="6" t="s">
        <v>27</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28</v>
      </c>
      <c r="B31" s="7"/>
      <c r="G31" s="14"/>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6" t="s">
        <v>29</v>
      </c>
      <c r="B32" s="7"/>
      <c r="C32" s="1"/>
      <c r="D32" s="1"/>
      <c r="E32" s="1"/>
      <c r="F32" s="1"/>
      <c r="H32" s="257"/>
      <c r="I32" s="258"/>
      <c r="J32" s="258"/>
      <c r="N32" s="346" t="s">
        <v>219</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C32" s="1"/>
      <c r="AD32" s="261" t="s">
        <v>958</v>
      </c>
      <c r="AE32" s="262" t="s">
        <v>58</v>
      </c>
      <c r="AF32" s="261" t="s">
        <v>57</v>
      </c>
      <c r="AG32" s="261" t="s">
        <v>956</v>
      </c>
      <c r="AH32" s="262" t="s">
        <v>58</v>
      </c>
      <c r="AI32" s="261" t="s">
        <v>57</v>
      </c>
    </row>
    <row r="33" spans="1:35" x14ac:dyDescent="0.25">
      <c r="A33" s="6" t="s">
        <v>30</v>
      </c>
      <c r="B33" s="7" t="s">
        <v>78</v>
      </c>
      <c r="H33" s="1" t="s">
        <v>69</v>
      </c>
      <c r="I33" s="11" t="s">
        <v>1011</v>
      </c>
      <c r="J33" s="11" t="s">
        <v>78</v>
      </c>
      <c r="L33" s="196" t="s">
        <v>364</v>
      </c>
      <c r="M33" s="196" t="s">
        <v>782</v>
      </c>
      <c r="N33" s="40" t="s">
        <v>1019</v>
      </c>
      <c r="O33" s="41"/>
      <c r="P33" s="45"/>
      <c r="Q33" s="45"/>
      <c r="R33" s="45"/>
      <c r="S33" s="45"/>
      <c r="T33" s="45"/>
      <c r="U33" s="45"/>
      <c r="V33" s="45"/>
      <c r="W33" s="45"/>
      <c r="X33" s="45"/>
      <c r="Y33" s="45"/>
      <c r="Z33" s="45"/>
      <c r="AA33" s="45"/>
      <c r="AB33" s="42"/>
      <c r="AD33" s="41"/>
      <c r="AE33" s="45"/>
      <c r="AF33" s="99"/>
      <c r="AG33" s="41"/>
      <c r="AH33" s="45"/>
      <c r="AI33" s="42"/>
    </row>
    <row r="34" spans="1:35" x14ac:dyDescent="0.25">
      <c r="A34" s="6" t="s">
        <v>31</v>
      </c>
      <c r="B34" s="7" t="s">
        <v>78</v>
      </c>
      <c r="H34" s="15" t="s">
        <v>83</v>
      </c>
      <c r="I34" s="28" t="s">
        <v>1058</v>
      </c>
      <c r="J34" s="28" t="s">
        <v>78</v>
      </c>
      <c r="K34" s="119"/>
      <c r="L34" s="25"/>
      <c r="M34" s="162"/>
      <c r="N34" s="25" t="s">
        <v>1059</v>
      </c>
      <c r="O34" s="77">
        <v>407136.39</v>
      </c>
      <c r="P34" s="272">
        <v>565849.89</v>
      </c>
      <c r="Q34" s="272">
        <v>398776.14</v>
      </c>
      <c r="R34" s="272">
        <v>332247.36</v>
      </c>
      <c r="S34" s="272">
        <v>270387.58</v>
      </c>
      <c r="T34" s="272">
        <v>193194.02</v>
      </c>
      <c r="U34" s="272">
        <v>228912.98</v>
      </c>
      <c r="V34" s="272">
        <v>245190</v>
      </c>
      <c r="W34" s="272">
        <v>239283.95</v>
      </c>
      <c r="X34" s="272">
        <v>310406.18</v>
      </c>
      <c r="Y34" s="272">
        <v>287189</v>
      </c>
      <c r="Z34" s="272">
        <v>521546.37</v>
      </c>
      <c r="AA34" s="272">
        <f t="shared" ref="AA34:AA52" si="0">SUM(O34:Z34)</f>
        <v>4000119.8600000003</v>
      </c>
      <c r="AB34" s="79">
        <f t="shared" ref="AB34:AB69" si="1">IF(AA34=0,"",IFERROR(AA34/AA$19,""))</f>
        <v>0.40784284057012099</v>
      </c>
      <c r="AD34" s="78">
        <v>4010043.55</v>
      </c>
      <c r="AE34" s="79">
        <f t="shared" ref="AE34:AE69" si="2">IF(AD34=0,"",IFERROR(AD34/AD$19,""))</f>
        <v>0.34454913892146621</v>
      </c>
      <c r="AF34" s="80">
        <f t="shared" ref="AF34:AF69" si="3">IF(AND($AA34="",AD34=""),"",$AA34-AD34)</f>
        <v>-9923.6899999994785</v>
      </c>
      <c r="AG34" s="80">
        <v>4370687.8499999996</v>
      </c>
      <c r="AH34" s="79">
        <f t="shared" ref="AH34:AH69" si="4">IF(AG34=0,"",IFERROR(AG34/AG$19,""))</f>
        <v>0.38711121208075178</v>
      </c>
      <c r="AI34" s="293">
        <f t="shared" ref="AI34:AI69" si="5">IF(AND($AA34="",AG34=""),"",$AA34-AG34)</f>
        <v>-370567.98999999929</v>
      </c>
    </row>
    <row r="35" spans="1:35" x14ac:dyDescent="0.25">
      <c r="A35" s="6" t="s">
        <v>32</v>
      </c>
      <c r="B35" s="7"/>
      <c r="H35" s="15" t="s">
        <v>121</v>
      </c>
      <c r="I35" s="26" t="s">
        <v>1123</v>
      </c>
      <c r="J35" s="26" t="s">
        <v>78</v>
      </c>
      <c r="K35" s="26"/>
      <c r="L35" s="26">
        <v>402100</v>
      </c>
      <c r="M35" s="162"/>
      <c r="N35" s="26" t="s">
        <v>1124</v>
      </c>
      <c r="O35" s="89">
        <v>85806.82</v>
      </c>
      <c r="P35" s="273">
        <v>172648.33</v>
      </c>
      <c r="Q35" s="273">
        <v>103954.72</v>
      </c>
      <c r="R35" s="273">
        <v>73722.38</v>
      </c>
      <c r="S35" s="273">
        <v>59507.45</v>
      </c>
      <c r="T35" s="273">
        <v>30121.96</v>
      </c>
      <c r="U35" s="273">
        <v>45477.31</v>
      </c>
      <c r="V35" s="273">
        <v>42985.91</v>
      </c>
      <c r="W35" s="273">
        <v>32883.599999999999</v>
      </c>
      <c r="X35" s="273">
        <v>21308.47</v>
      </c>
      <c r="Y35" s="273">
        <v>37980.74</v>
      </c>
      <c r="Z35" s="273">
        <v>129493.09</v>
      </c>
      <c r="AA35" s="273">
        <f t="shared" si="0"/>
        <v>835890.77999999991</v>
      </c>
      <c r="AB35" s="91">
        <f t="shared" si="1"/>
        <v>8.522546374937226E-2</v>
      </c>
      <c r="AD35" s="90">
        <v>734209</v>
      </c>
      <c r="AE35" s="91">
        <f t="shared" si="2"/>
        <v>6.3084371923689153E-2</v>
      </c>
      <c r="AF35" s="92">
        <f t="shared" si="3"/>
        <v>101681.77999999991</v>
      </c>
      <c r="AG35" s="92">
        <v>678766.7</v>
      </c>
      <c r="AH35" s="91">
        <f t="shared" si="4"/>
        <v>6.0118271762887851E-2</v>
      </c>
      <c r="AI35" s="294">
        <f t="shared" si="5"/>
        <v>157124.07999999996</v>
      </c>
    </row>
    <row r="36" spans="1:35" x14ac:dyDescent="0.25">
      <c r="A36" s="6" t="s">
        <v>33</v>
      </c>
      <c r="B36" s="7"/>
      <c r="H36" s="15" t="s">
        <v>122</v>
      </c>
      <c r="I36" s="26" t="s">
        <v>1123</v>
      </c>
      <c r="J36" s="26" t="s">
        <v>78</v>
      </c>
      <c r="K36" s="26"/>
      <c r="L36" s="26">
        <v>402130</v>
      </c>
      <c r="M36" s="162"/>
      <c r="N36" s="26" t="s">
        <v>1125</v>
      </c>
      <c r="O36" s="89">
        <v>321329.57</v>
      </c>
      <c r="P36" s="273">
        <v>393201.56</v>
      </c>
      <c r="Q36" s="273">
        <v>294821.42</v>
      </c>
      <c r="R36" s="273">
        <v>258524.98</v>
      </c>
      <c r="S36" s="273">
        <v>210880.13</v>
      </c>
      <c r="T36" s="273">
        <v>163072.06</v>
      </c>
      <c r="U36" s="273">
        <v>183435.67</v>
      </c>
      <c r="V36" s="273">
        <v>202204.09</v>
      </c>
      <c r="W36" s="273">
        <v>206400.35</v>
      </c>
      <c r="X36" s="273">
        <v>289097.71000000002</v>
      </c>
      <c r="Y36" s="273">
        <v>249208.26</v>
      </c>
      <c r="Z36" s="273">
        <v>392053.28</v>
      </c>
      <c r="AA36" s="273">
        <f t="shared" si="0"/>
        <v>3164229.08</v>
      </c>
      <c r="AB36" s="91">
        <f t="shared" si="1"/>
        <v>0.3226173768207487</v>
      </c>
      <c r="AD36" s="90">
        <v>3275834.55</v>
      </c>
      <c r="AE36" s="91">
        <f t="shared" si="2"/>
        <v>0.28146476699777706</v>
      </c>
      <c r="AF36" s="92">
        <f t="shared" si="3"/>
        <v>-111605.46999999974</v>
      </c>
      <c r="AG36" s="92">
        <v>3691921.15</v>
      </c>
      <c r="AH36" s="91">
        <f t="shared" si="4"/>
        <v>0.32699294031786391</v>
      </c>
      <c r="AI36" s="294">
        <f t="shared" si="5"/>
        <v>-527692.06999999983</v>
      </c>
    </row>
    <row r="37" spans="1:35" x14ac:dyDescent="0.25">
      <c r="A37" s="6" t="s">
        <v>34</v>
      </c>
      <c r="B37" s="7"/>
      <c r="H37" s="15" t="s">
        <v>84</v>
      </c>
      <c r="I37" s="28" t="s">
        <v>1058</v>
      </c>
      <c r="J37" s="28" t="s">
        <v>78</v>
      </c>
      <c r="K37" s="119"/>
      <c r="L37" s="25"/>
      <c r="M37" s="162"/>
      <c r="N37" s="25" t="s">
        <v>1060</v>
      </c>
      <c r="O37" s="77">
        <v>396776.67</v>
      </c>
      <c r="P37" s="272">
        <v>379081.35</v>
      </c>
      <c r="Q37" s="272">
        <v>463242.91</v>
      </c>
      <c r="R37" s="272">
        <v>366216.33</v>
      </c>
      <c r="S37" s="272">
        <v>297001.78999999998</v>
      </c>
      <c r="T37" s="272">
        <v>270502.09000000003</v>
      </c>
      <c r="U37" s="272">
        <v>290647.64</v>
      </c>
      <c r="V37" s="272">
        <v>143559.88</v>
      </c>
      <c r="W37" s="272">
        <v>117901.97</v>
      </c>
      <c r="X37" s="272">
        <v>150281.64000000001</v>
      </c>
      <c r="Y37" s="272">
        <v>160609.42000000001</v>
      </c>
      <c r="Z37" s="272">
        <v>297206.81</v>
      </c>
      <c r="AA37" s="272">
        <f t="shared" si="0"/>
        <v>3333028.5000000005</v>
      </c>
      <c r="AB37" s="79">
        <f t="shared" si="1"/>
        <v>0.33982776984616897</v>
      </c>
      <c r="AD37" s="78">
        <v>4606458.05</v>
      </c>
      <c r="AE37" s="79">
        <f t="shared" si="2"/>
        <v>0.39579399445807922</v>
      </c>
      <c r="AF37" s="80">
        <f t="shared" si="3"/>
        <v>-1273429.5499999993</v>
      </c>
      <c r="AG37" s="80">
        <v>4467764.45</v>
      </c>
      <c r="AH37" s="79">
        <f t="shared" si="4"/>
        <v>0.39570927297651637</v>
      </c>
      <c r="AI37" s="293">
        <f t="shared" si="5"/>
        <v>-1134735.9499999997</v>
      </c>
    </row>
    <row r="38" spans="1:35" x14ac:dyDescent="0.25">
      <c r="A38" s="6" t="s">
        <v>35</v>
      </c>
      <c r="B38" s="7"/>
      <c r="H38" s="15" t="s">
        <v>123</v>
      </c>
      <c r="I38" s="26" t="s">
        <v>1123</v>
      </c>
      <c r="J38" s="26" t="s">
        <v>78</v>
      </c>
      <c r="K38" s="26"/>
      <c r="L38" s="26">
        <v>402530</v>
      </c>
      <c r="M38" s="162"/>
      <c r="N38" s="26" t="s">
        <v>1126</v>
      </c>
      <c r="O38" s="89">
        <v>16609.8</v>
      </c>
      <c r="P38" s="273">
        <v>14080.3</v>
      </c>
      <c r="Q38" s="273">
        <v>12607</v>
      </c>
      <c r="R38" s="273">
        <v>9157.9</v>
      </c>
      <c r="S38" s="273">
        <v>16220.5</v>
      </c>
      <c r="T38" s="273">
        <v>9068.7000000000007</v>
      </c>
      <c r="U38" s="273">
        <v>14267.2</v>
      </c>
      <c r="V38" s="273">
        <v>5358.13</v>
      </c>
      <c r="W38" s="273">
        <v>5100.1499999999996</v>
      </c>
      <c r="X38" s="273">
        <v>834.96</v>
      </c>
      <c r="Y38" s="273">
        <v>6126.12</v>
      </c>
      <c r="Z38" s="273">
        <v>27316.78</v>
      </c>
      <c r="AA38" s="273">
        <f t="shared" si="0"/>
        <v>136747.53999999998</v>
      </c>
      <c r="AB38" s="91">
        <f t="shared" si="1"/>
        <v>1.3942458502875019E-2</v>
      </c>
      <c r="AD38" s="90">
        <v>101624.25</v>
      </c>
      <c r="AE38" s="91">
        <f t="shared" si="2"/>
        <v>8.7317126097146286E-3</v>
      </c>
      <c r="AF38" s="92">
        <f t="shared" si="3"/>
        <v>35123.289999999979</v>
      </c>
      <c r="AG38" s="92">
        <v>78536.95</v>
      </c>
      <c r="AH38" s="91">
        <f t="shared" si="4"/>
        <v>6.9560066861387498E-3</v>
      </c>
      <c r="AI38" s="294">
        <f t="shared" si="5"/>
        <v>58210.589999999982</v>
      </c>
    </row>
    <row r="39" spans="1:35" x14ac:dyDescent="0.25">
      <c r="A39" s="6" t="s">
        <v>36</v>
      </c>
      <c r="B39" s="7"/>
      <c r="H39" s="15" t="s">
        <v>124</v>
      </c>
      <c r="I39" s="26" t="s">
        <v>1123</v>
      </c>
      <c r="J39" s="26" t="s">
        <v>78</v>
      </c>
      <c r="K39" s="26"/>
      <c r="L39" s="26">
        <v>402500</v>
      </c>
      <c r="M39" s="162"/>
      <c r="N39" s="26" t="s">
        <v>1127</v>
      </c>
      <c r="O39" s="89">
        <v>15282.84</v>
      </c>
      <c r="P39" s="273">
        <v>21917.81</v>
      </c>
      <c r="Q39" s="273">
        <v>15440.59</v>
      </c>
      <c r="R39" s="273">
        <v>10444.719999999999</v>
      </c>
      <c r="S39" s="273">
        <v>15189</v>
      </c>
      <c r="T39" s="273">
        <v>12962.29</v>
      </c>
      <c r="U39" s="273">
        <v>25297.24</v>
      </c>
      <c r="V39" s="273">
        <v>12542.85</v>
      </c>
      <c r="W39" s="273">
        <v>7744.99</v>
      </c>
      <c r="X39" s="273">
        <v>6089.67</v>
      </c>
      <c r="Y39" s="273">
        <v>10452.52</v>
      </c>
      <c r="Z39" s="273">
        <v>28910.959999999999</v>
      </c>
      <c r="AA39" s="273">
        <f t="shared" si="0"/>
        <v>182275.48</v>
      </c>
      <c r="AB39" s="91">
        <f t="shared" si="1"/>
        <v>1.8584380501408846E-2</v>
      </c>
      <c r="AD39" s="90">
        <v>368598.75</v>
      </c>
      <c r="AE39" s="91">
        <f t="shared" si="2"/>
        <v>3.1670574231052628E-2</v>
      </c>
      <c r="AF39" s="92">
        <f t="shared" si="3"/>
        <v>-186323.27</v>
      </c>
      <c r="AG39" s="92">
        <v>315645.99</v>
      </c>
      <c r="AH39" s="91">
        <f t="shared" si="4"/>
        <v>2.7956721223486334E-2</v>
      </c>
      <c r="AI39" s="294">
        <f t="shared" si="5"/>
        <v>-133370.50999999998</v>
      </c>
    </row>
    <row r="40" spans="1:35" x14ac:dyDescent="0.25">
      <c r="A40" s="6" t="s">
        <v>37</v>
      </c>
      <c r="B40" s="7"/>
      <c r="H40" s="15" t="s">
        <v>125</v>
      </c>
      <c r="I40" s="26" t="s">
        <v>1123</v>
      </c>
      <c r="J40" s="26" t="s">
        <v>78</v>
      </c>
      <c r="K40" s="26"/>
      <c r="L40" s="26">
        <v>402540</v>
      </c>
      <c r="M40" s="162"/>
      <c r="N40" s="26" t="s">
        <v>1128</v>
      </c>
      <c r="O40" s="89">
        <v>176140.2</v>
      </c>
      <c r="P40" s="273">
        <v>77807.58</v>
      </c>
      <c r="Q40" s="273">
        <v>32332.63</v>
      </c>
      <c r="R40" s="273">
        <v>23382.35</v>
      </c>
      <c r="S40" s="273">
        <v>22208.3</v>
      </c>
      <c r="T40" s="273">
        <v>19845.66</v>
      </c>
      <c r="U40" s="273">
        <v>31634.48</v>
      </c>
      <c r="V40" s="273">
        <v>24547.86</v>
      </c>
      <c r="W40" s="273">
        <v>13436.43</v>
      </c>
      <c r="X40" s="273">
        <v>13113.96</v>
      </c>
      <c r="Y40" s="273">
        <v>15132.26</v>
      </c>
      <c r="Z40" s="273">
        <v>24240.98</v>
      </c>
      <c r="AA40" s="273">
        <f t="shared" si="0"/>
        <v>473822.68999999994</v>
      </c>
      <c r="AB40" s="91">
        <f t="shared" si="1"/>
        <v>4.8309850349378236E-2</v>
      </c>
      <c r="AD40" s="90">
        <v>431874.45</v>
      </c>
      <c r="AE40" s="91">
        <f t="shared" si="2"/>
        <v>3.7107320161069532E-2</v>
      </c>
      <c r="AF40" s="92">
        <f t="shared" si="3"/>
        <v>41948.239999999932</v>
      </c>
      <c r="AG40" s="92">
        <v>592899.53</v>
      </c>
      <c r="AH40" s="91">
        <f t="shared" si="4"/>
        <v>5.2513028515730788E-2</v>
      </c>
      <c r="AI40" s="294">
        <f t="shared" si="5"/>
        <v>-119076.84000000008</v>
      </c>
    </row>
    <row r="41" spans="1:35" x14ac:dyDescent="0.25">
      <c r="A41" s="6" t="s">
        <v>38</v>
      </c>
      <c r="B41" s="7"/>
      <c r="H41" s="15" t="s">
        <v>126</v>
      </c>
      <c r="I41" s="26" t="s">
        <v>1123</v>
      </c>
      <c r="J41" s="26" t="s">
        <v>78</v>
      </c>
      <c r="K41" s="26"/>
      <c r="L41" s="26">
        <v>402550</v>
      </c>
      <c r="M41" s="162"/>
      <c r="N41" s="26" t="s">
        <v>1129</v>
      </c>
      <c r="O41" s="89">
        <v>15987.65</v>
      </c>
      <c r="P41" s="273">
        <v>8799.98</v>
      </c>
      <c r="Q41" s="273">
        <v>26531.58</v>
      </c>
      <c r="R41" s="273">
        <v>18943.509999999998</v>
      </c>
      <c r="S41" s="273">
        <v>11898.09</v>
      </c>
      <c r="T41" s="273">
        <v>17736.12</v>
      </c>
      <c r="U41" s="273">
        <v>56475.11</v>
      </c>
      <c r="V41" s="273">
        <v>24323.38</v>
      </c>
      <c r="W41" s="273">
        <v>1989.05</v>
      </c>
      <c r="X41" s="273">
        <v>1797.52</v>
      </c>
      <c r="Y41" s="273">
        <v>1809.32</v>
      </c>
      <c r="Z41" s="273">
        <v>12279.84</v>
      </c>
      <c r="AA41" s="273">
        <f t="shared" si="0"/>
        <v>198571.14999999997</v>
      </c>
      <c r="AB41" s="91">
        <f t="shared" si="1"/>
        <v>2.024584880095957E-2</v>
      </c>
      <c r="AD41" s="90">
        <v>1858176</v>
      </c>
      <c r="AE41" s="91">
        <f t="shared" si="2"/>
        <v>0.15965735353785235</v>
      </c>
      <c r="AF41" s="92">
        <f t="shared" si="3"/>
        <v>-1659604.85</v>
      </c>
      <c r="AG41" s="92">
        <v>1386244.98</v>
      </c>
      <c r="AH41" s="91">
        <f t="shared" si="4"/>
        <v>0.1227795241539973</v>
      </c>
      <c r="AI41" s="294">
        <f t="shared" si="5"/>
        <v>-1187673.83</v>
      </c>
    </row>
    <row r="42" spans="1:35" x14ac:dyDescent="0.25">
      <c r="A42" s="6" t="s">
        <v>39</v>
      </c>
      <c r="B42" s="7"/>
      <c r="H42" s="15" t="s">
        <v>127</v>
      </c>
      <c r="I42" s="26" t="s">
        <v>1123</v>
      </c>
      <c r="J42" s="26" t="s">
        <v>78</v>
      </c>
      <c r="K42" s="26"/>
      <c r="L42" s="26">
        <v>402560</v>
      </c>
      <c r="M42" s="162"/>
      <c r="N42" s="26" t="s">
        <v>1130</v>
      </c>
      <c r="O42" s="89">
        <v>172756.18</v>
      </c>
      <c r="P42" s="273">
        <v>256475.68</v>
      </c>
      <c r="Q42" s="273">
        <v>376331.11</v>
      </c>
      <c r="R42" s="273">
        <v>304287.84999999998</v>
      </c>
      <c r="S42" s="273">
        <v>231485.9</v>
      </c>
      <c r="T42" s="273">
        <v>210889.32</v>
      </c>
      <c r="U42" s="273">
        <v>162973.60999999999</v>
      </c>
      <c r="V42" s="273">
        <v>76787.66</v>
      </c>
      <c r="W42" s="273">
        <v>89631.35</v>
      </c>
      <c r="X42" s="273">
        <v>128445.53</v>
      </c>
      <c r="Y42" s="273">
        <v>127089.2</v>
      </c>
      <c r="Z42" s="273">
        <v>204458.25</v>
      </c>
      <c r="AA42" s="273">
        <f t="shared" si="0"/>
        <v>2341611.64</v>
      </c>
      <c r="AB42" s="91">
        <f t="shared" si="1"/>
        <v>0.23874523169154727</v>
      </c>
      <c r="AD42" s="90">
        <v>1846184.6</v>
      </c>
      <c r="AE42" s="91">
        <f t="shared" si="2"/>
        <v>0.15862703391839014</v>
      </c>
      <c r="AF42" s="92">
        <f t="shared" si="3"/>
        <v>495427.04000000004</v>
      </c>
      <c r="AG42" s="92">
        <v>2094437</v>
      </c>
      <c r="AH42" s="91">
        <f t="shared" si="4"/>
        <v>0.1855039923971632</v>
      </c>
      <c r="AI42" s="294">
        <f t="shared" si="5"/>
        <v>247174.64000000013</v>
      </c>
    </row>
    <row r="43" spans="1:35" x14ac:dyDescent="0.25">
      <c r="A43" s="6" t="s">
        <v>40</v>
      </c>
      <c r="B43" s="7"/>
      <c r="H43" s="15" t="s">
        <v>128</v>
      </c>
      <c r="I43" s="26" t="s">
        <v>1123</v>
      </c>
      <c r="J43" s="26" t="s">
        <v>78</v>
      </c>
      <c r="K43" s="26"/>
      <c r="L43" s="26">
        <v>402600</v>
      </c>
      <c r="M43" s="162"/>
      <c r="N43" s="26" t="s">
        <v>1131</v>
      </c>
      <c r="O43" s="89"/>
      <c r="P43" s="273"/>
      <c r="Q43" s="273"/>
      <c r="R43" s="273"/>
      <c r="S43" s="273"/>
      <c r="T43" s="273"/>
      <c r="U43" s="273"/>
      <c r="V43" s="273"/>
      <c r="W43" s="273"/>
      <c r="X43" s="273"/>
      <c r="Y43" s="273"/>
      <c r="Z43" s="273"/>
      <c r="AA43" s="273">
        <f t="shared" si="0"/>
        <v>0</v>
      </c>
      <c r="AB43" s="91" t="str">
        <f t="shared" si="1"/>
        <v/>
      </c>
      <c r="AD43" s="90"/>
      <c r="AE43" s="91" t="str">
        <f t="shared" si="2"/>
        <v/>
      </c>
      <c r="AF43" s="92">
        <f t="shared" si="3"/>
        <v>0</v>
      </c>
      <c r="AG43" s="92"/>
      <c r="AH43" s="91" t="str">
        <f t="shared" si="4"/>
        <v/>
      </c>
      <c r="AI43" s="294">
        <f t="shared" si="5"/>
        <v>0</v>
      </c>
    </row>
    <row r="44" spans="1:35" x14ac:dyDescent="0.25">
      <c r="A44" s="6" t="s">
        <v>41</v>
      </c>
      <c r="B44" s="7"/>
      <c r="H44" s="15" t="s">
        <v>85</v>
      </c>
      <c r="I44" s="28" t="s">
        <v>1058</v>
      </c>
      <c r="J44" s="28" t="s">
        <v>78</v>
      </c>
      <c r="K44" s="119"/>
      <c r="L44" s="25"/>
      <c r="M44" s="162"/>
      <c r="N44" s="25" t="s">
        <v>1061</v>
      </c>
      <c r="O44" s="77">
        <v>29045.79</v>
      </c>
      <c r="P44" s="272">
        <v>34901.53</v>
      </c>
      <c r="Q44" s="272">
        <v>73753.33</v>
      </c>
      <c r="R44" s="272">
        <v>38470.370000000003</v>
      </c>
      <c r="S44" s="272">
        <v>16132.03</v>
      </c>
      <c r="T44" s="272">
        <v>32468.01</v>
      </c>
      <c r="U44" s="272">
        <v>18281.759999999998</v>
      </c>
      <c r="V44" s="272">
        <v>18980.04</v>
      </c>
      <c r="W44" s="272">
        <v>17393.57</v>
      </c>
      <c r="X44" s="272">
        <v>23218.3</v>
      </c>
      <c r="Y44" s="272">
        <v>34769.050000000003</v>
      </c>
      <c r="Z44" s="272">
        <v>28607.78</v>
      </c>
      <c r="AA44" s="272">
        <f t="shared" si="0"/>
        <v>366021.55999999994</v>
      </c>
      <c r="AB44" s="79">
        <f t="shared" si="1"/>
        <v>3.7318699930233325E-2</v>
      </c>
      <c r="AD44" s="78">
        <v>463149.29</v>
      </c>
      <c r="AE44" s="79">
        <f t="shared" si="2"/>
        <v>3.9794502745883753E-2</v>
      </c>
      <c r="AF44" s="80">
        <f t="shared" si="3"/>
        <v>-97127.73000000004</v>
      </c>
      <c r="AG44" s="80">
        <v>431690.63</v>
      </c>
      <c r="AH44" s="79">
        <f t="shared" si="4"/>
        <v>3.8234778771310186E-2</v>
      </c>
      <c r="AI44" s="293">
        <f t="shared" si="5"/>
        <v>-65669.070000000065</v>
      </c>
    </row>
    <row r="45" spans="1:35" x14ac:dyDescent="0.25">
      <c r="A45" s="6" t="s">
        <v>42</v>
      </c>
      <c r="B45" s="7"/>
      <c r="H45" s="15" t="s">
        <v>129</v>
      </c>
      <c r="I45" s="26" t="s">
        <v>1123</v>
      </c>
      <c r="J45" s="26" t="s">
        <v>78</v>
      </c>
      <c r="K45" s="26"/>
      <c r="L45" s="26">
        <v>402300</v>
      </c>
      <c r="M45" s="162"/>
      <c r="N45" s="26" t="s">
        <v>1132</v>
      </c>
      <c r="O45" s="89">
        <v>9207.7900000000009</v>
      </c>
      <c r="P45" s="273">
        <v>17933.95</v>
      </c>
      <c r="Q45" s="273">
        <v>23534.61</v>
      </c>
      <c r="R45" s="273">
        <v>15379.37</v>
      </c>
      <c r="S45" s="273">
        <v>2047.04</v>
      </c>
      <c r="T45" s="273">
        <v>6835.53</v>
      </c>
      <c r="U45" s="273">
        <v>8954.2800000000007</v>
      </c>
      <c r="V45" s="273">
        <v>5309.6</v>
      </c>
      <c r="W45" s="273">
        <v>6603.13</v>
      </c>
      <c r="X45" s="273">
        <v>7327.83</v>
      </c>
      <c r="Y45" s="273">
        <v>2492.9</v>
      </c>
      <c r="Z45" s="273">
        <v>6700.82</v>
      </c>
      <c r="AA45" s="273">
        <f t="shared" si="0"/>
        <v>112326.85</v>
      </c>
      <c r="AB45" s="91">
        <f t="shared" si="1"/>
        <v>1.1452582217447329E-2</v>
      </c>
      <c r="AD45" s="90">
        <v>52446.65</v>
      </c>
      <c r="AE45" s="91">
        <f t="shared" si="2"/>
        <v>4.506297218845795E-3</v>
      </c>
      <c r="AF45" s="92">
        <f t="shared" si="3"/>
        <v>59880.200000000004</v>
      </c>
      <c r="AG45" s="92">
        <v>84065.26</v>
      </c>
      <c r="AH45" s="91">
        <f t="shared" si="4"/>
        <v>7.4456483302699225E-3</v>
      </c>
      <c r="AI45" s="294">
        <f t="shared" si="5"/>
        <v>28261.590000000011</v>
      </c>
    </row>
    <row r="46" spans="1:35" x14ac:dyDescent="0.25">
      <c r="A46" s="6" t="s">
        <v>43</v>
      </c>
      <c r="B46" s="7"/>
      <c r="H46" s="15" t="s">
        <v>130</v>
      </c>
      <c r="I46" s="26" t="s">
        <v>1123</v>
      </c>
      <c r="J46" s="26" t="s">
        <v>78</v>
      </c>
      <c r="K46" s="26"/>
      <c r="L46" s="26">
        <v>402350</v>
      </c>
      <c r="M46" s="162"/>
      <c r="N46" s="26" t="s">
        <v>1133</v>
      </c>
      <c r="O46" s="89">
        <v>18382</v>
      </c>
      <c r="P46" s="273">
        <v>13804.58</v>
      </c>
      <c r="Q46" s="273">
        <v>26994.28</v>
      </c>
      <c r="R46" s="273">
        <v>16892.2</v>
      </c>
      <c r="S46" s="273">
        <v>7921.65</v>
      </c>
      <c r="T46" s="273">
        <v>7706.46</v>
      </c>
      <c r="U46" s="273">
        <v>2868.21</v>
      </c>
      <c r="V46" s="273">
        <v>10578.44</v>
      </c>
      <c r="W46" s="273">
        <v>8640.44</v>
      </c>
      <c r="X46" s="273">
        <v>13718.86</v>
      </c>
      <c r="Y46" s="273">
        <v>18065.439999999999</v>
      </c>
      <c r="Z46" s="273">
        <v>6481.96</v>
      </c>
      <c r="AA46" s="273">
        <f t="shared" si="0"/>
        <v>152054.51999999999</v>
      </c>
      <c r="AB46" s="91">
        <f t="shared" si="1"/>
        <v>1.5503122288522192E-2</v>
      </c>
      <c r="AD46" s="90">
        <v>165469.07999999999</v>
      </c>
      <c r="AE46" s="91">
        <f t="shared" si="2"/>
        <v>1.4217359068862782E-2</v>
      </c>
      <c r="AF46" s="92">
        <f t="shared" si="3"/>
        <v>-13414.559999999998</v>
      </c>
      <c r="AG46" s="92">
        <v>137876.87</v>
      </c>
      <c r="AH46" s="91">
        <f t="shared" si="4"/>
        <v>1.2211735107919054E-2</v>
      </c>
      <c r="AI46" s="294">
        <f t="shared" si="5"/>
        <v>14177.649999999994</v>
      </c>
    </row>
    <row r="47" spans="1:35" x14ac:dyDescent="0.25">
      <c r="A47" s="6" t="s">
        <v>44</v>
      </c>
      <c r="B47" s="7"/>
      <c r="H47" s="15" t="s">
        <v>131</v>
      </c>
      <c r="I47" s="26" t="s">
        <v>1123</v>
      </c>
      <c r="J47" s="26" t="s">
        <v>78</v>
      </c>
      <c r="K47" s="26"/>
      <c r="L47" s="26">
        <v>402400</v>
      </c>
      <c r="M47" s="162"/>
      <c r="N47" s="26" t="s">
        <v>1134</v>
      </c>
      <c r="O47" s="89">
        <v>1456</v>
      </c>
      <c r="P47" s="273">
        <v>3163</v>
      </c>
      <c r="Q47" s="273">
        <v>23224.44</v>
      </c>
      <c r="R47" s="273">
        <v>6198.8</v>
      </c>
      <c r="S47" s="273">
        <v>6163.34</v>
      </c>
      <c r="T47" s="273">
        <v>17926.02</v>
      </c>
      <c r="U47" s="273">
        <v>6459.27</v>
      </c>
      <c r="V47" s="273">
        <v>3092</v>
      </c>
      <c r="W47" s="273">
        <v>2150</v>
      </c>
      <c r="X47" s="273">
        <v>2171.61</v>
      </c>
      <c r="Y47" s="273">
        <v>14210.71</v>
      </c>
      <c r="Z47" s="273">
        <v>15425</v>
      </c>
      <c r="AA47" s="273">
        <f t="shared" si="0"/>
        <v>101640.19</v>
      </c>
      <c r="AB47" s="91">
        <f t="shared" si="1"/>
        <v>1.0362995424263813E-2</v>
      </c>
      <c r="AD47" s="90">
        <v>245233.56</v>
      </c>
      <c r="AE47" s="91">
        <f t="shared" si="2"/>
        <v>2.1070846458175179E-2</v>
      </c>
      <c r="AF47" s="92">
        <f t="shared" si="3"/>
        <v>-143593.37</v>
      </c>
      <c r="AG47" s="92">
        <v>209748.5</v>
      </c>
      <c r="AH47" s="91">
        <f t="shared" si="4"/>
        <v>1.8577395333121208E-2</v>
      </c>
      <c r="AI47" s="294">
        <f t="shared" si="5"/>
        <v>-108108.31</v>
      </c>
    </row>
    <row r="48" spans="1:35" x14ac:dyDescent="0.25">
      <c r="A48" s="6" t="s">
        <v>45</v>
      </c>
      <c r="B48" s="7"/>
      <c r="H48" s="15" t="s">
        <v>86</v>
      </c>
      <c r="I48" s="28" t="s">
        <v>1058</v>
      </c>
      <c r="J48" s="28" t="s">
        <v>78</v>
      </c>
      <c r="K48" s="119"/>
      <c r="L48" s="25"/>
      <c r="M48" s="162"/>
      <c r="N48" s="25" t="s">
        <v>1062</v>
      </c>
      <c r="O48" s="77">
        <v>12897.45</v>
      </c>
      <c r="P48" s="272">
        <v>13772.79</v>
      </c>
      <c r="Q48" s="272">
        <v>19137.62</v>
      </c>
      <c r="R48" s="272">
        <v>19722.97</v>
      </c>
      <c r="S48" s="272">
        <v>6273.83</v>
      </c>
      <c r="T48" s="272">
        <v>9065.98</v>
      </c>
      <c r="U48" s="272">
        <v>19315.46</v>
      </c>
      <c r="V48" s="272">
        <v>17526.02</v>
      </c>
      <c r="W48" s="272">
        <v>11783.75</v>
      </c>
      <c r="X48" s="272">
        <v>14355.46</v>
      </c>
      <c r="Y48" s="272">
        <v>21457.599999999999</v>
      </c>
      <c r="Z48" s="272">
        <v>12188.2</v>
      </c>
      <c r="AA48" s="272">
        <f t="shared" si="0"/>
        <v>177497.13000000003</v>
      </c>
      <c r="AB48" s="79">
        <f t="shared" si="1"/>
        <v>1.809719114072848E-2</v>
      </c>
      <c r="AD48" s="78">
        <v>280730.15999999997</v>
      </c>
      <c r="AE48" s="79">
        <f t="shared" si="2"/>
        <v>2.412076918648064E-2</v>
      </c>
      <c r="AF48" s="80">
        <f t="shared" si="3"/>
        <v>-103233.02999999994</v>
      </c>
      <c r="AG48" s="80">
        <v>170733.47</v>
      </c>
      <c r="AH48" s="79">
        <f t="shared" si="4"/>
        <v>1.5121839578283468E-2</v>
      </c>
      <c r="AI48" s="293">
        <f t="shared" si="5"/>
        <v>6763.6600000000326</v>
      </c>
    </row>
    <row r="49" spans="1:35" x14ac:dyDescent="0.25">
      <c r="A49" s="6" t="s">
        <v>46</v>
      </c>
      <c r="B49" s="7"/>
      <c r="H49" s="15" t="s">
        <v>132</v>
      </c>
      <c r="I49" s="26" t="s">
        <v>1123</v>
      </c>
      <c r="J49" s="26" t="s">
        <v>78</v>
      </c>
      <c r="K49" s="26"/>
      <c r="L49" s="26">
        <v>402700</v>
      </c>
      <c r="M49" s="162"/>
      <c r="N49" s="26" t="s">
        <v>1062</v>
      </c>
      <c r="O49" s="89">
        <v>7737.45</v>
      </c>
      <c r="P49" s="273">
        <v>9472.7900000000009</v>
      </c>
      <c r="Q49" s="273">
        <v>16557.62</v>
      </c>
      <c r="R49" s="273">
        <v>17608.97</v>
      </c>
      <c r="S49" s="273">
        <v>4008.83</v>
      </c>
      <c r="T49" s="273">
        <v>8071.98</v>
      </c>
      <c r="U49" s="273">
        <v>16759.46</v>
      </c>
      <c r="V49" s="273">
        <v>17100.02</v>
      </c>
      <c r="W49" s="273">
        <v>11499.75</v>
      </c>
      <c r="X49" s="273">
        <v>13172.46</v>
      </c>
      <c r="Y49" s="273">
        <v>14697.6</v>
      </c>
      <c r="Z49" s="273">
        <v>9823.2000000000007</v>
      </c>
      <c r="AA49" s="273">
        <f t="shared" si="0"/>
        <v>146510.13000000003</v>
      </c>
      <c r="AB49" s="91">
        <f t="shared" si="1"/>
        <v>1.4937829285819878E-2</v>
      </c>
      <c r="AD49" s="90">
        <v>244874.16</v>
      </c>
      <c r="AE49" s="91">
        <f t="shared" si="2"/>
        <v>2.1039966254759838E-2</v>
      </c>
      <c r="AF49" s="92">
        <f t="shared" si="3"/>
        <v>-98364.02999999997</v>
      </c>
      <c r="AG49" s="92">
        <v>158194.47</v>
      </c>
      <c r="AH49" s="91">
        <f t="shared" si="4"/>
        <v>1.4011262100580376E-2</v>
      </c>
      <c r="AI49" s="294">
        <f t="shared" si="5"/>
        <v>-11684.339999999967</v>
      </c>
    </row>
    <row r="50" spans="1:35" x14ac:dyDescent="0.25">
      <c r="H50" s="15" t="s">
        <v>133</v>
      </c>
      <c r="I50" s="26" t="s">
        <v>1123</v>
      </c>
      <c r="J50" s="26" t="s">
        <v>78</v>
      </c>
      <c r="K50" s="26"/>
      <c r="L50" s="26">
        <v>402730</v>
      </c>
      <c r="M50" s="162"/>
      <c r="N50" s="26" t="s">
        <v>1069</v>
      </c>
      <c r="O50" s="89">
        <v>5160</v>
      </c>
      <c r="P50" s="273">
        <v>4300</v>
      </c>
      <c r="Q50" s="273">
        <v>2580</v>
      </c>
      <c r="R50" s="273">
        <v>2114</v>
      </c>
      <c r="S50" s="273">
        <v>2265</v>
      </c>
      <c r="T50" s="273">
        <v>994</v>
      </c>
      <c r="U50" s="273">
        <v>2556</v>
      </c>
      <c r="V50" s="273">
        <v>426</v>
      </c>
      <c r="W50" s="273">
        <v>284</v>
      </c>
      <c r="X50" s="273">
        <v>1183</v>
      </c>
      <c r="Y50" s="273">
        <v>6760</v>
      </c>
      <c r="Z50" s="273">
        <v>2365</v>
      </c>
      <c r="AA50" s="273">
        <f t="shared" si="0"/>
        <v>30987</v>
      </c>
      <c r="AB50" s="91">
        <f t="shared" si="1"/>
        <v>3.1593618549086025E-3</v>
      </c>
      <c r="AD50" s="90">
        <v>35856</v>
      </c>
      <c r="AE50" s="91">
        <f t="shared" si="2"/>
        <v>3.0808029317208022E-3</v>
      </c>
      <c r="AF50" s="92">
        <f t="shared" si="3"/>
        <v>-4869</v>
      </c>
      <c r="AG50" s="92">
        <v>12539</v>
      </c>
      <c r="AH50" s="91">
        <f t="shared" si="4"/>
        <v>1.1105774777030912E-3</v>
      </c>
      <c r="AI50" s="294">
        <f t="shared" si="5"/>
        <v>18448</v>
      </c>
    </row>
    <row r="51" spans="1:35" x14ac:dyDescent="0.25">
      <c r="H51" s="15" t="s">
        <v>65</v>
      </c>
      <c r="I51" s="28" t="s">
        <v>1058</v>
      </c>
      <c r="J51" s="28" t="s">
        <v>78</v>
      </c>
      <c r="K51" s="119"/>
      <c r="L51" s="25">
        <v>402200</v>
      </c>
      <c r="M51" s="162"/>
      <c r="N51" s="25" t="s">
        <v>1063</v>
      </c>
      <c r="O51" s="85">
        <v>28182.16</v>
      </c>
      <c r="P51" s="274">
        <v>15615.17</v>
      </c>
      <c r="Q51" s="274">
        <v>86710.27</v>
      </c>
      <c r="R51" s="274">
        <v>85758.27</v>
      </c>
      <c r="S51" s="274">
        <v>50316.57</v>
      </c>
      <c r="T51" s="274">
        <v>62175.48</v>
      </c>
      <c r="U51" s="274">
        <v>58692.39</v>
      </c>
      <c r="V51" s="274">
        <v>59986.87</v>
      </c>
      <c r="W51" s="274">
        <v>27140.560000000001</v>
      </c>
      <c r="X51" s="274">
        <v>32925.74</v>
      </c>
      <c r="Y51" s="274">
        <v>40050.120000000003</v>
      </c>
      <c r="Z51" s="274">
        <v>71125.86</v>
      </c>
      <c r="AA51" s="274">
        <f t="shared" si="0"/>
        <v>618679.46</v>
      </c>
      <c r="AB51" s="87">
        <f t="shared" si="1"/>
        <v>6.3079106926758069E-2</v>
      </c>
      <c r="AD51" s="86">
        <v>621721</v>
      </c>
      <c r="AE51" s="87">
        <f t="shared" si="2"/>
        <v>5.3419229125178179E-2</v>
      </c>
      <c r="AF51" s="88">
        <f t="shared" si="3"/>
        <v>-3041.5400000000373</v>
      </c>
      <c r="AG51" s="88">
        <v>468968.04</v>
      </c>
      <c r="AH51" s="87">
        <f t="shared" si="4"/>
        <v>4.1536433765576392E-2</v>
      </c>
      <c r="AI51" s="295">
        <f t="shared" si="5"/>
        <v>149711.41999999998</v>
      </c>
    </row>
    <row r="52" spans="1:35" x14ac:dyDescent="0.25">
      <c r="H52" s="15" t="s">
        <v>66</v>
      </c>
      <c r="I52" s="28" t="s">
        <v>1064</v>
      </c>
      <c r="J52" s="28" t="s">
        <v>78</v>
      </c>
      <c r="K52" s="119"/>
      <c r="L52" s="25">
        <v>402000</v>
      </c>
      <c r="M52" s="162"/>
      <c r="N52" s="25" t="s">
        <v>1065</v>
      </c>
      <c r="O52" s="153">
        <v>874038.46</v>
      </c>
      <c r="P52" s="275">
        <v>1009220.73</v>
      </c>
      <c r="Q52" s="275">
        <v>1041620.27</v>
      </c>
      <c r="R52" s="275">
        <v>842415.3</v>
      </c>
      <c r="S52" s="275">
        <v>640111.80000000005</v>
      </c>
      <c r="T52" s="275">
        <v>567405.57999999996</v>
      </c>
      <c r="U52" s="275">
        <v>615850.23</v>
      </c>
      <c r="V52" s="275">
        <v>485242.81</v>
      </c>
      <c r="W52" s="275">
        <v>413503.8</v>
      </c>
      <c r="X52" s="275">
        <v>531187.31999999995</v>
      </c>
      <c r="Y52" s="275">
        <v>544075.18999999994</v>
      </c>
      <c r="Z52" s="275">
        <v>930675.02</v>
      </c>
      <c r="AA52" s="275">
        <f t="shared" si="0"/>
        <v>8495346.5099999979</v>
      </c>
      <c r="AB52" s="154">
        <f t="shared" si="1"/>
        <v>0.86616560841400958</v>
      </c>
      <c r="AD52" s="155">
        <v>9982102.0500000007</v>
      </c>
      <c r="AE52" s="154">
        <f t="shared" si="2"/>
        <v>0.85767763443708811</v>
      </c>
      <c r="AF52" s="156">
        <f t="shared" si="3"/>
        <v>-1486755.5400000028</v>
      </c>
      <c r="AG52" s="156">
        <v>9909844.4399999995</v>
      </c>
      <c r="AH52" s="154">
        <f t="shared" si="4"/>
        <v>0.87771353717243816</v>
      </c>
      <c r="AI52" s="296">
        <f t="shared" si="5"/>
        <v>-1414497.9300000016</v>
      </c>
    </row>
    <row r="53" spans="1:35" x14ac:dyDescent="0.25">
      <c r="H53" s="15" t="s">
        <v>175</v>
      </c>
      <c r="I53" s="28" t="s">
        <v>1011</v>
      </c>
      <c r="J53" s="28" t="s">
        <v>78</v>
      </c>
      <c r="K53" s="119"/>
      <c r="L53" s="25"/>
      <c r="M53" s="162"/>
      <c r="N53" s="25" t="s">
        <v>175</v>
      </c>
      <c r="O53" s="81"/>
      <c r="P53" s="276"/>
      <c r="Q53" s="276"/>
      <c r="R53" s="276"/>
      <c r="S53" s="276"/>
      <c r="T53" s="276"/>
      <c r="U53" s="276"/>
      <c r="V53" s="276"/>
      <c r="W53" s="276"/>
      <c r="X53" s="276"/>
      <c r="Y53" s="276"/>
      <c r="Z53" s="276"/>
      <c r="AA53" s="276"/>
      <c r="AB53" s="83" t="str">
        <f t="shared" si="1"/>
        <v/>
      </c>
      <c r="AD53" s="82"/>
      <c r="AE53" s="83" t="str">
        <f t="shared" si="2"/>
        <v/>
      </c>
      <c r="AF53" s="84" t="str">
        <f t="shared" si="3"/>
        <v/>
      </c>
      <c r="AG53" s="84"/>
      <c r="AH53" s="83" t="str">
        <f t="shared" si="4"/>
        <v/>
      </c>
      <c r="AI53" s="297" t="str">
        <f t="shared" si="5"/>
        <v/>
      </c>
    </row>
    <row r="54" spans="1:35" x14ac:dyDescent="0.25">
      <c r="H54" s="15" t="s">
        <v>87</v>
      </c>
      <c r="I54" s="28" t="s">
        <v>1058</v>
      </c>
      <c r="J54" s="28" t="s">
        <v>78</v>
      </c>
      <c r="K54" s="119"/>
      <c r="L54" s="25"/>
      <c r="M54" s="162"/>
      <c r="N54" s="25" t="s">
        <v>1067</v>
      </c>
      <c r="O54" s="77">
        <v>188372</v>
      </c>
      <c r="P54" s="272">
        <v>185434.97</v>
      </c>
      <c r="Q54" s="272">
        <v>118614.47</v>
      </c>
      <c r="R54" s="272">
        <v>44425.82</v>
      </c>
      <c r="S54" s="272">
        <v>176450.39</v>
      </c>
      <c r="T54" s="272">
        <v>16615</v>
      </c>
      <c r="U54" s="272">
        <v>2067</v>
      </c>
      <c r="V54" s="272">
        <v>3549</v>
      </c>
      <c r="W54" s="272">
        <v>5699</v>
      </c>
      <c r="X54" s="272">
        <v>46527.3</v>
      </c>
      <c r="Y54" s="272">
        <v>92828.82</v>
      </c>
      <c r="Z54" s="272">
        <v>201989</v>
      </c>
      <c r="AA54" s="272">
        <f t="shared" ref="AA54:AA69" si="6">SUM(O54:Z54)</f>
        <v>1082572.77</v>
      </c>
      <c r="AB54" s="79">
        <f t="shared" si="1"/>
        <v>0.11037658097591713</v>
      </c>
      <c r="AD54" s="78">
        <v>1330422.3</v>
      </c>
      <c r="AE54" s="79">
        <f t="shared" si="2"/>
        <v>0.1143119400453685</v>
      </c>
      <c r="AF54" s="80">
        <f t="shared" si="3"/>
        <v>-247849.53000000003</v>
      </c>
      <c r="AG54" s="80">
        <v>1152221.83</v>
      </c>
      <c r="AH54" s="79">
        <f t="shared" si="4"/>
        <v>0.10205212646270358</v>
      </c>
      <c r="AI54" s="293">
        <f t="shared" si="5"/>
        <v>-69649.060000000056</v>
      </c>
    </row>
    <row r="55" spans="1:35" x14ac:dyDescent="0.25">
      <c r="H55" s="15" t="s">
        <v>134</v>
      </c>
      <c r="I55" s="26" t="s">
        <v>1123</v>
      </c>
      <c r="J55" s="26" t="s">
        <v>78</v>
      </c>
      <c r="K55" s="26"/>
      <c r="L55" s="26">
        <v>401100</v>
      </c>
      <c r="M55" s="162"/>
      <c r="N55" s="26" t="s">
        <v>1067</v>
      </c>
      <c r="O55" s="89">
        <v>181224</v>
      </c>
      <c r="P55" s="273">
        <v>99637</v>
      </c>
      <c r="Q55" s="273">
        <v>59051.46</v>
      </c>
      <c r="R55" s="273">
        <v>32714.82</v>
      </c>
      <c r="S55" s="273">
        <v>176450.39</v>
      </c>
      <c r="T55" s="273">
        <v>10446</v>
      </c>
      <c r="U55" s="273">
        <v>2067</v>
      </c>
      <c r="V55" s="273"/>
      <c r="W55" s="273">
        <v>5699</v>
      </c>
      <c r="X55" s="273">
        <v>46527.3</v>
      </c>
      <c r="Y55" s="273">
        <v>92828.82</v>
      </c>
      <c r="Z55" s="273">
        <v>185438</v>
      </c>
      <c r="AA55" s="273">
        <f t="shared" si="6"/>
        <v>892083.79</v>
      </c>
      <c r="AB55" s="91">
        <f t="shared" si="1"/>
        <v>9.0954771275318563E-2</v>
      </c>
      <c r="AD55" s="90">
        <v>887485.12</v>
      </c>
      <c r="AE55" s="91">
        <f t="shared" si="2"/>
        <v>7.6254093026399711E-2</v>
      </c>
      <c r="AF55" s="92">
        <f t="shared" si="3"/>
        <v>4598.6700000000419</v>
      </c>
      <c r="AG55" s="92">
        <v>740337.83</v>
      </c>
      <c r="AH55" s="91">
        <f t="shared" si="4"/>
        <v>6.55716181425616E-2</v>
      </c>
      <c r="AI55" s="294">
        <f t="shared" si="5"/>
        <v>151745.96000000008</v>
      </c>
    </row>
    <row r="56" spans="1:35" x14ac:dyDescent="0.25">
      <c r="G56" s="14"/>
      <c r="H56" s="15" t="s">
        <v>135</v>
      </c>
      <c r="I56" s="26" t="s">
        <v>1123</v>
      </c>
      <c r="J56" s="26" t="s">
        <v>78</v>
      </c>
      <c r="K56" s="26"/>
      <c r="L56" s="26">
        <v>401500</v>
      </c>
      <c r="M56" s="162"/>
      <c r="N56" s="26" t="s">
        <v>1135</v>
      </c>
      <c r="O56" s="89">
        <v>7148</v>
      </c>
      <c r="P56" s="273">
        <v>85797.97</v>
      </c>
      <c r="Q56" s="273">
        <v>59563.01</v>
      </c>
      <c r="R56" s="273">
        <v>11711</v>
      </c>
      <c r="S56" s="273"/>
      <c r="T56" s="273">
        <v>6169</v>
      </c>
      <c r="U56" s="273"/>
      <c r="V56" s="273">
        <v>3549</v>
      </c>
      <c r="W56" s="273"/>
      <c r="X56" s="273"/>
      <c r="Y56" s="273"/>
      <c r="Z56" s="273">
        <v>16551</v>
      </c>
      <c r="AA56" s="273">
        <f t="shared" si="6"/>
        <v>190488.98</v>
      </c>
      <c r="AB56" s="91">
        <f t="shared" si="1"/>
        <v>1.9421809700598563E-2</v>
      </c>
      <c r="AD56" s="90">
        <v>442937.18</v>
      </c>
      <c r="AE56" s="91">
        <f t="shared" si="2"/>
        <v>3.8057847018968784E-2</v>
      </c>
      <c r="AF56" s="92">
        <f t="shared" si="3"/>
        <v>-252448.19999999998</v>
      </c>
      <c r="AG56" s="92">
        <v>411884</v>
      </c>
      <c r="AH56" s="91">
        <f t="shared" si="4"/>
        <v>3.6480508320141956E-2</v>
      </c>
      <c r="AI56" s="294">
        <f t="shared" si="5"/>
        <v>-221395.02</v>
      </c>
    </row>
    <row r="57" spans="1:35" x14ac:dyDescent="0.25">
      <c r="H57" s="15" t="s">
        <v>88</v>
      </c>
      <c r="I57" s="28" t="s">
        <v>1058</v>
      </c>
      <c r="J57" s="28" t="s">
        <v>78</v>
      </c>
      <c r="K57" s="119"/>
      <c r="L57" s="25"/>
      <c r="M57" s="162"/>
      <c r="N57" s="25" t="s">
        <v>1068</v>
      </c>
      <c r="O57" s="77"/>
      <c r="P57" s="272"/>
      <c r="Q57" s="272"/>
      <c r="R57" s="272">
        <v>5133</v>
      </c>
      <c r="S57" s="272"/>
      <c r="T57" s="272">
        <v>32469</v>
      </c>
      <c r="U57" s="272">
        <v>0.06</v>
      </c>
      <c r="V57" s="272">
        <v>0.1</v>
      </c>
      <c r="W57" s="272">
        <v>0.04</v>
      </c>
      <c r="X57" s="272">
        <v>0.2</v>
      </c>
      <c r="Y57" s="272">
        <v>498.29</v>
      </c>
      <c r="Z57" s="272">
        <v>0.26</v>
      </c>
      <c r="AA57" s="272">
        <f t="shared" si="6"/>
        <v>38100.949999999997</v>
      </c>
      <c r="AB57" s="79">
        <f t="shared" si="1"/>
        <v>3.8846835145635236E-3</v>
      </c>
      <c r="AD57" s="78">
        <v>147592.14000000001</v>
      </c>
      <c r="AE57" s="79">
        <f t="shared" si="2"/>
        <v>1.2681344757110306E-2</v>
      </c>
      <c r="AF57" s="80">
        <f t="shared" si="3"/>
        <v>-109491.19000000002</v>
      </c>
      <c r="AG57" s="80">
        <v>70104</v>
      </c>
      <c r="AH57" s="79">
        <f t="shared" si="4"/>
        <v>6.2091014831244526E-3</v>
      </c>
      <c r="AI57" s="293">
        <f t="shared" si="5"/>
        <v>-32003.050000000003</v>
      </c>
    </row>
    <row r="58" spans="1:35" x14ac:dyDescent="0.25">
      <c r="H58" s="15" t="s">
        <v>136</v>
      </c>
      <c r="I58" s="26" t="s">
        <v>1123</v>
      </c>
      <c r="J58" s="26" t="s">
        <v>78</v>
      </c>
      <c r="K58" s="26"/>
      <c r="L58" s="26">
        <v>401400</v>
      </c>
      <c r="M58" s="162"/>
      <c r="N58" s="26" t="s">
        <v>1136</v>
      </c>
      <c r="O58" s="89"/>
      <c r="P58" s="273"/>
      <c r="Q58" s="273"/>
      <c r="R58" s="273"/>
      <c r="S58" s="273"/>
      <c r="T58" s="273">
        <v>12473</v>
      </c>
      <c r="U58" s="273">
        <v>0.06</v>
      </c>
      <c r="V58" s="273">
        <v>0.1</v>
      </c>
      <c r="W58" s="273">
        <v>0.04</v>
      </c>
      <c r="X58" s="273">
        <v>0.2</v>
      </c>
      <c r="Y58" s="273">
        <v>498.29</v>
      </c>
      <c r="Z58" s="273">
        <v>0.26</v>
      </c>
      <c r="AA58" s="273">
        <f t="shared" si="6"/>
        <v>12971.950000000003</v>
      </c>
      <c r="AB58" s="91">
        <f t="shared" si="1"/>
        <v>1.3225896025359555E-3</v>
      </c>
      <c r="AD58" s="90">
        <v>122319.34</v>
      </c>
      <c r="AE58" s="91">
        <f t="shared" si="2"/>
        <v>1.0509866724624988E-2</v>
      </c>
      <c r="AF58" s="92">
        <f t="shared" si="3"/>
        <v>-109347.39</v>
      </c>
      <c r="AG58" s="92">
        <v>47353</v>
      </c>
      <c r="AH58" s="91">
        <f t="shared" si="4"/>
        <v>4.1940485925252794E-3</v>
      </c>
      <c r="AI58" s="294">
        <f t="shared" si="5"/>
        <v>-34381.049999999996</v>
      </c>
    </row>
    <row r="59" spans="1:35" x14ac:dyDescent="0.25">
      <c r="H59" s="15" t="s">
        <v>137</v>
      </c>
      <c r="I59" s="26" t="s">
        <v>1123</v>
      </c>
      <c r="J59" s="26" t="s">
        <v>78</v>
      </c>
      <c r="K59" s="26"/>
      <c r="L59" s="26">
        <v>401600</v>
      </c>
      <c r="M59" s="162"/>
      <c r="N59" s="26" t="s">
        <v>1137</v>
      </c>
      <c r="O59" s="89"/>
      <c r="P59" s="273"/>
      <c r="Q59" s="273"/>
      <c r="R59" s="273">
        <v>5133</v>
      </c>
      <c r="S59" s="273"/>
      <c r="T59" s="273">
        <v>19996</v>
      </c>
      <c r="U59" s="273"/>
      <c r="V59" s="273"/>
      <c r="W59" s="273"/>
      <c r="X59" s="273"/>
      <c r="Y59" s="273"/>
      <c r="Z59" s="273"/>
      <c r="AA59" s="273">
        <f t="shared" si="6"/>
        <v>25129</v>
      </c>
      <c r="AB59" s="91">
        <f t="shared" si="1"/>
        <v>2.5620939120275686E-3</v>
      </c>
      <c r="AD59" s="90">
        <v>25272.799999999999</v>
      </c>
      <c r="AE59" s="91">
        <f t="shared" si="2"/>
        <v>2.1714780324853158E-3</v>
      </c>
      <c r="AF59" s="92">
        <f t="shared" si="3"/>
        <v>-143.79999999999927</v>
      </c>
      <c r="AG59" s="92">
        <v>22751</v>
      </c>
      <c r="AH59" s="91">
        <f t="shared" si="4"/>
        <v>2.0150528905991728E-3</v>
      </c>
      <c r="AI59" s="294">
        <f t="shared" si="5"/>
        <v>2378</v>
      </c>
    </row>
    <row r="60" spans="1:35" x14ac:dyDescent="0.25">
      <c r="H60" s="15" t="s">
        <v>89</v>
      </c>
      <c r="I60" s="28" t="s">
        <v>1058</v>
      </c>
      <c r="J60" s="28" t="s">
        <v>78</v>
      </c>
      <c r="K60" s="119"/>
      <c r="L60" s="25">
        <v>401800</v>
      </c>
      <c r="M60" s="162"/>
      <c r="N60" s="25" t="s">
        <v>1069</v>
      </c>
      <c r="O60" s="77"/>
      <c r="P60" s="272"/>
      <c r="Q60" s="272"/>
      <c r="R60" s="272"/>
      <c r="S60" s="272"/>
      <c r="T60" s="272"/>
      <c r="U60" s="272"/>
      <c r="V60" s="272"/>
      <c r="W60" s="272"/>
      <c r="X60" s="272"/>
      <c r="Y60" s="272"/>
      <c r="Z60" s="272"/>
      <c r="AA60" s="272">
        <f t="shared" si="6"/>
        <v>0</v>
      </c>
      <c r="AB60" s="79" t="str">
        <f t="shared" si="1"/>
        <v/>
      </c>
      <c r="AD60" s="78"/>
      <c r="AE60" s="79" t="str">
        <f t="shared" si="2"/>
        <v/>
      </c>
      <c r="AF60" s="80">
        <f t="shared" si="3"/>
        <v>0</v>
      </c>
      <c r="AG60" s="80"/>
      <c r="AH60" s="79" t="str">
        <f t="shared" si="4"/>
        <v/>
      </c>
      <c r="AI60" s="293">
        <f t="shared" si="5"/>
        <v>0</v>
      </c>
    </row>
    <row r="61" spans="1:35" x14ac:dyDescent="0.25">
      <c r="H61" s="15" t="s">
        <v>90</v>
      </c>
      <c r="I61" s="28" t="s">
        <v>1058</v>
      </c>
      <c r="J61" s="28" t="s">
        <v>78</v>
      </c>
      <c r="K61" s="119"/>
      <c r="L61" s="25"/>
      <c r="M61" s="162"/>
      <c r="N61" s="25" t="s">
        <v>1070</v>
      </c>
      <c r="O61" s="77"/>
      <c r="P61" s="272"/>
      <c r="Q61" s="272"/>
      <c r="R61" s="272"/>
      <c r="S61" s="272"/>
      <c r="T61" s="272"/>
      <c r="U61" s="272"/>
      <c r="V61" s="272"/>
      <c r="W61" s="272"/>
      <c r="X61" s="272"/>
      <c r="Y61" s="272"/>
      <c r="Z61" s="272"/>
      <c r="AA61" s="272">
        <f t="shared" si="6"/>
        <v>0</v>
      </c>
      <c r="AB61" s="79" t="str">
        <f t="shared" si="1"/>
        <v/>
      </c>
      <c r="AD61" s="78"/>
      <c r="AE61" s="79" t="str">
        <f t="shared" si="2"/>
        <v/>
      </c>
      <c r="AF61" s="80">
        <f t="shared" si="3"/>
        <v>0</v>
      </c>
      <c r="AG61" s="80"/>
      <c r="AH61" s="79" t="str">
        <f t="shared" si="4"/>
        <v/>
      </c>
      <c r="AI61" s="293">
        <f t="shared" si="5"/>
        <v>0</v>
      </c>
    </row>
    <row r="62" spans="1:35" x14ac:dyDescent="0.25">
      <c r="H62" s="15" t="s">
        <v>138</v>
      </c>
      <c r="I62" s="26" t="s">
        <v>1123</v>
      </c>
      <c r="J62" s="26" t="s">
        <v>78</v>
      </c>
      <c r="K62" s="26"/>
      <c r="L62" s="26">
        <v>401300</v>
      </c>
      <c r="M62" s="162"/>
      <c r="N62" s="26" t="s">
        <v>1138</v>
      </c>
      <c r="O62" s="89"/>
      <c r="P62" s="273"/>
      <c r="Q62" s="273"/>
      <c r="R62" s="273"/>
      <c r="S62" s="273"/>
      <c r="T62" s="273"/>
      <c r="U62" s="273"/>
      <c r="V62" s="273"/>
      <c r="W62" s="273"/>
      <c r="X62" s="273"/>
      <c r="Y62" s="273"/>
      <c r="Z62" s="273"/>
      <c r="AA62" s="273">
        <f t="shared" si="6"/>
        <v>0</v>
      </c>
      <c r="AB62" s="91" t="str">
        <f t="shared" si="1"/>
        <v/>
      </c>
      <c r="AD62" s="90"/>
      <c r="AE62" s="91" t="str">
        <f t="shared" si="2"/>
        <v/>
      </c>
      <c r="AF62" s="92">
        <f t="shared" si="3"/>
        <v>0</v>
      </c>
      <c r="AG62" s="92"/>
      <c r="AH62" s="91" t="str">
        <f t="shared" si="4"/>
        <v/>
      </c>
      <c r="AI62" s="294">
        <f t="shared" si="5"/>
        <v>0</v>
      </c>
    </row>
    <row r="63" spans="1:35" x14ac:dyDescent="0.25">
      <c r="H63" s="15" t="s">
        <v>139</v>
      </c>
      <c r="I63" s="26" t="s">
        <v>1123</v>
      </c>
      <c r="J63" s="26" t="s">
        <v>78</v>
      </c>
      <c r="K63" s="26"/>
      <c r="L63" s="26">
        <v>401330</v>
      </c>
      <c r="M63" s="162"/>
      <c r="N63" s="26" t="s">
        <v>1139</v>
      </c>
      <c r="O63" s="89"/>
      <c r="P63" s="273"/>
      <c r="Q63" s="273"/>
      <c r="R63" s="273"/>
      <c r="S63" s="273"/>
      <c r="T63" s="273"/>
      <c r="U63" s="273"/>
      <c r="V63" s="273"/>
      <c r="W63" s="273"/>
      <c r="X63" s="273"/>
      <c r="Y63" s="273"/>
      <c r="Z63" s="273"/>
      <c r="AA63" s="273">
        <f t="shared" si="6"/>
        <v>0</v>
      </c>
      <c r="AB63" s="91" t="str">
        <f t="shared" si="1"/>
        <v/>
      </c>
      <c r="AD63" s="90"/>
      <c r="AE63" s="91" t="str">
        <f t="shared" si="2"/>
        <v/>
      </c>
      <c r="AF63" s="92">
        <f t="shared" si="3"/>
        <v>0</v>
      </c>
      <c r="AG63" s="92"/>
      <c r="AH63" s="91" t="str">
        <f t="shared" si="4"/>
        <v/>
      </c>
      <c r="AI63" s="294">
        <f t="shared" si="5"/>
        <v>0</v>
      </c>
    </row>
    <row r="64" spans="1:35" x14ac:dyDescent="0.25">
      <c r="H64" s="15" t="s">
        <v>68</v>
      </c>
      <c r="I64" s="28" t="s">
        <v>1058</v>
      </c>
      <c r="J64" s="28" t="s">
        <v>78</v>
      </c>
      <c r="K64" s="119"/>
      <c r="L64" s="25">
        <v>401200</v>
      </c>
      <c r="M64" s="162"/>
      <c r="N64" s="25" t="s">
        <v>1071</v>
      </c>
      <c r="O64" s="85">
        <v>20190</v>
      </c>
      <c r="P64" s="274">
        <v>1914</v>
      </c>
      <c r="Q64" s="274"/>
      <c r="R64" s="274">
        <v>3237</v>
      </c>
      <c r="S64" s="274"/>
      <c r="T64" s="274">
        <v>11405</v>
      </c>
      <c r="U64" s="274"/>
      <c r="V64" s="274">
        <v>6416</v>
      </c>
      <c r="W64" s="274">
        <v>5936</v>
      </c>
      <c r="X64" s="274">
        <v>1611</v>
      </c>
      <c r="Y64" s="274">
        <v>23431.68</v>
      </c>
      <c r="Z64" s="274">
        <v>2561.9899999999998</v>
      </c>
      <c r="AA64" s="274">
        <f t="shared" si="6"/>
        <v>76702.67</v>
      </c>
      <c r="AB64" s="87">
        <f t="shared" si="1"/>
        <v>7.8204243640120821E-3</v>
      </c>
      <c r="AD64" s="86">
        <v>118126.67</v>
      </c>
      <c r="AE64" s="87">
        <f t="shared" si="2"/>
        <v>1.0149626038889328E-2</v>
      </c>
      <c r="AF64" s="88">
        <f t="shared" si="3"/>
        <v>-41424</v>
      </c>
      <c r="AG64" s="88">
        <v>88455.47</v>
      </c>
      <c r="AH64" s="87">
        <f t="shared" si="4"/>
        <v>7.8344886164479991E-3</v>
      </c>
      <c r="AI64" s="295">
        <f t="shared" si="5"/>
        <v>-11752.800000000003</v>
      </c>
    </row>
    <row r="65" spans="7:35" x14ac:dyDescent="0.25">
      <c r="H65" s="15" t="s">
        <v>64</v>
      </c>
      <c r="I65" s="28" t="s">
        <v>1064</v>
      </c>
      <c r="J65" s="28" t="s">
        <v>78</v>
      </c>
      <c r="K65" s="119"/>
      <c r="L65" s="25">
        <v>401000</v>
      </c>
      <c r="M65" s="162"/>
      <c r="N65" s="25" t="s">
        <v>1072</v>
      </c>
      <c r="O65" s="153">
        <v>208562</v>
      </c>
      <c r="P65" s="275">
        <v>187348.97</v>
      </c>
      <c r="Q65" s="275">
        <v>118614.47</v>
      </c>
      <c r="R65" s="275">
        <v>52795.82</v>
      </c>
      <c r="S65" s="275">
        <v>176450.39</v>
      </c>
      <c r="T65" s="275">
        <v>60489</v>
      </c>
      <c r="U65" s="275">
        <v>2067.06</v>
      </c>
      <c r="V65" s="275">
        <v>9965.1</v>
      </c>
      <c r="W65" s="275">
        <v>11635.04</v>
      </c>
      <c r="X65" s="275">
        <v>48138.5</v>
      </c>
      <c r="Y65" s="275">
        <v>116758.79</v>
      </c>
      <c r="Z65" s="275">
        <v>204551.25</v>
      </c>
      <c r="AA65" s="275">
        <f t="shared" si="6"/>
        <v>1197376.3900000001</v>
      </c>
      <c r="AB65" s="154">
        <f t="shared" si="1"/>
        <v>0.12208168885449273</v>
      </c>
      <c r="AD65" s="155">
        <v>1596141.11</v>
      </c>
      <c r="AE65" s="154">
        <f t="shared" si="2"/>
        <v>0.13714291084136812</v>
      </c>
      <c r="AF65" s="156">
        <f t="shared" si="3"/>
        <v>-398764.72</v>
      </c>
      <c r="AG65" s="156">
        <v>1310781.3</v>
      </c>
      <c r="AH65" s="154">
        <f t="shared" si="4"/>
        <v>0.11609571656227602</v>
      </c>
      <c r="AI65" s="296">
        <f t="shared" si="5"/>
        <v>-113404.90999999992</v>
      </c>
    </row>
    <row r="66" spans="7:35" x14ac:dyDescent="0.25">
      <c r="H66" s="15" t="s">
        <v>140</v>
      </c>
      <c r="I66" s="26" t="s">
        <v>1123</v>
      </c>
      <c r="J66" s="26" t="s">
        <v>78</v>
      </c>
      <c r="K66" s="26"/>
      <c r="L66" s="26">
        <v>401700</v>
      </c>
      <c r="M66" s="162"/>
      <c r="N66" s="26" t="s">
        <v>1140</v>
      </c>
      <c r="O66" s="93"/>
      <c r="P66" s="277"/>
      <c r="Q66" s="277"/>
      <c r="R66" s="277"/>
      <c r="S66" s="277"/>
      <c r="T66" s="277"/>
      <c r="U66" s="277"/>
      <c r="V66" s="277"/>
      <c r="W66" s="277"/>
      <c r="X66" s="277"/>
      <c r="Y66" s="277"/>
      <c r="Z66" s="277"/>
      <c r="AA66" s="277">
        <f t="shared" si="6"/>
        <v>0</v>
      </c>
      <c r="AB66" s="94" t="str">
        <f t="shared" si="1"/>
        <v/>
      </c>
      <c r="AD66" s="75"/>
      <c r="AE66" s="94" t="str">
        <f t="shared" si="2"/>
        <v/>
      </c>
      <c r="AF66" s="95">
        <f t="shared" si="3"/>
        <v>0</v>
      </c>
      <c r="AG66" s="95"/>
      <c r="AH66" s="94" t="str">
        <f t="shared" si="4"/>
        <v/>
      </c>
      <c r="AI66" s="298">
        <f t="shared" si="5"/>
        <v>0</v>
      </c>
    </row>
    <row r="67" spans="7:35" x14ac:dyDescent="0.25">
      <c r="H67" s="15" t="s">
        <v>67</v>
      </c>
      <c r="I67" s="28" t="s">
        <v>1058</v>
      </c>
      <c r="J67" s="28" t="s">
        <v>78</v>
      </c>
      <c r="K67" s="119"/>
      <c r="L67" s="25">
        <v>403000</v>
      </c>
      <c r="M67" s="162"/>
      <c r="N67" s="25" t="s">
        <v>1074</v>
      </c>
      <c r="O67" s="77">
        <v>5852.09</v>
      </c>
      <c r="P67" s="272">
        <v>8302.25</v>
      </c>
      <c r="Q67" s="272">
        <v>20759.419999999998</v>
      </c>
      <c r="R67" s="272">
        <v>18701.37</v>
      </c>
      <c r="S67" s="272">
        <v>16230.75</v>
      </c>
      <c r="T67" s="272">
        <v>8497.84</v>
      </c>
      <c r="U67" s="272">
        <v>9870.2800000000007</v>
      </c>
      <c r="V67" s="272">
        <v>10152.99</v>
      </c>
      <c r="W67" s="272">
        <v>11777.16</v>
      </c>
      <c r="X67" s="272">
        <v>10992.01</v>
      </c>
      <c r="Y67" s="272">
        <v>12277.5</v>
      </c>
      <c r="Z67" s="272">
        <v>12560.47</v>
      </c>
      <c r="AA67" s="272">
        <f t="shared" si="6"/>
        <v>145974.12999999998</v>
      </c>
      <c r="AB67" s="79">
        <f t="shared" si="1"/>
        <v>1.4883179982749843E-2</v>
      </c>
      <c r="AD67" s="78">
        <v>99787.21</v>
      </c>
      <c r="AE67" s="79">
        <f t="shared" si="2"/>
        <v>8.5738712939602679E-3</v>
      </c>
      <c r="AF67" s="80">
        <f t="shared" si="3"/>
        <v>46186.919999999969</v>
      </c>
      <c r="AG67" s="80">
        <v>105058.86</v>
      </c>
      <c r="AH67" s="79">
        <f t="shared" si="4"/>
        <v>9.3050485484617741E-3</v>
      </c>
      <c r="AI67" s="293">
        <f t="shared" si="5"/>
        <v>40915.269999999975</v>
      </c>
    </row>
    <row r="68" spans="7:35" x14ac:dyDescent="0.25">
      <c r="H68" s="15" t="s">
        <v>91</v>
      </c>
      <c r="I68" s="26" t="s">
        <v>1009</v>
      </c>
      <c r="J68" s="26" t="s">
        <v>1009</v>
      </c>
      <c r="K68" s="26"/>
      <c r="L68" s="26">
        <v>403990</v>
      </c>
      <c r="M68" s="162">
        <v>200529</v>
      </c>
      <c r="N68" s="26" t="s">
        <v>1075</v>
      </c>
      <c r="O68" s="96">
        <v>-2078.38</v>
      </c>
      <c r="P68" s="278">
        <v>-911.04</v>
      </c>
      <c r="Q68" s="278">
        <v>-1352.87</v>
      </c>
      <c r="R68" s="278">
        <v>-4383.9799999999996</v>
      </c>
      <c r="S68" s="278">
        <v>-3537.4</v>
      </c>
      <c r="T68" s="278">
        <v>-5312.71</v>
      </c>
      <c r="U68" s="278">
        <v>-2373.9499999999998</v>
      </c>
      <c r="V68" s="278">
        <v>-1055.3800000000001</v>
      </c>
      <c r="W68" s="278">
        <v>-2887.01</v>
      </c>
      <c r="X68" s="278">
        <v>-1679.75</v>
      </c>
      <c r="Y68" s="278">
        <v>-56.05</v>
      </c>
      <c r="Z68" s="278">
        <v>-5075.18</v>
      </c>
      <c r="AA68" s="278">
        <f t="shared" si="6"/>
        <v>-30703.7</v>
      </c>
      <c r="AB68" s="112">
        <f t="shared" si="1"/>
        <v>-3.1304772512523722E-3</v>
      </c>
      <c r="AD68" s="97">
        <v>-39506</v>
      </c>
      <c r="AE68" s="112">
        <f t="shared" si="2"/>
        <v>-3.3944165724163881E-3</v>
      </c>
      <c r="AF68" s="98">
        <f t="shared" si="3"/>
        <v>8802.2999999999993</v>
      </c>
      <c r="AG68" s="98">
        <v>-35162.1</v>
      </c>
      <c r="AH68" s="112">
        <f t="shared" si="4"/>
        <v>-3.1143022831759998E-3</v>
      </c>
      <c r="AI68" s="299">
        <f t="shared" si="5"/>
        <v>4458.3999999999978</v>
      </c>
    </row>
    <row r="69" spans="7:35" x14ac:dyDescent="0.25">
      <c r="G69" s="14"/>
      <c r="H69" s="15" t="s">
        <v>72</v>
      </c>
      <c r="I69" s="28" t="s">
        <v>1064</v>
      </c>
      <c r="J69" s="28" t="s">
        <v>78</v>
      </c>
      <c r="K69" s="119"/>
      <c r="L69" s="25"/>
      <c r="M69" s="162"/>
      <c r="N69" s="25" t="s">
        <v>1076</v>
      </c>
      <c r="O69" s="153">
        <v>1086374.17</v>
      </c>
      <c r="P69" s="275">
        <v>1203960.9099999999</v>
      </c>
      <c r="Q69" s="275">
        <v>1179641.29</v>
      </c>
      <c r="R69" s="275">
        <v>909528.51</v>
      </c>
      <c r="S69" s="275">
        <v>829255.54</v>
      </c>
      <c r="T69" s="275">
        <v>631079.71</v>
      </c>
      <c r="U69" s="275">
        <v>625413.62</v>
      </c>
      <c r="V69" s="275">
        <v>504305.52</v>
      </c>
      <c r="W69" s="275">
        <v>434028.99</v>
      </c>
      <c r="X69" s="275">
        <v>588638.07999999996</v>
      </c>
      <c r="Y69" s="275">
        <v>673055.43</v>
      </c>
      <c r="Z69" s="275">
        <v>1142711.56</v>
      </c>
      <c r="AA69" s="275">
        <f t="shared" si="6"/>
        <v>9807993.3300000001</v>
      </c>
      <c r="AB69" s="154">
        <f t="shared" si="1"/>
        <v>1</v>
      </c>
      <c r="AD69" s="155">
        <v>11638524.369999999</v>
      </c>
      <c r="AE69" s="154">
        <f t="shared" si="2"/>
        <v>1</v>
      </c>
      <c r="AF69" s="156">
        <f t="shared" si="3"/>
        <v>-1830531.0399999991</v>
      </c>
      <c r="AG69" s="156">
        <v>11290522.5</v>
      </c>
      <c r="AH69" s="154">
        <f t="shared" si="4"/>
        <v>1</v>
      </c>
      <c r="AI69" s="296">
        <f t="shared" si="5"/>
        <v>-1482529.17</v>
      </c>
    </row>
    <row r="70" spans="7:35" x14ac:dyDescent="0.25">
      <c r="G70" s="14"/>
      <c r="H70" s="73"/>
      <c r="O70" s="53"/>
      <c r="P70" s="54"/>
      <c r="Q70" s="54"/>
      <c r="R70" s="54"/>
      <c r="S70" s="54"/>
      <c r="T70" s="54"/>
      <c r="U70" s="54"/>
      <c r="V70" s="54"/>
      <c r="W70" s="54"/>
      <c r="X70" s="54"/>
      <c r="Y70" s="54"/>
      <c r="Z70" s="54"/>
      <c r="AA70" s="54"/>
      <c r="AB70" s="55"/>
      <c r="AD70" s="53"/>
      <c r="AE70" s="54"/>
      <c r="AF70" s="55"/>
      <c r="AG70" s="53"/>
      <c r="AH70" s="54"/>
      <c r="AI70" s="55"/>
    </row>
    <row r="71" spans="7:35" x14ac:dyDescent="0.25">
      <c r="G71" s="14"/>
      <c r="H71" s="1" t="s">
        <v>173</v>
      </c>
      <c r="I71" s="11" t="s">
        <v>1046</v>
      </c>
      <c r="J71" s="11" t="s">
        <v>78</v>
      </c>
      <c r="N71" s="40" t="s">
        <v>1141</v>
      </c>
      <c r="O71" s="53"/>
      <c r="P71" s="54"/>
      <c r="Q71" s="54"/>
      <c r="R71" s="54"/>
      <c r="S71" s="54"/>
      <c r="T71" s="54"/>
      <c r="U71" s="54"/>
      <c r="V71" s="54"/>
      <c r="W71" s="54"/>
      <c r="X71" s="54"/>
      <c r="Y71" s="54"/>
      <c r="Z71" s="54"/>
      <c r="AA71" s="54"/>
      <c r="AB71" s="308" t="s">
        <v>742</v>
      </c>
      <c r="AD71" s="53"/>
      <c r="AE71" s="54"/>
      <c r="AF71" s="55"/>
      <c r="AG71" s="53"/>
      <c r="AH71" s="54"/>
      <c r="AI71" s="55"/>
    </row>
    <row r="72" spans="7:35" x14ac:dyDescent="0.25">
      <c r="H72" s="15" t="s">
        <v>142</v>
      </c>
      <c r="I72" s="28" t="s">
        <v>1012</v>
      </c>
      <c r="J72" s="28" t="s">
        <v>78</v>
      </c>
      <c r="K72" s="69"/>
      <c r="L72" s="25"/>
      <c r="M72" s="162"/>
      <c r="N72" s="25" t="s">
        <v>1059</v>
      </c>
      <c r="O72" s="77">
        <v>1400</v>
      </c>
      <c r="P72" s="272">
        <v>1370</v>
      </c>
      <c r="Q72" s="272">
        <v>1266</v>
      </c>
      <c r="R72" s="272">
        <v>1304</v>
      </c>
      <c r="S72" s="272">
        <v>1130</v>
      </c>
      <c r="T72" s="272">
        <v>1036</v>
      </c>
      <c r="U72" s="272">
        <v>1215</v>
      </c>
      <c r="V72" s="272">
        <v>1344</v>
      </c>
      <c r="W72" s="272">
        <v>1418</v>
      </c>
      <c r="X72" s="272">
        <v>1699</v>
      </c>
      <c r="Y72" s="272">
        <v>1297</v>
      </c>
      <c r="Z72" s="272">
        <v>1581</v>
      </c>
      <c r="AA72" s="272">
        <f t="shared" ref="AA72:AA116" si="7">SUM(O72:Z72)</f>
        <v>16060</v>
      </c>
      <c r="AB72" s="114">
        <f t="shared" ref="AB72:AB116" si="8">IF($H72="907300",TEXT(IFERROR(AA72/AA$20,""),"0.00"),IF(AA72=0,"",IFERROR(AA72/AA$20,"")))</f>
        <v>0.40264754550468834</v>
      </c>
      <c r="AD72" s="78">
        <v>13118</v>
      </c>
      <c r="AE72" s="114">
        <f t="shared" ref="AE72:AE116" si="9">IF($H72="907300",TEXT(IFERROR(AD72/AD$20,""),"0.00"),IF(AD72=0,"",IFERROR(AD72/AD$20,"""")))</f>
        <v>0.31798899473977649</v>
      </c>
      <c r="AF72" s="80">
        <f t="shared" ref="AF72:AF116" si="10">IF(AND($AA72="",AD72=""),"",$AA72-AD72)</f>
        <v>2942</v>
      </c>
      <c r="AG72" s="80">
        <v>16358</v>
      </c>
      <c r="AH72" s="114">
        <f t="shared" ref="AH72:AH116" si="11">IF($H72="907300",TEXT(IFERROR(AG72/AG$20,""),"0.00"),IF(AG72=0,"",IFERROR(AG72/AG$20,"""")))</f>
        <v>0.39594326378467348</v>
      </c>
      <c r="AI72" s="293">
        <f t="shared" ref="AI72:AI116" si="12">IF(AND($AA72="",AG72=""),"",$AA72-AG72)</f>
        <v>-298</v>
      </c>
    </row>
    <row r="73" spans="7:35" x14ac:dyDescent="0.25">
      <c r="H73" s="15" t="s">
        <v>143</v>
      </c>
      <c r="I73" s="26" t="s">
        <v>1009</v>
      </c>
      <c r="J73" s="26" t="s">
        <v>1009</v>
      </c>
      <c r="K73" s="26"/>
      <c r="L73" s="26">
        <v>902100</v>
      </c>
      <c r="M73" s="162">
        <v>991768</v>
      </c>
      <c r="N73" s="26" t="s">
        <v>1124</v>
      </c>
      <c r="O73" s="89">
        <v>149</v>
      </c>
      <c r="P73" s="273">
        <v>231</v>
      </c>
      <c r="Q73" s="273">
        <v>237</v>
      </c>
      <c r="R73" s="273">
        <v>233</v>
      </c>
      <c r="S73" s="273">
        <v>189</v>
      </c>
      <c r="T73" s="273">
        <v>130</v>
      </c>
      <c r="U73" s="273">
        <v>230</v>
      </c>
      <c r="V73" s="273">
        <v>215</v>
      </c>
      <c r="W73" s="273">
        <v>185</v>
      </c>
      <c r="X73" s="273">
        <v>115</v>
      </c>
      <c r="Y73" s="273">
        <v>147</v>
      </c>
      <c r="Z73" s="273">
        <v>287</v>
      </c>
      <c r="AA73" s="273">
        <f t="shared" si="7"/>
        <v>2348</v>
      </c>
      <c r="AB73" s="115">
        <f t="shared" si="8"/>
        <v>5.8867773153487436E-2</v>
      </c>
      <c r="AD73" s="90">
        <v>2111</v>
      </c>
      <c r="AE73" s="115">
        <f t="shared" si="9"/>
        <v>5.117203597314135E-2</v>
      </c>
      <c r="AF73" s="92">
        <f t="shared" si="10"/>
        <v>237</v>
      </c>
      <c r="AG73" s="92">
        <v>1806</v>
      </c>
      <c r="AH73" s="115">
        <f t="shared" si="11"/>
        <v>4.3713995255845475E-2</v>
      </c>
      <c r="AI73" s="294">
        <f t="shared" si="12"/>
        <v>542</v>
      </c>
    </row>
    <row r="74" spans="7:35" x14ac:dyDescent="0.25">
      <c r="H74" s="15" t="s">
        <v>144</v>
      </c>
      <c r="I74" s="26" t="s">
        <v>1009</v>
      </c>
      <c r="J74" s="26" t="s">
        <v>1009</v>
      </c>
      <c r="K74" s="26"/>
      <c r="L74" s="26">
        <v>902130</v>
      </c>
      <c r="M74" s="162">
        <v>991755</v>
      </c>
      <c r="N74" s="26" t="s">
        <v>1125</v>
      </c>
      <c r="O74" s="89">
        <v>1251</v>
      </c>
      <c r="P74" s="273">
        <v>1139</v>
      </c>
      <c r="Q74" s="273">
        <v>1029</v>
      </c>
      <c r="R74" s="273">
        <v>1071</v>
      </c>
      <c r="S74" s="273">
        <v>941</v>
      </c>
      <c r="T74" s="273">
        <v>906</v>
      </c>
      <c r="U74" s="273">
        <v>985</v>
      </c>
      <c r="V74" s="273">
        <v>1129</v>
      </c>
      <c r="W74" s="273">
        <v>1233</v>
      </c>
      <c r="X74" s="273">
        <v>1584</v>
      </c>
      <c r="Y74" s="273">
        <v>1150</v>
      </c>
      <c r="Z74" s="273">
        <v>1294</v>
      </c>
      <c r="AA74" s="273">
        <f t="shared" si="7"/>
        <v>13712</v>
      </c>
      <c r="AB74" s="115">
        <f t="shared" si="8"/>
        <v>0.34377977235120094</v>
      </c>
      <c r="AD74" s="90">
        <v>11007</v>
      </c>
      <c r="AE74" s="115">
        <f t="shared" si="9"/>
        <v>0.26681695876663514</v>
      </c>
      <c r="AF74" s="92">
        <f t="shared" si="10"/>
        <v>2705</v>
      </c>
      <c r="AG74" s="92">
        <v>14552</v>
      </c>
      <c r="AH74" s="115">
        <f t="shared" si="11"/>
        <v>0.35222926852882802</v>
      </c>
      <c r="AI74" s="294">
        <f t="shared" si="12"/>
        <v>-840</v>
      </c>
    </row>
    <row r="75" spans="7:35" x14ac:dyDescent="0.25">
      <c r="H75" s="15" t="s">
        <v>145</v>
      </c>
      <c r="I75" s="28" t="s">
        <v>1012</v>
      </c>
      <c r="J75" s="28" t="s">
        <v>78</v>
      </c>
      <c r="K75" s="69"/>
      <c r="L75" s="25"/>
      <c r="M75" s="162"/>
      <c r="N75" s="25" t="s">
        <v>1060</v>
      </c>
      <c r="O75" s="77">
        <v>1323</v>
      </c>
      <c r="P75" s="272">
        <v>1097</v>
      </c>
      <c r="Q75" s="272">
        <v>1396</v>
      </c>
      <c r="R75" s="272">
        <v>1322</v>
      </c>
      <c r="S75" s="272">
        <v>1219</v>
      </c>
      <c r="T75" s="272">
        <v>1403</v>
      </c>
      <c r="U75" s="272">
        <v>1597</v>
      </c>
      <c r="V75" s="272">
        <v>985</v>
      </c>
      <c r="W75" s="272">
        <v>803</v>
      </c>
      <c r="X75" s="272">
        <v>805</v>
      </c>
      <c r="Y75" s="272">
        <v>727</v>
      </c>
      <c r="Z75" s="272">
        <v>906</v>
      </c>
      <c r="AA75" s="272">
        <f t="shared" si="7"/>
        <v>13583</v>
      </c>
      <c r="AB75" s="114">
        <f t="shared" si="8"/>
        <v>0.34054555483126914</v>
      </c>
      <c r="AD75" s="78">
        <v>17026</v>
      </c>
      <c r="AE75" s="114">
        <f t="shared" si="9"/>
        <v>0.41272149904249389</v>
      </c>
      <c r="AF75" s="80">
        <f t="shared" si="10"/>
        <v>-3443</v>
      </c>
      <c r="AG75" s="80">
        <v>15450</v>
      </c>
      <c r="AH75" s="114">
        <f t="shared" si="11"/>
        <v>0.37396524180665147</v>
      </c>
      <c r="AI75" s="293">
        <f t="shared" si="12"/>
        <v>-1867</v>
      </c>
    </row>
    <row r="76" spans="7:35" x14ac:dyDescent="0.25">
      <c r="G76" s="14"/>
      <c r="H76" s="15" t="s">
        <v>146</v>
      </c>
      <c r="I76" s="26" t="s">
        <v>1009</v>
      </c>
      <c r="J76" s="26" t="s">
        <v>1009</v>
      </c>
      <c r="K76" s="26"/>
      <c r="L76" s="26">
        <v>902530</v>
      </c>
      <c r="M76" s="162">
        <v>991014</v>
      </c>
      <c r="N76" s="26" t="s">
        <v>1126</v>
      </c>
      <c r="O76" s="89">
        <v>40</v>
      </c>
      <c r="P76" s="273">
        <v>36</v>
      </c>
      <c r="Q76" s="273">
        <v>26</v>
      </c>
      <c r="R76" s="273">
        <v>24</v>
      </c>
      <c r="S76" s="273">
        <v>48</v>
      </c>
      <c r="T76" s="273">
        <v>35</v>
      </c>
      <c r="U76" s="273">
        <v>56</v>
      </c>
      <c r="V76" s="273">
        <v>20</v>
      </c>
      <c r="W76" s="273">
        <v>22</v>
      </c>
      <c r="X76" s="273">
        <v>3</v>
      </c>
      <c r="Y76" s="273">
        <v>20</v>
      </c>
      <c r="Z76" s="273">
        <v>54</v>
      </c>
      <c r="AA76" s="273">
        <f t="shared" si="7"/>
        <v>384</v>
      </c>
      <c r="AB76" s="115">
        <f t="shared" si="8"/>
        <v>9.6274381988667706E-3</v>
      </c>
      <c r="AD76" s="90">
        <v>275</v>
      </c>
      <c r="AE76" s="115">
        <f t="shared" si="9"/>
        <v>6.6661818534409622E-3</v>
      </c>
      <c r="AF76" s="92">
        <f t="shared" si="10"/>
        <v>109</v>
      </c>
      <c r="AG76" s="92">
        <v>198</v>
      </c>
      <c r="AH76" s="115">
        <f t="shared" si="11"/>
        <v>4.7925642639299023E-3</v>
      </c>
      <c r="AI76" s="294">
        <f t="shared" si="12"/>
        <v>186</v>
      </c>
    </row>
    <row r="77" spans="7:35" x14ac:dyDescent="0.25">
      <c r="G77" s="14"/>
      <c r="H77" s="15" t="s">
        <v>147</v>
      </c>
      <c r="I77" s="26" t="s">
        <v>1009</v>
      </c>
      <c r="J77" s="26" t="s">
        <v>1009</v>
      </c>
      <c r="K77" s="26"/>
      <c r="L77" s="26">
        <v>902500</v>
      </c>
      <c r="M77" s="162">
        <v>991759</v>
      </c>
      <c r="N77" s="26" t="s">
        <v>1127</v>
      </c>
      <c r="O77" s="89">
        <v>53</v>
      </c>
      <c r="P77" s="273">
        <v>68</v>
      </c>
      <c r="Q77" s="273">
        <v>49</v>
      </c>
      <c r="R77" s="273">
        <v>43</v>
      </c>
      <c r="S77" s="273">
        <v>73</v>
      </c>
      <c r="T77" s="273">
        <v>84</v>
      </c>
      <c r="U77" s="273">
        <v>152</v>
      </c>
      <c r="V77" s="273">
        <v>79</v>
      </c>
      <c r="W77" s="273">
        <v>58</v>
      </c>
      <c r="X77" s="273">
        <v>38</v>
      </c>
      <c r="Y77" s="273">
        <v>57</v>
      </c>
      <c r="Z77" s="273">
        <v>91</v>
      </c>
      <c r="AA77" s="273">
        <f t="shared" si="7"/>
        <v>845</v>
      </c>
      <c r="AB77" s="115">
        <f t="shared" si="8"/>
        <v>2.1185378328235471E-2</v>
      </c>
      <c r="AD77" s="90">
        <v>1545</v>
      </c>
      <c r="AE77" s="115">
        <f t="shared" si="9"/>
        <v>3.7451821685695587E-2</v>
      </c>
      <c r="AF77" s="92">
        <f t="shared" si="10"/>
        <v>-700</v>
      </c>
      <c r="AG77" s="92">
        <v>1398</v>
      </c>
      <c r="AH77" s="115">
        <f t="shared" si="11"/>
        <v>3.3838408287747493E-2</v>
      </c>
      <c r="AI77" s="294">
        <f t="shared" si="12"/>
        <v>-553</v>
      </c>
    </row>
    <row r="78" spans="7:35" x14ac:dyDescent="0.25">
      <c r="H78" s="15" t="s">
        <v>148</v>
      </c>
      <c r="I78" s="26" t="s">
        <v>1009</v>
      </c>
      <c r="J78" s="26" t="s">
        <v>1009</v>
      </c>
      <c r="K78" s="26"/>
      <c r="L78" s="26">
        <v>902540</v>
      </c>
      <c r="M78" s="162">
        <v>991762</v>
      </c>
      <c r="N78" s="26" t="s">
        <v>1128</v>
      </c>
      <c r="O78" s="89">
        <v>631</v>
      </c>
      <c r="P78" s="273">
        <v>276</v>
      </c>
      <c r="Q78" s="273">
        <v>179</v>
      </c>
      <c r="R78" s="273">
        <v>178</v>
      </c>
      <c r="S78" s="273">
        <v>184</v>
      </c>
      <c r="T78" s="273">
        <v>214</v>
      </c>
      <c r="U78" s="273">
        <v>337</v>
      </c>
      <c r="V78" s="273">
        <v>342</v>
      </c>
      <c r="W78" s="273">
        <v>218</v>
      </c>
      <c r="X78" s="273">
        <v>167</v>
      </c>
      <c r="Y78" s="273">
        <v>164</v>
      </c>
      <c r="Z78" s="273">
        <v>161</v>
      </c>
      <c r="AA78" s="273">
        <f t="shared" si="7"/>
        <v>3051</v>
      </c>
      <c r="AB78" s="115">
        <f t="shared" si="8"/>
        <v>7.6493005064433642E-2</v>
      </c>
      <c r="AD78" s="90">
        <v>2291</v>
      </c>
      <c r="AE78" s="115">
        <f t="shared" si="9"/>
        <v>5.5535355004484525E-2</v>
      </c>
      <c r="AF78" s="92">
        <f t="shared" si="10"/>
        <v>760</v>
      </c>
      <c r="AG78" s="92">
        <v>3070</v>
      </c>
      <c r="AH78" s="115">
        <f t="shared" si="11"/>
        <v>7.4308950960933345E-2</v>
      </c>
      <c r="AI78" s="294">
        <f t="shared" si="12"/>
        <v>-19</v>
      </c>
    </row>
    <row r="79" spans="7:35" x14ac:dyDescent="0.25">
      <c r="H79" s="15" t="s">
        <v>149</v>
      </c>
      <c r="I79" s="26" t="s">
        <v>1009</v>
      </c>
      <c r="J79" s="26" t="s">
        <v>1009</v>
      </c>
      <c r="K79" s="26"/>
      <c r="L79" s="26">
        <v>902550</v>
      </c>
      <c r="M79" s="162">
        <v>991764</v>
      </c>
      <c r="N79" s="26" t="s">
        <v>1129</v>
      </c>
      <c r="O79" s="89">
        <v>51</v>
      </c>
      <c r="P79" s="273">
        <v>25</v>
      </c>
      <c r="Q79" s="273">
        <v>62</v>
      </c>
      <c r="R79" s="273">
        <v>55</v>
      </c>
      <c r="S79" s="273">
        <v>53</v>
      </c>
      <c r="T79" s="273">
        <v>82</v>
      </c>
      <c r="U79" s="273">
        <v>305</v>
      </c>
      <c r="V79" s="273">
        <v>136</v>
      </c>
      <c r="W79" s="273">
        <v>13</v>
      </c>
      <c r="X79" s="273">
        <v>6</v>
      </c>
      <c r="Y79" s="273">
        <v>7</v>
      </c>
      <c r="Z79" s="273">
        <v>47</v>
      </c>
      <c r="AA79" s="273">
        <f t="shared" si="7"/>
        <v>842</v>
      </c>
      <c r="AB79" s="115">
        <f t="shared" si="8"/>
        <v>2.1110163967306826E-2</v>
      </c>
      <c r="AD79" s="90">
        <v>6030</v>
      </c>
      <c r="AE79" s="115">
        <f t="shared" si="9"/>
        <v>0.14617118754999636</v>
      </c>
      <c r="AF79" s="92">
        <f t="shared" si="10"/>
        <v>-5188</v>
      </c>
      <c r="AG79" s="92">
        <v>3752</v>
      </c>
      <c r="AH79" s="115">
        <f t="shared" si="11"/>
        <v>9.0816672314469674E-2</v>
      </c>
      <c r="AI79" s="294">
        <f t="shared" si="12"/>
        <v>-2910</v>
      </c>
    </row>
    <row r="80" spans="7:35" x14ac:dyDescent="0.25">
      <c r="H80" s="15" t="s">
        <v>150</v>
      </c>
      <c r="I80" s="26" t="s">
        <v>1009</v>
      </c>
      <c r="J80" s="26" t="s">
        <v>1009</v>
      </c>
      <c r="K80" s="26"/>
      <c r="L80" s="26">
        <v>902560</v>
      </c>
      <c r="M80" s="162">
        <v>991769</v>
      </c>
      <c r="N80" s="26" t="s">
        <v>1130</v>
      </c>
      <c r="O80" s="89">
        <v>548</v>
      </c>
      <c r="P80" s="273">
        <v>692</v>
      </c>
      <c r="Q80" s="273">
        <v>1080</v>
      </c>
      <c r="R80" s="273">
        <v>1022</v>
      </c>
      <c r="S80" s="273">
        <v>861</v>
      </c>
      <c r="T80" s="273">
        <v>988</v>
      </c>
      <c r="U80" s="273">
        <v>747</v>
      </c>
      <c r="V80" s="273">
        <v>408</v>
      </c>
      <c r="W80" s="273">
        <v>492</v>
      </c>
      <c r="X80" s="273">
        <v>591</v>
      </c>
      <c r="Y80" s="273">
        <v>479</v>
      </c>
      <c r="Z80" s="273">
        <v>553</v>
      </c>
      <c r="AA80" s="273">
        <f t="shared" si="7"/>
        <v>8461</v>
      </c>
      <c r="AB80" s="115">
        <f t="shared" si="8"/>
        <v>0.2121295692724264</v>
      </c>
      <c r="AD80" s="90">
        <v>6885</v>
      </c>
      <c r="AE80" s="115">
        <f t="shared" si="9"/>
        <v>0.16689695294887644</v>
      </c>
      <c r="AF80" s="92">
        <f t="shared" si="10"/>
        <v>1576</v>
      </c>
      <c r="AG80" s="92">
        <v>7032</v>
      </c>
      <c r="AH80" s="115">
        <f t="shared" si="11"/>
        <v>0.17020864597957108</v>
      </c>
      <c r="AI80" s="294">
        <f t="shared" si="12"/>
        <v>1429</v>
      </c>
    </row>
    <row r="81" spans="8:35" x14ac:dyDescent="0.25">
      <c r="H81" s="15" t="s">
        <v>151</v>
      </c>
      <c r="I81" s="26" t="s">
        <v>1009</v>
      </c>
      <c r="J81" s="26" t="s">
        <v>1009</v>
      </c>
      <c r="K81" s="26"/>
      <c r="L81" s="26">
        <v>902600</v>
      </c>
      <c r="M81" s="162">
        <v>991763</v>
      </c>
      <c r="N81" s="26" t="s">
        <v>1131</v>
      </c>
      <c r="O81" s="89"/>
      <c r="P81" s="273"/>
      <c r="Q81" s="273"/>
      <c r="R81" s="273"/>
      <c r="S81" s="273"/>
      <c r="T81" s="273"/>
      <c r="U81" s="273"/>
      <c r="V81" s="273"/>
      <c r="W81" s="273"/>
      <c r="X81" s="273"/>
      <c r="Y81" s="273"/>
      <c r="Z81" s="273"/>
      <c r="AA81" s="273">
        <f t="shared" si="7"/>
        <v>0</v>
      </c>
      <c r="AB81" s="115" t="str">
        <f t="shared" si="8"/>
        <v/>
      </c>
      <c r="AD81" s="90"/>
      <c r="AE81" s="115" t="str">
        <f t="shared" si="9"/>
        <v/>
      </c>
      <c r="AF81" s="92">
        <f t="shared" si="10"/>
        <v>0</v>
      </c>
      <c r="AG81" s="92"/>
      <c r="AH81" s="115" t="str">
        <f t="shared" si="11"/>
        <v/>
      </c>
      <c r="AI81" s="294">
        <f t="shared" si="12"/>
        <v>0</v>
      </c>
    </row>
    <row r="82" spans="8:35" x14ac:dyDescent="0.25">
      <c r="H82" s="15" t="s">
        <v>152</v>
      </c>
      <c r="I82" s="28" t="s">
        <v>1012</v>
      </c>
      <c r="J82" s="28" t="s">
        <v>78</v>
      </c>
      <c r="K82" s="69"/>
      <c r="L82" s="25"/>
      <c r="M82" s="162"/>
      <c r="N82" s="25" t="s">
        <v>1061</v>
      </c>
      <c r="O82" s="77">
        <v>81</v>
      </c>
      <c r="P82" s="272">
        <v>82</v>
      </c>
      <c r="Q82" s="272">
        <v>210</v>
      </c>
      <c r="R82" s="272">
        <v>133</v>
      </c>
      <c r="S82" s="272">
        <v>65</v>
      </c>
      <c r="T82" s="272">
        <v>139</v>
      </c>
      <c r="U82" s="272">
        <v>82</v>
      </c>
      <c r="V82" s="272">
        <v>93</v>
      </c>
      <c r="W82" s="272">
        <v>94</v>
      </c>
      <c r="X82" s="272">
        <v>103</v>
      </c>
      <c r="Y82" s="272">
        <v>120</v>
      </c>
      <c r="Z82" s="272">
        <v>76</v>
      </c>
      <c r="AA82" s="272">
        <f t="shared" si="7"/>
        <v>1278</v>
      </c>
      <c r="AB82" s="114">
        <f t="shared" si="8"/>
        <v>3.2041317755603468E-2</v>
      </c>
      <c r="AD82" s="78">
        <v>1484</v>
      </c>
      <c r="AE82" s="114">
        <f t="shared" si="9"/>
        <v>3.5973141347295956E-2</v>
      </c>
      <c r="AF82" s="80">
        <f t="shared" si="10"/>
        <v>-206</v>
      </c>
      <c r="AG82" s="80">
        <v>1379</v>
      </c>
      <c r="AH82" s="114">
        <f t="shared" si="11"/>
        <v>3.3378515757370386E-2</v>
      </c>
      <c r="AI82" s="293">
        <f t="shared" si="12"/>
        <v>-101</v>
      </c>
    </row>
    <row r="83" spans="8:35" x14ac:dyDescent="0.25">
      <c r="H83" s="15" t="s">
        <v>153</v>
      </c>
      <c r="I83" s="26" t="s">
        <v>1009</v>
      </c>
      <c r="J83" s="26" t="s">
        <v>1009</v>
      </c>
      <c r="K83" s="26"/>
      <c r="L83" s="26">
        <v>902300</v>
      </c>
      <c r="M83" s="162">
        <v>991757</v>
      </c>
      <c r="N83" s="26" t="s">
        <v>1132</v>
      </c>
      <c r="O83" s="89">
        <v>21</v>
      </c>
      <c r="P83" s="273">
        <v>34</v>
      </c>
      <c r="Q83" s="273">
        <v>61</v>
      </c>
      <c r="R83" s="273">
        <v>49</v>
      </c>
      <c r="S83" s="273">
        <v>9</v>
      </c>
      <c r="T83" s="273">
        <v>29</v>
      </c>
      <c r="U83" s="273">
        <v>41</v>
      </c>
      <c r="V83" s="273">
        <v>24</v>
      </c>
      <c r="W83" s="273">
        <v>37</v>
      </c>
      <c r="X83" s="273">
        <v>32</v>
      </c>
      <c r="Y83" s="273">
        <v>10</v>
      </c>
      <c r="Z83" s="273">
        <v>20</v>
      </c>
      <c r="AA83" s="273">
        <f t="shared" si="7"/>
        <v>367</v>
      </c>
      <c r="AB83" s="115">
        <f t="shared" si="8"/>
        <v>9.2012234869377728E-3</v>
      </c>
      <c r="AD83" s="90">
        <v>143</v>
      </c>
      <c r="AE83" s="115">
        <f t="shared" si="9"/>
        <v>3.4664145637893001E-3</v>
      </c>
      <c r="AF83" s="92">
        <f t="shared" si="10"/>
        <v>224</v>
      </c>
      <c r="AG83" s="92">
        <v>215</v>
      </c>
      <c r="AH83" s="115">
        <f t="shared" si="11"/>
        <v>5.2040470542673188E-3</v>
      </c>
      <c r="AI83" s="294">
        <f t="shared" si="12"/>
        <v>152</v>
      </c>
    </row>
    <row r="84" spans="8:35" x14ac:dyDescent="0.25">
      <c r="H84" s="15" t="s">
        <v>154</v>
      </c>
      <c r="I84" s="26" t="s">
        <v>1009</v>
      </c>
      <c r="J84" s="26" t="s">
        <v>1009</v>
      </c>
      <c r="K84" s="26"/>
      <c r="L84" s="26">
        <v>902350</v>
      </c>
      <c r="M84" s="162">
        <v>991758</v>
      </c>
      <c r="N84" s="26" t="s">
        <v>1133</v>
      </c>
      <c r="O84" s="89">
        <v>56</v>
      </c>
      <c r="P84" s="273">
        <v>39</v>
      </c>
      <c r="Q84" s="273">
        <v>80</v>
      </c>
      <c r="R84" s="273">
        <v>59</v>
      </c>
      <c r="S84" s="273">
        <v>33</v>
      </c>
      <c r="T84" s="273">
        <v>36</v>
      </c>
      <c r="U84" s="273">
        <v>14</v>
      </c>
      <c r="V84" s="273">
        <v>51</v>
      </c>
      <c r="W84" s="273">
        <v>47</v>
      </c>
      <c r="X84" s="273">
        <v>61</v>
      </c>
      <c r="Y84" s="273">
        <v>59</v>
      </c>
      <c r="Z84" s="273">
        <v>18</v>
      </c>
      <c r="AA84" s="273">
        <f t="shared" si="7"/>
        <v>553</v>
      </c>
      <c r="AB84" s="115">
        <f t="shared" si="8"/>
        <v>1.3864513864513865E-2</v>
      </c>
      <c r="AD84" s="90">
        <v>513</v>
      </c>
      <c r="AE84" s="115">
        <f t="shared" si="9"/>
        <v>1.2435459239328048E-2</v>
      </c>
      <c r="AF84" s="92">
        <f t="shared" si="10"/>
        <v>40</v>
      </c>
      <c r="AG84" s="92">
        <v>463</v>
      </c>
      <c r="AH84" s="115">
        <f t="shared" si="11"/>
        <v>1.1206854819189621E-2</v>
      </c>
      <c r="AI84" s="294">
        <f t="shared" si="12"/>
        <v>90</v>
      </c>
    </row>
    <row r="85" spans="8:35" x14ac:dyDescent="0.25">
      <c r="H85" s="15" t="s">
        <v>155</v>
      </c>
      <c r="I85" s="26" t="s">
        <v>1009</v>
      </c>
      <c r="J85" s="26" t="s">
        <v>1009</v>
      </c>
      <c r="K85" s="26"/>
      <c r="L85" s="26">
        <v>902200</v>
      </c>
      <c r="M85" s="162">
        <v>991756</v>
      </c>
      <c r="N85" s="26" t="s">
        <v>1134</v>
      </c>
      <c r="O85" s="89">
        <v>4</v>
      </c>
      <c r="P85" s="273">
        <v>9</v>
      </c>
      <c r="Q85" s="273">
        <v>69</v>
      </c>
      <c r="R85" s="273">
        <v>25</v>
      </c>
      <c r="S85" s="273">
        <v>23</v>
      </c>
      <c r="T85" s="273">
        <v>74</v>
      </c>
      <c r="U85" s="273">
        <v>27</v>
      </c>
      <c r="V85" s="273">
        <v>18</v>
      </c>
      <c r="W85" s="273">
        <v>10</v>
      </c>
      <c r="X85" s="273">
        <v>10</v>
      </c>
      <c r="Y85" s="273">
        <v>51</v>
      </c>
      <c r="Z85" s="273">
        <v>38</v>
      </c>
      <c r="AA85" s="273">
        <f t="shared" si="7"/>
        <v>358</v>
      </c>
      <c r="AB85" s="115">
        <f t="shared" si="8"/>
        <v>8.9755804041518322E-3</v>
      </c>
      <c r="AD85" s="90">
        <v>828</v>
      </c>
      <c r="AE85" s="115">
        <f t="shared" si="9"/>
        <v>2.0071267544178605E-2</v>
      </c>
      <c r="AF85" s="92">
        <f t="shared" si="10"/>
        <v>-470</v>
      </c>
      <c r="AG85" s="92">
        <v>701</v>
      </c>
      <c r="AH85" s="115">
        <f t="shared" si="11"/>
        <v>1.6967613883913442E-2</v>
      </c>
      <c r="AI85" s="294">
        <f t="shared" si="12"/>
        <v>-343</v>
      </c>
    </row>
    <row r="86" spans="8:35" x14ac:dyDescent="0.25">
      <c r="H86" s="15" t="s">
        <v>156</v>
      </c>
      <c r="I86" s="28" t="s">
        <v>1012</v>
      </c>
      <c r="J86" s="28" t="s">
        <v>78</v>
      </c>
      <c r="K86" s="69"/>
      <c r="L86" s="25"/>
      <c r="M86" s="162"/>
      <c r="N86" s="25" t="s">
        <v>1062</v>
      </c>
      <c r="O86" s="77">
        <v>79</v>
      </c>
      <c r="P86" s="272">
        <v>78</v>
      </c>
      <c r="Q86" s="272">
        <v>86</v>
      </c>
      <c r="R86" s="272">
        <v>92</v>
      </c>
      <c r="S86" s="272">
        <v>40</v>
      </c>
      <c r="T86" s="272">
        <v>66</v>
      </c>
      <c r="U86" s="272">
        <v>107</v>
      </c>
      <c r="V86" s="272">
        <v>115</v>
      </c>
      <c r="W86" s="272">
        <v>97</v>
      </c>
      <c r="X86" s="272">
        <v>98</v>
      </c>
      <c r="Y86" s="272">
        <v>120</v>
      </c>
      <c r="Z86" s="272">
        <v>69</v>
      </c>
      <c r="AA86" s="272">
        <f t="shared" si="7"/>
        <v>1047</v>
      </c>
      <c r="AB86" s="114">
        <f t="shared" si="8"/>
        <v>2.6249811964097678E-2</v>
      </c>
      <c r="AD86" s="78">
        <v>1144</v>
      </c>
      <c r="AE86" s="114">
        <f t="shared" si="9"/>
        <v>2.7731316510314401E-2</v>
      </c>
      <c r="AF86" s="80">
        <f t="shared" si="10"/>
        <v>-97</v>
      </c>
      <c r="AG86" s="80">
        <v>933</v>
      </c>
      <c r="AH86" s="114">
        <f t="shared" si="11"/>
        <v>2.2583143728518176E-2</v>
      </c>
      <c r="AI86" s="293">
        <f t="shared" si="12"/>
        <v>114</v>
      </c>
    </row>
    <row r="87" spans="8:35" x14ac:dyDescent="0.25">
      <c r="H87" s="15" t="s">
        <v>157</v>
      </c>
      <c r="I87" s="26" t="s">
        <v>1009</v>
      </c>
      <c r="J87" s="26" t="s">
        <v>1009</v>
      </c>
      <c r="K87" s="26"/>
      <c r="L87" s="26">
        <v>902700</v>
      </c>
      <c r="M87" s="162">
        <v>991770</v>
      </c>
      <c r="N87" s="26" t="s">
        <v>1062</v>
      </c>
      <c r="O87" s="89">
        <v>55</v>
      </c>
      <c r="P87" s="273">
        <v>58</v>
      </c>
      <c r="Q87" s="273">
        <v>74</v>
      </c>
      <c r="R87" s="273">
        <v>78</v>
      </c>
      <c r="S87" s="273">
        <v>25</v>
      </c>
      <c r="T87" s="273">
        <v>59</v>
      </c>
      <c r="U87" s="273">
        <v>89</v>
      </c>
      <c r="V87" s="273">
        <v>112</v>
      </c>
      <c r="W87" s="273">
        <v>95</v>
      </c>
      <c r="X87" s="273">
        <v>91</v>
      </c>
      <c r="Y87" s="273">
        <v>80</v>
      </c>
      <c r="Z87" s="273">
        <v>58</v>
      </c>
      <c r="AA87" s="273">
        <f t="shared" si="7"/>
        <v>874</v>
      </c>
      <c r="AB87" s="115">
        <f t="shared" si="8"/>
        <v>2.1912450483879055E-2</v>
      </c>
      <c r="AD87" s="90">
        <v>917</v>
      </c>
      <c r="AE87" s="115">
        <f t="shared" si="9"/>
        <v>2.2228686398564953E-2</v>
      </c>
      <c r="AF87" s="92">
        <f t="shared" si="10"/>
        <v>-43</v>
      </c>
      <c r="AG87" s="92">
        <v>836</v>
      </c>
      <c r="AH87" s="115">
        <f t="shared" si="11"/>
        <v>2.0235271336592923E-2</v>
      </c>
      <c r="AI87" s="294">
        <f t="shared" si="12"/>
        <v>38</v>
      </c>
    </row>
    <row r="88" spans="8:35" x14ac:dyDescent="0.25">
      <c r="H88" s="15" t="s">
        <v>158</v>
      </c>
      <c r="I88" s="26" t="s">
        <v>1009</v>
      </c>
      <c r="J88" s="26" t="s">
        <v>1009</v>
      </c>
      <c r="K88" s="26"/>
      <c r="L88" s="26">
        <v>902730</v>
      </c>
      <c r="M88" s="162">
        <v>991030</v>
      </c>
      <c r="N88" s="26" t="s">
        <v>1069</v>
      </c>
      <c r="O88" s="89">
        <v>24</v>
      </c>
      <c r="P88" s="273">
        <v>20</v>
      </c>
      <c r="Q88" s="273">
        <v>12</v>
      </c>
      <c r="R88" s="273">
        <v>14</v>
      </c>
      <c r="S88" s="273">
        <v>15</v>
      </c>
      <c r="T88" s="273">
        <v>7</v>
      </c>
      <c r="U88" s="273">
        <v>18</v>
      </c>
      <c r="V88" s="273">
        <v>3</v>
      </c>
      <c r="W88" s="273">
        <v>2</v>
      </c>
      <c r="X88" s="273">
        <v>7</v>
      </c>
      <c r="Y88" s="273">
        <v>40</v>
      </c>
      <c r="Z88" s="273">
        <v>11</v>
      </c>
      <c r="AA88" s="273">
        <f t="shared" si="7"/>
        <v>173</v>
      </c>
      <c r="AB88" s="115">
        <f t="shared" si="8"/>
        <v>4.3373614802186232E-3</v>
      </c>
      <c r="AD88" s="90">
        <v>227</v>
      </c>
      <c r="AE88" s="115">
        <f t="shared" si="9"/>
        <v>5.5026301117494488E-3</v>
      </c>
      <c r="AF88" s="92">
        <f t="shared" si="10"/>
        <v>-54</v>
      </c>
      <c r="AG88" s="92">
        <v>97</v>
      </c>
      <c r="AH88" s="115">
        <f t="shared" si="11"/>
        <v>2.3478723919252553E-3</v>
      </c>
      <c r="AI88" s="294">
        <f t="shared" si="12"/>
        <v>76</v>
      </c>
    </row>
    <row r="89" spans="8:35" x14ac:dyDescent="0.25">
      <c r="H89" s="15" t="s">
        <v>159</v>
      </c>
      <c r="I89" s="28" t="s">
        <v>1012</v>
      </c>
      <c r="J89" s="28" t="s">
        <v>1009</v>
      </c>
      <c r="K89" s="69"/>
      <c r="L89" s="25">
        <v>902400</v>
      </c>
      <c r="M89" s="162"/>
      <c r="N89" s="25" t="s">
        <v>1063</v>
      </c>
      <c r="O89" s="85">
        <v>254</v>
      </c>
      <c r="P89" s="274">
        <v>279</v>
      </c>
      <c r="Q89" s="274">
        <v>367</v>
      </c>
      <c r="R89" s="274">
        <v>366</v>
      </c>
      <c r="S89" s="274">
        <v>301</v>
      </c>
      <c r="T89" s="274">
        <v>402</v>
      </c>
      <c r="U89" s="274">
        <v>358</v>
      </c>
      <c r="V89" s="274">
        <v>390</v>
      </c>
      <c r="W89" s="274">
        <v>192</v>
      </c>
      <c r="X89" s="274">
        <v>198</v>
      </c>
      <c r="Y89" s="274">
        <v>193</v>
      </c>
      <c r="Z89" s="274">
        <v>272</v>
      </c>
      <c r="AA89" s="274">
        <f t="shared" si="7"/>
        <v>3572</v>
      </c>
      <c r="AB89" s="116">
        <f t="shared" si="8"/>
        <v>8.9555232412375271E-2</v>
      </c>
      <c r="AD89" s="86">
        <v>2554</v>
      </c>
      <c r="AE89" s="116">
        <f t="shared" si="9"/>
        <v>6.1910648922502608E-2</v>
      </c>
      <c r="AF89" s="88">
        <f t="shared" si="10"/>
        <v>1018</v>
      </c>
      <c r="AG89" s="88">
        <v>2263</v>
      </c>
      <c r="AH89" s="116">
        <f t="shared" si="11"/>
        <v>5.477562085491601E-2</v>
      </c>
      <c r="AI89" s="295">
        <f t="shared" si="12"/>
        <v>1309</v>
      </c>
    </row>
    <row r="90" spans="8:35" x14ac:dyDescent="0.25">
      <c r="H90" s="15" t="s">
        <v>141</v>
      </c>
      <c r="I90" s="28" t="s">
        <v>1010</v>
      </c>
      <c r="J90" s="28" t="s">
        <v>78</v>
      </c>
      <c r="K90" s="69"/>
      <c r="L90" s="25">
        <v>902000</v>
      </c>
      <c r="M90" s="162"/>
      <c r="N90" s="25" t="s">
        <v>1142</v>
      </c>
      <c r="O90" s="153">
        <v>3137</v>
      </c>
      <c r="P90" s="275">
        <v>2906</v>
      </c>
      <c r="Q90" s="275">
        <v>3325</v>
      </c>
      <c r="R90" s="275">
        <v>3217</v>
      </c>
      <c r="S90" s="275">
        <v>2755</v>
      </c>
      <c r="T90" s="275">
        <v>3046</v>
      </c>
      <c r="U90" s="275">
        <v>3359</v>
      </c>
      <c r="V90" s="275">
        <v>2927</v>
      </c>
      <c r="W90" s="275">
        <v>2604</v>
      </c>
      <c r="X90" s="275">
        <v>2903</v>
      </c>
      <c r="Y90" s="275">
        <v>2457</v>
      </c>
      <c r="Z90" s="275">
        <v>2904</v>
      </c>
      <c r="AA90" s="275">
        <f t="shared" si="7"/>
        <v>35540</v>
      </c>
      <c r="AB90" s="157">
        <f t="shared" si="8"/>
        <v>0.89103946246803389</v>
      </c>
      <c r="AD90" s="155">
        <v>35326</v>
      </c>
      <c r="AE90" s="157">
        <f t="shared" si="9"/>
        <v>0.85632560056238338</v>
      </c>
      <c r="AF90" s="156">
        <f t="shared" si="10"/>
        <v>214</v>
      </c>
      <c r="AG90" s="156">
        <v>36383</v>
      </c>
      <c r="AH90" s="157">
        <f t="shared" si="11"/>
        <v>0.8806457859321295</v>
      </c>
      <c r="AI90" s="296">
        <f t="shared" si="12"/>
        <v>-843</v>
      </c>
    </row>
    <row r="91" spans="8:35" x14ac:dyDescent="0.25">
      <c r="H91" s="15" t="s">
        <v>175</v>
      </c>
      <c r="I91" s="26" t="s">
        <v>1011</v>
      </c>
      <c r="J91" s="26" t="s">
        <v>78</v>
      </c>
      <c r="K91" s="26"/>
      <c r="L91" s="26"/>
      <c r="M91" s="162"/>
      <c r="N91" s="26" t="s">
        <v>175</v>
      </c>
      <c r="O91" s="81"/>
      <c r="P91" s="276"/>
      <c r="Q91" s="276"/>
      <c r="R91" s="276"/>
      <c r="S91" s="276"/>
      <c r="T91" s="276"/>
      <c r="U91" s="276"/>
      <c r="V91" s="276"/>
      <c r="W91" s="276"/>
      <c r="X91" s="276"/>
      <c r="Y91" s="276"/>
      <c r="Z91" s="276"/>
      <c r="AA91" s="276">
        <f t="shared" si="7"/>
        <v>0</v>
      </c>
      <c r="AB91" s="117" t="str">
        <f t="shared" si="8"/>
        <v/>
      </c>
      <c r="AD91" s="82"/>
      <c r="AE91" s="117" t="str">
        <f t="shared" si="9"/>
        <v/>
      </c>
      <c r="AF91" s="84">
        <f t="shared" si="10"/>
        <v>0</v>
      </c>
      <c r="AG91" s="84"/>
      <c r="AH91" s="117" t="str">
        <f t="shared" si="11"/>
        <v/>
      </c>
      <c r="AI91" s="297">
        <f t="shared" si="12"/>
        <v>0</v>
      </c>
    </row>
    <row r="92" spans="8:35" x14ac:dyDescent="0.25">
      <c r="H92" s="15" t="s">
        <v>161</v>
      </c>
      <c r="I92" s="28" t="s">
        <v>1012</v>
      </c>
      <c r="J92" s="28" t="s">
        <v>78</v>
      </c>
      <c r="K92" s="69"/>
      <c r="L92" s="25"/>
      <c r="M92" s="162"/>
      <c r="N92" s="25" t="s">
        <v>1067</v>
      </c>
      <c r="O92" s="77">
        <v>666</v>
      </c>
      <c r="P92" s="272">
        <v>559</v>
      </c>
      <c r="Q92" s="272">
        <v>425</v>
      </c>
      <c r="R92" s="272">
        <v>203</v>
      </c>
      <c r="S92" s="272">
        <v>407</v>
      </c>
      <c r="T92" s="272">
        <v>95</v>
      </c>
      <c r="U92" s="272">
        <v>13</v>
      </c>
      <c r="V92" s="272">
        <v>21</v>
      </c>
      <c r="W92" s="272">
        <v>41</v>
      </c>
      <c r="X92" s="272">
        <v>268</v>
      </c>
      <c r="Y92" s="272">
        <v>396</v>
      </c>
      <c r="Z92" s="272">
        <v>529</v>
      </c>
      <c r="AA92" s="272">
        <f t="shared" si="7"/>
        <v>3623</v>
      </c>
      <c r="AB92" s="114">
        <f t="shared" si="8"/>
        <v>9.083387654816226E-2</v>
      </c>
      <c r="AD92" s="78">
        <v>4596</v>
      </c>
      <c r="AE92" s="114">
        <f t="shared" si="9"/>
        <v>0.11141007926696241</v>
      </c>
      <c r="AF92" s="80">
        <f t="shared" si="10"/>
        <v>-973</v>
      </c>
      <c r="AG92" s="80">
        <v>4039</v>
      </c>
      <c r="AH92" s="114">
        <f t="shared" si="11"/>
        <v>9.776347001016604E-2</v>
      </c>
      <c r="AI92" s="293">
        <f t="shared" si="12"/>
        <v>-416</v>
      </c>
    </row>
    <row r="93" spans="8:35" x14ac:dyDescent="0.25">
      <c r="H93" s="15" t="s">
        <v>162</v>
      </c>
      <c r="I93" s="26" t="s">
        <v>1009</v>
      </c>
      <c r="J93" s="26" t="s">
        <v>1009</v>
      </c>
      <c r="K93" s="26"/>
      <c r="L93" s="26">
        <v>901100</v>
      </c>
      <c r="M93" s="162">
        <v>991704</v>
      </c>
      <c r="N93" s="26" t="s">
        <v>1067</v>
      </c>
      <c r="O93" s="89">
        <v>644</v>
      </c>
      <c r="P93" s="273">
        <v>339</v>
      </c>
      <c r="Q93" s="273">
        <v>202</v>
      </c>
      <c r="R93" s="273">
        <v>154</v>
      </c>
      <c r="S93" s="273">
        <v>407</v>
      </c>
      <c r="T93" s="273">
        <v>64</v>
      </c>
      <c r="U93" s="273">
        <v>13</v>
      </c>
      <c r="V93" s="273"/>
      <c r="W93" s="273">
        <v>41</v>
      </c>
      <c r="X93" s="273">
        <v>268</v>
      </c>
      <c r="Y93" s="273">
        <v>396</v>
      </c>
      <c r="Z93" s="273">
        <v>480</v>
      </c>
      <c r="AA93" s="273">
        <f t="shared" si="7"/>
        <v>3008</v>
      </c>
      <c r="AB93" s="115">
        <f t="shared" si="8"/>
        <v>7.5414932557789707E-2</v>
      </c>
      <c r="AD93" s="90">
        <v>3149</v>
      </c>
      <c r="AE93" s="115">
        <f t="shared" si="9"/>
        <v>7.6333842387220324E-2</v>
      </c>
      <c r="AF93" s="92">
        <f t="shared" si="10"/>
        <v>-141</v>
      </c>
      <c r="AG93" s="92">
        <v>2933</v>
      </c>
      <c r="AH93" s="115">
        <f t="shared" si="11"/>
        <v>7.0992883768214166E-2</v>
      </c>
      <c r="AI93" s="294">
        <f t="shared" si="12"/>
        <v>75</v>
      </c>
    </row>
    <row r="94" spans="8:35" x14ac:dyDescent="0.25">
      <c r="H94" s="15" t="s">
        <v>163</v>
      </c>
      <c r="I94" s="26" t="s">
        <v>1009</v>
      </c>
      <c r="J94" s="26" t="s">
        <v>1009</v>
      </c>
      <c r="K94" s="26"/>
      <c r="L94" s="26">
        <v>901500</v>
      </c>
      <c r="M94" s="162">
        <v>991754</v>
      </c>
      <c r="N94" s="26" t="s">
        <v>1143</v>
      </c>
      <c r="O94" s="89">
        <v>22</v>
      </c>
      <c r="P94" s="273">
        <v>220</v>
      </c>
      <c r="Q94" s="273">
        <v>223</v>
      </c>
      <c r="R94" s="273">
        <v>49</v>
      </c>
      <c r="S94" s="273"/>
      <c r="T94" s="273">
        <v>31</v>
      </c>
      <c r="U94" s="273"/>
      <c r="V94" s="273">
        <v>21</v>
      </c>
      <c r="W94" s="273"/>
      <c r="X94" s="273"/>
      <c r="Y94" s="273"/>
      <c r="Z94" s="273">
        <v>49</v>
      </c>
      <c r="AA94" s="273">
        <f t="shared" si="7"/>
        <v>615</v>
      </c>
      <c r="AB94" s="115">
        <f t="shared" si="8"/>
        <v>1.5418943990372563E-2</v>
      </c>
      <c r="AD94" s="90">
        <v>1447</v>
      </c>
      <c r="AE94" s="115">
        <f t="shared" si="9"/>
        <v>3.5076236879742081E-2</v>
      </c>
      <c r="AF94" s="92">
        <f t="shared" si="10"/>
        <v>-832</v>
      </c>
      <c r="AG94" s="92">
        <v>1106</v>
      </c>
      <c r="AH94" s="115">
        <f t="shared" si="11"/>
        <v>2.6770586241951881E-2</v>
      </c>
      <c r="AI94" s="294">
        <f t="shared" si="12"/>
        <v>-491</v>
      </c>
    </row>
    <row r="95" spans="8:35" x14ac:dyDescent="0.25">
      <c r="H95" s="15" t="s">
        <v>164</v>
      </c>
      <c r="I95" s="28" t="s">
        <v>1012</v>
      </c>
      <c r="J95" s="28" t="s">
        <v>78</v>
      </c>
      <c r="K95" s="69"/>
      <c r="L95" s="25"/>
      <c r="M95" s="162"/>
      <c r="N95" s="25" t="s">
        <v>1144</v>
      </c>
      <c r="O95" s="77"/>
      <c r="P95" s="272"/>
      <c r="Q95" s="272"/>
      <c r="R95" s="272">
        <v>17</v>
      </c>
      <c r="S95" s="272"/>
      <c r="T95" s="272">
        <v>217</v>
      </c>
      <c r="U95" s="272"/>
      <c r="V95" s="272"/>
      <c r="W95" s="272"/>
      <c r="X95" s="272"/>
      <c r="Y95" s="272">
        <v>2</v>
      </c>
      <c r="Z95" s="272"/>
      <c r="AA95" s="272">
        <f t="shared" si="7"/>
        <v>236</v>
      </c>
      <c r="AB95" s="114">
        <f t="shared" si="8"/>
        <v>5.9168630597202024E-3</v>
      </c>
      <c r="AD95" s="78">
        <v>465</v>
      </c>
      <c r="AE95" s="114">
        <f t="shared" si="9"/>
        <v>1.1271907497636536E-2</v>
      </c>
      <c r="AF95" s="80">
        <f t="shared" si="10"/>
        <v>-229</v>
      </c>
      <c r="AG95" s="80">
        <v>241</v>
      </c>
      <c r="AH95" s="114">
        <f t="shared" si="11"/>
        <v>5.8333736747833665E-3</v>
      </c>
      <c r="AI95" s="293">
        <f t="shared" si="12"/>
        <v>-5</v>
      </c>
    </row>
    <row r="96" spans="8:35" x14ac:dyDescent="0.25">
      <c r="H96" s="15" t="s">
        <v>165</v>
      </c>
      <c r="I96" s="26" t="s">
        <v>1009</v>
      </c>
      <c r="J96" s="26" t="s">
        <v>1009</v>
      </c>
      <c r="K96" s="26"/>
      <c r="L96" s="26">
        <v>901200</v>
      </c>
      <c r="M96" s="162">
        <v>991715</v>
      </c>
      <c r="N96" s="26" t="s">
        <v>1136</v>
      </c>
      <c r="O96" s="89"/>
      <c r="P96" s="273"/>
      <c r="Q96" s="273"/>
      <c r="R96" s="273"/>
      <c r="S96" s="273"/>
      <c r="T96" s="273">
        <v>67</v>
      </c>
      <c r="U96" s="273"/>
      <c r="V96" s="273"/>
      <c r="W96" s="273"/>
      <c r="X96" s="273"/>
      <c r="Y96" s="273">
        <v>2</v>
      </c>
      <c r="Z96" s="273"/>
      <c r="AA96" s="273">
        <f t="shared" si="7"/>
        <v>69</v>
      </c>
      <c r="AB96" s="115">
        <f t="shared" si="8"/>
        <v>1.7299303013588727E-3</v>
      </c>
      <c r="AD96" s="90">
        <v>385</v>
      </c>
      <c r="AE96" s="115">
        <f t="shared" si="9"/>
        <v>9.3326545948173474E-3</v>
      </c>
      <c r="AF96" s="92">
        <f t="shared" si="10"/>
        <v>-316</v>
      </c>
      <c r="AG96" s="92">
        <v>167</v>
      </c>
      <c r="AH96" s="115">
        <f t="shared" si="11"/>
        <v>4.042213293314615E-3</v>
      </c>
      <c r="AI96" s="294">
        <f t="shared" si="12"/>
        <v>-98</v>
      </c>
    </row>
    <row r="97" spans="8:35" x14ac:dyDescent="0.25">
      <c r="H97" s="15" t="s">
        <v>166</v>
      </c>
      <c r="I97" s="26" t="s">
        <v>1009</v>
      </c>
      <c r="J97" s="26" t="s">
        <v>1009</v>
      </c>
      <c r="K97" s="26"/>
      <c r="L97" s="26">
        <v>901600</v>
      </c>
      <c r="M97" s="162">
        <v>991767</v>
      </c>
      <c r="N97" s="26" t="s">
        <v>1137</v>
      </c>
      <c r="O97" s="89"/>
      <c r="P97" s="273"/>
      <c r="Q97" s="273"/>
      <c r="R97" s="273">
        <v>17</v>
      </c>
      <c r="S97" s="273"/>
      <c r="T97" s="273">
        <v>150</v>
      </c>
      <c r="U97" s="273"/>
      <c r="V97" s="273"/>
      <c r="W97" s="273"/>
      <c r="X97" s="273"/>
      <c r="Y97" s="273"/>
      <c r="Z97" s="273"/>
      <c r="AA97" s="273">
        <f t="shared" si="7"/>
        <v>167</v>
      </c>
      <c r="AB97" s="115">
        <f t="shared" si="8"/>
        <v>4.1869327583613294E-3</v>
      </c>
      <c r="AD97" s="90">
        <v>80</v>
      </c>
      <c r="AE97" s="115">
        <f t="shared" si="9"/>
        <v>1.939252902819189E-3</v>
      </c>
      <c r="AF97" s="92">
        <f t="shared" si="10"/>
        <v>87</v>
      </c>
      <c r="AG97" s="92">
        <v>74</v>
      </c>
      <c r="AH97" s="115">
        <f t="shared" si="11"/>
        <v>1.7911603814687515E-3</v>
      </c>
      <c r="AI97" s="294">
        <f t="shared" si="12"/>
        <v>93</v>
      </c>
    </row>
    <row r="98" spans="8:35" x14ac:dyDescent="0.25">
      <c r="H98" s="15" t="s">
        <v>167</v>
      </c>
      <c r="I98" s="28" t="s">
        <v>1012</v>
      </c>
      <c r="J98" s="28" t="s">
        <v>1009</v>
      </c>
      <c r="K98" s="69"/>
      <c r="L98" s="25">
        <v>901800</v>
      </c>
      <c r="M98" s="162"/>
      <c r="N98" s="25" t="s">
        <v>1069</v>
      </c>
      <c r="O98" s="77"/>
      <c r="P98" s="272"/>
      <c r="Q98" s="272"/>
      <c r="R98" s="272"/>
      <c r="S98" s="272"/>
      <c r="T98" s="272"/>
      <c r="U98" s="272"/>
      <c r="V98" s="272"/>
      <c r="W98" s="272"/>
      <c r="X98" s="272"/>
      <c r="Y98" s="272"/>
      <c r="Z98" s="272"/>
      <c r="AA98" s="272">
        <f t="shared" si="7"/>
        <v>0</v>
      </c>
      <c r="AB98" s="114" t="str">
        <f t="shared" si="8"/>
        <v/>
      </c>
      <c r="AD98" s="78"/>
      <c r="AE98" s="114" t="str">
        <f t="shared" si="9"/>
        <v/>
      </c>
      <c r="AF98" s="80">
        <f t="shared" si="10"/>
        <v>0</v>
      </c>
      <c r="AG98" s="80"/>
      <c r="AH98" s="114" t="str">
        <f t="shared" si="11"/>
        <v/>
      </c>
      <c r="AI98" s="293">
        <f t="shared" si="12"/>
        <v>0</v>
      </c>
    </row>
    <row r="99" spans="8:35" x14ac:dyDescent="0.25">
      <c r="H99" s="15" t="s">
        <v>168</v>
      </c>
      <c r="I99" s="28" t="s">
        <v>1012</v>
      </c>
      <c r="J99" s="28" t="s">
        <v>78</v>
      </c>
      <c r="K99" s="69"/>
      <c r="L99" s="25"/>
      <c r="M99" s="162"/>
      <c r="N99" s="25" t="s">
        <v>1145</v>
      </c>
      <c r="O99" s="77"/>
      <c r="P99" s="272"/>
      <c r="Q99" s="272"/>
      <c r="R99" s="272"/>
      <c r="S99" s="272"/>
      <c r="T99" s="272"/>
      <c r="U99" s="272"/>
      <c r="V99" s="272"/>
      <c r="W99" s="272"/>
      <c r="X99" s="272"/>
      <c r="Y99" s="272"/>
      <c r="Z99" s="272"/>
      <c r="AA99" s="272">
        <f t="shared" si="7"/>
        <v>0</v>
      </c>
      <c r="AB99" s="114" t="str">
        <f t="shared" si="8"/>
        <v/>
      </c>
      <c r="AD99" s="78"/>
      <c r="AE99" s="114" t="str">
        <f t="shared" si="9"/>
        <v/>
      </c>
      <c r="AF99" s="80">
        <f t="shared" si="10"/>
        <v>0</v>
      </c>
      <c r="AG99" s="80"/>
      <c r="AH99" s="114" t="str">
        <f t="shared" si="11"/>
        <v/>
      </c>
      <c r="AI99" s="293">
        <f t="shared" si="12"/>
        <v>0</v>
      </c>
    </row>
    <row r="100" spans="8:35" x14ac:dyDescent="0.25">
      <c r="H100" s="15" t="s">
        <v>169</v>
      </c>
      <c r="I100" s="26" t="s">
        <v>1009</v>
      </c>
      <c r="J100" s="26" t="s">
        <v>1009</v>
      </c>
      <c r="K100" s="26"/>
      <c r="L100" s="26">
        <v>901300</v>
      </c>
      <c r="M100" s="162">
        <v>991010</v>
      </c>
      <c r="N100" s="26" t="s">
        <v>1146</v>
      </c>
      <c r="O100" s="89"/>
      <c r="P100" s="273"/>
      <c r="Q100" s="273"/>
      <c r="R100" s="273"/>
      <c r="S100" s="273"/>
      <c r="T100" s="273"/>
      <c r="U100" s="273"/>
      <c r="V100" s="273"/>
      <c r="W100" s="273"/>
      <c r="X100" s="273"/>
      <c r="Y100" s="273"/>
      <c r="Z100" s="273"/>
      <c r="AA100" s="273">
        <f t="shared" si="7"/>
        <v>0</v>
      </c>
      <c r="AB100" s="115" t="str">
        <f t="shared" si="8"/>
        <v/>
      </c>
      <c r="AD100" s="90"/>
      <c r="AE100" s="115" t="str">
        <f t="shared" si="9"/>
        <v/>
      </c>
      <c r="AF100" s="92">
        <f t="shared" si="10"/>
        <v>0</v>
      </c>
      <c r="AG100" s="92"/>
      <c r="AH100" s="115" t="str">
        <f t="shared" si="11"/>
        <v/>
      </c>
      <c r="AI100" s="294">
        <f t="shared" si="12"/>
        <v>0</v>
      </c>
    </row>
    <row r="101" spans="8:35" x14ac:dyDescent="0.25">
      <c r="H101" s="15" t="s">
        <v>170</v>
      </c>
      <c r="I101" s="26" t="s">
        <v>1009</v>
      </c>
      <c r="J101" s="26" t="s">
        <v>1009</v>
      </c>
      <c r="K101" s="26"/>
      <c r="L101" s="26">
        <v>901330</v>
      </c>
      <c r="M101" s="162">
        <v>991752</v>
      </c>
      <c r="N101" s="26" t="s">
        <v>1139</v>
      </c>
      <c r="O101" s="89"/>
      <c r="P101" s="273"/>
      <c r="Q101" s="273"/>
      <c r="R101" s="273"/>
      <c r="S101" s="273"/>
      <c r="T101" s="273"/>
      <c r="U101" s="273"/>
      <c r="V101" s="273"/>
      <c r="W101" s="273"/>
      <c r="X101" s="273"/>
      <c r="Y101" s="273"/>
      <c r="Z101" s="273"/>
      <c r="AA101" s="273">
        <f t="shared" si="7"/>
        <v>0</v>
      </c>
      <c r="AB101" s="115" t="str">
        <f t="shared" si="8"/>
        <v/>
      </c>
      <c r="AD101" s="90"/>
      <c r="AE101" s="115" t="str">
        <f t="shared" si="9"/>
        <v/>
      </c>
      <c r="AF101" s="92">
        <f t="shared" si="10"/>
        <v>0</v>
      </c>
      <c r="AG101" s="92"/>
      <c r="AH101" s="115" t="str">
        <f t="shared" si="11"/>
        <v/>
      </c>
      <c r="AI101" s="294">
        <f t="shared" si="12"/>
        <v>0</v>
      </c>
    </row>
    <row r="102" spans="8:35" x14ac:dyDescent="0.25">
      <c r="H102" s="15" t="s">
        <v>171</v>
      </c>
      <c r="I102" s="28" t="s">
        <v>1012</v>
      </c>
      <c r="J102" s="28" t="s">
        <v>1009</v>
      </c>
      <c r="K102" s="69"/>
      <c r="L102" s="25">
        <v>901400</v>
      </c>
      <c r="M102" s="162"/>
      <c r="N102" s="25" t="s">
        <v>1071</v>
      </c>
      <c r="O102" s="85">
        <v>60</v>
      </c>
      <c r="P102" s="274">
        <v>6</v>
      </c>
      <c r="Q102" s="274"/>
      <c r="R102" s="274">
        <v>13</v>
      </c>
      <c r="S102" s="274"/>
      <c r="T102" s="274">
        <v>45</v>
      </c>
      <c r="U102" s="274"/>
      <c r="V102" s="274">
        <v>34</v>
      </c>
      <c r="W102" s="274">
        <v>31</v>
      </c>
      <c r="X102" s="274">
        <v>9</v>
      </c>
      <c r="Y102" s="274">
        <v>89</v>
      </c>
      <c r="Z102" s="274">
        <v>10</v>
      </c>
      <c r="AA102" s="274">
        <f t="shared" si="7"/>
        <v>297</v>
      </c>
      <c r="AB102" s="116">
        <f t="shared" si="8"/>
        <v>7.4462217319360173E-3</v>
      </c>
      <c r="AD102" s="86">
        <v>623</v>
      </c>
      <c r="AE102" s="116">
        <f t="shared" si="9"/>
        <v>1.5101931980704433E-2</v>
      </c>
      <c r="AF102" s="88">
        <f t="shared" si="10"/>
        <v>-326</v>
      </c>
      <c r="AG102" s="88">
        <v>304</v>
      </c>
      <c r="AH102" s="116">
        <f t="shared" si="11"/>
        <v>7.3582804860337896E-3</v>
      </c>
      <c r="AI102" s="295">
        <f t="shared" si="12"/>
        <v>-7</v>
      </c>
    </row>
    <row r="103" spans="8:35" x14ac:dyDescent="0.25">
      <c r="H103" s="15" t="s">
        <v>160</v>
      </c>
      <c r="I103" s="28" t="s">
        <v>1010</v>
      </c>
      <c r="J103" s="28" t="s">
        <v>78</v>
      </c>
      <c r="K103" s="69"/>
      <c r="L103" s="25">
        <v>901000</v>
      </c>
      <c r="M103" s="162"/>
      <c r="N103" s="25" t="s">
        <v>1147</v>
      </c>
      <c r="O103" s="153">
        <v>726</v>
      </c>
      <c r="P103" s="275">
        <v>565</v>
      </c>
      <c r="Q103" s="275">
        <v>425</v>
      </c>
      <c r="R103" s="275">
        <v>233</v>
      </c>
      <c r="S103" s="275">
        <v>407</v>
      </c>
      <c r="T103" s="275">
        <v>357</v>
      </c>
      <c r="U103" s="275">
        <v>13</v>
      </c>
      <c r="V103" s="275">
        <v>55</v>
      </c>
      <c r="W103" s="275">
        <v>72</v>
      </c>
      <c r="X103" s="275">
        <v>277</v>
      </c>
      <c r="Y103" s="275">
        <v>487</v>
      </c>
      <c r="Z103" s="275">
        <v>539</v>
      </c>
      <c r="AA103" s="275">
        <f t="shared" si="7"/>
        <v>4156</v>
      </c>
      <c r="AB103" s="157">
        <f t="shared" si="8"/>
        <v>0.10419696133981848</v>
      </c>
      <c r="AD103" s="155">
        <v>5684</v>
      </c>
      <c r="AE103" s="157">
        <f t="shared" si="9"/>
        <v>0.13778391874530338</v>
      </c>
      <c r="AF103" s="156">
        <f t="shared" si="10"/>
        <v>-1528</v>
      </c>
      <c r="AG103" s="156">
        <v>4584</v>
      </c>
      <c r="AH103" s="157">
        <f t="shared" si="11"/>
        <v>0.1109551241709832</v>
      </c>
      <c r="AI103" s="296">
        <f t="shared" si="12"/>
        <v>-428</v>
      </c>
    </row>
    <row r="104" spans="8:35" x14ac:dyDescent="0.25">
      <c r="H104" s="15" t="s">
        <v>172</v>
      </c>
      <c r="I104" s="26" t="s">
        <v>1009</v>
      </c>
      <c r="J104" s="26" t="s">
        <v>1009</v>
      </c>
      <c r="K104" s="26"/>
      <c r="L104" s="26">
        <v>901700</v>
      </c>
      <c r="M104" s="162">
        <v>991753</v>
      </c>
      <c r="N104" s="26" t="s">
        <v>1140</v>
      </c>
      <c r="O104" s="145"/>
      <c r="P104" s="279"/>
      <c r="Q104" s="279"/>
      <c r="R104" s="279"/>
      <c r="S104" s="279"/>
      <c r="T104" s="279"/>
      <c r="U104" s="279"/>
      <c r="V104" s="279"/>
      <c r="W104" s="279"/>
      <c r="X104" s="279"/>
      <c r="Y104" s="279"/>
      <c r="Z104" s="279"/>
      <c r="AA104" s="279">
        <f t="shared" si="7"/>
        <v>0</v>
      </c>
      <c r="AB104" s="146" t="str">
        <f t="shared" si="8"/>
        <v/>
      </c>
      <c r="AD104" s="147">
        <v>127</v>
      </c>
      <c r="AE104" s="146">
        <f t="shared" si="9"/>
        <v>3.0785639832254623E-3</v>
      </c>
      <c r="AF104" s="148">
        <f t="shared" si="10"/>
        <v>-127</v>
      </c>
      <c r="AG104" s="148"/>
      <c r="AH104" s="146" t="str">
        <f t="shared" si="11"/>
        <v/>
      </c>
      <c r="AI104" s="300">
        <f t="shared" si="12"/>
        <v>0</v>
      </c>
    </row>
    <row r="105" spans="8:35" x14ac:dyDescent="0.25">
      <c r="H105" s="15" t="s">
        <v>257</v>
      </c>
      <c r="I105" s="28" t="s">
        <v>1010</v>
      </c>
      <c r="J105" s="28" t="s">
        <v>78</v>
      </c>
      <c r="K105" s="69"/>
      <c r="L105" s="25"/>
      <c r="M105" s="162"/>
      <c r="N105" s="25" t="s">
        <v>1015</v>
      </c>
      <c r="O105" s="153">
        <v>3863</v>
      </c>
      <c r="P105" s="275">
        <v>3471</v>
      </c>
      <c r="Q105" s="275">
        <v>3750</v>
      </c>
      <c r="R105" s="275">
        <v>3450</v>
      </c>
      <c r="S105" s="275">
        <v>3162</v>
      </c>
      <c r="T105" s="275">
        <v>3403</v>
      </c>
      <c r="U105" s="275">
        <v>3372</v>
      </c>
      <c r="V105" s="275">
        <v>2982</v>
      </c>
      <c r="W105" s="275">
        <v>2676</v>
      </c>
      <c r="X105" s="275">
        <v>3180</v>
      </c>
      <c r="Y105" s="275">
        <v>2944</v>
      </c>
      <c r="Z105" s="275">
        <v>3443</v>
      </c>
      <c r="AA105" s="275">
        <f t="shared" si="7"/>
        <v>39696</v>
      </c>
      <c r="AB105" s="157">
        <f t="shared" si="8"/>
        <v>0.99523642380785238</v>
      </c>
      <c r="AD105" s="155">
        <v>41137</v>
      </c>
      <c r="AE105" s="157">
        <f t="shared" si="9"/>
        <v>0.99718808329091213</v>
      </c>
      <c r="AF105" s="156">
        <f t="shared" si="10"/>
        <v>-1441</v>
      </c>
      <c r="AG105" s="156">
        <v>40967</v>
      </c>
      <c r="AH105" s="157">
        <f t="shared" si="11"/>
        <v>0.9916009101031128</v>
      </c>
      <c r="AI105" s="296">
        <f t="shared" si="12"/>
        <v>-1271</v>
      </c>
    </row>
    <row r="106" spans="8:35" x14ac:dyDescent="0.25">
      <c r="H106" s="15" t="s">
        <v>176</v>
      </c>
      <c r="I106" s="26" t="s">
        <v>1009</v>
      </c>
      <c r="J106" s="26" t="s">
        <v>1009</v>
      </c>
      <c r="K106" s="26"/>
      <c r="L106" s="26">
        <v>903100</v>
      </c>
      <c r="M106" s="162">
        <v>991022</v>
      </c>
      <c r="N106" s="26" t="s">
        <v>1148</v>
      </c>
      <c r="O106" s="145">
        <v>18</v>
      </c>
      <c r="P106" s="279">
        <v>48</v>
      </c>
      <c r="Q106" s="279">
        <v>12</v>
      </c>
      <c r="R106" s="279">
        <v>7</v>
      </c>
      <c r="S106" s="279">
        <v>2</v>
      </c>
      <c r="T106" s="279">
        <v>2</v>
      </c>
      <c r="U106" s="279">
        <v>7</v>
      </c>
      <c r="V106" s="279">
        <v>10</v>
      </c>
      <c r="W106" s="279">
        <v>4</v>
      </c>
      <c r="X106" s="279">
        <v>19</v>
      </c>
      <c r="Y106" s="279">
        <v>35</v>
      </c>
      <c r="Z106" s="279">
        <v>26</v>
      </c>
      <c r="AA106" s="279">
        <f t="shared" si="7"/>
        <v>190</v>
      </c>
      <c r="AB106" s="146">
        <f t="shared" si="8"/>
        <v>4.763576192147621E-3</v>
      </c>
      <c r="AD106" s="147">
        <v>116</v>
      </c>
      <c r="AE106" s="146">
        <f t="shared" si="9"/>
        <v>2.8119167090878239E-3</v>
      </c>
      <c r="AF106" s="148">
        <f t="shared" si="10"/>
        <v>74</v>
      </c>
      <c r="AG106" s="148">
        <v>347</v>
      </c>
      <c r="AH106" s="146">
        <f t="shared" si="11"/>
        <v>8.3990898968872539E-3</v>
      </c>
      <c r="AI106" s="300">
        <f t="shared" si="12"/>
        <v>-157</v>
      </c>
    </row>
    <row r="107" spans="8:35" x14ac:dyDescent="0.25">
      <c r="H107" s="15" t="s">
        <v>174</v>
      </c>
      <c r="I107" s="28" t="s">
        <v>1010</v>
      </c>
      <c r="J107" s="28" t="s">
        <v>78</v>
      </c>
      <c r="K107" s="69"/>
      <c r="L107" s="25">
        <v>900200</v>
      </c>
      <c r="M107" s="162"/>
      <c r="N107" s="25" t="s">
        <v>1053</v>
      </c>
      <c r="O107" s="153">
        <v>3881</v>
      </c>
      <c r="P107" s="275">
        <v>3519</v>
      </c>
      <c r="Q107" s="275">
        <v>3762</v>
      </c>
      <c r="R107" s="275">
        <v>3457</v>
      </c>
      <c r="S107" s="275">
        <v>3164</v>
      </c>
      <c r="T107" s="275">
        <v>3405</v>
      </c>
      <c r="U107" s="275">
        <v>3379</v>
      </c>
      <c r="V107" s="275">
        <v>2992</v>
      </c>
      <c r="W107" s="275">
        <v>2680</v>
      </c>
      <c r="X107" s="275">
        <v>3199</v>
      </c>
      <c r="Y107" s="275">
        <v>2979</v>
      </c>
      <c r="Z107" s="275">
        <v>3469</v>
      </c>
      <c r="AA107" s="275">
        <f t="shared" si="7"/>
        <v>39886</v>
      </c>
      <c r="AB107" s="157">
        <f t="shared" si="8"/>
        <v>1</v>
      </c>
      <c r="AD107" s="155">
        <v>41253</v>
      </c>
      <c r="AE107" s="157">
        <f t="shared" si="9"/>
        <v>1</v>
      </c>
      <c r="AF107" s="156">
        <f t="shared" si="10"/>
        <v>-1367</v>
      </c>
      <c r="AG107" s="156">
        <v>41314</v>
      </c>
      <c r="AH107" s="157">
        <f t="shared" si="11"/>
        <v>1</v>
      </c>
      <c r="AI107" s="296">
        <f t="shared" si="12"/>
        <v>-1428</v>
      </c>
    </row>
    <row r="108" spans="8:35" x14ac:dyDescent="0.25">
      <c r="H108" s="15" t="s">
        <v>175</v>
      </c>
      <c r="I108" s="26" t="s">
        <v>1011</v>
      </c>
      <c r="J108" s="26" t="s">
        <v>78</v>
      </c>
      <c r="K108" s="26"/>
      <c r="L108" s="26"/>
      <c r="M108" s="162"/>
      <c r="N108" s="26" t="s">
        <v>175</v>
      </c>
      <c r="O108" s="81"/>
      <c r="P108" s="276"/>
      <c r="Q108" s="276"/>
      <c r="R108" s="276"/>
      <c r="S108" s="276"/>
      <c r="T108" s="276"/>
      <c r="U108" s="276"/>
      <c r="V108" s="276"/>
      <c r="W108" s="276"/>
      <c r="X108" s="276"/>
      <c r="Y108" s="276"/>
      <c r="Z108" s="276"/>
      <c r="AA108" s="276">
        <f t="shared" si="7"/>
        <v>0</v>
      </c>
      <c r="AB108" s="117" t="str">
        <f t="shared" si="8"/>
        <v/>
      </c>
      <c r="AD108" s="82"/>
      <c r="AE108" s="117" t="str">
        <f t="shared" si="9"/>
        <v/>
      </c>
      <c r="AF108" s="84">
        <f t="shared" si="10"/>
        <v>0</v>
      </c>
      <c r="AG108" s="84"/>
      <c r="AH108" s="117" t="str">
        <f t="shared" si="11"/>
        <v/>
      </c>
      <c r="AI108" s="297">
        <f t="shared" si="12"/>
        <v>0</v>
      </c>
    </row>
    <row r="109" spans="8:35" x14ac:dyDescent="0.25">
      <c r="H109" s="15" t="s">
        <v>211</v>
      </c>
      <c r="I109" s="26" t="s">
        <v>1009</v>
      </c>
      <c r="J109" s="26" t="s">
        <v>1009</v>
      </c>
      <c r="K109" s="26"/>
      <c r="L109" s="26">
        <v>904100</v>
      </c>
      <c r="M109" s="162">
        <v>991001</v>
      </c>
      <c r="N109" s="26" t="s">
        <v>1014</v>
      </c>
      <c r="O109" s="89">
        <v>4092</v>
      </c>
      <c r="P109" s="273">
        <v>3696</v>
      </c>
      <c r="Q109" s="273">
        <v>4092</v>
      </c>
      <c r="R109" s="273">
        <v>3960</v>
      </c>
      <c r="S109" s="273">
        <v>4092</v>
      </c>
      <c r="T109" s="273">
        <v>3960</v>
      </c>
      <c r="U109" s="273">
        <v>4092</v>
      </c>
      <c r="V109" s="273">
        <v>4092</v>
      </c>
      <c r="W109" s="273">
        <v>3960</v>
      </c>
      <c r="X109" s="273">
        <v>4092</v>
      </c>
      <c r="Y109" s="273">
        <v>3960</v>
      </c>
      <c r="Z109" s="273">
        <v>4092</v>
      </c>
      <c r="AA109" s="273">
        <f t="shared" si="7"/>
        <v>48180</v>
      </c>
      <c r="AB109" s="115">
        <f t="shared" si="8"/>
        <v>1.2079426365140651</v>
      </c>
      <c r="AD109" s="90">
        <v>48180</v>
      </c>
      <c r="AE109" s="115">
        <f t="shared" si="9"/>
        <v>1.1679150607228566</v>
      </c>
      <c r="AF109" s="92">
        <f t="shared" si="10"/>
        <v>0</v>
      </c>
      <c r="AG109" s="92">
        <v>48180</v>
      </c>
      <c r="AH109" s="115">
        <f t="shared" si="11"/>
        <v>1.1661906375562763</v>
      </c>
      <c r="AI109" s="294">
        <f t="shared" si="12"/>
        <v>0</v>
      </c>
    </row>
    <row r="110" spans="8:35" x14ac:dyDescent="0.25">
      <c r="H110" s="15" t="s">
        <v>212</v>
      </c>
      <c r="I110" s="26" t="s">
        <v>1009</v>
      </c>
      <c r="J110" s="26" t="s">
        <v>1009</v>
      </c>
      <c r="K110" s="26"/>
      <c r="L110" s="26">
        <v>905100</v>
      </c>
      <c r="M110" s="162">
        <v>991765</v>
      </c>
      <c r="N110" s="26" t="s">
        <v>1149</v>
      </c>
      <c r="O110" s="89"/>
      <c r="P110" s="273"/>
      <c r="Q110" s="273"/>
      <c r="R110" s="273"/>
      <c r="S110" s="273"/>
      <c r="T110" s="273"/>
      <c r="U110" s="273"/>
      <c r="V110" s="273"/>
      <c r="W110" s="273"/>
      <c r="X110" s="273"/>
      <c r="Y110" s="273"/>
      <c r="Z110" s="273"/>
      <c r="AA110" s="273">
        <f t="shared" si="7"/>
        <v>0</v>
      </c>
      <c r="AB110" s="115" t="str">
        <f t="shared" si="8"/>
        <v/>
      </c>
      <c r="AD110" s="90"/>
      <c r="AE110" s="115" t="str">
        <f t="shared" si="9"/>
        <v/>
      </c>
      <c r="AF110" s="92">
        <f t="shared" si="10"/>
        <v>0</v>
      </c>
      <c r="AG110" s="92"/>
      <c r="AH110" s="115" t="str">
        <f t="shared" si="11"/>
        <v/>
      </c>
      <c r="AI110" s="294">
        <f t="shared" si="12"/>
        <v>0</v>
      </c>
    </row>
    <row r="111" spans="8:35" x14ac:dyDescent="0.25">
      <c r="H111" s="15" t="s">
        <v>213</v>
      </c>
      <c r="I111" s="26" t="s">
        <v>1009</v>
      </c>
      <c r="J111" s="26" t="s">
        <v>1009</v>
      </c>
      <c r="K111" s="26"/>
      <c r="L111" s="26">
        <v>905200</v>
      </c>
      <c r="M111" s="162">
        <v>991766</v>
      </c>
      <c r="N111" s="26" t="s">
        <v>1150</v>
      </c>
      <c r="O111" s="89">
        <v>66</v>
      </c>
      <c r="P111" s="273">
        <v>22</v>
      </c>
      <c r="Q111" s="273">
        <v>48</v>
      </c>
      <c r="R111" s="273">
        <v>79</v>
      </c>
      <c r="S111" s="273">
        <v>127</v>
      </c>
      <c r="T111" s="273">
        <v>61</v>
      </c>
      <c r="U111" s="273">
        <v>127</v>
      </c>
      <c r="V111" s="273">
        <v>240</v>
      </c>
      <c r="W111" s="273">
        <v>116</v>
      </c>
      <c r="X111" s="273">
        <v>62</v>
      </c>
      <c r="Y111" s="273">
        <v>79</v>
      </c>
      <c r="Z111" s="273">
        <v>80</v>
      </c>
      <c r="AA111" s="273">
        <f t="shared" si="7"/>
        <v>1107</v>
      </c>
      <c r="AB111" s="115">
        <f t="shared" si="8"/>
        <v>2.7754099182670612E-2</v>
      </c>
      <c r="AD111" s="90"/>
      <c r="AE111" s="115" t="str">
        <f t="shared" si="9"/>
        <v/>
      </c>
      <c r="AF111" s="92">
        <f t="shared" si="10"/>
        <v>1107</v>
      </c>
      <c r="AG111" s="92">
        <v>1538</v>
      </c>
      <c r="AH111" s="115">
        <f t="shared" si="11"/>
        <v>3.7227090090526216E-2</v>
      </c>
      <c r="AI111" s="294">
        <f t="shared" si="12"/>
        <v>-431</v>
      </c>
    </row>
    <row r="112" spans="8:35" x14ac:dyDescent="0.25">
      <c r="H112" s="15" t="s">
        <v>214</v>
      </c>
      <c r="I112" s="26" t="s">
        <v>1009</v>
      </c>
      <c r="J112" s="26" t="s">
        <v>1009</v>
      </c>
      <c r="K112" s="26"/>
      <c r="L112" s="26">
        <v>905300</v>
      </c>
      <c r="M112" s="162">
        <v>991009</v>
      </c>
      <c r="N112" s="26" t="s">
        <v>1151</v>
      </c>
      <c r="O112" s="89"/>
      <c r="P112" s="273"/>
      <c r="Q112" s="273"/>
      <c r="R112" s="273"/>
      <c r="S112" s="273"/>
      <c r="T112" s="273"/>
      <c r="U112" s="273"/>
      <c r="V112" s="273"/>
      <c r="W112" s="273"/>
      <c r="X112" s="273"/>
      <c r="Y112" s="273"/>
      <c r="Z112" s="273"/>
      <c r="AA112" s="273">
        <f t="shared" si="7"/>
        <v>0</v>
      </c>
      <c r="AB112" s="115" t="str">
        <f t="shared" si="8"/>
        <v/>
      </c>
      <c r="AD112" s="90"/>
      <c r="AE112" s="115" t="str">
        <f t="shared" si="9"/>
        <v/>
      </c>
      <c r="AF112" s="92">
        <f t="shared" si="10"/>
        <v>0</v>
      </c>
      <c r="AG112" s="92"/>
      <c r="AH112" s="115" t="str">
        <f t="shared" si="11"/>
        <v/>
      </c>
      <c r="AI112" s="294">
        <f t="shared" si="12"/>
        <v>0</v>
      </c>
    </row>
    <row r="113" spans="7:35" x14ac:dyDescent="0.25">
      <c r="H113" s="15" t="s">
        <v>215</v>
      </c>
      <c r="I113" s="26" t="s">
        <v>1009</v>
      </c>
      <c r="J113" s="26" t="s">
        <v>1009</v>
      </c>
      <c r="K113" s="26"/>
      <c r="L113" s="26">
        <v>906100</v>
      </c>
      <c r="M113" s="162">
        <v>991008</v>
      </c>
      <c r="N113" s="26" t="s">
        <v>1152</v>
      </c>
      <c r="O113" s="89">
        <v>1465</v>
      </c>
      <c r="P113" s="273">
        <v>1336</v>
      </c>
      <c r="Q113" s="273">
        <v>1291</v>
      </c>
      <c r="R113" s="273">
        <v>1219</v>
      </c>
      <c r="S113" s="273">
        <v>1200</v>
      </c>
      <c r="T113" s="273">
        <v>1324</v>
      </c>
      <c r="U113" s="273">
        <v>1261</v>
      </c>
      <c r="V113" s="273">
        <v>1149</v>
      </c>
      <c r="W113" s="273">
        <v>1082</v>
      </c>
      <c r="X113" s="273">
        <v>1238</v>
      </c>
      <c r="Y113" s="273">
        <v>1145</v>
      </c>
      <c r="Z113" s="273">
        <v>1395</v>
      </c>
      <c r="AA113" s="273">
        <f t="shared" si="7"/>
        <v>15105</v>
      </c>
      <c r="AB113" s="115">
        <f t="shared" si="8"/>
        <v>0.37870430727573584</v>
      </c>
      <c r="AD113" s="90"/>
      <c r="AE113" s="115" t="str">
        <f t="shared" si="9"/>
        <v/>
      </c>
      <c r="AF113" s="92">
        <f t="shared" si="10"/>
        <v>15105</v>
      </c>
      <c r="AG113" s="92">
        <v>14280</v>
      </c>
      <c r="AH113" s="115">
        <f t="shared" si="11"/>
        <v>0.34564554388342933</v>
      </c>
      <c r="AI113" s="294">
        <f t="shared" si="12"/>
        <v>825</v>
      </c>
    </row>
    <row r="114" spans="7:35" x14ac:dyDescent="0.25">
      <c r="H114" s="15" t="s">
        <v>216</v>
      </c>
      <c r="I114" s="26" t="s">
        <v>1009</v>
      </c>
      <c r="J114" s="26" t="s">
        <v>1009</v>
      </c>
      <c r="K114" s="26"/>
      <c r="L114" s="26">
        <v>907100</v>
      </c>
      <c r="M114" s="162">
        <v>991007</v>
      </c>
      <c r="N114" s="26" t="s">
        <v>1153</v>
      </c>
      <c r="O114" s="89">
        <v>1472</v>
      </c>
      <c r="P114" s="273">
        <v>1336</v>
      </c>
      <c r="Q114" s="273">
        <v>1300</v>
      </c>
      <c r="R114" s="273">
        <v>1219</v>
      </c>
      <c r="S114" s="273">
        <v>1217</v>
      </c>
      <c r="T114" s="273">
        <v>1215</v>
      </c>
      <c r="U114" s="273">
        <v>2375</v>
      </c>
      <c r="V114" s="273">
        <v>1146</v>
      </c>
      <c r="W114" s="273">
        <v>1056</v>
      </c>
      <c r="X114" s="273">
        <v>1260</v>
      </c>
      <c r="Y114" s="273">
        <v>1135</v>
      </c>
      <c r="Z114" s="273">
        <v>1363</v>
      </c>
      <c r="AA114" s="273">
        <f t="shared" si="7"/>
        <v>16094</v>
      </c>
      <c r="AB114" s="115">
        <f t="shared" si="8"/>
        <v>0.40349997492854633</v>
      </c>
      <c r="AD114" s="90"/>
      <c r="AE114" s="115" t="str">
        <f t="shared" si="9"/>
        <v/>
      </c>
      <c r="AF114" s="92">
        <f t="shared" si="10"/>
        <v>16094</v>
      </c>
      <c r="AG114" s="92">
        <v>15211</v>
      </c>
      <c r="AH114" s="115">
        <f t="shared" si="11"/>
        <v>0.36818027787190782</v>
      </c>
      <c r="AI114" s="294">
        <f t="shared" si="12"/>
        <v>883</v>
      </c>
    </row>
    <row r="115" spans="7:35" x14ac:dyDescent="0.25">
      <c r="H115" s="15" t="s">
        <v>217</v>
      </c>
      <c r="I115" s="26" t="s">
        <v>1009</v>
      </c>
      <c r="J115" s="26" t="s">
        <v>1009</v>
      </c>
      <c r="K115" s="26"/>
      <c r="L115" s="26">
        <v>907200</v>
      </c>
      <c r="M115" s="162">
        <v>991700</v>
      </c>
      <c r="N115" s="26" t="s">
        <v>1154</v>
      </c>
      <c r="O115" s="89">
        <v>1258</v>
      </c>
      <c r="P115" s="273">
        <v>992</v>
      </c>
      <c r="Q115" s="273">
        <v>1133</v>
      </c>
      <c r="R115" s="273">
        <v>1049</v>
      </c>
      <c r="S115" s="273">
        <v>819</v>
      </c>
      <c r="T115" s="273">
        <v>1103</v>
      </c>
      <c r="U115" s="273">
        <v>819</v>
      </c>
      <c r="V115" s="273">
        <v>807</v>
      </c>
      <c r="W115" s="273">
        <v>647</v>
      </c>
      <c r="X115" s="273">
        <v>740</v>
      </c>
      <c r="Y115" s="273">
        <v>841</v>
      </c>
      <c r="Z115" s="273">
        <v>960</v>
      </c>
      <c r="AA115" s="273">
        <f t="shared" si="7"/>
        <v>11168</v>
      </c>
      <c r="AB115" s="115">
        <f t="shared" si="8"/>
        <v>0.27999799428370858</v>
      </c>
      <c r="AD115" s="90">
        <v>9371</v>
      </c>
      <c r="AE115" s="115">
        <f t="shared" si="9"/>
        <v>0.22715923690398274</v>
      </c>
      <c r="AF115" s="92">
        <f t="shared" si="10"/>
        <v>1797</v>
      </c>
      <c r="AG115" s="92">
        <v>8893</v>
      </c>
      <c r="AH115" s="115">
        <f t="shared" si="11"/>
        <v>0.21525390908650821</v>
      </c>
      <c r="AI115" s="294">
        <f t="shared" si="12"/>
        <v>2275</v>
      </c>
    </row>
    <row r="116" spans="7:35" x14ac:dyDescent="0.25">
      <c r="H116" s="15" t="s">
        <v>218</v>
      </c>
      <c r="I116" s="26" t="s">
        <v>1009</v>
      </c>
      <c r="J116" s="26" t="s">
        <v>1009</v>
      </c>
      <c r="K116" s="26"/>
      <c r="L116" s="26">
        <v>907300</v>
      </c>
      <c r="M116" s="162">
        <v>991059</v>
      </c>
      <c r="N116" s="26" t="s">
        <v>1155</v>
      </c>
      <c r="O116" s="109">
        <v>6518</v>
      </c>
      <c r="P116" s="280">
        <v>5829</v>
      </c>
      <c r="Q116" s="280">
        <v>6468</v>
      </c>
      <c r="R116" s="280">
        <v>6403</v>
      </c>
      <c r="S116" s="280">
        <v>5322</v>
      </c>
      <c r="T116" s="280">
        <v>5664</v>
      </c>
      <c r="U116" s="280">
        <v>6509</v>
      </c>
      <c r="V116" s="280">
        <v>5635</v>
      </c>
      <c r="W116" s="280">
        <v>4627</v>
      </c>
      <c r="X116" s="280">
        <v>5570</v>
      </c>
      <c r="Y116" s="280">
        <v>5127</v>
      </c>
      <c r="Z116" s="280">
        <v>6249</v>
      </c>
      <c r="AA116" s="280">
        <f t="shared" si="7"/>
        <v>69921</v>
      </c>
      <c r="AB116" s="113" t="str">
        <f t="shared" si="8"/>
        <v>1.75</v>
      </c>
      <c r="AD116" s="110"/>
      <c r="AE116" s="113" t="str">
        <f t="shared" si="9"/>
        <v>0.00</v>
      </c>
      <c r="AF116" s="111">
        <f t="shared" si="10"/>
        <v>69921</v>
      </c>
      <c r="AG116" s="111">
        <v>73746</v>
      </c>
      <c r="AH116" s="113" t="str">
        <f t="shared" si="11"/>
        <v>1.79</v>
      </c>
      <c r="AI116" s="301">
        <f t="shared" si="12"/>
        <v>-3825</v>
      </c>
    </row>
    <row r="117" spans="7:35" x14ac:dyDescent="0.25">
      <c r="I117" s="1"/>
      <c r="J117" s="1"/>
      <c r="N117" s="26"/>
      <c r="O117" s="53"/>
      <c r="P117" s="54"/>
      <c r="Q117" s="54"/>
      <c r="R117" s="54"/>
      <c r="S117" s="54"/>
      <c r="T117" s="54"/>
      <c r="U117" s="54"/>
      <c r="V117" s="54"/>
      <c r="W117" s="54"/>
      <c r="X117" s="54"/>
      <c r="Y117" s="54"/>
      <c r="Z117" s="54"/>
      <c r="AA117" s="54"/>
      <c r="AB117" s="55"/>
      <c r="AD117" s="53"/>
      <c r="AE117" s="54"/>
      <c r="AF117" s="55"/>
      <c r="AG117" s="53"/>
      <c r="AH117" s="54"/>
      <c r="AI117" s="55"/>
    </row>
    <row r="118" spans="7:35" x14ac:dyDescent="0.25">
      <c r="H118" s="1" t="s">
        <v>494</v>
      </c>
      <c r="I118" s="11" t="s">
        <v>1011</v>
      </c>
      <c r="J118" s="11" t="s">
        <v>78</v>
      </c>
      <c r="N118" s="40" t="s">
        <v>1156</v>
      </c>
      <c r="O118" s="202" t="s">
        <v>743</v>
      </c>
      <c r="P118" s="202" t="s">
        <v>743</v>
      </c>
      <c r="Q118" s="202" t="s">
        <v>743</v>
      </c>
      <c r="R118" s="202" t="s">
        <v>743</v>
      </c>
      <c r="S118" s="202" t="s">
        <v>743</v>
      </c>
      <c r="T118" s="202" t="s">
        <v>743</v>
      </c>
      <c r="U118" s="202" t="s">
        <v>743</v>
      </c>
      <c r="V118" s="202" t="s">
        <v>743</v>
      </c>
      <c r="W118" s="202" t="s">
        <v>743</v>
      </c>
      <c r="X118" s="202" t="s">
        <v>743</v>
      </c>
      <c r="Y118" s="202" t="s">
        <v>743</v>
      </c>
      <c r="Z118" s="202" t="s">
        <v>743</v>
      </c>
      <c r="AA118" s="202" t="s">
        <v>743</v>
      </c>
      <c r="AB118" s="202" t="s">
        <v>744</v>
      </c>
      <c r="AD118" s="202" t="s">
        <v>743</v>
      </c>
      <c r="AE118" s="202" t="s">
        <v>744</v>
      </c>
      <c r="AF118" s="202"/>
      <c r="AG118" s="202" t="s">
        <v>743</v>
      </c>
      <c r="AH118" s="202" t="s">
        <v>744</v>
      </c>
      <c r="AI118" s="202"/>
    </row>
    <row r="119" spans="7:35" x14ac:dyDescent="0.25">
      <c r="G119" s="69" t="str">
        <f t="shared" ref="G119:G151" si="13">REPLACE(H119,1,3,"OCC")</f>
        <v>OCC_RETAIL</v>
      </c>
      <c r="H119" s="15" t="s">
        <v>190</v>
      </c>
      <c r="I119" s="28" t="s">
        <v>1012</v>
      </c>
      <c r="J119" s="28" t="s">
        <v>78</v>
      </c>
      <c r="L119" s="25"/>
      <c r="M119" s="162"/>
      <c r="N119" s="25" t="s">
        <v>1059</v>
      </c>
      <c r="O119" s="100">
        <v>290.81170714285702</v>
      </c>
      <c r="P119" s="281">
        <v>413.02911678832101</v>
      </c>
      <c r="Q119" s="281">
        <v>314.98905213270098</v>
      </c>
      <c r="R119" s="281">
        <v>254.79092024539901</v>
      </c>
      <c r="S119" s="281">
        <v>239.281044247788</v>
      </c>
      <c r="T119" s="281">
        <v>186.48071428571399</v>
      </c>
      <c r="U119" s="281">
        <v>188.40574485596699</v>
      </c>
      <c r="V119" s="281">
        <v>182.43303571428601</v>
      </c>
      <c r="W119" s="281">
        <v>168.74749647390701</v>
      </c>
      <c r="X119" s="281">
        <v>182.699340788699</v>
      </c>
      <c r="Y119" s="281">
        <v>221.42559753276799</v>
      </c>
      <c r="Z119" s="281">
        <v>329.88385199240997</v>
      </c>
      <c r="AA119" s="281">
        <f t="shared" ref="AA119:AA150" si="14">IFERROR(AA34/AA72,0)</f>
        <v>249.07346575342467</v>
      </c>
      <c r="AB119" s="197">
        <v>0.33333333333333298</v>
      </c>
      <c r="AD119" s="100">
        <v>305.69016237231301</v>
      </c>
      <c r="AE119" s="197">
        <v>0.27227065172270698</v>
      </c>
      <c r="AF119" s="101">
        <f t="shared" ref="AF119:AF152" si="15">IF(AND($AA119="",AD119=""),"",$AA119-AD119)</f>
        <v>-56.616696618888341</v>
      </c>
      <c r="AG119" s="100">
        <v>267.18962281452502</v>
      </c>
      <c r="AH119" s="197">
        <v>0.33951847239518501</v>
      </c>
      <c r="AI119" s="302">
        <f t="shared" ref="AI119:AI152" si="16">IF(AND($AA119="",AG119=""),"",$AA119-AG119)</f>
        <v>-18.116157061100353</v>
      </c>
    </row>
    <row r="120" spans="7:35" x14ac:dyDescent="0.25">
      <c r="G120" s="76" t="str">
        <f t="shared" si="13"/>
        <v>OCC_ROOM</v>
      </c>
      <c r="H120" s="15" t="s">
        <v>191</v>
      </c>
      <c r="I120" s="26" t="s">
        <v>1009</v>
      </c>
      <c r="J120" s="26" t="s">
        <v>78</v>
      </c>
      <c r="L120" s="26"/>
      <c r="M120" s="162"/>
      <c r="N120" s="26" t="s">
        <v>1124</v>
      </c>
      <c r="O120" s="107">
        <v>575.88469798657695</v>
      </c>
      <c r="P120" s="282">
        <v>747.395367965368</v>
      </c>
      <c r="Q120" s="282">
        <v>438.62751054852299</v>
      </c>
      <c r="R120" s="282">
        <v>316.40506437768198</v>
      </c>
      <c r="S120" s="282">
        <v>314.85423280423299</v>
      </c>
      <c r="T120" s="282">
        <v>231.707384615385</v>
      </c>
      <c r="U120" s="282">
        <v>197.72743478260901</v>
      </c>
      <c r="V120" s="282">
        <v>199.934465116279</v>
      </c>
      <c r="W120" s="282">
        <v>177.749189189189</v>
      </c>
      <c r="X120" s="282">
        <v>185.291043478261</v>
      </c>
      <c r="Y120" s="282">
        <v>258.37238095238098</v>
      </c>
      <c r="Z120" s="282">
        <v>451.19543554006998</v>
      </c>
      <c r="AA120" s="282">
        <f t="shared" si="14"/>
        <v>356.00118398637136</v>
      </c>
      <c r="AB120" s="201">
        <v>4.8733914487339103E-2</v>
      </c>
      <c r="AD120" s="107">
        <v>347.80151586925598</v>
      </c>
      <c r="AE120" s="201">
        <v>4.3814860938148598E-2</v>
      </c>
      <c r="AF120" s="108">
        <f t="shared" si="15"/>
        <v>8.1996681171153796</v>
      </c>
      <c r="AG120" s="107">
        <v>375.83981173864902</v>
      </c>
      <c r="AH120" s="201">
        <v>3.7484433374844299E-2</v>
      </c>
      <c r="AI120" s="303">
        <f t="shared" si="16"/>
        <v>-19.83862775227766</v>
      </c>
    </row>
    <row r="121" spans="7:35" x14ac:dyDescent="0.25">
      <c r="G121" s="76" t="str">
        <f t="shared" si="13"/>
        <v>OCC_RWEB</v>
      </c>
      <c r="H121" s="15" t="s">
        <v>192</v>
      </c>
      <c r="I121" s="26" t="s">
        <v>1009</v>
      </c>
      <c r="J121" s="26" t="s">
        <v>78</v>
      </c>
      <c r="L121" s="26"/>
      <c r="M121" s="162"/>
      <c r="N121" s="26" t="s">
        <v>1125</v>
      </c>
      <c r="O121" s="107">
        <v>256.85816946442799</v>
      </c>
      <c r="P121" s="282">
        <v>345.21647058823498</v>
      </c>
      <c r="Q121" s="282">
        <v>286.51255587949498</v>
      </c>
      <c r="R121" s="282">
        <v>241.38653594771199</v>
      </c>
      <c r="S121" s="282">
        <v>224.10215727949</v>
      </c>
      <c r="T121" s="282">
        <v>179.99123620309001</v>
      </c>
      <c r="U121" s="282">
        <v>186.229106598985</v>
      </c>
      <c r="V121" s="282">
        <v>179.10016829052299</v>
      </c>
      <c r="W121" s="282">
        <v>167.39687753446901</v>
      </c>
      <c r="X121" s="282">
        <v>182.511180555556</v>
      </c>
      <c r="Y121" s="282">
        <v>216.70283478260899</v>
      </c>
      <c r="Z121" s="282">
        <v>302.97780525502299</v>
      </c>
      <c r="AA121" s="282">
        <f t="shared" si="14"/>
        <v>230.76349766627771</v>
      </c>
      <c r="AB121" s="201">
        <v>0.28459941884599399</v>
      </c>
      <c r="AD121" s="107">
        <v>297.61375034069198</v>
      </c>
      <c r="AE121" s="201">
        <v>0.22845579078455799</v>
      </c>
      <c r="AF121" s="108">
        <f t="shared" si="15"/>
        <v>-66.850252674414264</v>
      </c>
      <c r="AG121" s="107">
        <v>253.70541162726801</v>
      </c>
      <c r="AH121" s="201">
        <v>0.30203403902033998</v>
      </c>
      <c r="AI121" s="303">
        <f t="shared" si="16"/>
        <v>-22.941913960990291</v>
      </c>
    </row>
    <row r="122" spans="7:35" x14ac:dyDescent="0.25">
      <c r="G122" s="69" t="str">
        <f t="shared" si="13"/>
        <v>OCC_DISCNT</v>
      </c>
      <c r="H122" s="15" t="s">
        <v>193</v>
      </c>
      <c r="I122" s="28" t="s">
        <v>1012</v>
      </c>
      <c r="J122" s="28" t="s">
        <v>78</v>
      </c>
      <c r="L122" s="25"/>
      <c r="M122" s="162"/>
      <c r="N122" s="25" t="s">
        <v>1060</v>
      </c>
      <c r="O122" s="100">
        <v>299.90678004535198</v>
      </c>
      <c r="P122" s="281">
        <v>345.56185050136702</v>
      </c>
      <c r="Q122" s="281">
        <v>331.83589541547298</v>
      </c>
      <c r="R122" s="281">
        <v>277.01689107413</v>
      </c>
      <c r="S122" s="281">
        <v>243.643798195242</v>
      </c>
      <c r="T122" s="281">
        <v>192.80263007840301</v>
      </c>
      <c r="U122" s="281">
        <v>181.99601753287399</v>
      </c>
      <c r="V122" s="281">
        <v>145.74607106599001</v>
      </c>
      <c r="W122" s="281">
        <v>146.82686176836901</v>
      </c>
      <c r="X122" s="281">
        <v>186.68526708074501</v>
      </c>
      <c r="Y122" s="281">
        <v>220.92079779917501</v>
      </c>
      <c r="Z122" s="281">
        <v>328.042836644592</v>
      </c>
      <c r="AA122" s="281">
        <f t="shared" si="14"/>
        <v>245.38235294117649</v>
      </c>
      <c r="AB122" s="197">
        <v>0.28192195931921998</v>
      </c>
      <c r="AD122" s="100">
        <v>270.55433161047802</v>
      </c>
      <c r="AE122" s="197">
        <v>0.35338314653383102</v>
      </c>
      <c r="AF122" s="101">
        <f t="shared" si="15"/>
        <v>-25.171978669301524</v>
      </c>
      <c r="AG122" s="100">
        <v>289.17569255663398</v>
      </c>
      <c r="AH122" s="197">
        <v>0.32067247820672501</v>
      </c>
      <c r="AI122" s="302">
        <f t="shared" si="16"/>
        <v>-43.793339615457484</v>
      </c>
    </row>
    <row r="123" spans="7:35" x14ac:dyDescent="0.25">
      <c r="G123" s="76" t="str">
        <f t="shared" si="13"/>
        <v>OCC_PACK</v>
      </c>
      <c r="H123" s="15" t="s">
        <v>194</v>
      </c>
      <c r="I123" s="26" t="s">
        <v>1009</v>
      </c>
      <c r="J123" s="26" t="s">
        <v>78</v>
      </c>
      <c r="L123" s="26"/>
      <c r="M123" s="162"/>
      <c r="N123" s="26" t="s">
        <v>1126</v>
      </c>
      <c r="O123" s="107">
        <v>415.245</v>
      </c>
      <c r="P123" s="282">
        <v>391.11944444444401</v>
      </c>
      <c r="Q123" s="282">
        <v>484.88461538461502</v>
      </c>
      <c r="R123" s="282">
        <v>381.57916666666699</v>
      </c>
      <c r="S123" s="282">
        <v>337.92708333333297</v>
      </c>
      <c r="T123" s="282">
        <v>259.10571428571399</v>
      </c>
      <c r="U123" s="282">
        <v>254.771428571429</v>
      </c>
      <c r="V123" s="282">
        <v>267.90649999999999</v>
      </c>
      <c r="W123" s="282">
        <v>231.82499999999999</v>
      </c>
      <c r="X123" s="282">
        <v>278.32</v>
      </c>
      <c r="Y123" s="282">
        <v>306.30599999999998</v>
      </c>
      <c r="Z123" s="282">
        <v>505.86629629629601</v>
      </c>
      <c r="AA123" s="282">
        <f t="shared" si="14"/>
        <v>356.11338541666663</v>
      </c>
      <c r="AB123" s="201">
        <v>7.9701120797011204E-3</v>
      </c>
      <c r="AD123" s="107">
        <v>369.54272727272701</v>
      </c>
      <c r="AE123" s="201">
        <v>5.7077625570776296E-3</v>
      </c>
      <c r="AF123" s="108">
        <f t="shared" si="15"/>
        <v>-13.429341856060375</v>
      </c>
      <c r="AG123" s="107">
        <v>396.65126262626302</v>
      </c>
      <c r="AH123" s="201">
        <v>4.10958904109589E-3</v>
      </c>
      <c r="AI123" s="303">
        <f t="shared" si="16"/>
        <v>-40.537877209596388</v>
      </c>
    </row>
    <row r="124" spans="7:35" x14ac:dyDescent="0.25">
      <c r="G124" s="76" t="str">
        <f t="shared" si="13"/>
        <v>OCC_OTA</v>
      </c>
      <c r="H124" s="15" t="s">
        <v>195</v>
      </c>
      <c r="I124" s="26" t="s">
        <v>1009</v>
      </c>
      <c r="J124" s="26" t="s">
        <v>78</v>
      </c>
      <c r="L124" s="26"/>
      <c r="M124" s="162"/>
      <c r="N124" s="26" t="s">
        <v>1127</v>
      </c>
      <c r="O124" s="107">
        <v>288.35547169811298</v>
      </c>
      <c r="P124" s="282">
        <v>322.32073529411798</v>
      </c>
      <c r="Q124" s="282">
        <v>315.11408163265298</v>
      </c>
      <c r="R124" s="282">
        <v>242.90046511627901</v>
      </c>
      <c r="S124" s="282">
        <v>208.06849315068499</v>
      </c>
      <c r="T124" s="282">
        <v>154.31297619047601</v>
      </c>
      <c r="U124" s="282">
        <v>166.42921052631601</v>
      </c>
      <c r="V124" s="282">
        <v>158.770253164557</v>
      </c>
      <c r="W124" s="282">
        <v>133.53431034482799</v>
      </c>
      <c r="X124" s="282">
        <v>160.25447368421101</v>
      </c>
      <c r="Y124" s="282">
        <v>183.37754385964899</v>
      </c>
      <c r="Z124" s="282">
        <v>317.702857142857</v>
      </c>
      <c r="AA124" s="282">
        <f t="shared" si="14"/>
        <v>215.71062721893492</v>
      </c>
      <c r="AB124" s="201">
        <v>1.7538397675383999E-2</v>
      </c>
      <c r="AD124" s="107">
        <v>238.57524271844699</v>
      </c>
      <c r="AE124" s="201">
        <v>3.2067247820672502E-2</v>
      </c>
      <c r="AF124" s="108">
        <f t="shared" si="15"/>
        <v>-22.86461549951207</v>
      </c>
      <c r="AG124" s="107">
        <v>225.78396995708201</v>
      </c>
      <c r="AH124" s="201">
        <v>2.9016189290161899E-2</v>
      </c>
      <c r="AI124" s="303">
        <f t="shared" si="16"/>
        <v>-10.07334273814709</v>
      </c>
    </row>
    <row r="125" spans="7:35" x14ac:dyDescent="0.25">
      <c r="G125" s="76" t="str">
        <f t="shared" si="13"/>
        <v>OCC_BMPRO</v>
      </c>
      <c r="H125" s="15" t="s">
        <v>196</v>
      </c>
      <c r="I125" s="26" t="s">
        <v>1009</v>
      </c>
      <c r="J125" s="26" t="s">
        <v>78</v>
      </c>
      <c r="L125" s="26"/>
      <c r="M125" s="162"/>
      <c r="N125" s="26" t="s">
        <v>1128</v>
      </c>
      <c r="O125" s="107">
        <v>279.14453248811401</v>
      </c>
      <c r="P125" s="282">
        <v>281.91152173913002</v>
      </c>
      <c r="Q125" s="282">
        <v>180.62921787709499</v>
      </c>
      <c r="R125" s="282">
        <v>131.36151685393301</v>
      </c>
      <c r="S125" s="282">
        <v>120.697282608696</v>
      </c>
      <c r="T125" s="282">
        <v>92.736728971962606</v>
      </c>
      <c r="U125" s="282">
        <v>93.870860534124603</v>
      </c>
      <c r="V125" s="282">
        <v>71.7773684210526</v>
      </c>
      <c r="W125" s="282">
        <v>61.634999999999998</v>
      </c>
      <c r="X125" s="282">
        <v>78.526706586826293</v>
      </c>
      <c r="Y125" s="282">
        <v>92.269878048780498</v>
      </c>
      <c r="Z125" s="282">
        <v>150.565093167702</v>
      </c>
      <c r="AA125" s="282">
        <f t="shared" si="14"/>
        <v>155.30078334972137</v>
      </c>
      <c r="AB125" s="201">
        <v>6.3325031133250304E-2</v>
      </c>
      <c r="AD125" s="107">
        <v>188.50914447839401</v>
      </c>
      <c r="AE125" s="201">
        <v>4.7550850975508499E-2</v>
      </c>
      <c r="AF125" s="108">
        <f t="shared" si="15"/>
        <v>-33.208361128672635</v>
      </c>
      <c r="AG125" s="107">
        <v>193.12688273615601</v>
      </c>
      <c r="AH125" s="201">
        <v>6.3719385637193898E-2</v>
      </c>
      <c r="AI125" s="303">
        <f t="shared" si="16"/>
        <v>-37.826099386434635</v>
      </c>
    </row>
    <row r="126" spans="7:35" x14ac:dyDescent="0.25">
      <c r="G126" s="76" t="str">
        <f t="shared" si="13"/>
        <v>OCC_ADVPR</v>
      </c>
      <c r="H126" s="15" t="s">
        <v>197</v>
      </c>
      <c r="I126" s="26" t="s">
        <v>1009</v>
      </c>
      <c r="J126" s="26" t="s">
        <v>78</v>
      </c>
      <c r="L126" s="26"/>
      <c r="M126" s="162"/>
      <c r="N126" s="26" t="s">
        <v>1129</v>
      </c>
      <c r="O126" s="107">
        <v>313.48333333333301</v>
      </c>
      <c r="P126" s="282">
        <v>351.99919999999997</v>
      </c>
      <c r="Q126" s="282">
        <v>427.92870967741902</v>
      </c>
      <c r="R126" s="282">
        <v>344.42745454545502</v>
      </c>
      <c r="S126" s="282">
        <v>224.49226415094299</v>
      </c>
      <c r="T126" s="282">
        <v>216.29414634146301</v>
      </c>
      <c r="U126" s="282">
        <v>185.164295081967</v>
      </c>
      <c r="V126" s="282">
        <v>178.848382352941</v>
      </c>
      <c r="W126" s="282">
        <v>153.00384615384601</v>
      </c>
      <c r="X126" s="282">
        <v>299.58666666666699</v>
      </c>
      <c r="Y126" s="282">
        <v>258.474285714286</v>
      </c>
      <c r="Z126" s="282">
        <v>261.27319148936198</v>
      </c>
      <c r="AA126" s="282">
        <f t="shared" si="14"/>
        <v>235.83271971496433</v>
      </c>
      <c r="AB126" s="201">
        <v>1.7476131174761302E-2</v>
      </c>
      <c r="AD126" s="107">
        <v>308.15522388059702</v>
      </c>
      <c r="AE126" s="201">
        <v>0.125155666251557</v>
      </c>
      <c r="AF126" s="108">
        <f t="shared" si="15"/>
        <v>-72.322504165632694</v>
      </c>
      <c r="AG126" s="107">
        <v>369.46827825159897</v>
      </c>
      <c r="AH126" s="201">
        <v>7.7874636778746398E-2</v>
      </c>
      <c r="AI126" s="303">
        <f t="shared" si="16"/>
        <v>-133.63555853663465</v>
      </c>
    </row>
    <row r="127" spans="7:35" x14ac:dyDescent="0.25">
      <c r="G127" s="76" t="str">
        <f t="shared" si="13"/>
        <v>OCC_LDISCNT</v>
      </c>
      <c r="H127" s="15" t="s">
        <v>198</v>
      </c>
      <c r="I127" s="26" t="s">
        <v>1009</v>
      </c>
      <c r="J127" s="26" t="s">
        <v>78</v>
      </c>
      <c r="L127" s="26"/>
      <c r="M127" s="162"/>
      <c r="N127" s="26" t="s">
        <v>1130</v>
      </c>
      <c r="O127" s="107">
        <v>315.24850364963498</v>
      </c>
      <c r="P127" s="282">
        <v>370.629595375723</v>
      </c>
      <c r="Q127" s="282">
        <v>348.45473148148102</v>
      </c>
      <c r="R127" s="282">
        <v>297.737622309198</v>
      </c>
      <c r="S127" s="282">
        <v>268.85702671312401</v>
      </c>
      <c r="T127" s="282">
        <v>213.450728744939</v>
      </c>
      <c r="U127" s="282">
        <v>218.170829986613</v>
      </c>
      <c r="V127" s="282">
        <v>188.205049019608</v>
      </c>
      <c r="W127" s="282">
        <v>182.177540650407</v>
      </c>
      <c r="X127" s="282">
        <v>217.33592216582099</v>
      </c>
      <c r="Y127" s="282">
        <v>265.321920668058</v>
      </c>
      <c r="Z127" s="282">
        <v>369.72558770343602</v>
      </c>
      <c r="AA127" s="282">
        <f t="shared" si="14"/>
        <v>276.75353267935236</v>
      </c>
      <c r="AB127" s="201">
        <v>0.17561228725612299</v>
      </c>
      <c r="AD127" s="107">
        <v>268.14591140159803</v>
      </c>
      <c r="AE127" s="201">
        <v>0.14290161892901601</v>
      </c>
      <c r="AF127" s="108">
        <f t="shared" si="15"/>
        <v>8.6076212777543333</v>
      </c>
      <c r="AG127" s="107">
        <v>297.84371444823699</v>
      </c>
      <c r="AH127" s="201">
        <v>0.145952677459527</v>
      </c>
      <c r="AI127" s="303">
        <f t="shared" si="16"/>
        <v>-21.090181768884634</v>
      </c>
    </row>
    <row r="128" spans="7:35" x14ac:dyDescent="0.25">
      <c r="G128" s="76" t="str">
        <f t="shared" si="13"/>
        <v>OCC_PAPR</v>
      </c>
      <c r="H128" s="15" t="s">
        <v>199</v>
      </c>
      <c r="I128" s="26" t="s">
        <v>1009</v>
      </c>
      <c r="J128" s="26" t="s">
        <v>78</v>
      </c>
      <c r="L128" s="26"/>
      <c r="M128" s="162"/>
      <c r="N128" s="26" t="s">
        <v>1131</v>
      </c>
      <c r="O128" s="107"/>
      <c r="P128" s="282"/>
      <c r="Q128" s="282"/>
      <c r="R128" s="282"/>
      <c r="S128" s="282"/>
      <c r="T128" s="282"/>
      <c r="U128" s="282"/>
      <c r="V128" s="282"/>
      <c r="W128" s="282"/>
      <c r="X128" s="282"/>
      <c r="Y128" s="282"/>
      <c r="Z128" s="282"/>
      <c r="AA128" s="282">
        <f t="shared" si="14"/>
        <v>0</v>
      </c>
      <c r="AB128" s="201">
        <v>0</v>
      </c>
      <c r="AD128" s="107"/>
      <c r="AE128" s="201">
        <v>0</v>
      </c>
      <c r="AF128" s="108">
        <f t="shared" si="15"/>
        <v>0</v>
      </c>
      <c r="AG128" s="107"/>
      <c r="AH128" s="201">
        <v>0</v>
      </c>
      <c r="AI128" s="303">
        <f t="shared" si="16"/>
        <v>0</v>
      </c>
    </row>
    <row r="129" spans="7:35" x14ac:dyDescent="0.25">
      <c r="G129" s="69" t="str">
        <f t="shared" si="13"/>
        <v>OCC_NEGOT</v>
      </c>
      <c r="H129" s="15" t="s">
        <v>200</v>
      </c>
      <c r="I129" s="28" t="s">
        <v>1012</v>
      </c>
      <c r="J129" s="28" t="s">
        <v>78</v>
      </c>
      <c r="L129" s="25"/>
      <c r="M129" s="162"/>
      <c r="N129" s="25" t="s">
        <v>1061</v>
      </c>
      <c r="O129" s="100">
        <v>358.59</v>
      </c>
      <c r="P129" s="281">
        <v>425.628414634146</v>
      </c>
      <c r="Q129" s="281">
        <v>351.20633333333302</v>
      </c>
      <c r="R129" s="281">
        <v>289.25090225563901</v>
      </c>
      <c r="S129" s="281">
        <v>248.18507692307699</v>
      </c>
      <c r="T129" s="281">
        <v>233.58280575539601</v>
      </c>
      <c r="U129" s="281">
        <v>222.94829268292699</v>
      </c>
      <c r="V129" s="281">
        <v>204.08645161290301</v>
      </c>
      <c r="W129" s="281">
        <v>185.037978723404</v>
      </c>
      <c r="X129" s="281">
        <v>225.42038834951501</v>
      </c>
      <c r="Y129" s="281">
        <v>289.74208333333303</v>
      </c>
      <c r="Z129" s="281">
        <v>376.41815789473702</v>
      </c>
      <c r="AA129" s="281">
        <f t="shared" si="14"/>
        <v>286.40184663536769</v>
      </c>
      <c r="AB129" s="197">
        <v>2.6525529265255299E-2</v>
      </c>
      <c r="AD129" s="100">
        <v>312.09520889487902</v>
      </c>
      <c r="AE129" s="197">
        <v>3.0801162308011599E-2</v>
      </c>
      <c r="AF129" s="101">
        <f t="shared" si="15"/>
        <v>-25.693362259511332</v>
      </c>
      <c r="AG129" s="100">
        <v>313.04614213197999</v>
      </c>
      <c r="AH129" s="197">
        <v>2.8621834786218301E-2</v>
      </c>
      <c r="AI129" s="302">
        <f t="shared" si="16"/>
        <v>-26.644295496612301</v>
      </c>
    </row>
    <row r="130" spans="7:35" x14ac:dyDescent="0.25">
      <c r="G130" s="76" t="str">
        <f t="shared" si="13"/>
        <v>OCC_CONS</v>
      </c>
      <c r="H130" s="15" t="s">
        <v>201</v>
      </c>
      <c r="I130" s="26" t="s">
        <v>1009</v>
      </c>
      <c r="J130" s="26" t="s">
        <v>78</v>
      </c>
      <c r="L130" s="26"/>
      <c r="M130" s="162"/>
      <c r="N130" s="26" t="s">
        <v>1132</v>
      </c>
      <c r="O130" s="107">
        <v>438.46619047618998</v>
      </c>
      <c r="P130" s="282">
        <v>527.46911764705897</v>
      </c>
      <c r="Q130" s="282">
        <v>385.81327868852497</v>
      </c>
      <c r="R130" s="282">
        <v>313.86469387755102</v>
      </c>
      <c r="S130" s="282">
        <v>227.448888888889</v>
      </c>
      <c r="T130" s="282">
        <v>235.70793103448301</v>
      </c>
      <c r="U130" s="282">
        <v>218.397073170732</v>
      </c>
      <c r="V130" s="282">
        <v>221.23333333333301</v>
      </c>
      <c r="W130" s="282">
        <v>178.46297297297301</v>
      </c>
      <c r="X130" s="282">
        <v>228.9946875</v>
      </c>
      <c r="Y130" s="282">
        <v>249.29</v>
      </c>
      <c r="Z130" s="282">
        <v>335.041</v>
      </c>
      <c r="AA130" s="282">
        <f t="shared" si="14"/>
        <v>306.06771117166215</v>
      </c>
      <c r="AB130" s="201">
        <v>7.6172685761726902E-3</v>
      </c>
      <c r="AD130" s="107">
        <v>366.75979020979003</v>
      </c>
      <c r="AE130" s="201">
        <v>2.9680365296803702E-3</v>
      </c>
      <c r="AF130" s="108">
        <f t="shared" si="15"/>
        <v>-60.692079038127872</v>
      </c>
      <c r="AG130" s="107">
        <v>391.001209302326</v>
      </c>
      <c r="AH130" s="201">
        <v>4.4624325446243297E-3</v>
      </c>
      <c r="AI130" s="303">
        <f t="shared" si="16"/>
        <v>-84.93349813066385</v>
      </c>
    </row>
    <row r="131" spans="7:35" x14ac:dyDescent="0.25">
      <c r="G131" s="76" t="str">
        <f t="shared" si="13"/>
        <v>OCC_NNEG</v>
      </c>
      <c r="H131" s="15" t="s">
        <v>202</v>
      </c>
      <c r="I131" s="26" t="s">
        <v>1009</v>
      </c>
      <c r="J131" s="26" t="s">
        <v>78</v>
      </c>
      <c r="L131" s="26"/>
      <c r="M131" s="162"/>
      <c r="N131" s="26" t="s">
        <v>1133</v>
      </c>
      <c r="O131" s="107">
        <v>328.25</v>
      </c>
      <c r="P131" s="282">
        <v>353.96358974358998</v>
      </c>
      <c r="Q131" s="282">
        <v>337.42849999999999</v>
      </c>
      <c r="R131" s="282">
        <v>286.30847457627101</v>
      </c>
      <c r="S131" s="282">
        <v>240.05</v>
      </c>
      <c r="T131" s="282">
        <v>214.06833333333299</v>
      </c>
      <c r="U131" s="282">
        <v>204.87214285714299</v>
      </c>
      <c r="V131" s="282">
        <v>207.42039215686299</v>
      </c>
      <c r="W131" s="282">
        <v>183.83914893617001</v>
      </c>
      <c r="X131" s="282">
        <v>224.89934426229499</v>
      </c>
      <c r="Y131" s="282">
        <v>306.19389830508499</v>
      </c>
      <c r="Z131" s="282">
        <v>360.108888888889</v>
      </c>
      <c r="AA131" s="282">
        <f t="shared" si="14"/>
        <v>274.96296564195296</v>
      </c>
      <c r="AB131" s="201">
        <v>1.14777916147779E-2</v>
      </c>
      <c r="AD131" s="107">
        <v>322.55181286549703</v>
      </c>
      <c r="AE131" s="201">
        <v>1.0647571606475699E-2</v>
      </c>
      <c r="AF131" s="108">
        <f t="shared" si="15"/>
        <v>-47.588847223544064</v>
      </c>
      <c r="AG131" s="107">
        <v>297.79021598272101</v>
      </c>
      <c r="AH131" s="201">
        <v>9.6097965960979699E-3</v>
      </c>
      <c r="AI131" s="303">
        <f t="shared" si="16"/>
        <v>-22.827250340768046</v>
      </c>
    </row>
    <row r="132" spans="7:35" x14ac:dyDescent="0.25">
      <c r="G132" s="76" t="str">
        <f t="shared" si="13"/>
        <v>OCC_LNEG</v>
      </c>
      <c r="H132" s="15" t="s">
        <v>203</v>
      </c>
      <c r="I132" s="26" t="s">
        <v>1009</v>
      </c>
      <c r="J132" s="26" t="s">
        <v>78</v>
      </c>
      <c r="L132" s="26"/>
      <c r="M132" s="162"/>
      <c r="N132" s="26" t="s">
        <v>1134</v>
      </c>
      <c r="O132" s="107">
        <v>364</v>
      </c>
      <c r="P132" s="282">
        <v>351.444444444444</v>
      </c>
      <c r="Q132" s="282">
        <v>336.58608695652202</v>
      </c>
      <c r="R132" s="282">
        <v>247.952</v>
      </c>
      <c r="S132" s="282">
        <v>267.97130434782599</v>
      </c>
      <c r="T132" s="282">
        <v>242.24351351351399</v>
      </c>
      <c r="U132" s="282">
        <v>239.23222222222199</v>
      </c>
      <c r="V132" s="282">
        <v>171.777777777778</v>
      </c>
      <c r="W132" s="282">
        <v>215</v>
      </c>
      <c r="X132" s="282">
        <v>217.161</v>
      </c>
      <c r="Y132" s="282">
        <v>278.64137254901999</v>
      </c>
      <c r="Z132" s="282">
        <v>405.92105263157902</v>
      </c>
      <c r="AA132" s="282">
        <f t="shared" si="14"/>
        <v>283.91114525139665</v>
      </c>
      <c r="AB132" s="201">
        <v>7.4304690743046903E-3</v>
      </c>
      <c r="AD132" s="107">
        <v>296.17579710144901</v>
      </c>
      <c r="AE132" s="201">
        <v>1.7185554171855501E-2</v>
      </c>
      <c r="AF132" s="108">
        <f t="shared" si="15"/>
        <v>-12.26465185005236</v>
      </c>
      <c r="AG132" s="107">
        <v>299.21326676176898</v>
      </c>
      <c r="AH132" s="201">
        <v>1.4549605645496099E-2</v>
      </c>
      <c r="AI132" s="303">
        <f t="shared" si="16"/>
        <v>-15.302121510372331</v>
      </c>
    </row>
    <row r="133" spans="7:35" x14ac:dyDescent="0.25">
      <c r="G133" s="69" t="str">
        <f t="shared" si="13"/>
        <v>OCC_QUALF</v>
      </c>
      <c r="H133" s="15" t="s">
        <v>204</v>
      </c>
      <c r="I133" s="28" t="s">
        <v>1012</v>
      </c>
      <c r="J133" s="28" t="s">
        <v>78</v>
      </c>
      <c r="L133" s="25"/>
      <c r="M133" s="162"/>
      <c r="N133" s="25" t="s">
        <v>1062</v>
      </c>
      <c r="O133" s="100">
        <v>163.25886075949401</v>
      </c>
      <c r="P133" s="281">
        <v>176.57423076923101</v>
      </c>
      <c r="Q133" s="281">
        <v>222.530465116279</v>
      </c>
      <c r="R133" s="281">
        <v>214.38010869565201</v>
      </c>
      <c r="S133" s="281">
        <v>156.84575000000001</v>
      </c>
      <c r="T133" s="281">
        <v>137.363333333333</v>
      </c>
      <c r="U133" s="281">
        <v>180.51831775700899</v>
      </c>
      <c r="V133" s="281">
        <v>152.40017391304301</v>
      </c>
      <c r="W133" s="281">
        <v>121.481958762887</v>
      </c>
      <c r="X133" s="281">
        <v>146.48428571428599</v>
      </c>
      <c r="Y133" s="281">
        <v>178.81333333333299</v>
      </c>
      <c r="Z133" s="281">
        <v>176.640579710145</v>
      </c>
      <c r="AA133" s="281">
        <f t="shared" si="14"/>
        <v>169.52925501432668</v>
      </c>
      <c r="AB133" s="197">
        <v>2.17310087173101E-2</v>
      </c>
      <c r="AD133" s="100">
        <v>245.393496503497</v>
      </c>
      <c r="AE133" s="197">
        <v>2.3744292237442899E-2</v>
      </c>
      <c r="AF133" s="101">
        <f t="shared" si="15"/>
        <v>-75.864241489170325</v>
      </c>
      <c r="AG133" s="100">
        <v>182.994072883173</v>
      </c>
      <c r="AH133" s="197">
        <v>1.9364881693648799E-2</v>
      </c>
      <c r="AI133" s="302">
        <f t="shared" si="16"/>
        <v>-13.464817868846325</v>
      </c>
    </row>
    <row r="134" spans="7:35" x14ac:dyDescent="0.25">
      <c r="G134" s="76" t="str">
        <f t="shared" si="13"/>
        <v>OCC_QUDI</v>
      </c>
      <c r="H134" s="15" t="s">
        <v>205</v>
      </c>
      <c r="I134" s="26" t="s">
        <v>1009</v>
      </c>
      <c r="J134" s="26" t="s">
        <v>78</v>
      </c>
      <c r="L134" s="26"/>
      <c r="M134" s="162"/>
      <c r="N134" s="26" t="s">
        <v>1062</v>
      </c>
      <c r="O134" s="107">
        <v>140.68090909090901</v>
      </c>
      <c r="P134" s="282">
        <v>163.32396551724099</v>
      </c>
      <c r="Q134" s="282">
        <v>223.75162162162201</v>
      </c>
      <c r="R134" s="282">
        <v>225.75602564102601</v>
      </c>
      <c r="S134" s="282">
        <v>160.35319999999999</v>
      </c>
      <c r="T134" s="282">
        <v>136.813220338983</v>
      </c>
      <c r="U134" s="282">
        <v>188.30853932584299</v>
      </c>
      <c r="V134" s="282">
        <v>152.67875000000001</v>
      </c>
      <c r="W134" s="282">
        <v>121.05</v>
      </c>
      <c r="X134" s="282">
        <v>144.75230769230799</v>
      </c>
      <c r="Y134" s="282">
        <v>183.72</v>
      </c>
      <c r="Z134" s="282">
        <v>169.365517241379</v>
      </c>
      <c r="AA134" s="282">
        <f t="shared" si="14"/>
        <v>167.63172768878724</v>
      </c>
      <c r="AB134" s="201">
        <v>1.8140307181403099E-2</v>
      </c>
      <c r="AD134" s="107">
        <v>267.03834242093802</v>
      </c>
      <c r="AE134" s="201">
        <v>1.9032793690327902E-2</v>
      </c>
      <c r="AF134" s="108">
        <f t="shared" si="15"/>
        <v>-99.406614732150786</v>
      </c>
      <c r="AG134" s="107">
        <v>189.22783492823001</v>
      </c>
      <c r="AH134" s="201">
        <v>1.7351598173516E-2</v>
      </c>
      <c r="AI134" s="303">
        <f t="shared" si="16"/>
        <v>-21.596107239442773</v>
      </c>
    </row>
    <row r="135" spans="7:35" x14ac:dyDescent="0.25">
      <c r="G135" s="76" t="str">
        <f t="shared" si="13"/>
        <v>OCC_TGOV</v>
      </c>
      <c r="H135" s="15" t="s">
        <v>206</v>
      </c>
      <c r="I135" s="26" t="s">
        <v>1009</v>
      </c>
      <c r="J135" s="26" t="s">
        <v>78</v>
      </c>
      <c r="L135" s="26"/>
      <c r="M135" s="162"/>
      <c r="N135" s="26" t="s">
        <v>1069</v>
      </c>
      <c r="O135" s="107">
        <v>215</v>
      </c>
      <c r="P135" s="282">
        <v>215</v>
      </c>
      <c r="Q135" s="282">
        <v>215</v>
      </c>
      <c r="R135" s="282">
        <v>151</v>
      </c>
      <c r="S135" s="282">
        <v>151</v>
      </c>
      <c r="T135" s="282">
        <v>142</v>
      </c>
      <c r="U135" s="282">
        <v>142</v>
      </c>
      <c r="V135" s="282">
        <v>142</v>
      </c>
      <c r="W135" s="282">
        <v>142</v>
      </c>
      <c r="X135" s="282">
        <v>169</v>
      </c>
      <c r="Y135" s="282">
        <v>169</v>
      </c>
      <c r="Z135" s="282">
        <v>215</v>
      </c>
      <c r="AA135" s="282">
        <f t="shared" si="14"/>
        <v>179.11560693641619</v>
      </c>
      <c r="AB135" s="201">
        <v>3.5907015359070201E-3</v>
      </c>
      <c r="AD135" s="107">
        <v>157.95594713656399</v>
      </c>
      <c r="AE135" s="201">
        <v>4.7114985471149902E-3</v>
      </c>
      <c r="AF135" s="108">
        <f t="shared" si="15"/>
        <v>21.159659799852193</v>
      </c>
      <c r="AG135" s="107">
        <v>129.26804123711301</v>
      </c>
      <c r="AH135" s="201">
        <v>2.0132835201328398E-3</v>
      </c>
      <c r="AI135" s="303">
        <f t="shared" si="16"/>
        <v>49.847565699303175</v>
      </c>
    </row>
    <row r="136" spans="7:35" x14ac:dyDescent="0.25">
      <c r="G136" s="69" t="str">
        <f t="shared" si="13"/>
        <v>OCC_WHOL</v>
      </c>
      <c r="H136" s="15" t="s">
        <v>207</v>
      </c>
      <c r="I136" s="28" t="s">
        <v>1012</v>
      </c>
      <c r="J136" s="28" t="s">
        <v>78</v>
      </c>
      <c r="L136" s="25"/>
      <c r="M136" s="162"/>
      <c r="N136" s="25" t="s">
        <v>1063</v>
      </c>
      <c r="O136" s="105">
        <v>110.95338582677201</v>
      </c>
      <c r="P136" s="283">
        <v>55.968351254480297</v>
      </c>
      <c r="Q136" s="283">
        <v>236.26776566757499</v>
      </c>
      <c r="R136" s="283">
        <v>234.312213114754</v>
      </c>
      <c r="S136" s="283">
        <v>167.164684385382</v>
      </c>
      <c r="T136" s="283">
        <v>154.66537313432801</v>
      </c>
      <c r="U136" s="283">
        <v>163.945223463687</v>
      </c>
      <c r="V136" s="283">
        <v>153.81248717948699</v>
      </c>
      <c r="W136" s="283">
        <v>141.35708333333301</v>
      </c>
      <c r="X136" s="283">
        <v>166.29161616161599</v>
      </c>
      <c r="Y136" s="283">
        <v>207.51357512953399</v>
      </c>
      <c r="Z136" s="283">
        <v>261.49213235294098</v>
      </c>
      <c r="AA136" s="283">
        <f t="shared" si="14"/>
        <v>173.20253639417692</v>
      </c>
      <c r="AB136" s="200">
        <v>7.4138646741386496E-2</v>
      </c>
      <c r="AD136" s="105">
        <v>243.430305403289</v>
      </c>
      <c r="AE136" s="200">
        <v>5.3009547530095499E-2</v>
      </c>
      <c r="AF136" s="106">
        <f t="shared" si="15"/>
        <v>-70.22776900911208</v>
      </c>
      <c r="AG136" s="105">
        <v>207.23289438798099</v>
      </c>
      <c r="AH136" s="200">
        <v>4.6969696969697002E-2</v>
      </c>
      <c r="AI136" s="304">
        <f t="shared" si="16"/>
        <v>-34.030357993804074</v>
      </c>
    </row>
    <row r="137" spans="7:35" x14ac:dyDescent="0.25">
      <c r="G137" s="69" t="str">
        <f t="shared" si="13"/>
        <v>OCC_INDT</v>
      </c>
      <c r="H137" s="15" t="s">
        <v>177</v>
      </c>
      <c r="I137" s="28" t="s">
        <v>1010</v>
      </c>
      <c r="J137" s="28" t="s">
        <v>78</v>
      </c>
      <c r="L137" s="25"/>
      <c r="M137" s="162"/>
      <c r="N137" s="25" t="s">
        <v>1157</v>
      </c>
      <c r="O137" s="158">
        <v>278.62239719477202</v>
      </c>
      <c r="P137" s="284">
        <v>347.28862009635202</v>
      </c>
      <c r="Q137" s="284">
        <v>313.26925413533797</v>
      </c>
      <c r="R137" s="284">
        <v>261.86363071184297</v>
      </c>
      <c r="S137" s="284">
        <v>232.34548094373901</v>
      </c>
      <c r="T137" s="284">
        <v>186.27891661195</v>
      </c>
      <c r="U137" s="284">
        <v>183.34332539446299</v>
      </c>
      <c r="V137" s="284">
        <v>165.78162282200199</v>
      </c>
      <c r="W137" s="284">
        <v>158.79562211981599</v>
      </c>
      <c r="X137" s="284">
        <v>182.97875301412299</v>
      </c>
      <c r="Y137" s="284">
        <v>221.43882376882399</v>
      </c>
      <c r="Z137" s="284">
        <v>320.48037878787898</v>
      </c>
      <c r="AA137" s="284">
        <f t="shared" si="14"/>
        <v>239.03619893078215</v>
      </c>
      <c r="AB137" s="199">
        <v>0.73765047737650502</v>
      </c>
      <c r="AD137" s="158">
        <v>282.57096897469302</v>
      </c>
      <c r="AE137" s="199">
        <v>0.73320880033208802</v>
      </c>
      <c r="AF137" s="159">
        <f t="shared" si="15"/>
        <v>-43.534770043910868</v>
      </c>
      <c r="AG137" s="158">
        <v>272.37568204930898</v>
      </c>
      <c r="AH137" s="199">
        <v>0.75514736405147398</v>
      </c>
      <c r="AI137" s="305">
        <f t="shared" si="16"/>
        <v>-33.339483118526829</v>
      </c>
    </row>
    <row r="138" spans="7:35" x14ac:dyDescent="0.25">
      <c r="G138" s="76" t="str">
        <f t="shared" si="13"/>
        <v>OCCNKROW</v>
      </c>
      <c r="H138" s="15" t="s">
        <v>175</v>
      </c>
      <c r="I138" s="26" t="s">
        <v>1011</v>
      </c>
      <c r="J138" s="26" t="s">
        <v>78</v>
      </c>
      <c r="L138" s="26"/>
      <c r="M138" s="162"/>
      <c r="N138" s="26" t="s">
        <v>175</v>
      </c>
      <c r="O138" s="103"/>
      <c r="P138" s="285"/>
      <c r="Q138" s="285"/>
      <c r="R138" s="285"/>
      <c r="S138" s="285"/>
      <c r="T138" s="285"/>
      <c r="U138" s="285"/>
      <c r="V138" s="285"/>
      <c r="W138" s="285"/>
      <c r="X138" s="285"/>
      <c r="Y138" s="285"/>
      <c r="Z138" s="285"/>
      <c r="AA138" s="285">
        <f t="shared" si="14"/>
        <v>0</v>
      </c>
      <c r="AB138" s="198"/>
      <c r="AD138" s="103"/>
      <c r="AE138" s="198"/>
      <c r="AF138" s="104">
        <f t="shared" si="15"/>
        <v>0</v>
      </c>
      <c r="AG138" s="103"/>
      <c r="AH138" s="198"/>
      <c r="AI138" s="306">
        <f t="shared" si="16"/>
        <v>0</v>
      </c>
    </row>
    <row r="139" spans="7:35" x14ac:dyDescent="0.25">
      <c r="G139" s="69" t="str">
        <f t="shared" si="13"/>
        <v>OCC_CORPT</v>
      </c>
      <c r="H139" s="15" t="s">
        <v>179</v>
      </c>
      <c r="I139" s="28" t="s">
        <v>1012</v>
      </c>
      <c r="J139" s="28" t="s">
        <v>78</v>
      </c>
      <c r="L139" s="25"/>
      <c r="M139" s="162"/>
      <c r="N139" s="25" t="s">
        <v>1067</v>
      </c>
      <c r="O139" s="100">
        <v>282.840840840841</v>
      </c>
      <c r="P139" s="281">
        <v>331.72624329159203</v>
      </c>
      <c r="Q139" s="281">
        <v>279.09287058823497</v>
      </c>
      <c r="R139" s="281">
        <v>218.846403940887</v>
      </c>
      <c r="S139" s="281">
        <v>433.539041769042</v>
      </c>
      <c r="T139" s="281">
        <v>174.894736842105</v>
      </c>
      <c r="U139" s="281">
        <v>159</v>
      </c>
      <c r="V139" s="281">
        <v>169</v>
      </c>
      <c r="W139" s="281">
        <v>139</v>
      </c>
      <c r="X139" s="281">
        <v>173.60932835820901</v>
      </c>
      <c r="Y139" s="281">
        <v>234.416212121212</v>
      </c>
      <c r="Z139" s="281">
        <v>381.831758034026</v>
      </c>
      <c r="AA139" s="281">
        <f t="shared" si="14"/>
        <v>298.80562241236544</v>
      </c>
      <c r="AB139" s="197">
        <v>7.5197177251971795E-2</v>
      </c>
      <c r="AD139" s="100">
        <v>289.473955613577</v>
      </c>
      <c r="AE139" s="197">
        <v>9.5392278953922799E-2</v>
      </c>
      <c r="AF139" s="101">
        <f t="shared" si="15"/>
        <v>9.331666798788433</v>
      </c>
      <c r="AG139" s="100">
        <v>285.27403565238899</v>
      </c>
      <c r="AH139" s="197">
        <v>8.3831465338314606E-2</v>
      </c>
      <c r="AI139" s="302">
        <f t="shared" si="16"/>
        <v>13.531586759976449</v>
      </c>
    </row>
    <row r="140" spans="7:35" x14ac:dyDescent="0.25">
      <c r="G140" s="76" t="str">
        <f t="shared" si="13"/>
        <v>OCC_CORP</v>
      </c>
      <c r="H140" s="15" t="s">
        <v>180</v>
      </c>
      <c r="I140" s="26" t="s">
        <v>1009</v>
      </c>
      <c r="J140" s="26" t="s">
        <v>78</v>
      </c>
      <c r="L140" s="26"/>
      <c r="M140" s="162"/>
      <c r="N140" s="26" t="s">
        <v>1067</v>
      </c>
      <c r="O140" s="107">
        <v>281.403726708075</v>
      </c>
      <c r="P140" s="282">
        <v>293.91445427728598</v>
      </c>
      <c r="Q140" s="282">
        <v>292.33396039604003</v>
      </c>
      <c r="R140" s="282">
        <v>212.43389610389599</v>
      </c>
      <c r="S140" s="282">
        <v>433.539041769042</v>
      </c>
      <c r="T140" s="282">
        <v>163.21875</v>
      </c>
      <c r="U140" s="282">
        <v>159</v>
      </c>
      <c r="V140" s="282"/>
      <c r="W140" s="282">
        <v>139</v>
      </c>
      <c r="X140" s="282">
        <v>173.60932835820901</v>
      </c>
      <c r="Y140" s="282">
        <v>234.416212121212</v>
      </c>
      <c r="Z140" s="282">
        <v>386.32916666666699</v>
      </c>
      <c r="AA140" s="282">
        <f t="shared" si="14"/>
        <v>296.5704089095745</v>
      </c>
      <c r="AB140" s="201">
        <v>6.2432544624325403E-2</v>
      </c>
      <c r="AD140" s="107">
        <v>281.83077802476998</v>
      </c>
      <c r="AE140" s="201">
        <v>6.5359070153590701E-2</v>
      </c>
      <c r="AF140" s="108">
        <f t="shared" si="15"/>
        <v>14.739630884804512</v>
      </c>
      <c r="AG140" s="107">
        <v>252.41658029321499</v>
      </c>
      <c r="AH140" s="201">
        <v>6.08758821087588E-2</v>
      </c>
      <c r="AI140" s="303">
        <f t="shared" si="16"/>
        <v>44.153828616359505</v>
      </c>
    </row>
    <row r="141" spans="7:35" x14ac:dyDescent="0.25">
      <c r="G141" s="76" t="str">
        <f t="shared" si="13"/>
        <v>OCC_ENTR</v>
      </c>
      <c r="H141" s="15" t="s">
        <v>181</v>
      </c>
      <c r="I141" s="26" t="s">
        <v>1009</v>
      </c>
      <c r="J141" s="26" t="s">
        <v>78</v>
      </c>
      <c r="L141" s="26"/>
      <c r="M141" s="162"/>
      <c r="N141" s="26" t="s">
        <v>1135</v>
      </c>
      <c r="O141" s="107">
        <v>324.90909090909099</v>
      </c>
      <c r="P141" s="282">
        <v>389.990772727273</v>
      </c>
      <c r="Q141" s="282">
        <v>267.09869955157001</v>
      </c>
      <c r="R141" s="282">
        <v>239</v>
      </c>
      <c r="S141" s="282"/>
      <c r="T141" s="282">
        <v>199</v>
      </c>
      <c r="U141" s="282"/>
      <c r="V141" s="282">
        <v>169</v>
      </c>
      <c r="W141" s="282"/>
      <c r="X141" s="282"/>
      <c r="Y141" s="282"/>
      <c r="Z141" s="282">
        <v>337.77551020408202</v>
      </c>
      <c r="AA141" s="282">
        <f t="shared" si="14"/>
        <v>309.73817886178864</v>
      </c>
      <c r="AB141" s="201">
        <v>1.2764632627646299E-2</v>
      </c>
      <c r="AD141" s="107">
        <v>306.10724257083598</v>
      </c>
      <c r="AE141" s="201">
        <v>3.0033208800332101E-2</v>
      </c>
      <c r="AF141" s="108">
        <f t="shared" si="15"/>
        <v>3.6309362909526612</v>
      </c>
      <c r="AG141" s="107">
        <v>372.40867992766698</v>
      </c>
      <c r="AH141" s="201">
        <v>2.29555832295558E-2</v>
      </c>
      <c r="AI141" s="303">
        <f t="shared" si="16"/>
        <v>-62.670501065878341</v>
      </c>
    </row>
    <row r="142" spans="7:35" x14ac:dyDescent="0.25">
      <c r="G142" s="69" t="str">
        <f t="shared" si="13"/>
        <v>OCC_ASSCN</v>
      </c>
      <c r="H142" s="15" t="s">
        <v>182</v>
      </c>
      <c r="I142" s="28" t="s">
        <v>1012</v>
      </c>
      <c r="J142" s="28" t="s">
        <v>78</v>
      </c>
      <c r="L142" s="25"/>
      <c r="M142" s="162"/>
      <c r="N142" s="25" t="s">
        <v>1068</v>
      </c>
      <c r="O142" s="100"/>
      <c r="P142" s="281"/>
      <c r="Q142" s="281"/>
      <c r="R142" s="281">
        <v>301.941176470588</v>
      </c>
      <c r="S142" s="281"/>
      <c r="T142" s="281">
        <v>149.626728110599</v>
      </c>
      <c r="U142" s="281"/>
      <c r="V142" s="281"/>
      <c r="W142" s="281"/>
      <c r="X142" s="281"/>
      <c r="Y142" s="281">
        <v>249.14500000000001</v>
      </c>
      <c r="Z142" s="281"/>
      <c r="AA142" s="281">
        <f t="shared" si="14"/>
        <v>161.44470338983049</v>
      </c>
      <c r="AB142" s="197">
        <v>4.8982980489829797E-3</v>
      </c>
      <c r="AD142" s="100">
        <v>317.40245161290301</v>
      </c>
      <c r="AE142" s="197">
        <v>9.6513075965130798E-3</v>
      </c>
      <c r="AF142" s="101">
        <f t="shared" si="15"/>
        <v>-155.95774822307251</v>
      </c>
      <c r="AG142" s="100">
        <v>290.88796680497899</v>
      </c>
      <c r="AH142" s="197">
        <v>5.0020755500207598E-3</v>
      </c>
      <c r="AI142" s="302">
        <f t="shared" si="16"/>
        <v>-129.44326341514849</v>
      </c>
    </row>
    <row r="143" spans="7:35" x14ac:dyDescent="0.25">
      <c r="G143" s="76" t="str">
        <f t="shared" si="13"/>
        <v>OCC_ASSC</v>
      </c>
      <c r="H143" s="15" t="s">
        <v>183</v>
      </c>
      <c r="I143" s="26" t="s">
        <v>1009</v>
      </c>
      <c r="J143" s="26" t="s">
        <v>78</v>
      </c>
      <c r="L143" s="26"/>
      <c r="M143" s="162"/>
      <c r="N143" s="26" t="s">
        <v>1136</v>
      </c>
      <c r="O143" s="107"/>
      <c r="P143" s="282"/>
      <c r="Q143" s="282"/>
      <c r="R143" s="282"/>
      <c r="S143" s="282"/>
      <c r="T143" s="282">
        <v>186.16417910447799</v>
      </c>
      <c r="U143" s="282"/>
      <c r="V143" s="282"/>
      <c r="W143" s="282"/>
      <c r="X143" s="282"/>
      <c r="Y143" s="282">
        <v>249.14500000000001</v>
      </c>
      <c r="Z143" s="282"/>
      <c r="AA143" s="282">
        <f t="shared" si="14"/>
        <v>187.99927536231888</v>
      </c>
      <c r="AB143" s="201">
        <v>1.4321295143213E-3</v>
      </c>
      <c r="AD143" s="107">
        <v>317.71257142857098</v>
      </c>
      <c r="AE143" s="201">
        <v>7.9908675799086806E-3</v>
      </c>
      <c r="AF143" s="108">
        <f t="shared" si="15"/>
        <v>-129.7132960662521</v>
      </c>
      <c r="AG143" s="107">
        <v>283.55089820359302</v>
      </c>
      <c r="AH143" s="201">
        <v>3.4661685346616899E-3</v>
      </c>
      <c r="AI143" s="303">
        <f t="shared" si="16"/>
        <v>-95.551622841274138</v>
      </c>
    </row>
    <row r="144" spans="7:35" x14ac:dyDescent="0.25">
      <c r="G144" s="76" t="str">
        <f t="shared" si="13"/>
        <v>OCC_CONV</v>
      </c>
      <c r="H144" s="15" t="s">
        <v>184</v>
      </c>
      <c r="I144" s="26" t="s">
        <v>1009</v>
      </c>
      <c r="J144" s="26" t="s">
        <v>78</v>
      </c>
      <c r="L144" s="26"/>
      <c r="M144" s="162"/>
      <c r="N144" s="26" t="s">
        <v>1137</v>
      </c>
      <c r="O144" s="107"/>
      <c r="P144" s="282"/>
      <c r="Q144" s="282"/>
      <c r="R144" s="282">
        <v>301.941176470588</v>
      </c>
      <c r="S144" s="282"/>
      <c r="T144" s="282">
        <v>133.30666666666701</v>
      </c>
      <c r="U144" s="282"/>
      <c r="V144" s="282"/>
      <c r="W144" s="282"/>
      <c r="X144" s="282"/>
      <c r="Y144" s="282"/>
      <c r="Z144" s="282"/>
      <c r="AA144" s="282">
        <f t="shared" si="14"/>
        <v>150.47305389221557</v>
      </c>
      <c r="AB144" s="201">
        <v>3.4661685346616899E-3</v>
      </c>
      <c r="AD144" s="107">
        <v>315.91000000000003</v>
      </c>
      <c r="AE144" s="201">
        <v>1.6604400166043999E-3</v>
      </c>
      <c r="AF144" s="108">
        <f t="shared" si="15"/>
        <v>-165.43694610778445</v>
      </c>
      <c r="AG144" s="107">
        <v>307.44594594594599</v>
      </c>
      <c r="AH144" s="201">
        <v>1.5359070153590699E-3</v>
      </c>
      <c r="AI144" s="303">
        <f t="shared" si="16"/>
        <v>-156.97289205373042</v>
      </c>
    </row>
    <row r="145" spans="7:35" x14ac:dyDescent="0.25">
      <c r="G145" s="69" t="str">
        <f t="shared" si="13"/>
        <v>OCC_GGOV</v>
      </c>
      <c r="H145" s="15" t="s">
        <v>185</v>
      </c>
      <c r="I145" s="28" t="s">
        <v>1012</v>
      </c>
      <c r="J145" s="28" t="s">
        <v>78</v>
      </c>
      <c r="L145" s="25"/>
      <c r="M145" s="162"/>
      <c r="N145" s="25" t="s">
        <v>1069</v>
      </c>
      <c r="O145" s="100"/>
      <c r="P145" s="281"/>
      <c r="Q145" s="281"/>
      <c r="R145" s="281"/>
      <c r="S145" s="281"/>
      <c r="T145" s="281"/>
      <c r="U145" s="281"/>
      <c r="V145" s="281"/>
      <c r="W145" s="281"/>
      <c r="X145" s="281"/>
      <c r="Y145" s="281"/>
      <c r="Z145" s="281"/>
      <c r="AA145" s="281">
        <f t="shared" si="14"/>
        <v>0</v>
      </c>
      <c r="AB145" s="197">
        <v>0</v>
      </c>
      <c r="AD145" s="100"/>
      <c r="AE145" s="197">
        <v>0</v>
      </c>
      <c r="AF145" s="101">
        <f t="shared" si="15"/>
        <v>0</v>
      </c>
      <c r="AG145" s="100"/>
      <c r="AH145" s="197">
        <v>0</v>
      </c>
      <c r="AI145" s="302">
        <f t="shared" si="16"/>
        <v>0</v>
      </c>
    </row>
    <row r="146" spans="7:35" x14ac:dyDescent="0.25">
      <c r="G146" s="69" t="str">
        <f t="shared" si="13"/>
        <v>OCC_TOURW</v>
      </c>
      <c r="H146" s="15" t="s">
        <v>186</v>
      </c>
      <c r="I146" s="28" t="s">
        <v>1012</v>
      </c>
      <c r="J146" s="28" t="s">
        <v>78</v>
      </c>
      <c r="L146" s="25"/>
      <c r="M146" s="162"/>
      <c r="N146" s="25" t="s">
        <v>1070</v>
      </c>
      <c r="O146" s="100"/>
      <c r="P146" s="281"/>
      <c r="Q146" s="281"/>
      <c r="R146" s="281"/>
      <c r="S146" s="281"/>
      <c r="T146" s="281"/>
      <c r="U146" s="281"/>
      <c r="V146" s="281"/>
      <c r="W146" s="281"/>
      <c r="X146" s="281"/>
      <c r="Y146" s="281"/>
      <c r="Z146" s="281"/>
      <c r="AA146" s="281">
        <f t="shared" si="14"/>
        <v>0</v>
      </c>
      <c r="AB146" s="197">
        <v>0</v>
      </c>
      <c r="AD146" s="100"/>
      <c r="AE146" s="197">
        <v>0</v>
      </c>
      <c r="AF146" s="101">
        <f t="shared" si="15"/>
        <v>0</v>
      </c>
      <c r="AG146" s="100"/>
      <c r="AH146" s="197">
        <v>0</v>
      </c>
      <c r="AI146" s="302">
        <f t="shared" si="16"/>
        <v>0</v>
      </c>
    </row>
    <row r="147" spans="7:35" x14ac:dyDescent="0.25">
      <c r="G147" s="76" t="str">
        <f t="shared" si="13"/>
        <v>OCC_WHTT</v>
      </c>
      <c r="H147" s="15" t="s">
        <v>187</v>
      </c>
      <c r="I147" s="26" t="s">
        <v>1009</v>
      </c>
      <c r="J147" s="26" t="s">
        <v>78</v>
      </c>
      <c r="L147" s="26"/>
      <c r="M147" s="162"/>
      <c r="N147" s="26" t="s">
        <v>1138</v>
      </c>
      <c r="O147" s="107"/>
      <c r="P147" s="282"/>
      <c r="Q147" s="282"/>
      <c r="R147" s="282"/>
      <c r="S147" s="282"/>
      <c r="T147" s="282"/>
      <c r="U147" s="282"/>
      <c r="V147" s="282"/>
      <c r="W147" s="282"/>
      <c r="X147" s="282"/>
      <c r="Y147" s="282"/>
      <c r="Z147" s="282"/>
      <c r="AA147" s="282">
        <f t="shared" si="14"/>
        <v>0</v>
      </c>
      <c r="AB147" s="201">
        <v>0</v>
      </c>
      <c r="AD147" s="107"/>
      <c r="AE147" s="201">
        <v>0</v>
      </c>
      <c r="AF147" s="108">
        <f t="shared" si="15"/>
        <v>0</v>
      </c>
      <c r="AG147" s="107"/>
      <c r="AH147" s="201">
        <v>0</v>
      </c>
      <c r="AI147" s="303">
        <f t="shared" si="16"/>
        <v>0</v>
      </c>
    </row>
    <row r="148" spans="7:35" x14ac:dyDescent="0.25">
      <c r="G148" s="76" t="str">
        <f t="shared" si="13"/>
        <v>OCC_MICE</v>
      </c>
      <c r="H148" s="15" t="s">
        <v>188</v>
      </c>
      <c r="I148" s="26" t="s">
        <v>1009</v>
      </c>
      <c r="J148" s="26" t="s">
        <v>78</v>
      </c>
      <c r="L148" s="26"/>
      <c r="M148" s="162"/>
      <c r="N148" s="26" t="s">
        <v>1139</v>
      </c>
      <c r="O148" s="107"/>
      <c r="P148" s="282"/>
      <c r="Q148" s="282"/>
      <c r="R148" s="282"/>
      <c r="S148" s="282"/>
      <c r="T148" s="282"/>
      <c r="U148" s="282"/>
      <c r="V148" s="282"/>
      <c r="W148" s="282"/>
      <c r="X148" s="282"/>
      <c r="Y148" s="282"/>
      <c r="Z148" s="282"/>
      <c r="AA148" s="282">
        <f t="shared" si="14"/>
        <v>0</v>
      </c>
      <c r="AB148" s="201">
        <v>0</v>
      </c>
      <c r="AD148" s="107"/>
      <c r="AE148" s="201">
        <v>0</v>
      </c>
      <c r="AF148" s="108">
        <f t="shared" si="15"/>
        <v>0</v>
      </c>
      <c r="AG148" s="107"/>
      <c r="AH148" s="201">
        <v>0</v>
      </c>
      <c r="AI148" s="303">
        <f t="shared" si="16"/>
        <v>0</v>
      </c>
    </row>
    <row r="149" spans="7:35" x14ac:dyDescent="0.25">
      <c r="G149" s="69" t="str">
        <f t="shared" si="13"/>
        <v>OCC_SMERF</v>
      </c>
      <c r="H149" s="15" t="s">
        <v>189</v>
      </c>
      <c r="I149" s="28" t="s">
        <v>1012</v>
      </c>
      <c r="J149" s="28" t="s">
        <v>78</v>
      </c>
      <c r="L149" s="25"/>
      <c r="M149" s="162"/>
      <c r="N149" s="25" t="s">
        <v>1071</v>
      </c>
      <c r="O149" s="105">
        <v>336.5</v>
      </c>
      <c r="P149" s="283">
        <v>319</v>
      </c>
      <c r="Q149" s="283"/>
      <c r="R149" s="283">
        <v>249</v>
      </c>
      <c r="S149" s="283"/>
      <c r="T149" s="283">
        <v>253.444444444444</v>
      </c>
      <c r="U149" s="283"/>
      <c r="V149" s="283">
        <v>188.70588235294099</v>
      </c>
      <c r="W149" s="283">
        <v>191.48387096774201</v>
      </c>
      <c r="X149" s="283">
        <v>179</v>
      </c>
      <c r="Y149" s="283">
        <v>263.27730337078702</v>
      </c>
      <c r="Z149" s="283">
        <v>256.19900000000001</v>
      </c>
      <c r="AA149" s="283">
        <f t="shared" si="14"/>
        <v>258.25814814814817</v>
      </c>
      <c r="AB149" s="200">
        <v>6.1643835616438398E-3</v>
      </c>
      <c r="AD149" s="105">
        <v>189.60942215088301</v>
      </c>
      <c r="AE149" s="200">
        <v>1.29306766293068E-2</v>
      </c>
      <c r="AF149" s="106">
        <f t="shared" si="15"/>
        <v>68.64872599726516</v>
      </c>
      <c r="AG149" s="105">
        <v>290.97194078947399</v>
      </c>
      <c r="AH149" s="200">
        <v>6.3096720630967202E-3</v>
      </c>
      <c r="AI149" s="304">
        <f t="shared" si="16"/>
        <v>-32.713792641325824</v>
      </c>
    </row>
    <row r="150" spans="7:35" x14ac:dyDescent="0.25">
      <c r="G150" s="69" t="str">
        <f t="shared" si="13"/>
        <v>OCC_GROP</v>
      </c>
      <c r="H150" s="15" t="s">
        <v>178</v>
      </c>
      <c r="I150" s="28" t="s">
        <v>1010</v>
      </c>
      <c r="J150" s="28" t="s">
        <v>78</v>
      </c>
      <c r="L150" s="25"/>
      <c r="M150" s="162"/>
      <c r="N150" s="25" t="s">
        <v>1158</v>
      </c>
      <c r="O150" s="158">
        <v>287.27548209366398</v>
      </c>
      <c r="P150" s="284">
        <v>331.59109734513299</v>
      </c>
      <c r="Q150" s="284">
        <v>279.09287058823497</v>
      </c>
      <c r="R150" s="284">
        <v>226.59150214592299</v>
      </c>
      <c r="S150" s="284">
        <v>433.539041769042</v>
      </c>
      <c r="T150" s="284">
        <v>169.43697478991601</v>
      </c>
      <c r="U150" s="284">
        <v>159.00461538461499</v>
      </c>
      <c r="V150" s="284">
        <v>181.183636363636</v>
      </c>
      <c r="W150" s="284">
        <v>161.59777777777799</v>
      </c>
      <c r="X150" s="284">
        <v>173.78519855595701</v>
      </c>
      <c r="Y150" s="284">
        <v>239.75110882956901</v>
      </c>
      <c r="Z150" s="284">
        <v>379.50139146567699</v>
      </c>
      <c r="AA150" s="284">
        <f t="shared" si="14"/>
        <v>288.10788979788259</v>
      </c>
      <c r="AB150" s="199">
        <v>8.6259858862598598E-2</v>
      </c>
      <c r="AD150" s="158">
        <v>280.81300316678397</v>
      </c>
      <c r="AE150" s="199">
        <v>0.11797426317974299</v>
      </c>
      <c r="AF150" s="159">
        <f t="shared" si="15"/>
        <v>7.2948866310986205</v>
      </c>
      <c r="AG150" s="158">
        <v>285.94705497382199</v>
      </c>
      <c r="AH150" s="199">
        <v>9.5143212951432105E-2</v>
      </c>
      <c r="AI150" s="305">
        <f t="shared" si="16"/>
        <v>2.1608348240606006</v>
      </c>
    </row>
    <row r="151" spans="7:35" x14ac:dyDescent="0.25">
      <c r="G151" s="76" t="str">
        <f t="shared" si="13"/>
        <v>OCC_CONT</v>
      </c>
      <c r="H151" s="15" t="s">
        <v>210</v>
      </c>
      <c r="I151" s="26" t="s">
        <v>1009</v>
      </c>
      <c r="J151" s="26" t="s">
        <v>78</v>
      </c>
      <c r="L151" s="26"/>
      <c r="M151" s="162"/>
      <c r="N151" s="26" t="s">
        <v>1140</v>
      </c>
      <c r="O151" s="207"/>
      <c r="P151" s="286"/>
      <c r="Q151" s="286"/>
      <c r="R151" s="286"/>
      <c r="S151" s="286"/>
      <c r="T151" s="286"/>
      <c r="U151" s="286"/>
      <c r="V151" s="286"/>
      <c r="W151" s="286"/>
      <c r="X151" s="286"/>
      <c r="Y151" s="286"/>
      <c r="Z151" s="286"/>
      <c r="AA151" s="286"/>
      <c r="AB151" s="208">
        <v>0</v>
      </c>
      <c r="AD151" s="207"/>
      <c r="AE151" s="208">
        <v>2.6359485263594898E-3</v>
      </c>
      <c r="AF151" s="209" t="str">
        <f t="shared" si="15"/>
        <v/>
      </c>
      <c r="AG151" s="207"/>
      <c r="AH151" s="208">
        <v>0</v>
      </c>
      <c r="AI151" s="307" t="str">
        <f t="shared" si="16"/>
        <v/>
      </c>
    </row>
    <row r="152" spans="7:35" x14ac:dyDescent="0.25">
      <c r="G152" s="69" t="s">
        <v>495</v>
      </c>
      <c r="H152" s="15" t="s">
        <v>208</v>
      </c>
      <c r="I152" s="28" t="s">
        <v>1010</v>
      </c>
      <c r="J152" s="28" t="s">
        <v>78</v>
      </c>
      <c r="L152" s="25"/>
      <c r="M152" s="162"/>
      <c r="N152" s="25" t="s">
        <v>496</v>
      </c>
      <c r="O152" s="204">
        <v>281.22551643800199</v>
      </c>
      <c r="P152" s="204">
        <v>346.86283779890499</v>
      </c>
      <c r="Q152" s="204">
        <v>314.57101066666701</v>
      </c>
      <c r="R152" s="204">
        <v>263.63145217391298</v>
      </c>
      <c r="S152" s="204">
        <v>262.256654016445</v>
      </c>
      <c r="T152" s="204">
        <v>185.44804878048799</v>
      </c>
      <c r="U152" s="204">
        <v>185.47260379596699</v>
      </c>
      <c r="V152" s="204">
        <v>169.11653923541201</v>
      </c>
      <c r="W152" s="204">
        <v>162.19319506726501</v>
      </c>
      <c r="X152" s="204">
        <v>185.10631446540901</v>
      </c>
      <c r="Y152" s="204">
        <v>228.61937160326099</v>
      </c>
      <c r="Z152" s="204">
        <v>331.89415045018899</v>
      </c>
      <c r="AA152" s="204">
        <v>247.07762318621499</v>
      </c>
      <c r="AB152" s="205">
        <v>0.82391033623910304</v>
      </c>
      <c r="AD152" s="204">
        <v>282.92107761868903</v>
      </c>
      <c r="AE152" s="205">
        <v>0.85381901203819</v>
      </c>
      <c r="AF152" s="206">
        <f t="shared" si="15"/>
        <v>-35.843454432474033</v>
      </c>
      <c r="AG152" s="204">
        <v>275.60042229111201</v>
      </c>
      <c r="AH152" s="205">
        <v>0.850290577002906</v>
      </c>
      <c r="AI152" s="206">
        <f t="shared" si="16"/>
        <v>-28.522799104897018</v>
      </c>
    </row>
    <row r="154" spans="7:35" x14ac:dyDescent="0.25">
      <c r="I154" s="1"/>
      <c r="J154" s="1"/>
      <c r="N154" s="26" t="str">
        <f>N152&amp;" - Check"</f>
        <v>Total ADR/ OCC% - Check</v>
      </c>
      <c r="O154" s="118">
        <f t="shared" ref="O154:AA154" si="17">IFERROR(O69/O105,0)</f>
        <v>281.22551643800153</v>
      </c>
      <c r="P154" s="118">
        <f t="shared" si="17"/>
        <v>346.86283779890522</v>
      </c>
      <c r="Q154" s="118">
        <f t="shared" si="17"/>
        <v>314.57101066666667</v>
      </c>
      <c r="R154" s="118">
        <f t="shared" si="17"/>
        <v>263.63145217391303</v>
      </c>
      <c r="S154" s="118">
        <f t="shared" si="17"/>
        <v>262.25665401644528</v>
      </c>
      <c r="T154" s="118">
        <f t="shared" si="17"/>
        <v>185.4480487804878</v>
      </c>
      <c r="U154" s="118">
        <f t="shared" si="17"/>
        <v>185.47260379596679</v>
      </c>
      <c r="V154" s="118">
        <f t="shared" si="17"/>
        <v>169.11653923541249</v>
      </c>
      <c r="W154" s="118">
        <f t="shared" si="17"/>
        <v>162.19319506726458</v>
      </c>
      <c r="X154" s="118">
        <f t="shared" si="17"/>
        <v>185.10631446540879</v>
      </c>
      <c r="Y154" s="118">
        <f t="shared" si="17"/>
        <v>228.61937160326087</v>
      </c>
      <c r="Z154" s="118">
        <f t="shared" si="17"/>
        <v>331.89415045018882</v>
      </c>
      <c r="AA154" s="118">
        <f t="shared" si="17"/>
        <v>247.07762318621525</v>
      </c>
      <c r="AB154" s="203">
        <f>IFERROR(AA105/AA109,0)</f>
        <v>0.82391033623910337</v>
      </c>
      <c r="AD154" s="118">
        <f>IFERROR(AD69/AD105,0)</f>
        <v>282.92107761868874</v>
      </c>
      <c r="AE154" s="203">
        <f>IFERROR(AD105/AD109,0)</f>
        <v>0.85381901203819011</v>
      </c>
      <c r="AF154" s="21"/>
      <c r="AG154" s="118">
        <f>IFERROR(AG69/AG105,0)</f>
        <v>275.60042229111235</v>
      </c>
      <c r="AH154" s="203">
        <f>IFERROR(AG105/AG109,0)</f>
        <v>0.85029057700290578</v>
      </c>
      <c r="AI154" s="21"/>
    </row>
  </sheetData>
  <mergeCells count="2">
    <mergeCell ref="AD31:AE31"/>
    <mergeCell ref="AG31:AH31"/>
  </mergeCells>
  <conditionalFormatting sqref="AF34:AF69 AI34:AI69 AF72:AF116 AI72:AI116">
    <cfRule type="expression" dxfId="356" priority="3">
      <formula>AF$32="Variance"</formula>
    </cfRule>
  </conditionalFormatting>
  <conditionalFormatting sqref="AF119:AF152">
    <cfRule type="expression" dxfId="355" priority="2">
      <formula>AF$32="Variance"</formula>
    </cfRule>
  </conditionalFormatting>
  <conditionalFormatting sqref="AI119:AI152">
    <cfRule type="expression" dxfId="354" priority="1">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operties>
  <drawing r:id="rId3"/>
  <legacyDrawing r:id="rId4"/>
  <controls>
    <mc:AlternateContent xmlns:mc="http://schemas.openxmlformats.org/markup-compatibility/2006">
      <mc:Choice Requires="x14">
        <control shapeId="333827"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3827" r:id="rId5" name="FPMExcelClientSheetOptionstb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1.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234" t="e">
        <f ca="1">_xll.EVPRO($B$1,$B$4,"GROUP")</f>
        <v>#NAME?</v>
      </c>
    </row>
    <row r="5" spans="1:35" hidden="1" outlineLevel="1" x14ac:dyDescent="0.25">
      <c r="A5" s="8" t="s">
        <v>51</v>
      </c>
      <c r="B5" s="12" t="s">
        <v>59</v>
      </c>
      <c r="C5" s="1" t="e">
        <f ca="1">_xll.EVDES(B5,$B$1)</f>
        <v>#NAME?</v>
      </c>
    </row>
    <row r="6" spans="1:35" hidden="1" outlineLevel="1" x14ac:dyDescent="0.25">
      <c r="A6" s="8" t="s">
        <v>52</v>
      </c>
      <c r="B6" s="12" t="s">
        <v>237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_xll.EVRNG(H34:H45)</f>
        <v>#NAME?</v>
      </c>
      <c r="G19" s="18" t="str">
        <f>$B$6</f>
        <v>D_RESV_CON</v>
      </c>
      <c r="H19" s="18">
        <v>700000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D_RESV_CON</v>
      </c>
      <c r="H20" s="18" t="s">
        <v>236</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G21" s="18" t="s">
        <v>254</v>
      </c>
      <c r="H21" s="18">
        <v>990100</v>
      </c>
      <c r="I21" s="138" t="e">
        <f ca="1">IF($G$4="ACTUAL","CURRENT",$B$4)</f>
        <v>#NAME?</v>
      </c>
      <c r="J21" s="19"/>
      <c r="K21" s="18"/>
      <c r="L21" s="18"/>
      <c r="M21" s="18"/>
      <c r="N21" s="18" t="e">
        <f ca="1">_xll.EVDES(H21)</f>
        <v>#NAME?</v>
      </c>
      <c r="O21" s="20" t="e">
        <f ca="1">_xll.EVGTS($B$1,1,$B$3,$B$5,$B$7,$B$9,O$16,$I$21,O$18,$G$21,$H$21)</f>
        <v>#NAME?</v>
      </c>
      <c r="P21" s="20" t="e">
        <f ca="1">_xll.EVGTS($B$1,1,$B$3,$B$5,$B$7,$B$9,P$16,$I$21,P$18,$G$21,$H$21)</f>
        <v>#NAME?</v>
      </c>
      <c r="Q21" s="20" t="e">
        <f ca="1">_xll.EVGTS($B$1,1,$B$3,$B$5,$B$7,$B$9,Q$16,$I$21,Q$18,$G$21,$H$21)</f>
        <v>#NAME?</v>
      </c>
      <c r="R21" s="20" t="e">
        <f ca="1">_xll.EVGTS($B$1,1,$B$3,$B$5,$B$7,$B$9,R$16,$I$21,R$18,$G$21,$H$21)</f>
        <v>#NAME?</v>
      </c>
      <c r="S21" s="20" t="e">
        <f ca="1">_xll.EVGTS($B$1,1,$B$3,$B$5,$B$7,$B$9,S$16,$I$21,S$18,$G$21,$H$21)</f>
        <v>#NAME?</v>
      </c>
      <c r="T21" s="20" t="e">
        <f ca="1">_xll.EVGTS($B$1,1,$B$3,$B$5,$B$7,$B$9,T$16,$I$21,T$18,$G$21,$H$21)</f>
        <v>#NAME?</v>
      </c>
      <c r="U21" s="20" t="e">
        <f ca="1">_xll.EVGTS($B$1,1,$B$3,$B$5,$B$7,$B$9,U$16,$I$21,U$18,$G$21,$H$21)</f>
        <v>#NAME?</v>
      </c>
      <c r="V21" s="20" t="e">
        <f ca="1">_xll.EVGTS($B$1,1,$B$3,$B$5,$B$7,$B$9,V$16,$I$21,V$18,$G$21,$H$21)</f>
        <v>#NAME?</v>
      </c>
      <c r="W21" s="20" t="e">
        <f ca="1">_xll.EVGTS($B$1,1,$B$3,$B$5,$B$7,$B$9,W$16,$I$21,W$18,$G$21,$H$21)</f>
        <v>#NAME?</v>
      </c>
      <c r="X21" s="20" t="e">
        <f ca="1">_xll.EVGTS($B$1,1,$B$3,$B$5,$B$7,$B$9,X$16,$I$21,X$18,$G$21,$H$21)</f>
        <v>#NAME?</v>
      </c>
      <c r="Y21" s="20" t="e">
        <f ca="1">_xll.EVGTS($B$1,1,$B$3,$B$5,$B$7,$B$9,Y$16,$I$21,Y$18,$G$21,$H$21)</f>
        <v>#NAME?</v>
      </c>
      <c r="Z21" s="20" t="e">
        <f ca="1">_xll.EVGTS($B$1,1,$B$3,$B$5,$B$7,$B$9,Z$16,$I$21,Z$18,$G$21,$H$21)</f>
        <v>#NAME?</v>
      </c>
      <c r="AA21" s="20" t="e">
        <f ca="1">SUM(O21:Z21)</f>
        <v>#NAME?</v>
      </c>
      <c r="AB21" s="18"/>
      <c r="AC21" s="18"/>
      <c r="AD21" s="455" t="e">
        <f ca="1">_xll.EVGTS($B$1,1,$B$3,$B$5,$B$7,$B$9,AD$16,$AE$21,"PERIODIC",$G$21,$H$21)</f>
        <v>#NAME?</v>
      </c>
      <c r="AE21" s="18" t="s">
        <v>255</v>
      </c>
      <c r="AF21" s="18"/>
      <c r="AG21" s="455" t="e">
        <f ca="1">_xll.EVGTS($B$1,1,$B$3,$B$5,$B$7,$B$9,AG$16,$AH$21,"PERIODIC",$G$21,$H$21)</f>
        <v>#NAME?</v>
      </c>
      <c r="AH21" s="18" t="s">
        <v>255</v>
      </c>
      <c r="AI21" s="18"/>
    </row>
    <row r="22" spans="1:40" hidden="1" outlineLevel="1" x14ac:dyDescent="0.25">
      <c r="A22" s="6" t="s">
        <v>7</v>
      </c>
      <c r="B22" s="7" t="e">
        <f ca="1">_xll.EVRNG(A36:F41)</f>
        <v>#NAME?</v>
      </c>
      <c r="G22" s="18" t="s">
        <v>749</v>
      </c>
      <c r="H22" s="18">
        <v>900200</v>
      </c>
      <c r="I22" s="19"/>
      <c r="J22" s="19"/>
      <c r="K22" s="18"/>
      <c r="L22" s="19"/>
      <c r="M22" s="19"/>
      <c r="N22" s="18" t="e">
        <f ca="1">_xll.EVDES(H22)</f>
        <v>#NAME?</v>
      </c>
      <c r="O22" s="20" t="e">
        <f ca="1">_xll.EVGTS($B$1,1,$B$3,$B$5,$B$7,$B$9,O$16,O$17,O$18,$G$22,$H$22)</f>
        <v>#NAME?</v>
      </c>
      <c r="P22" s="20" t="e">
        <f ca="1">_xll.EVGTS($B$1,1,$B$3,$B$5,$B$7,$B$9,P$16,P$17,P$18,$G$22,$H$22)</f>
        <v>#NAME?</v>
      </c>
      <c r="Q22" s="20" t="e">
        <f ca="1">_xll.EVGTS($B$1,1,$B$3,$B$5,$B$7,$B$9,Q$16,Q$17,Q$18,$G$22,$H$22)</f>
        <v>#NAME?</v>
      </c>
      <c r="R22" s="20" t="e">
        <f ca="1">_xll.EVGTS($B$1,1,$B$3,$B$5,$B$7,$B$9,R$16,R$17,R$18,$G$22,$H$22)</f>
        <v>#NAME?</v>
      </c>
      <c r="S22" s="20" t="e">
        <f ca="1">_xll.EVGTS($B$1,1,$B$3,$B$5,$B$7,$B$9,S$16,S$17,S$18,$G$22,$H$22)</f>
        <v>#NAME?</v>
      </c>
      <c r="T22" s="20" t="e">
        <f ca="1">_xll.EVGTS($B$1,1,$B$3,$B$5,$B$7,$B$9,T$16,T$17,T$18,$G$22,$H$22)</f>
        <v>#NAME?</v>
      </c>
      <c r="U22" s="20" t="e">
        <f ca="1">_xll.EVGTS($B$1,1,$B$3,$B$5,$B$7,$B$9,U$16,U$17,U$18,$G$22,$H$22)</f>
        <v>#NAME?</v>
      </c>
      <c r="V22" s="20" t="e">
        <f ca="1">_xll.EVGTS($B$1,1,$B$3,$B$5,$B$7,$B$9,V$16,V$17,V$18,$G$22,$H$22)</f>
        <v>#NAME?</v>
      </c>
      <c r="W22" s="20" t="e">
        <f ca="1">_xll.EVGTS($B$1,1,$B$3,$B$5,$B$7,$B$9,W$16,W$17,W$18,$G$22,$H$22)</f>
        <v>#NAME?</v>
      </c>
      <c r="X22" s="20" t="e">
        <f ca="1">_xll.EVGTS($B$1,1,$B$3,$B$5,$B$7,$B$9,X$16,X$17,X$18,$G$22,$H$22)</f>
        <v>#NAME?</v>
      </c>
      <c r="Y22" s="20" t="e">
        <f ca="1">_xll.EVGTS($B$1,1,$B$3,$B$5,$B$7,$B$9,Y$16,Y$17,Y$18,$G$22,$H$22)</f>
        <v>#NAME?</v>
      </c>
      <c r="Z22" s="20" t="e">
        <f ca="1">_xll.EVGTS($B$1,1,$B$3,$B$5,$B$7,$B$9,Z$16,Z$17,Z$18,$G$22,$H$22)</f>
        <v>#NAME?</v>
      </c>
      <c r="AA22" s="20" t="e">
        <f ca="1">SUM(O22:Z22)</f>
        <v>#NAME?</v>
      </c>
      <c r="AB22" s="18"/>
      <c r="AC22" s="18"/>
      <c r="AD22" s="20" t="e">
        <f ca="1">_xll.EVGTS($B$1,1,$B$3,$B$5,$B$7,$B$9,AD$16,AD$17,AD$18,$G$22,$H$22)</f>
        <v>#NAME?</v>
      </c>
      <c r="AE22" s="18"/>
      <c r="AF22" s="18"/>
      <c r="AG22" s="20" t="e">
        <f ca="1">_xll.EVGTS($B$1,1,$B$3,$B$5,$B$7,$B$9,AG$16,AG$17,AG$18,$G$22,$H$22)</f>
        <v>#NAME?</v>
      </c>
      <c r="AH22" s="18"/>
      <c r="AI22" s="18"/>
    </row>
    <row r="23" spans="1:40" hidden="1" outlineLevel="1" x14ac:dyDescent="0.25">
      <c r="A23" s="6" t="s">
        <v>47</v>
      </c>
      <c r="B23" s="7" t="e">
        <f ca="1">_xll.EVRNG($A$87:$B$108)</f>
        <v>#NAME?</v>
      </c>
      <c r="K23" s="57"/>
      <c r="L23" s="57"/>
      <c r="M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256</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33"/>
      <c r="AM31" s="262" t="e">
        <f ca="1">_xll.EVPRO($B$1,AG$16,"YEAR")</f>
        <v>#NAME?</v>
      </c>
      <c r="AN31" s="233"/>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s">
        <v>747</v>
      </c>
      <c r="AM32" s="261" t="e">
        <f ca="1">AG32</f>
        <v>#NAME?</v>
      </c>
      <c r="AN32" s="261" t="s">
        <v>747</v>
      </c>
    </row>
    <row r="33" spans="1:40" x14ac:dyDescent="0.25">
      <c r="A33" s="6" t="s">
        <v>17</v>
      </c>
      <c r="B33" s="7"/>
      <c r="G33" s="14"/>
      <c r="H33" s="1" t="s">
        <v>239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G34" s="14"/>
      <c r="H34" s="15" t="s">
        <v>220</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5" ca="1" si="0">IF($I34="B1","",SUM(O34:Z34))</f>
        <v>#NAME?</v>
      </c>
      <c r="AB34" s="17" t="e">
        <f t="shared" ref="AB34:AB45" ca="1" si="1">IF(AA34=0,"",IFERROR(AA34/AA$19,""))</f>
        <v>#NAME?</v>
      </c>
      <c r="AD34" s="21"/>
      <c r="AE34" s="17" t="str">
        <f t="shared" ref="AE34:AE45" si="2">IF(AD34=0,"",IFERROR(AD34/AD$19,""))</f>
        <v/>
      </c>
      <c r="AF34" s="50" t="e">
        <f t="shared" ref="AF34:AF45" ca="1" si="3">IF(AND($AA34="",AD34=""),"",$AA34-AD34)</f>
        <v>#NAME?</v>
      </c>
      <c r="AG34" s="21"/>
      <c r="AH34" s="17" t="str">
        <f>IF(AG34=0,"",IFERROR(AG34/AG$19,""))</f>
        <v/>
      </c>
      <c r="AI34" s="50" t="e">
        <f ca="1">IF(AND($AA34="",AG34=""),"",$AA34-AG34)</f>
        <v>#NAME?</v>
      </c>
      <c r="AJ34" s="350">
        <f ca="1">IFERROR(AA34/AA$22,0)</f>
        <v>0</v>
      </c>
      <c r="AK34" s="351">
        <f ca="1">IFERROR(AD34/AD$22,0)</f>
        <v>0</v>
      </c>
      <c r="AL34" s="140">
        <f ca="1">AJ34-AK34</f>
        <v>0</v>
      </c>
      <c r="AM34" s="352">
        <f ca="1">IFERROR(AG34/AG$22,0)</f>
        <v>0</v>
      </c>
      <c r="AN34" s="140">
        <f ca="1">AJ34-AM34</f>
        <v>0</v>
      </c>
    </row>
    <row r="35" spans="1:40" x14ac:dyDescent="0.25">
      <c r="A35" s="22" t="s">
        <v>92</v>
      </c>
      <c r="B35" s="23" t="s">
        <v>93</v>
      </c>
      <c r="C35" s="23" t="s">
        <v>94</v>
      </c>
      <c r="D35" s="23" t="s">
        <v>95</v>
      </c>
      <c r="E35" s="23" t="s">
        <v>96</v>
      </c>
      <c r="F35" s="24" t="s">
        <v>97</v>
      </c>
      <c r="G35" s="14"/>
      <c r="H35" s="15" t="s">
        <v>221</v>
      </c>
      <c r="I35" s="161" t="e">
        <f ca="1">_xll.EVPRO($B$1,$H35,"STYLE")</f>
        <v>#NAME?</v>
      </c>
      <c r="J35" s="161" t="e">
        <f ca="1">_xll.EVPRO($B$1,$H35,"CALC")</f>
        <v>#NAME?</v>
      </c>
      <c r="K35" s="68" t="e">
        <f t="shared" ref="K35:K45"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5" si="5">IF(AG35=0,"",IFERROR(AG35/AG$19,""))</f>
        <v/>
      </c>
      <c r="AI35" s="50" t="e">
        <f t="shared" ref="AI35:AI45" ca="1" si="6">IF(AND($AA35="",AG35=""),"",$AA35-AG35)</f>
        <v>#NAME?</v>
      </c>
      <c r="AJ35" s="350">
        <f t="shared" ref="AJ35:AJ45" ca="1" si="7">IFERROR(AA35/AA$22,0)</f>
        <v>0</v>
      </c>
      <c r="AK35" s="351">
        <f t="shared" ref="AK35:AK45" ca="1" si="8">IFERROR(AD35/AD$22,0)</f>
        <v>0</v>
      </c>
      <c r="AL35" s="140">
        <f t="shared" ref="AL35:AL45" ca="1" si="9">AJ35-AK35</f>
        <v>0</v>
      </c>
      <c r="AM35" s="352">
        <f t="shared" ref="AM35:AM45" ca="1" si="10">IFERROR(AG35/AG$22,0)</f>
        <v>0</v>
      </c>
      <c r="AN35" s="140">
        <f t="shared" ref="AN35:AN45" ca="1" si="11">AJ35-AM35</f>
        <v>0</v>
      </c>
    </row>
    <row r="36" spans="1:40" x14ac:dyDescent="0.25">
      <c r="G36" s="14"/>
      <c r="H36" s="15" t="s">
        <v>222</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50">
        <f t="shared" ca="1" si="7"/>
        <v>0</v>
      </c>
      <c r="AK36" s="351">
        <f t="shared" ca="1" si="8"/>
        <v>0</v>
      </c>
      <c r="AL36" s="140">
        <f t="shared" ca="1" si="9"/>
        <v>0</v>
      </c>
      <c r="AM36" s="352">
        <f t="shared" ca="1" si="10"/>
        <v>0</v>
      </c>
      <c r="AN36" s="140">
        <f t="shared" ca="1" si="11"/>
        <v>0</v>
      </c>
    </row>
    <row r="37" spans="1:40" x14ac:dyDescent="0.25">
      <c r="A37" s="1" t="s">
        <v>105</v>
      </c>
      <c r="C37" s="26" t="s">
        <v>101</v>
      </c>
      <c r="D37" s="1" t="s">
        <v>106</v>
      </c>
      <c r="F37" s="1" t="s">
        <v>98</v>
      </c>
      <c r="G37" s="14"/>
      <c r="H37" s="15" t="s">
        <v>223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50">
        <f t="shared" ca="1" si="7"/>
        <v>0</v>
      </c>
      <c r="AK37" s="351">
        <f t="shared" ca="1" si="8"/>
        <v>0</v>
      </c>
      <c r="AL37" s="140">
        <f t="shared" ca="1" si="9"/>
        <v>0</v>
      </c>
      <c r="AM37" s="352">
        <f t="shared" ca="1" si="10"/>
        <v>0</v>
      </c>
      <c r="AN37" s="140">
        <f t="shared" ca="1" si="11"/>
        <v>0</v>
      </c>
    </row>
    <row r="38" spans="1:40" x14ac:dyDescent="0.25">
      <c r="A38" s="1" t="s">
        <v>104</v>
      </c>
      <c r="C38" s="26" t="s">
        <v>101</v>
      </c>
      <c r="D38" s="1" t="s">
        <v>106</v>
      </c>
      <c r="F38" s="1" t="s">
        <v>98</v>
      </c>
      <c r="G38" s="14"/>
      <c r="H38" s="15" t="s">
        <v>224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684.8</v>
      </c>
      <c r="P38" s="21">
        <v>-64</v>
      </c>
      <c r="Q38" s="21">
        <v>377.6</v>
      </c>
      <c r="R38" s="21">
        <v>311.60000000000002</v>
      </c>
      <c r="S38" s="21">
        <v>324.2</v>
      </c>
      <c r="T38" s="21">
        <v>211.2</v>
      </c>
      <c r="U38" s="21">
        <v>96.8</v>
      </c>
      <c r="V38" s="21">
        <v>204</v>
      </c>
      <c r="W38" s="21">
        <v>89.6</v>
      </c>
      <c r="X38" s="21">
        <v>140.80000000000001</v>
      </c>
      <c r="Y38" s="21">
        <v>140.80000000000001</v>
      </c>
      <c r="Z38" s="21">
        <v>262.39999999999998</v>
      </c>
      <c r="AA38" s="310" t="e">
        <f t="shared" ca="1" si="0"/>
        <v>#NAME?</v>
      </c>
      <c r="AB38" s="17" t="e">
        <f t="shared" ca="1" si="1"/>
        <v>#NAME?</v>
      </c>
      <c r="AD38" s="21">
        <v>3068.32</v>
      </c>
      <c r="AE38" s="17" t="str">
        <f t="shared" ca="1" si="2"/>
        <v/>
      </c>
      <c r="AF38" s="50" t="e">
        <f t="shared" ca="1" si="3"/>
        <v>#NAME?</v>
      </c>
      <c r="AG38" s="21">
        <v>2549.4</v>
      </c>
      <c r="AH38" s="17" t="str">
        <f t="shared" ca="1" si="5"/>
        <v/>
      </c>
      <c r="AI38" s="50" t="e">
        <f t="shared" ca="1" si="6"/>
        <v>#NAME?</v>
      </c>
      <c r="AJ38" s="350">
        <f t="shared" ca="1" si="7"/>
        <v>0</v>
      </c>
      <c r="AK38" s="351">
        <f t="shared" ca="1" si="8"/>
        <v>0</v>
      </c>
      <c r="AL38" s="140">
        <f t="shared" ca="1" si="9"/>
        <v>0</v>
      </c>
      <c r="AM38" s="352">
        <f t="shared" ca="1" si="10"/>
        <v>0</v>
      </c>
      <c r="AN38" s="140">
        <f t="shared" ca="1" si="11"/>
        <v>0</v>
      </c>
    </row>
    <row r="39" spans="1:40" x14ac:dyDescent="0.25">
      <c r="A39" s="1" t="s">
        <v>102</v>
      </c>
      <c r="C39" s="25" t="s">
        <v>101</v>
      </c>
      <c r="D39" s="1" t="s">
        <v>106</v>
      </c>
      <c r="F39" s="1" t="s">
        <v>98</v>
      </c>
      <c r="G39" s="14"/>
      <c r="H39" s="15" t="s">
        <v>225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50">
        <f t="shared" ca="1" si="7"/>
        <v>0</v>
      </c>
      <c r="AK39" s="351">
        <f t="shared" ca="1" si="8"/>
        <v>0</v>
      </c>
      <c r="AL39" s="140">
        <f t="shared" ca="1" si="9"/>
        <v>0</v>
      </c>
      <c r="AM39" s="352">
        <f t="shared" ca="1" si="10"/>
        <v>0</v>
      </c>
      <c r="AN39" s="140">
        <f t="shared" ca="1" si="11"/>
        <v>0</v>
      </c>
    </row>
    <row r="40" spans="1:40" x14ac:dyDescent="0.25">
      <c r="A40" s="1" t="s">
        <v>102</v>
      </c>
      <c r="C40" s="29" t="s">
        <v>101</v>
      </c>
      <c r="D40" s="1" t="s">
        <v>107</v>
      </c>
      <c r="F40" s="1" t="s">
        <v>99</v>
      </c>
      <c r="G40" s="14"/>
      <c r="H40" s="15" t="s">
        <v>226</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0"/>
      <c r="P40" s="30"/>
      <c r="Q40" s="30"/>
      <c r="R40" s="30"/>
      <c r="S40" s="30"/>
      <c r="T40" s="30"/>
      <c r="U40" s="30"/>
      <c r="V40" s="30"/>
      <c r="W40" s="30"/>
      <c r="X40" s="30"/>
      <c r="Y40" s="30"/>
      <c r="Z40" s="30"/>
      <c r="AA40" s="324" t="e">
        <f t="shared" ca="1" si="0"/>
        <v>#NAME?</v>
      </c>
      <c r="AB40" s="31" t="e">
        <f t="shared" ca="1" si="1"/>
        <v>#NAME?</v>
      </c>
      <c r="AD40" s="30"/>
      <c r="AE40" s="31" t="str">
        <f t="shared" si="2"/>
        <v/>
      </c>
      <c r="AF40" s="51" t="e">
        <f t="shared" ca="1" si="3"/>
        <v>#NAME?</v>
      </c>
      <c r="AG40" s="30"/>
      <c r="AH40" s="31" t="str">
        <f t="shared" si="5"/>
        <v/>
      </c>
      <c r="AI40" s="51" t="e">
        <f t="shared" ca="1" si="6"/>
        <v>#NAME?</v>
      </c>
      <c r="AJ40" s="357">
        <f t="shared" ca="1" si="7"/>
        <v>0</v>
      </c>
      <c r="AK40" s="358">
        <f t="shared" ca="1" si="8"/>
        <v>0</v>
      </c>
      <c r="AL40" s="141">
        <f t="shared" ca="1" si="9"/>
        <v>0</v>
      </c>
      <c r="AM40" s="359">
        <f t="shared" ca="1" si="10"/>
        <v>0</v>
      </c>
      <c r="AN40" s="141">
        <f t="shared" ca="1" si="11"/>
        <v>0</v>
      </c>
    </row>
    <row r="41" spans="1:40" x14ac:dyDescent="0.25">
      <c r="A41" s="1" t="s">
        <v>244</v>
      </c>
      <c r="C41" s="29" t="s">
        <v>101</v>
      </c>
      <c r="D41" s="1" t="s">
        <v>107</v>
      </c>
      <c r="F41" s="1" t="s">
        <v>99</v>
      </c>
      <c r="G41" s="14"/>
      <c r="H41" s="15" t="s">
        <v>227</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134">
        <v>684.8</v>
      </c>
      <c r="P41" s="134">
        <v>-64</v>
      </c>
      <c r="Q41" s="134">
        <v>377.6</v>
      </c>
      <c r="R41" s="134">
        <v>311.60000000000002</v>
      </c>
      <c r="S41" s="134">
        <v>324.2</v>
      </c>
      <c r="T41" s="134">
        <v>211.2</v>
      </c>
      <c r="U41" s="134">
        <v>96.8</v>
      </c>
      <c r="V41" s="134">
        <v>204</v>
      </c>
      <c r="W41" s="134">
        <v>89.6</v>
      </c>
      <c r="X41" s="134">
        <v>140.80000000000001</v>
      </c>
      <c r="Y41" s="134">
        <v>140.80000000000001</v>
      </c>
      <c r="Z41" s="134">
        <v>262.39999999999998</v>
      </c>
      <c r="AA41" s="134" t="e">
        <f t="shared" ca="1" si="0"/>
        <v>#NAME?</v>
      </c>
      <c r="AB41" s="135" t="e">
        <f t="shared" ca="1" si="1"/>
        <v>#NAME?</v>
      </c>
      <c r="AC41" s="137"/>
      <c r="AD41" s="134">
        <v>3068.32</v>
      </c>
      <c r="AE41" s="135" t="str">
        <f t="shared" ca="1" si="2"/>
        <v/>
      </c>
      <c r="AF41" s="136" t="e">
        <f t="shared" ca="1" si="3"/>
        <v>#NAME?</v>
      </c>
      <c r="AG41" s="134">
        <v>2549.4</v>
      </c>
      <c r="AH41" s="135" t="str">
        <f t="shared" ca="1" si="5"/>
        <v/>
      </c>
      <c r="AI41" s="136" t="e">
        <f t="shared" ca="1" si="6"/>
        <v>#NAME?</v>
      </c>
      <c r="AJ41" s="360">
        <f t="shared" ca="1" si="7"/>
        <v>0</v>
      </c>
      <c r="AK41" s="361">
        <f t="shared" ca="1" si="8"/>
        <v>0</v>
      </c>
      <c r="AL41" s="362">
        <f t="shared" ca="1" si="9"/>
        <v>0</v>
      </c>
      <c r="AM41" s="363">
        <f t="shared" ca="1" si="10"/>
        <v>0</v>
      </c>
      <c r="AN41" s="362">
        <f t="shared" ca="1" si="11"/>
        <v>0</v>
      </c>
    </row>
    <row r="42" spans="1:40" x14ac:dyDescent="0.25">
      <c r="G42" s="14"/>
      <c r="H42" s="149" t="s">
        <v>228</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8"/>
      <c r="P42" s="38"/>
      <c r="Q42" s="38"/>
      <c r="R42" s="38"/>
      <c r="S42" s="38"/>
      <c r="T42" s="38"/>
      <c r="U42" s="38"/>
      <c r="V42" s="38"/>
      <c r="W42" s="38"/>
      <c r="X42" s="38"/>
      <c r="Y42" s="38"/>
      <c r="Z42" s="38"/>
      <c r="AA42" s="315" t="e">
        <f t="shared" ca="1" si="0"/>
        <v>#NAME?</v>
      </c>
      <c r="AB42" s="39" t="e">
        <f t="shared" ca="1" si="1"/>
        <v>#NAME?</v>
      </c>
      <c r="AD42" s="38"/>
      <c r="AE42" s="39" t="str">
        <f t="shared" si="2"/>
        <v/>
      </c>
      <c r="AF42" s="132" t="e">
        <f t="shared" ca="1" si="3"/>
        <v>#NAME?</v>
      </c>
      <c r="AG42" s="38"/>
      <c r="AH42" s="39" t="str">
        <f t="shared" si="5"/>
        <v/>
      </c>
      <c r="AI42" s="132" t="e">
        <f t="shared" ca="1" si="6"/>
        <v>#NAME?</v>
      </c>
      <c r="AJ42" s="353">
        <f t="shared" ca="1" si="7"/>
        <v>0</v>
      </c>
      <c r="AK42" s="354">
        <f t="shared" ca="1" si="8"/>
        <v>0</v>
      </c>
      <c r="AL42" s="355">
        <f t="shared" ca="1" si="9"/>
        <v>0</v>
      </c>
      <c r="AM42" s="356">
        <f t="shared" ca="1" si="10"/>
        <v>0</v>
      </c>
      <c r="AN42" s="355">
        <f t="shared" ca="1" si="11"/>
        <v>0</v>
      </c>
    </row>
    <row r="43" spans="1:40" x14ac:dyDescent="0.25">
      <c r="G43" s="14"/>
      <c r="H43" s="149" t="s">
        <v>241</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357">
        <f t="shared" ca="1" si="7"/>
        <v>0</v>
      </c>
      <c r="AK43" s="358">
        <f t="shared" ca="1" si="8"/>
        <v>0</v>
      </c>
      <c r="AL43" s="141">
        <f t="shared" ca="1" si="9"/>
        <v>0</v>
      </c>
      <c r="AM43" s="359">
        <f t="shared" ca="1" si="10"/>
        <v>0</v>
      </c>
      <c r="AN43" s="141">
        <f t="shared" ca="1" si="11"/>
        <v>0</v>
      </c>
    </row>
    <row r="44" spans="1:40" x14ac:dyDescent="0.25">
      <c r="A44" s="4" t="e">
        <f ca="1">_xll.EVDRE($B$1,A47:B54)</f>
        <v>#NAME?</v>
      </c>
      <c r="G44" s="14"/>
      <c r="H44" s="149" t="s">
        <v>229</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36"/>
      <c r="P44" s="36"/>
      <c r="Q44" s="36"/>
      <c r="R44" s="36"/>
      <c r="S44" s="36"/>
      <c r="T44" s="36"/>
      <c r="U44" s="36"/>
      <c r="V44" s="36"/>
      <c r="W44" s="36"/>
      <c r="X44" s="36"/>
      <c r="Y44" s="36"/>
      <c r="Z44" s="36"/>
      <c r="AA44" s="36" t="e">
        <f t="shared" ca="1" si="0"/>
        <v>#NAME?</v>
      </c>
      <c r="AB44" s="37" t="e">
        <f t="shared" ca="1" si="1"/>
        <v>#NAME?</v>
      </c>
      <c r="AC44" s="35"/>
      <c r="AD44" s="36"/>
      <c r="AE44" s="37" t="str">
        <f t="shared" si="2"/>
        <v/>
      </c>
      <c r="AF44" s="58" t="e">
        <f t="shared" ca="1" si="3"/>
        <v>#NAME?</v>
      </c>
      <c r="AG44" s="36"/>
      <c r="AH44" s="37" t="str">
        <f t="shared" si="5"/>
        <v/>
      </c>
      <c r="AI44" s="58" t="e">
        <f t="shared" ca="1" si="6"/>
        <v>#NAME?</v>
      </c>
      <c r="AJ44" s="372">
        <f t="shared" ca="1" si="7"/>
        <v>0</v>
      </c>
      <c r="AK44" s="373">
        <f t="shared" ca="1" si="8"/>
        <v>0</v>
      </c>
      <c r="AL44" s="374">
        <f t="shared" ca="1" si="9"/>
        <v>0</v>
      </c>
      <c r="AM44" s="375">
        <f t="shared" ca="1" si="10"/>
        <v>0</v>
      </c>
      <c r="AN44" s="374">
        <f t="shared" ca="1" si="11"/>
        <v>0</v>
      </c>
    </row>
    <row r="45" spans="1:40" x14ac:dyDescent="0.25">
      <c r="G45" s="14"/>
      <c r="H45" s="149" t="s">
        <v>77</v>
      </c>
      <c r="I45" s="479" t="e">
        <f ca="1">_xll.EVPRO($B$1,$H45,"STYLE")</f>
        <v>#NAME?</v>
      </c>
      <c r="J45" s="479" t="e">
        <f ca="1">_xll.EVPRO($B$1,$H45,"CALC")</f>
        <v>#NAME?</v>
      </c>
      <c r="K45" s="480" t="e">
        <f t="shared" ca="1" si="4"/>
        <v>#NAME?</v>
      </c>
      <c r="L45" s="170" t="e">
        <f ca="1">_xll.EVPRO($B$1,H45,"JDEID")</f>
        <v>#NAME?</v>
      </c>
      <c r="M45" s="170" t="e">
        <f ca="1">IF(AND(I45="N",J45="N"),_xll.EVPRO($B$1,H45,"PSFTID"),"")</f>
        <v>#NAME?</v>
      </c>
      <c r="N45" s="170" t="e">
        <f ca="1">IF(_xll.EVDES(H45,$B$1)="#NODATA","",_xll.EVDES(H45,$B$1))</f>
        <v>#NAME?</v>
      </c>
      <c r="O45" s="134">
        <v>684.8</v>
      </c>
      <c r="P45" s="134">
        <v>-64</v>
      </c>
      <c r="Q45" s="134">
        <v>377.6</v>
      </c>
      <c r="R45" s="134">
        <v>311.60000000000002</v>
      </c>
      <c r="S45" s="134">
        <v>324.2</v>
      </c>
      <c r="T45" s="134">
        <v>211.2</v>
      </c>
      <c r="U45" s="134">
        <v>96.8</v>
      </c>
      <c r="V45" s="134">
        <v>204</v>
      </c>
      <c r="W45" s="134">
        <v>89.6</v>
      </c>
      <c r="X45" s="134">
        <v>140.80000000000001</v>
      </c>
      <c r="Y45" s="134">
        <v>140.80000000000001</v>
      </c>
      <c r="Z45" s="134">
        <v>262.39999999999998</v>
      </c>
      <c r="AA45" s="134" t="e">
        <f t="shared" ca="1" si="0"/>
        <v>#NAME?</v>
      </c>
      <c r="AB45" s="135" t="e">
        <f t="shared" ca="1" si="1"/>
        <v>#NAME?</v>
      </c>
      <c r="AC45" s="137"/>
      <c r="AD45" s="134">
        <v>3068.32</v>
      </c>
      <c r="AE45" s="135" t="str">
        <f t="shared" ca="1" si="2"/>
        <v/>
      </c>
      <c r="AF45" s="136" t="e">
        <f t="shared" ca="1" si="3"/>
        <v>#NAME?</v>
      </c>
      <c r="AG45" s="134">
        <v>2549.4</v>
      </c>
      <c r="AH45" s="135" t="str">
        <f t="shared" ca="1" si="5"/>
        <v/>
      </c>
      <c r="AI45" s="136" t="e">
        <f t="shared" ca="1" si="6"/>
        <v>#NAME?</v>
      </c>
      <c r="AJ45" s="360">
        <f t="shared" ca="1" si="7"/>
        <v>0</v>
      </c>
      <c r="AK45" s="361">
        <f t="shared" ca="1" si="8"/>
        <v>0</v>
      </c>
      <c r="AL45" s="362">
        <f t="shared" ca="1" si="9"/>
        <v>0</v>
      </c>
      <c r="AM45" s="363">
        <f t="shared" ca="1" si="10"/>
        <v>0</v>
      </c>
      <c r="AN45" s="362">
        <f t="shared" ca="1" si="11"/>
        <v>0</v>
      </c>
    </row>
    <row r="46" spans="1:40" x14ac:dyDescent="0.25">
      <c r="A46" s="3" t="s">
        <v>0</v>
      </c>
      <c r="B46" s="5" t="s">
        <v>1</v>
      </c>
      <c r="G46" s="14"/>
      <c r="H46" s="15"/>
      <c r="I46" s="28"/>
      <c r="J46" s="28"/>
      <c r="K46" s="69"/>
      <c r="L46" s="69"/>
      <c r="M46" s="69"/>
      <c r="N46" s="25"/>
      <c r="O46" s="127"/>
      <c r="P46" s="127"/>
      <c r="Q46" s="127"/>
      <c r="R46" s="127"/>
      <c r="S46" s="127"/>
      <c r="T46" s="127"/>
      <c r="U46" s="127"/>
      <c r="V46" s="127"/>
      <c r="W46" s="127"/>
      <c r="X46" s="127"/>
      <c r="Y46" s="127"/>
      <c r="Z46" s="127"/>
      <c r="AA46" s="127"/>
      <c r="AB46" s="128"/>
      <c r="AD46" s="127"/>
      <c r="AE46" s="128"/>
      <c r="AF46" s="133"/>
      <c r="AG46" s="127"/>
      <c r="AH46" s="128"/>
      <c r="AI46" s="133"/>
    </row>
    <row r="47" spans="1:40" x14ac:dyDescent="0.25">
      <c r="A47" s="6" t="s">
        <v>2</v>
      </c>
      <c r="B47" s="7" t="e">
        <f ca="1">_xll.EVRNG($B$2:$B$10)</f>
        <v>#NAME?</v>
      </c>
      <c r="G47" s="14"/>
      <c r="H47" s="15"/>
      <c r="I47" s="27"/>
      <c r="J47" s="27"/>
      <c r="N47" s="26" t="s">
        <v>242</v>
      </c>
      <c r="O47" s="30">
        <f>SUMIF($H$34:$H$48,"700000",O34:O48)-SUMIF($H$34:$H$48,"710000",O34:O48)</f>
        <v>12950.230000000001</v>
      </c>
      <c r="P47" s="30">
        <f t="shared" ref="P47:Z47" si="12">SUMIF($H$34:$H$48,"700000",P34:P48)-SUMIF($H$34:$H$48,"710000",P34:P48)</f>
        <v>12039.61</v>
      </c>
      <c r="Q47" s="30">
        <f t="shared" si="12"/>
        <v>11808.619999999999</v>
      </c>
      <c r="R47" s="30">
        <f t="shared" si="12"/>
        <v>9024.27</v>
      </c>
      <c r="S47" s="30">
        <f t="shared" si="12"/>
        <v>8292.56</v>
      </c>
      <c r="T47" s="30">
        <f t="shared" si="12"/>
        <v>6343.79</v>
      </c>
      <c r="U47" s="30">
        <f t="shared" si="12"/>
        <v>6254.1399999999994</v>
      </c>
      <c r="V47" s="30">
        <f t="shared" si="12"/>
        <v>5043.0600000000004</v>
      </c>
      <c r="W47" s="30">
        <f t="shared" si="12"/>
        <v>4340.29</v>
      </c>
      <c r="X47" s="30">
        <f t="shared" si="12"/>
        <v>5897.55</v>
      </c>
      <c r="Y47" s="30">
        <f t="shared" si="12"/>
        <v>6730.55</v>
      </c>
      <c r="Z47" s="30">
        <f t="shared" si="12"/>
        <v>11441.75</v>
      </c>
      <c r="AA47" s="30">
        <f>IF($I47="B1","",SUM(O47:Z47))</f>
        <v>100166.42</v>
      </c>
      <c r="AB47" s="31" t="str">
        <f ca="1">IF(AA47=0,"",IFERROR(AA47/AA$19,""))</f>
        <v/>
      </c>
      <c r="AD47" s="30">
        <f>SUMIF($H$34:$H$48,"700000",AD34:AD48)-SUMIF($H$34:$H$48,"710000",AD34:AD48)</f>
        <v>116385.24369999999</v>
      </c>
      <c r="AE47" s="31" t="str">
        <f ca="1">IF(AD47=0,"",IFERROR(AD47/AD$19,""))</f>
        <v/>
      </c>
      <c r="AF47" s="51">
        <f>IF(AND($AA47="",AD47=""),"",$AA47-AD47)</f>
        <v>-16218.823699999994</v>
      </c>
      <c r="AG47" s="30">
        <f>SUMIF($H$34:$H$48,"700000",AG34:AG48)-SUMIF($H$34:$H$48,"710000",AG34:AG48)</f>
        <v>113101.74</v>
      </c>
      <c r="AH47" s="31" t="str">
        <f ca="1">IF(AG47=0,"",IFERROR(AG47/AG$19,""))</f>
        <v/>
      </c>
      <c r="AI47" s="51">
        <f>IF(AND($AA47="",AG47=""),"",$AA47-AG47)</f>
        <v>-12935.320000000007</v>
      </c>
      <c r="AJ47" s="376">
        <f ca="1">IFERROR(AA47/AA$22,0)</f>
        <v>0</v>
      </c>
      <c r="AK47" s="377">
        <f ca="1">IFERROR(AD47/AD$22,0)</f>
        <v>0</v>
      </c>
      <c r="AL47" s="378">
        <f ca="1">AJ47-AK47</f>
        <v>0</v>
      </c>
      <c r="AM47" s="379">
        <f ca="1">IFERROR(AG47/AG$22,0)</f>
        <v>0</v>
      </c>
      <c r="AN47" s="378">
        <f ca="1">AJ47-AM47</f>
        <v>0</v>
      </c>
    </row>
    <row r="48" spans="1:40" x14ac:dyDescent="0.25">
      <c r="A48" s="6" t="s">
        <v>3</v>
      </c>
      <c r="B48" s="7" t="e">
        <f ca="1">_xll.EVRNG($O$16:$AN$18)</f>
        <v>#NAME?</v>
      </c>
      <c r="G48" s="160"/>
      <c r="H48" s="15" t="s">
        <v>79</v>
      </c>
      <c r="I48" s="27" t="e">
        <f ca="1">_xll.EVPRO($B$1,$H48,"STYLE")</f>
        <v>#NAME?</v>
      </c>
      <c r="J48" s="27" t="e">
        <f ca="1">_xll.EVPRO($B$1,$H48,"CALC")</f>
        <v>#NAME?</v>
      </c>
      <c r="N48" s="119" t="s">
        <v>243</v>
      </c>
      <c r="O48" s="129">
        <v>13635.03</v>
      </c>
      <c r="P48" s="129">
        <v>11975.61</v>
      </c>
      <c r="Q48" s="129">
        <v>12186.22</v>
      </c>
      <c r="R48" s="129">
        <v>9335.8700000000008</v>
      </c>
      <c r="S48" s="129">
        <v>8616.76</v>
      </c>
      <c r="T48" s="129">
        <v>6554.99</v>
      </c>
      <c r="U48" s="129">
        <v>6350.94</v>
      </c>
      <c r="V48" s="129">
        <v>5247.06</v>
      </c>
      <c r="W48" s="129">
        <v>4429.8900000000003</v>
      </c>
      <c r="X48" s="129">
        <v>6038.35</v>
      </c>
      <c r="Y48" s="129">
        <v>6871.35</v>
      </c>
      <c r="Z48" s="129">
        <v>11704.15</v>
      </c>
      <c r="AA48" s="129" t="e">
        <f ca="1">IF($I48="B1","",SUM(O48:Z48))</f>
        <v>#NAME?</v>
      </c>
      <c r="AB48" s="130" t="e">
        <f ca="1">IF(AA48=0,"",IFERROR(AA48/AA$19,""))</f>
        <v>#NAME?</v>
      </c>
      <c r="AD48" s="129">
        <v>119453.5637</v>
      </c>
      <c r="AE48" s="130" t="str">
        <f ca="1">IF(AD48=0,"",IFERROR(AD48/AD$19,""))</f>
        <v/>
      </c>
      <c r="AF48" s="131" t="e">
        <f ca="1">IF(AND($AA48="",AD48=""),"",$AA48-AD48)</f>
        <v>#NAME?</v>
      </c>
      <c r="AG48" s="129">
        <v>115651.14</v>
      </c>
      <c r="AH48" s="130" t="str">
        <f ca="1">IF(AG48=0,"",IFERROR(AG48/AG$19,""))</f>
        <v/>
      </c>
      <c r="AI48" s="131" t="e">
        <f ca="1">IF(AND($AA48="",AG48=""),"",$AA48-AG48)</f>
        <v>#NAME?</v>
      </c>
      <c r="AJ48" s="353">
        <f ca="1">IFERROR(AA48/AA$22,0)</f>
        <v>0</v>
      </c>
      <c r="AK48" s="354">
        <f ca="1">IFERROR(AD48/AD$22,0)</f>
        <v>0</v>
      </c>
      <c r="AL48" s="355">
        <f ca="1">AJ48-AK48</f>
        <v>0</v>
      </c>
      <c r="AM48" s="356">
        <f ca="1">IFERROR(AG48/AG$22,0)</f>
        <v>0</v>
      </c>
      <c r="AN48" s="355">
        <f ca="1">AJ48-AM48</f>
        <v>0</v>
      </c>
    </row>
    <row r="49" spans="1:40" x14ac:dyDescent="0.25">
      <c r="A49" s="6" t="s">
        <v>4</v>
      </c>
      <c r="B49" s="7" t="e">
        <f ca="1">_xll.EVRNG(H47:H51)</f>
        <v>#NAME?</v>
      </c>
      <c r="G49" s="14"/>
      <c r="H49" s="15"/>
      <c r="I49" s="27"/>
      <c r="J49" s="27"/>
      <c r="N49" s="126"/>
      <c r="O49" s="21"/>
      <c r="P49" s="21"/>
      <c r="Q49" s="21"/>
      <c r="R49" s="21"/>
      <c r="S49" s="21"/>
      <c r="T49" s="21"/>
      <c r="U49" s="21"/>
      <c r="V49" s="21"/>
      <c r="W49" s="21"/>
      <c r="X49" s="21"/>
      <c r="Y49" s="21"/>
      <c r="Z49" s="21"/>
      <c r="AA49" s="21"/>
      <c r="AB49" s="17"/>
      <c r="AD49" s="21"/>
      <c r="AE49" s="17"/>
      <c r="AF49" s="50"/>
      <c r="AG49" s="21"/>
      <c r="AH49" s="17"/>
      <c r="AI49" s="50"/>
    </row>
    <row r="50" spans="1:40" x14ac:dyDescent="0.25">
      <c r="A50" s="6" t="s">
        <v>5</v>
      </c>
      <c r="B50" s="7"/>
      <c r="G50" s="14"/>
      <c r="H50" s="15" t="s">
        <v>76</v>
      </c>
      <c r="I50" s="27" t="e">
        <f ca="1">_xll.EVPRO($B$1,$H50,"STYLE")</f>
        <v>#NAME?</v>
      </c>
      <c r="J50" s="27" t="e">
        <f ca="1">_xll.EVPRO($B$1,$H50,"CALC")</f>
        <v>#NAME?</v>
      </c>
      <c r="N50" s="126" t="e">
        <f ca="1">IF(_xll.EVDES(H50,$B$1)="#NODATA","",_xll.EVDES(H50,$B$1))</f>
        <v>#NAME?</v>
      </c>
      <c r="O50" s="30"/>
      <c r="P50" s="30"/>
      <c r="Q50" s="30"/>
      <c r="R50" s="30"/>
      <c r="S50" s="30"/>
      <c r="T50" s="30"/>
      <c r="U50" s="30"/>
      <c r="V50" s="30"/>
      <c r="W50" s="30"/>
      <c r="X50" s="30"/>
      <c r="Y50" s="30"/>
      <c r="Z50" s="30"/>
      <c r="AA50" s="30" t="e">
        <f ca="1">IF($I50="B1","",SUM(O50:Z50))</f>
        <v>#NAME?</v>
      </c>
      <c r="AB50" s="31"/>
      <c r="AD50" s="30">
        <v>27900</v>
      </c>
      <c r="AE50" s="31"/>
      <c r="AF50" s="51" t="e">
        <f ca="1">IF(AND($AA50="",AD50=""),"",$AA50-AD50)</f>
        <v>#NAME?</v>
      </c>
      <c r="AG50" s="30"/>
      <c r="AH50" s="31"/>
      <c r="AI50" s="51" t="e">
        <f ca="1">IF(AND($AA50="",AG50=""),"",$AA50-AG50)</f>
        <v>#NAME?</v>
      </c>
      <c r="AJ50" s="357">
        <f ca="1">IFERROR(AA50/AA$22,0)</f>
        <v>0</v>
      </c>
      <c r="AK50" s="358">
        <f ca="1">IFERROR(AD50/AD$22,0)</f>
        <v>0</v>
      </c>
      <c r="AL50" s="141">
        <f ca="1">AJ50-AK50</f>
        <v>0</v>
      </c>
      <c r="AM50" s="359">
        <f ca="1">IFERROR(AG50/AG$22,0)</f>
        <v>0</v>
      </c>
      <c r="AN50" s="141">
        <f ca="1">AJ50-AM50</f>
        <v>0</v>
      </c>
    </row>
    <row r="51" spans="1:40" ht="15.75" thickBot="1" x14ac:dyDescent="0.3">
      <c r="A51" s="6" t="s">
        <v>6</v>
      </c>
      <c r="B51" s="7"/>
      <c r="G51" s="14"/>
      <c r="H51" s="15" t="s">
        <v>80</v>
      </c>
      <c r="I51" s="27" t="e">
        <f ca="1">_xll.EVPRO($B$1,$H51,"STYLE")</f>
        <v>#NAME?</v>
      </c>
      <c r="J51" s="27" t="e">
        <f ca="1">_xll.EVPRO($B$1,$H51,"CALC")</f>
        <v>#NAME?</v>
      </c>
      <c r="N51" s="119" t="e">
        <f ca="1">IF(_xll.EVDES(H51,$B$1)="#NODATA","",_xll.EVDES(H51,$B$1))</f>
        <v>#NAME?</v>
      </c>
      <c r="O51" s="62">
        <v>13635.03</v>
      </c>
      <c r="P51" s="62">
        <v>11975.61</v>
      </c>
      <c r="Q51" s="62">
        <v>12186.22</v>
      </c>
      <c r="R51" s="62">
        <v>9335.8700000000008</v>
      </c>
      <c r="S51" s="62">
        <v>8616.76</v>
      </c>
      <c r="T51" s="62">
        <v>6554.99</v>
      </c>
      <c r="U51" s="62">
        <v>6350.94</v>
      </c>
      <c r="V51" s="62">
        <v>5247.06</v>
      </c>
      <c r="W51" s="62">
        <v>4429.8900000000003</v>
      </c>
      <c r="X51" s="62">
        <v>6038.35</v>
      </c>
      <c r="Y51" s="62">
        <v>6871.35</v>
      </c>
      <c r="Z51" s="62">
        <v>11704.15</v>
      </c>
      <c r="AA51" s="62" t="e">
        <f ca="1">IF($I51="B1","",SUM(O51:Z51))</f>
        <v>#NAME?</v>
      </c>
      <c r="AB51" s="63"/>
      <c r="AD51" s="62">
        <v>147353.5637</v>
      </c>
      <c r="AE51" s="63"/>
      <c r="AF51" s="64" t="e">
        <f ca="1">IF(AND($AA51="",AD51=""),"",$AA51-AD51)</f>
        <v>#NAME?</v>
      </c>
      <c r="AG51" s="62">
        <v>115651.14</v>
      </c>
      <c r="AH51" s="63"/>
      <c r="AI51" s="64" t="e">
        <f ca="1">IF(AND($AA51="",AG51=""),"",$AA51-AG51)</f>
        <v>#NAME?</v>
      </c>
      <c r="AJ51" s="380">
        <f ca="1">IFERROR(AA51/AA$22,0)</f>
        <v>0</v>
      </c>
      <c r="AK51" s="381">
        <f ca="1">IFERROR(AD51/AD$22,0)</f>
        <v>0</v>
      </c>
      <c r="AL51" s="382">
        <f ca="1">AJ51-AK51</f>
        <v>0</v>
      </c>
      <c r="AM51" s="383">
        <f ca="1">IFERROR(AG51/AG$22,0)</f>
        <v>0</v>
      </c>
      <c r="AN51" s="382">
        <f ca="1">AJ51-AM51</f>
        <v>0</v>
      </c>
    </row>
    <row r="52" spans="1:40" ht="15.75" thickTop="1" x14ac:dyDescent="0.25">
      <c r="A52" s="6" t="s">
        <v>7</v>
      </c>
      <c r="B52" s="7"/>
      <c r="G52" s="14"/>
      <c r="H52" s="14"/>
      <c r="I52" s="14"/>
      <c r="J52" s="14"/>
      <c r="N52" s="26"/>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7" t="e">
        <f ca="1">_xll.EVRNG($A$87:$B$108)</f>
        <v>#NAME?</v>
      </c>
      <c r="G53" s="14"/>
      <c r="H53" s="1" t="s">
        <v>240</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G54" s="14"/>
      <c r="H54" s="15" t="s">
        <v>230</v>
      </c>
      <c r="I54" s="27" t="e">
        <f ca="1">_xll.EVPRO($B$1,$H54,"STYLE")</f>
        <v>#NAME?</v>
      </c>
      <c r="J54" s="27" t="e">
        <f ca="1">_xll.EVPRO($B$1,$H54,"CALC")</f>
        <v>#NAME?</v>
      </c>
      <c r="K54" s="68" t="e">
        <f ca="1">IF(AND(I54&gt;="T3"),"&gt;","")</f>
        <v>#NAME?</v>
      </c>
      <c r="L54" s="195" t="e">
        <f ca="1">_xll.EVPRO($B$1,H54,"JDEID")</f>
        <v>#NAME?</v>
      </c>
      <c r="M54" s="162" t="e">
        <f ca="1">IF(AND(I54="N",J54="N"),_xll.EVPRO($B$1,H54,"PSFTID"),"")</f>
        <v>#NAME?</v>
      </c>
      <c r="N54" s="26" t="e">
        <f ca="1">IF(_xll.EVDES(H54,$B$1)="#NODATA","",_xll.EVDES(H54,$B$1))</f>
        <v>#NAME?</v>
      </c>
      <c r="O54" s="21"/>
      <c r="P54" s="21"/>
      <c r="Q54" s="21"/>
      <c r="R54" s="21"/>
      <c r="S54" s="21"/>
      <c r="T54" s="21"/>
      <c r="U54" s="21"/>
      <c r="V54" s="21"/>
      <c r="W54" s="21"/>
      <c r="X54" s="21"/>
      <c r="Y54" s="21"/>
      <c r="Z54" s="21"/>
      <c r="AA54" s="21" t="e">
        <f t="shared" ref="AA54:AA61" ca="1" si="13">IF($I54="B1","",SUM(O54:Z54))</f>
        <v>#NAME?</v>
      </c>
      <c r="AB54" s="17" t="e">
        <f t="shared" ref="AB54:AB61" ca="1" si="14">IF(AA54=0,"",IFERROR(AA54/AA$20,""))</f>
        <v>#NAME?</v>
      </c>
      <c r="AD54" s="21"/>
      <c r="AE54" s="17" t="str">
        <f t="shared" ref="AE54:AE61" si="15">IF(AD54=0,"",IFERROR(AD54/AD$20,""))</f>
        <v/>
      </c>
      <c r="AF54" s="50" t="e">
        <f t="shared" ref="AF54:AF61" ca="1" si="16">IF(AND($AA54="",AD54=""),"",$AA54-AD54)</f>
        <v>#NAME?</v>
      </c>
      <c r="AG54" s="21"/>
      <c r="AH54" s="17" t="str">
        <f>IF(AG54=0,"",IFERROR(AG54/AG$20,""))</f>
        <v/>
      </c>
      <c r="AI54" s="50" t="e">
        <f ca="1">IF(AND($AA54="",AG54=""),"",$AA54-AG54)</f>
        <v>#NAME?</v>
      </c>
    </row>
    <row r="55" spans="1:40" x14ac:dyDescent="0.25">
      <c r="G55" s="14"/>
      <c r="H55" s="15" t="s">
        <v>175</v>
      </c>
      <c r="I55" s="479" t="e">
        <f ca="1">_xll.EVPRO($B$1,$H55,"STYLE")</f>
        <v>#NAME?</v>
      </c>
      <c r="J55" s="479" t="e">
        <f ca="1">_xll.EVPRO($B$1,$H55,"CALC")</f>
        <v>#NAME?</v>
      </c>
      <c r="K55" s="480" t="e">
        <f t="shared" ref="K55:K61" ca="1" si="17">IF(AND(I55&gt;="T3"),"&gt;","")</f>
        <v>#NAME?</v>
      </c>
      <c r="L55" s="25" t="e">
        <f ca="1">_xll.EVPRO($B$1,H55,"JDEID")</f>
        <v>#NAME?</v>
      </c>
      <c r="M55" s="170" t="e">
        <f ca="1">IF(AND(I55="N",J55="N"),_xll.EVPRO($B$1,H55,"PSFTID"),"")</f>
        <v>#NAME?</v>
      </c>
      <c r="N55" s="170" t="e">
        <f ca="1">IF(_xll.EVDES(H55,$B$1)="#NODATA","",_xll.EVDES(H55,$B$1))</f>
        <v>#NAME?</v>
      </c>
      <c r="O55" s="21"/>
      <c r="P55" s="21"/>
      <c r="Q55" s="21"/>
      <c r="R55" s="21"/>
      <c r="S55" s="21"/>
      <c r="T55" s="21"/>
      <c r="U55" s="21"/>
      <c r="V55" s="21"/>
      <c r="W55" s="21"/>
      <c r="X55" s="21"/>
      <c r="Y55" s="21"/>
      <c r="Z55" s="21"/>
      <c r="AA55" s="21" t="e">
        <f t="shared" ca="1" si="13"/>
        <v>#NAME?</v>
      </c>
      <c r="AB55" s="17" t="e">
        <f t="shared" ca="1" si="14"/>
        <v>#NAME?</v>
      </c>
      <c r="AD55" s="21"/>
      <c r="AE55" s="17" t="str">
        <f t="shared" si="15"/>
        <v/>
      </c>
      <c r="AF55" s="50" t="e">
        <f t="shared" ca="1" si="16"/>
        <v>#NAME?</v>
      </c>
      <c r="AG55" s="21"/>
      <c r="AH55" s="17" t="str">
        <f t="shared" ref="AH55:AH61" si="18">IF(AG55=0,"",IFERROR(AG55/AG$20,""))</f>
        <v/>
      </c>
      <c r="AI55" s="50" t="e">
        <f t="shared" ref="AI55:AI61" ca="1" si="19">IF(AND($AA55="",AG55=""),"",$AA55-AG55)</f>
        <v>#NAME?</v>
      </c>
    </row>
    <row r="56" spans="1:40" x14ac:dyDescent="0.25">
      <c r="G56" s="14"/>
      <c r="H56" s="15" t="s">
        <v>231</v>
      </c>
      <c r="I56" s="161" t="e">
        <f ca="1">_xll.EVPRO($B$1,$H56,"STYLE")</f>
        <v>#NAME?</v>
      </c>
      <c r="J56" s="161" t="e">
        <f ca="1">_xll.EVPRO($B$1,$H56,"CALC")</f>
        <v>#NAME?</v>
      </c>
      <c r="K56" s="68" t="e">
        <f t="shared" ca="1" si="17"/>
        <v>#NAME?</v>
      </c>
      <c r="L56" s="195"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t="e">
        <f t="shared" ca="1" si="13"/>
        <v>#NAME?</v>
      </c>
      <c r="AB56" s="17" t="e">
        <f t="shared" ca="1" si="14"/>
        <v>#NAME?</v>
      </c>
      <c r="AD56" s="21"/>
      <c r="AE56" s="17" t="str">
        <f t="shared" si="15"/>
        <v/>
      </c>
      <c r="AF56" s="50" t="e">
        <f t="shared" ca="1" si="16"/>
        <v>#NAME?</v>
      </c>
      <c r="AG56" s="21"/>
      <c r="AH56" s="17" t="str">
        <f t="shared" si="18"/>
        <v/>
      </c>
      <c r="AI56" s="50" t="e">
        <f t="shared" ca="1" si="19"/>
        <v>#NAME?</v>
      </c>
    </row>
    <row r="57" spans="1:40" x14ac:dyDescent="0.25">
      <c r="A57" s="4" t="e">
        <f ca="1">_xll.EVDRE($B$1,A60:B67,A70:B76)</f>
        <v>#NAME?</v>
      </c>
      <c r="G57" s="14"/>
      <c r="H57" s="149" t="s">
        <v>232</v>
      </c>
      <c r="I57" s="27" t="e">
        <f ca="1">_xll.EVPRO($B$1,$H57,"STYLE")</f>
        <v>#NAME?</v>
      </c>
      <c r="J57" s="27" t="e">
        <f ca="1">_xll.EVPRO($B$1,$H57,"CALC")</f>
        <v>#NAME?</v>
      </c>
      <c r="K57" s="68" t="e">
        <f t="shared" ca="1" si="17"/>
        <v>#NAME?</v>
      </c>
      <c r="L57" s="195" t="e">
        <f ca="1">_xll.EVPRO($B$1,H57,"JDEID")</f>
        <v>#NAME?</v>
      </c>
      <c r="M57" s="162" t="e">
        <f ca="1">IF(AND(I57="N",J57="N"),_xll.EVPRO($B$1,H57,"PSFTID"),"")</f>
        <v>#NAME?</v>
      </c>
      <c r="N57" s="26" t="e">
        <f ca="1">IF(_xll.EVDES(H57,$B$1)="#NODATA","",_xll.EVDES(H57,$B$1))</f>
        <v>#NAME?</v>
      </c>
      <c r="O57" s="21"/>
      <c r="P57" s="21"/>
      <c r="Q57" s="21"/>
      <c r="R57" s="21"/>
      <c r="S57" s="21"/>
      <c r="T57" s="21"/>
      <c r="U57" s="21"/>
      <c r="V57" s="21"/>
      <c r="W57" s="21"/>
      <c r="X57" s="21"/>
      <c r="Y57" s="21"/>
      <c r="Z57" s="21"/>
      <c r="AA57" s="21" t="e">
        <f t="shared" ca="1" si="13"/>
        <v>#NAME?</v>
      </c>
      <c r="AB57" s="17" t="e">
        <f t="shared" ca="1" si="14"/>
        <v>#NAME?</v>
      </c>
      <c r="AD57" s="21"/>
      <c r="AE57" s="17" t="str">
        <f t="shared" si="15"/>
        <v/>
      </c>
      <c r="AF57" s="50" t="e">
        <f t="shared" ca="1" si="16"/>
        <v>#NAME?</v>
      </c>
      <c r="AG57" s="21"/>
      <c r="AH57" s="17" t="str">
        <f t="shared" si="18"/>
        <v/>
      </c>
      <c r="AI57" s="50" t="e">
        <f t="shared" ca="1" si="19"/>
        <v>#NAME?</v>
      </c>
    </row>
    <row r="58" spans="1:40" x14ac:dyDescent="0.25">
      <c r="G58" s="14"/>
      <c r="H58" s="149" t="s">
        <v>233</v>
      </c>
      <c r="I58" s="27" t="e">
        <f ca="1">_xll.EVPRO($B$1,$H58,"STYLE")</f>
        <v>#NAME?</v>
      </c>
      <c r="J58" s="27" t="e">
        <f ca="1">_xll.EVPRO($B$1,$H58,"CALC")</f>
        <v>#NAME?</v>
      </c>
      <c r="K58" s="68" t="e">
        <f t="shared" ca="1" si="17"/>
        <v>#NAME?</v>
      </c>
      <c r="L58" s="195" t="e">
        <f ca="1">_xll.EVPRO($B$1,H58,"JDEID")</f>
        <v>#NAME?</v>
      </c>
      <c r="M58" s="162" t="e">
        <f ca="1">IF(AND(I58="N",J58="N"),_xll.EVPRO($B$1,H58,"PSFTID"),"")</f>
        <v>#NAME?</v>
      </c>
      <c r="N58" s="26" t="e">
        <f ca="1">IF(_xll.EVDES(H58,$B$1)="#NODATA","",_xll.EVDES(H58,$B$1))</f>
        <v>#NAME?</v>
      </c>
      <c r="O58" s="21">
        <v>107</v>
      </c>
      <c r="P58" s="21">
        <v>-10</v>
      </c>
      <c r="Q58" s="21">
        <v>59</v>
      </c>
      <c r="R58" s="21">
        <v>50</v>
      </c>
      <c r="S58" s="21">
        <v>50</v>
      </c>
      <c r="T58" s="21">
        <v>33</v>
      </c>
      <c r="U58" s="21">
        <v>15</v>
      </c>
      <c r="V58" s="21">
        <v>32</v>
      </c>
      <c r="W58" s="21">
        <v>14</v>
      </c>
      <c r="X58" s="21">
        <v>22</v>
      </c>
      <c r="Y58" s="21">
        <v>22</v>
      </c>
      <c r="Z58" s="21">
        <v>41</v>
      </c>
      <c r="AA58" s="21" t="e">
        <f t="shared" ca="1" si="13"/>
        <v>#NAME?</v>
      </c>
      <c r="AB58" s="17" t="e">
        <f t="shared" ca="1" si="14"/>
        <v>#NAME?</v>
      </c>
      <c r="AD58" s="21">
        <v>479.42500000000001</v>
      </c>
      <c r="AE58" s="17" t="str">
        <f t="shared" ca="1" si="15"/>
        <v/>
      </c>
      <c r="AF58" s="50" t="e">
        <f t="shared" ca="1" si="16"/>
        <v>#NAME?</v>
      </c>
      <c r="AG58" s="21">
        <v>462</v>
      </c>
      <c r="AH58" s="17" t="str">
        <f t="shared" ca="1" si="18"/>
        <v/>
      </c>
      <c r="AI58" s="50" t="e">
        <f t="shared" ca="1" si="19"/>
        <v>#NAME?</v>
      </c>
    </row>
    <row r="59" spans="1:40" x14ac:dyDescent="0.25">
      <c r="A59" s="3" t="s">
        <v>0</v>
      </c>
      <c r="B59" s="5" t="s">
        <v>1</v>
      </c>
      <c r="G59" s="14"/>
      <c r="H59" s="149" t="s">
        <v>234</v>
      </c>
      <c r="I59" s="27" t="e">
        <f ca="1">_xll.EVPRO($B$1,$H59,"STYLE")</f>
        <v>#NAME?</v>
      </c>
      <c r="J59" s="27" t="e">
        <f ca="1">_xll.EVPRO($B$1,$H59,"CALC")</f>
        <v>#NAME?</v>
      </c>
      <c r="K59" s="68" t="e">
        <f t="shared" ca="1" si="17"/>
        <v>#NAME?</v>
      </c>
      <c r="L59" s="195" t="e">
        <f ca="1">_xll.EVPRO($B$1,H59,"JDEID")</f>
        <v>#NAME?</v>
      </c>
      <c r="M59" s="162" t="e">
        <f ca="1">IF(AND(I59="N",J59="N"),_xll.EVPRO($B$1,H59,"PSFTID"),"")</f>
        <v>#NAME?</v>
      </c>
      <c r="N59" s="26" t="e">
        <f ca="1">IF(_xll.EVDES(H59,$B$1)="#NODATA","",_xll.EVDES(H59,$B$1))</f>
        <v>#NAME?</v>
      </c>
      <c r="O59" s="21"/>
      <c r="P59" s="21"/>
      <c r="Q59" s="21"/>
      <c r="R59" s="21"/>
      <c r="S59" s="21"/>
      <c r="T59" s="21"/>
      <c r="U59" s="21"/>
      <c r="V59" s="21"/>
      <c r="W59" s="21"/>
      <c r="X59" s="21"/>
      <c r="Y59" s="21"/>
      <c r="Z59" s="21"/>
      <c r="AA59" s="21" t="e">
        <f t="shared" ca="1" si="13"/>
        <v>#NAME?</v>
      </c>
      <c r="AB59" s="17" t="e">
        <f t="shared" ca="1" si="14"/>
        <v>#NAME?</v>
      </c>
      <c r="AD59" s="21"/>
      <c r="AE59" s="17" t="str">
        <f t="shared" si="15"/>
        <v/>
      </c>
      <c r="AF59" s="50" t="e">
        <f t="shared" ca="1" si="16"/>
        <v>#NAME?</v>
      </c>
      <c r="AG59" s="21"/>
      <c r="AH59" s="17" t="str">
        <f t="shared" si="18"/>
        <v/>
      </c>
      <c r="AI59" s="50" t="e">
        <f t="shared" ca="1" si="19"/>
        <v>#NAME?</v>
      </c>
    </row>
    <row r="60" spans="1:40" x14ac:dyDescent="0.25">
      <c r="A60" s="6" t="s">
        <v>2</v>
      </c>
      <c r="B60" s="7" t="e">
        <f ca="1">_xll.EVRNG($B$2:$B$10)</f>
        <v>#NAME?</v>
      </c>
      <c r="G60" s="14"/>
      <c r="H60" s="149" t="s">
        <v>235</v>
      </c>
      <c r="I60" s="161" t="e">
        <f ca="1">_xll.EVPRO($B$1,$H60,"STYLE")</f>
        <v>#NAME?</v>
      </c>
      <c r="J60" s="161" t="e">
        <f ca="1">_xll.EVPRO($B$1,$H60,"CALC")</f>
        <v>#NAME?</v>
      </c>
      <c r="K60" s="68" t="e">
        <f t="shared" ca="1" si="17"/>
        <v>#NAME?</v>
      </c>
      <c r="L60" s="195" t="e">
        <f ca="1">_xll.EVPRO($B$1,H60,"JDEID")</f>
        <v>#NAME?</v>
      </c>
      <c r="M60" s="162" t="e">
        <f ca="1">IF(AND(I60="N",J60="N"),_xll.EVPRO($B$1,H60,"PSFTID"),"")</f>
        <v>#NAME?</v>
      </c>
      <c r="N60" s="162" t="e">
        <f ca="1">IF(_xll.EVDES(H60,$B$1)="#NODATA","",_xll.EVDES(H60,$B$1))</f>
        <v>#NAME?</v>
      </c>
      <c r="O60" s="30"/>
      <c r="P60" s="30"/>
      <c r="Q60" s="30"/>
      <c r="R60" s="30"/>
      <c r="S60" s="30"/>
      <c r="T60" s="30"/>
      <c r="U60" s="30"/>
      <c r="V60" s="30"/>
      <c r="W60" s="30"/>
      <c r="X60" s="30"/>
      <c r="Y60" s="30"/>
      <c r="Z60" s="30"/>
      <c r="AA60" s="30" t="e">
        <f t="shared" ca="1" si="13"/>
        <v>#NAME?</v>
      </c>
      <c r="AB60" s="31" t="e">
        <f t="shared" ca="1" si="14"/>
        <v>#NAME?</v>
      </c>
      <c r="AD60" s="30"/>
      <c r="AE60" s="31" t="str">
        <f t="shared" si="15"/>
        <v/>
      </c>
      <c r="AF60" s="51" t="e">
        <f t="shared" ca="1" si="16"/>
        <v>#NAME?</v>
      </c>
      <c r="AG60" s="30"/>
      <c r="AH60" s="31" t="str">
        <f t="shared" si="18"/>
        <v/>
      </c>
      <c r="AI60" s="51" t="e">
        <f t="shared" ca="1" si="19"/>
        <v>#NAME?</v>
      </c>
    </row>
    <row r="61" spans="1:40" x14ac:dyDescent="0.25">
      <c r="A61" s="6" t="s">
        <v>3</v>
      </c>
      <c r="B61" s="7" t="e">
        <f ca="1">_xll.EVRNG(O16:AI18)</f>
        <v>#NAME?</v>
      </c>
      <c r="G61" s="14"/>
      <c r="H61" s="149" t="s">
        <v>236</v>
      </c>
      <c r="I61" s="479" t="e">
        <f ca="1">_xll.EVPRO($B$1,$H61,"STYLE")</f>
        <v>#NAME?</v>
      </c>
      <c r="J61" s="479" t="e">
        <f ca="1">_xll.EVPRO($B$1,$H61,"CALC")</f>
        <v>#NAME?</v>
      </c>
      <c r="K61" s="480" t="e">
        <f t="shared" ca="1" si="17"/>
        <v>#NAME?</v>
      </c>
      <c r="L61" s="25" t="e">
        <f ca="1">_xll.EVPRO($B$1,H61,"JDEID")</f>
        <v>#NAME?</v>
      </c>
      <c r="M61" s="170" t="e">
        <f ca="1">IF(AND(I61="N",J61="N"),_xll.EVPRO($B$1,H61,"PSFTID"),"")</f>
        <v>#NAME?</v>
      </c>
      <c r="N61" s="170" t="e">
        <f ca="1">IF(_xll.EVDES(H61,$B$1)="#NODATA","",_xll.EVDES(H61,$B$1))</f>
        <v>#NAME?</v>
      </c>
      <c r="O61" s="134">
        <v>107</v>
      </c>
      <c r="P61" s="134">
        <v>-10</v>
      </c>
      <c r="Q61" s="134">
        <v>59</v>
      </c>
      <c r="R61" s="134">
        <v>50</v>
      </c>
      <c r="S61" s="134">
        <v>50</v>
      </c>
      <c r="T61" s="134">
        <v>33</v>
      </c>
      <c r="U61" s="134">
        <v>15</v>
      </c>
      <c r="V61" s="134">
        <v>32</v>
      </c>
      <c r="W61" s="134">
        <v>14</v>
      </c>
      <c r="X61" s="134">
        <v>22</v>
      </c>
      <c r="Y61" s="134">
        <v>22</v>
      </c>
      <c r="Z61" s="134">
        <v>41</v>
      </c>
      <c r="AA61" s="134" t="e">
        <f t="shared" ca="1" si="13"/>
        <v>#NAME?</v>
      </c>
      <c r="AB61" s="135" t="e">
        <f t="shared" ca="1" si="14"/>
        <v>#NAME?</v>
      </c>
      <c r="AC61" s="137"/>
      <c r="AD61" s="134">
        <v>479.42500000000001</v>
      </c>
      <c r="AE61" s="135" t="str">
        <f t="shared" ca="1" si="15"/>
        <v/>
      </c>
      <c r="AF61" s="136" t="e">
        <f t="shared" ca="1" si="16"/>
        <v>#NAME?</v>
      </c>
      <c r="AG61" s="134">
        <v>462</v>
      </c>
      <c r="AH61" s="135" t="str">
        <f t="shared" ca="1" si="18"/>
        <v/>
      </c>
      <c r="AI61" s="136" t="e">
        <f t="shared" ca="1" si="19"/>
        <v>#NAME?</v>
      </c>
    </row>
    <row r="62" spans="1:40" x14ac:dyDescent="0.25">
      <c r="A62" s="6" t="s">
        <v>4</v>
      </c>
      <c r="B62" s="7" t="e">
        <f ca="1">_xll.EVRNG(H54:H61)</f>
        <v>#NAME?</v>
      </c>
      <c r="G62" s="14"/>
      <c r="O62" s="38"/>
      <c r="P62" s="38"/>
      <c r="Q62" s="38"/>
      <c r="R62" s="38"/>
      <c r="S62" s="38"/>
      <c r="T62" s="38"/>
      <c r="U62" s="38"/>
      <c r="V62" s="38"/>
      <c r="W62" s="38"/>
      <c r="X62" s="38"/>
      <c r="Y62" s="38"/>
      <c r="Z62" s="38"/>
      <c r="AA62" s="38"/>
      <c r="AB62" s="39"/>
      <c r="AD62" s="38"/>
      <c r="AE62" s="39"/>
      <c r="AF62" s="132"/>
      <c r="AG62" s="38"/>
      <c r="AH62" s="39"/>
      <c r="AI62" s="132"/>
    </row>
    <row r="63" spans="1:40" x14ac:dyDescent="0.25">
      <c r="A63" s="6" t="s">
        <v>5</v>
      </c>
      <c r="B63" s="7"/>
      <c r="G63" s="14"/>
      <c r="K63" s="26"/>
      <c r="L63" s="26"/>
      <c r="M63" s="26"/>
      <c r="N63" s="26" t="e">
        <f ca="1">N21</f>
        <v>#NAME?</v>
      </c>
      <c r="O63" s="21" t="e">
        <f ca="1">O$21</f>
        <v>#NAME?</v>
      </c>
      <c r="P63" s="21" t="e">
        <f t="shared" ref="P63:AA63" ca="1" si="20">P$21</f>
        <v>#NAME?</v>
      </c>
      <c r="Q63" s="21" t="e">
        <f t="shared" ca="1" si="20"/>
        <v>#NAME?</v>
      </c>
      <c r="R63" s="21" t="e">
        <f t="shared" ca="1" si="20"/>
        <v>#NAME?</v>
      </c>
      <c r="S63" s="21" t="e">
        <f t="shared" ca="1" si="20"/>
        <v>#NAME?</v>
      </c>
      <c r="T63" s="21" t="e">
        <f t="shared" ca="1" si="20"/>
        <v>#NAME?</v>
      </c>
      <c r="U63" s="21" t="e">
        <f t="shared" ca="1" si="20"/>
        <v>#NAME?</v>
      </c>
      <c r="V63" s="21" t="e">
        <f t="shared" ca="1" si="20"/>
        <v>#NAME?</v>
      </c>
      <c r="W63" s="21" t="e">
        <f t="shared" ca="1" si="20"/>
        <v>#NAME?</v>
      </c>
      <c r="X63" s="21" t="e">
        <f t="shared" ca="1" si="20"/>
        <v>#NAME?</v>
      </c>
      <c r="Y63" s="21" t="e">
        <f t="shared" ca="1" si="20"/>
        <v>#NAME?</v>
      </c>
      <c r="Z63" s="21" t="e">
        <f t="shared" ca="1" si="20"/>
        <v>#NAME?</v>
      </c>
      <c r="AA63" s="21" t="e">
        <f t="shared" ca="1" si="20"/>
        <v>#NAME?</v>
      </c>
      <c r="AB63" s="17"/>
      <c r="AD63" s="21" t="e">
        <f ca="1">AD$21</f>
        <v>#NAME?</v>
      </c>
      <c r="AE63" s="17"/>
      <c r="AF63" s="140"/>
      <c r="AG63" s="21" t="e">
        <f ca="1">AG$21</f>
        <v>#NAME?</v>
      </c>
      <c r="AH63" s="17"/>
      <c r="AI63" s="140"/>
    </row>
    <row r="64" spans="1:40" x14ac:dyDescent="0.25">
      <c r="A64" s="6" t="s">
        <v>6</v>
      </c>
      <c r="B64" s="7"/>
      <c r="G64" s="14"/>
      <c r="K64" s="26"/>
      <c r="L64" s="26"/>
      <c r="M64" s="26"/>
      <c r="N64" s="26"/>
      <c r="O64" s="21"/>
      <c r="P64" s="21"/>
      <c r="Q64" s="21"/>
      <c r="R64" s="21"/>
      <c r="S64" s="21"/>
      <c r="T64" s="21"/>
      <c r="U64" s="21"/>
      <c r="V64" s="21"/>
      <c r="W64" s="21"/>
      <c r="X64" s="21"/>
      <c r="Y64" s="21"/>
      <c r="Z64" s="21"/>
      <c r="AA64" s="21"/>
      <c r="AB64" s="17"/>
      <c r="AD64" s="21"/>
      <c r="AE64" s="17"/>
      <c r="AF64" s="50"/>
      <c r="AG64" s="21"/>
      <c r="AH64" s="17"/>
      <c r="AI64" s="50"/>
    </row>
    <row r="65" spans="1:35" x14ac:dyDescent="0.25">
      <c r="A65" s="6" t="s">
        <v>7</v>
      </c>
      <c r="B65" s="7" t="e">
        <f ca="1">_xll.EVRNG(A79:F83)</f>
        <v>#NAME?</v>
      </c>
      <c r="G65" s="14"/>
      <c r="H65" s="15"/>
      <c r="I65" s="27"/>
      <c r="J65" s="27"/>
      <c r="K65" s="68"/>
      <c r="L65" s="68"/>
      <c r="M65" s="68"/>
      <c r="N65" s="26" t="s">
        <v>245</v>
      </c>
      <c r="O65" s="139" t="e">
        <f>SUMIF($H$34:$H$45,"710150",O$34:O$45)/SUMIF($H$54:$H$61,"910200",O$54:O$61)</f>
        <v>#DIV/0!</v>
      </c>
      <c r="P65" s="139" t="e">
        <f t="shared" ref="P65:AA65" si="21">SUMIF($H$34:$H$45,"710150",P$34:P$45)/SUMIF($H$54:$H$61,"910200",P$54:P$61)</f>
        <v>#DIV/0!</v>
      </c>
      <c r="Q65" s="139" t="e">
        <f t="shared" si="21"/>
        <v>#DIV/0!</v>
      </c>
      <c r="R65" s="139" t="e">
        <f t="shared" si="21"/>
        <v>#DIV/0!</v>
      </c>
      <c r="S65" s="139" t="e">
        <f t="shared" si="21"/>
        <v>#DIV/0!</v>
      </c>
      <c r="T65" s="139" t="e">
        <f t="shared" si="21"/>
        <v>#DIV/0!</v>
      </c>
      <c r="U65" s="139" t="e">
        <f t="shared" si="21"/>
        <v>#DIV/0!</v>
      </c>
      <c r="V65" s="139" t="e">
        <f t="shared" si="21"/>
        <v>#DIV/0!</v>
      </c>
      <c r="W65" s="139" t="e">
        <f t="shared" si="21"/>
        <v>#DIV/0!</v>
      </c>
      <c r="X65" s="139" t="e">
        <f t="shared" si="21"/>
        <v>#DIV/0!</v>
      </c>
      <c r="Y65" s="139" t="e">
        <f t="shared" si="21"/>
        <v>#DIV/0!</v>
      </c>
      <c r="Z65" s="139" t="e">
        <f t="shared" si="21"/>
        <v>#DIV/0!</v>
      </c>
      <c r="AA65" s="139" t="e">
        <f t="shared" ca="1" si="21"/>
        <v>#NAME?</v>
      </c>
      <c r="AB65" s="17"/>
      <c r="AD65" s="139" t="e">
        <f>SUMIF($H$34:$H$45,"710150",AD$34:AD$45)/SUMIF($H$54:$H$61,"910200",AD$54:AD$61)</f>
        <v>#DIV/0!</v>
      </c>
      <c r="AE65" s="17"/>
      <c r="AF65" s="140" t="e">
        <f t="shared" ref="AF65:AF74" ca="1" si="22">IF(AND($AA65="",AD65=""),"",$AA65-AD65)</f>
        <v>#NAME?</v>
      </c>
      <c r="AG65" s="139" t="e">
        <f>SUMIF($H$34:$H$45,"710150",AG$34:AG$45)/SUMIF($H$54:$H$61,"910200",AG$54:AG$61)</f>
        <v>#DIV/0!</v>
      </c>
      <c r="AH65" s="17"/>
      <c r="AI65" s="140" t="e">
        <f t="shared" ref="AI65:AI74" ca="1" si="23">IF(AND($AA65="",AG65=""),"",$AA65-AG65)</f>
        <v>#NAME?</v>
      </c>
    </row>
    <row r="66" spans="1:35" x14ac:dyDescent="0.25">
      <c r="A66" s="6" t="s">
        <v>47</v>
      </c>
      <c r="B66" s="7" t="e">
        <f ca="1">_xll.EVRNG($A$87:$B$108)</f>
        <v>#NAME?</v>
      </c>
      <c r="G66" s="14"/>
      <c r="H66" s="15"/>
      <c r="I66" s="27"/>
      <c r="J66" s="27"/>
      <c r="K66" s="68"/>
      <c r="L66" s="68"/>
      <c r="M66" s="68"/>
      <c r="N66" s="26" t="s">
        <v>246</v>
      </c>
      <c r="O66" s="139" t="e">
        <f>(SUMIF($H$34:$H$45,"710140",O$34:O$45)+SUMIF($H$34:$H$45,"710145",O$34:O$45))/(SUMIF($H$54:$H$61,"RESATHOTEL",O$54:O$61)+SUMIF($H$54:$H$61,"910220",O$54:O$61))</f>
        <v>#DIV/0!</v>
      </c>
      <c r="P66" s="139" t="e">
        <f t="shared" ref="P66:AA66" si="24">(SUMIF($H$34:$H$45,"710140",P$34:P$45)+SUMIF($H$34:$H$45,"710145",P$34:P$45))/(SUMIF($H$54:$H$61,"RESATHOTEL",P$54:P$61)+SUMIF($H$54:$H$61,"910220",P$54:P$61))</f>
        <v>#DIV/0!</v>
      </c>
      <c r="Q66" s="139" t="e">
        <f t="shared" si="24"/>
        <v>#DIV/0!</v>
      </c>
      <c r="R66" s="139" t="e">
        <f t="shared" si="24"/>
        <v>#DIV/0!</v>
      </c>
      <c r="S66" s="139" t="e">
        <f t="shared" si="24"/>
        <v>#DIV/0!</v>
      </c>
      <c r="T66" s="139" t="e">
        <f t="shared" si="24"/>
        <v>#DIV/0!</v>
      </c>
      <c r="U66" s="139" t="e">
        <f t="shared" si="24"/>
        <v>#DIV/0!</v>
      </c>
      <c r="V66" s="139" t="e">
        <f t="shared" si="24"/>
        <v>#DIV/0!</v>
      </c>
      <c r="W66" s="139" t="e">
        <f t="shared" si="24"/>
        <v>#DIV/0!</v>
      </c>
      <c r="X66" s="139" t="e">
        <f t="shared" si="24"/>
        <v>#DIV/0!</v>
      </c>
      <c r="Y66" s="139" t="e">
        <f t="shared" si="24"/>
        <v>#DIV/0!</v>
      </c>
      <c r="Z66" s="139" t="e">
        <f t="shared" si="24"/>
        <v>#DIV/0!</v>
      </c>
      <c r="AA66" s="139" t="e">
        <f t="shared" ca="1" si="24"/>
        <v>#NAME?</v>
      </c>
      <c r="AB66" s="17"/>
      <c r="AD66" s="139" t="e">
        <f>(SUMIF($H$34:$H$45,"710140",AD$34:AD$45)+SUMIF($H$34:$H$45,"710145",AD$34:AD$45))/(SUMIF($H$54:$H$61,"RESATHOTEL",AD$54:AD$61)+SUMIF($H$54:$H$61,"910220",AD$54:AD$61))</f>
        <v>#DIV/0!</v>
      </c>
      <c r="AE66" s="17"/>
      <c r="AF66" s="140" t="e">
        <f t="shared" ca="1" si="22"/>
        <v>#NAME?</v>
      </c>
      <c r="AG66" s="139" t="e">
        <f>(SUMIF($H$34:$H$45,"710140",AG$34:AG$45)+SUMIF($H$34:$H$45,"710145",AG$34:AG$45))/(SUMIF($H$54:$H$61,"RESATHOTEL",AG$54:AG$61)+SUMIF($H$54:$H$61,"910220",AG$54:AG$61))</f>
        <v>#DIV/0!</v>
      </c>
      <c r="AH66" s="17"/>
      <c r="AI66" s="140" t="e">
        <f t="shared" ca="1" si="23"/>
        <v>#NAME?</v>
      </c>
    </row>
    <row r="67" spans="1:35" x14ac:dyDescent="0.25">
      <c r="A67" s="6" t="s">
        <v>8</v>
      </c>
      <c r="B67" s="7"/>
      <c r="G67" s="14"/>
      <c r="H67" s="15"/>
      <c r="I67" s="27"/>
      <c r="J67" s="27"/>
      <c r="K67" s="68"/>
      <c r="L67" s="68"/>
      <c r="M67" s="68"/>
      <c r="N67" s="26" t="s">
        <v>247</v>
      </c>
      <c r="O67" s="139" t="e">
        <f ca="1">SUMIF($H$34:$H$45,"710160",O$34:O$45)/O$63</f>
        <v>#NAME?</v>
      </c>
      <c r="P67" s="139" t="e">
        <f t="shared" ref="P67:AA67" ca="1" si="25">SUMIF($H$34:$H$45,"710160",P$34:P$45)/P$63</f>
        <v>#NAME?</v>
      </c>
      <c r="Q67" s="139" t="e">
        <f t="shared" ca="1" si="25"/>
        <v>#NAME?</v>
      </c>
      <c r="R67" s="139" t="e">
        <f t="shared" ca="1" si="25"/>
        <v>#NAME?</v>
      </c>
      <c r="S67" s="139" t="e">
        <f t="shared" ca="1" si="25"/>
        <v>#NAME?</v>
      </c>
      <c r="T67" s="139" t="e">
        <f t="shared" ca="1" si="25"/>
        <v>#NAME?</v>
      </c>
      <c r="U67" s="139" t="e">
        <f t="shared" ca="1" si="25"/>
        <v>#NAME?</v>
      </c>
      <c r="V67" s="139" t="e">
        <f t="shared" ca="1" si="25"/>
        <v>#NAME?</v>
      </c>
      <c r="W67" s="139" t="e">
        <f t="shared" ca="1" si="25"/>
        <v>#NAME?</v>
      </c>
      <c r="X67" s="139" t="e">
        <f t="shared" ca="1" si="25"/>
        <v>#NAME?</v>
      </c>
      <c r="Y67" s="139" t="e">
        <f t="shared" ca="1" si="25"/>
        <v>#NAME?</v>
      </c>
      <c r="Z67" s="139" t="e">
        <f t="shared" ca="1" si="25"/>
        <v>#NAME?</v>
      </c>
      <c r="AA67" s="139" t="e">
        <f t="shared" ca="1" si="25"/>
        <v>#NAME?</v>
      </c>
      <c r="AB67" s="17"/>
      <c r="AD67" s="139" t="e">
        <f ca="1">SUMIF($H$34:$H$45,"710160",AD$34:AD$45)/AD$63</f>
        <v>#NAME?</v>
      </c>
      <c r="AE67" s="17"/>
      <c r="AF67" s="140" t="e">
        <f t="shared" ca="1" si="22"/>
        <v>#NAME?</v>
      </c>
      <c r="AG67" s="139" t="e">
        <f ca="1">SUMIF($H$34:$H$45,"710160",AG$34:AG$45)/AG$63</f>
        <v>#NAME?</v>
      </c>
      <c r="AH67" s="17"/>
      <c r="AI67" s="140" t="e">
        <f t="shared" ca="1" si="23"/>
        <v>#NAME?</v>
      </c>
    </row>
    <row r="68" spans="1:35" x14ac:dyDescent="0.25">
      <c r="G68" s="14"/>
      <c r="H68" s="15"/>
      <c r="I68" s="27"/>
      <c r="J68" s="27"/>
      <c r="K68" s="68"/>
      <c r="L68" s="68"/>
      <c r="M68" s="68"/>
      <c r="N68" s="26" t="s">
        <v>248</v>
      </c>
      <c r="O68" s="139">
        <f>SUMIF($H$34:$H$45,"710170",O$34:O$45)/SUMIF($H$54:$H$61,"910230",O$54:O$61)</f>
        <v>6.3999999999999995</v>
      </c>
      <c r="P68" s="139">
        <f t="shared" ref="P68:AA68" si="26">SUMIF($H$34:$H$45,"710170",P$34:P$45)/SUMIF($H$54:$H$61,"910230",P$54:P$61)</f>
        <v>6.4</v>
      </c>
      <c r="Q68" s="139">
        <f t="shared" si="26"/>
        <v>6.4</v>
      </c>
      <c r="R68" s="139">
        <f t="shared" si="26"/>
        <v>6.2320000000000002</v>
      </c>
      <c r="S68" s="139">
        <f t="shared" si="26"/>
        <v>6.484</v>
      </c>
      <c r="T68" s="139">
        <f t="shared" si="26"/>
        <v>6.3999999999999995</v>
      </c>
      <c r="U68" s="139">
        <f t="shared" si="26"/>
        <v>6.4533333333333331</v>
      </c>
      <c r="V68" s="139">
        <f t="shared" si="26"/>
        <v>6.375</v>
      </c>
      <c r="W68" s="139">
        <f t="shared" si="26"/>
        <v>6.3999999999999995</v>
      </c>
      <c r="X68" s="139">
        <f t="shared" si="26"/>
        <v>6.4</v>
      </c>
      <c r="Y68" s="139">
        <f t="shared" si="26"/>
        <v>6.4</v>
      </c>
      <c r="Z68" s="139">
        <f t="shared" si="26"/>
        <v>6.3999999999999995</v>
      </c>
      <c r="AA68" s="139" t="e">
        <f t="shared" ca="1" si="26"/>
        <v>#NAME?</v>
      </c>
      <c r="AB68" s="17"/>
      <c r="AD68" s="139">
        <f>SUMIF($H$34:$H$45,"710170",AD$34:AD$45)/SUMIF($H$54:$H$61,"910230",AD$54:AD$61)</f>
        <v>6.4</v>
      </c>
      <c r="AE68" s="17"/>
      <c r="AF68" s="140" t="e">
        <f t="shared" ca="1" si="22"/>
        <v>#NAME?</v>
      </c>
      <c r="AG68" s="139">
        <f>SUMIF($H$34:$H$45,"710170",AG$34:AG$45)/SUMIF($H$54:$H$61,"910230",AG$54:AG$61)</f>
        <v>5.5181818181818185</v>
      </c>
      <c r="AH68" s="17"/>
      <c r="AI68" s="140" t="e">
        <f t="shared" ca="1" si="23"/>
        <v>#NAME?</v>
      </c>
    </row>
    <row r="69" spans="1:35" x14ac:dyDescent="0.25">
      <c r="A69" s="3" t="s">
        <v>9</v>
      </c>
      <c r="B69" s="5" t="s">
        <v>10</v>
      </c>
      <c r="G69" s="14"/>
      <c r="H69" s="15"/>
      <c r="I69" s="27"/>
      <c r="J69" s="27"/>
      <c r="K69" s="68"/>
      <c r="L69" s="68"/>
      <c r="M69" s="68"/>
      <c r="N69" s="26" t="s">
        <v>249</v>
      </c>
      <c r="O69" s="139" t="e">
        <f>SUMIF($H$34:$H$45,"710180",O$34:O$45)/SUMIF($H$54:$H$61,"910240",O$54:O$61)</f>
        <v>#DIV/0!</v>
      </c>
      <c r="P69" s="139" t="e">
        <f t="shared" ref="P69:AA69" si="27">SUMIF($H$34:$H$45,"710180",P$34:P$45)/SUMIF($H$54:$H$61,"910240",P$54:P$61)</f>
        <v>#DIV/0!</v>
      </c>
      <c r="Q69" s="139" t="e">
        <f t="shared" si="27"/>
        <v>#DIV/0!</v>
      </c>
      <c r="R69" s="139" t="e">
        <f t="shared" si="27"/>
        <v>#DIV/0!</v>
      </c>
      <c r="S69" s="139" t="e">
        <f t="shared" si="27"/>
        <v>#DIV/0!</v>
      </c>
      <c r="T69" s="139" t="e">
        <f t="shared" si="27"/>
        <v>#DIV/0!</v>
      </c>
      <c r="U69" s="139" t="e">
        <f t="shared" si="27"/>
        <v>#DIV/0!</v>
      </c>
      <c r="V69" s="139" t="e">
        <f t="shared" si="27"/>
        <v>#DIV/0!</v>
      </c>
      <c r="W69" s="139" t="e">
        <f t="shared" si="27"/>
        <v>#DIV/0!</v>
      </c>
      <c r="X69" s="139" t="e">
        <f t="shared" si="27"/>
        <v>#DIV/0!</v>
      </c>
      <c r="Y69" s="139" t="e">
        <f t="shared" si="27"/>
        <v>#DIV/0!</v>
      </c>
      <c r="Z69" s="139" t="e">
        <f t="shared" si="27"/>
        <v>#DIV/0!</v>
      </c>
      <c r="AA69" s="139" t="e">
        <f t="shared" ca="1" si="27"/>
        <v>#NAME?</v>
      </c>
      <c r="AB69" s="17"/>
      <c r="AD69" s="139" t="e">
        <f>SUMIF($H$34:$H$45,"710180",AD$34:AD$45)/SUMIF($H$54:$H$61,"910240",AD$54:AD$61)</f>
        <v>#DIV/0!</v>
      </c>
      <c r="AE69" s="17"/>
      <c r="AF69" s="140" t="e">
        <f t="shared" ca="1" si="22"/>
        <v>#NAME?</v>
      </c>
      <c r="AG69" s="139" t="e">
        <f>SUMIF($H$34:$H$45,"710180",AG$34:AG$45)/SUMIF($H$54:$H$61,"910240",AG$54:AG$61)</f>
        <v>#DIV/0!</v>
      </c>
      <c r="AH69" s="17"/>
      <c r="AI69" s="140" t="e">
        <f t="shared" ca="1" si="23"/>
        <v>#NAME?</v>
      </c>
    </row>
    <row r="70" spans="1:35" x14ac:dyDescent="0.25">
      <c r="A70" s="6" t="s">
        <v>11</v>
      </c>
      <c r="B70" s="7" t="s">
        <v>21</v>
      </c>
      <c r="G70" s="14"/>
      <c r="H70" s="15"/>
      <c r="I70" s="27"/>
      <c r="J70" s="27"/>
      <c r="K70" s="68"/>
      <c r="L70" s="68"/>
      <c r="M70" s="68"/>
      <c r="N70" s="26" t="s">
        <v>250</v>
      </c>
      <c r="O70" s="139" t="e">
        <f>SUMIF($H$34:$H$45,"710190",O$34:O$45)/SUMIF($H$54:$H$61,"910250",O$54:O$61)</f>
        <v>#DIV/0!</v>
      </c>
      <c r="P70" s="139" t="e">
        <f t="shared" ref="P70:AA70" si="28">SUMIF($H$34:$H$45,"710190",P$34:P$45)/SUMIF($H$54:$H$61,"910250",P$54:P$61)</f>
        <v>#DIV/0!</v>
      </c>
      <c r="Q70" s="139" t="e">
        <f t="shared" si="28"/>
        <v>#DIV/0!</v>
      </c>
      <c r="R70" s="139" t="e">
        <f t="shared" si="28"/>
        <v>#DIV/0!</v>
      </c>
      <c r="S70" s="139" t="e">
        <f t="shared" si="28"/>
        <v>#DIV/0!</v>
      </c>
      <c r="T70" s="139" t="e">
        <f t="shared" si="28"/>
        <v>#DIV/0!</v>
      </c>
      <c r="U70" s="139" t="e">
        <f t="shared" si="28"/>
        <v>#DIV/0!</v>
      </c>
      <c r="V70" s="139" t="e">
        <f t="shared" si="28"/>
        <v>#DIV/0!</v>
      </c>
      <c r="W70" s="139" t="e">
        <f t="shared" si="28"/>
        <v>#DIV/0!</v>
      </c>
      <c r="X70" s="139" t="e">
        <f t="shared" si="28"/>
        <v>#DIV/0!</v>
      </c>
      <c r="Y70" s="139" t="e">
        <f t="shared" si="28"/>
        <v>#DIV/0!</v>
      </c>
      <c r="Z70" s="139" t="e">
        <f t="shared" si="28"/>
        <v>#DIV/0!</v>
      </c>
      <c r="AA70" s="139" t="e">
        <f t="shared" ca="1" si="28"/>
        <v>#NAME?</v>
      </c>
      <c r="AB70" s="17"/>
      <c r="AD70" s="139" t="e">
        <f>SUMIF($H$34:$H$45,"710190",AD$34:AD$45)/SUMIF($H$54:$H$61,"910250",AD$54:AD$61)</f>
        <v>#DIV/0!</v>
      </c>
      <c r="AE70" s="17"/>
      <c r="AF70" s="140" t="e">
        <f t="shared" ca="1" si="22"/>
        <v>#NAME?</v>
      </c>
      <c r="AG70" s="139" t="e">
        <f>SUMIF($H$34:$H$45,"710190",AG$34:AG$45)/SUMIF($H$54:$H$61,"910250",AG$54:AG$61)</f>
        <v>#DIV/0!</v>
      </c>
      <c r="AH70" s="17"/>
      <c r="AI70" s="140" t="e">
        <f t="shared" ca="1" si="23"/>
        <v>#NAME?</v>
      </c>
    </row>
    <row r="71" spans="1:35" x14ac:dyDescent="0.25">
      <c r="A71" s="6" t="s">
        <v>12</v>
      </c>
      <c r="B71" s="7" t="s">
        <v>22</v>
      </c>
      <c r="G71" s="14"/>
      <c r="H71" s="15"/>
      <c r="I71" s="27"/>
      <c r="J71" s="27"/>
      <c r="K71" s="68"/>
      <c r="L71" s="68"/>
      <c r="M71" s="68"/>
      <c r="N71" s="26"/>
      <c r="O71" s="21"/>
      <c r="P71" s="21"/>
      <c r="Q71" s="21"/>
      <c r="R71" s="21"/>
      <c r="S71" s="21"/>
      <c r="T71" s="21"/>
      <c r="U71" s="21"/>
      <c r="V71" s="21"/>
      <c r="W71" s="21"/>
      <c r="X71" s="21"/>
      <c r="Y71" s="21"/>
      <c r="Z71" s="21"/>
      <c r="AA71" s="21"/>
      <c r="AB71" s="17"/>
      <c r="AD71" s="21"/>
      <c r="AE71" s="17"/>
      <c r="AF71" s="140" t="str">
        <f t="shared" si="22"/>
        <v/>
      </c>
      <c r="AG71" s="21"/>
      <c r="AH71" s="17"/>
      <c r="AI71" s="140" t="str">
        <f t="shared" si="23"/>
        <v/>
      </c>
    </row>
    <row r="72" spans="1:35" x14ac:dyDescent="0.25">
      <c r="A72" s="6" t="s">
        <v>13</v>
      </c>
      <c r="B72" s="7" t="s">
        <v>238</v>
      </c>
      <c r="G72" s="14"/>
      <c r="H72" s="15"/>
      <c r="I72" s="27"/>
      <c r="J72" s="27"/>
      <c r="K72" s="68"/>
      <c r="L72" s="68"/>
      <c r="M72" s="68"/>
      <c r="N72" s="76" t="s">
        <v>251</v>
      </c>
      <c r="O72" s="139">
        <f>SUMIF($H$34:$H$48,"700000",O$34:O$48)/SUMIF($H$54:$H$61,"TLNETRES",O$54:O$61)</f>
        <v>127.43018691588786</v>
      </c>
      <c r="P72" s="139">
        <f t="shared" ref="P72:AA72" si="29">SUMIF($H$34:$H$48,"700000",P$34:P$48)/SUMIF($H$54:$H$61,"TLNETRES",P$54:P$61)</f>
        <v>-1197.5610000000001</v>
      </c>
      <c r="Q72" s="139">
        <f t="shared" si="29"/>
        <v>206.54610169491525</v>
      </c>
      <c r="R72" s="139">
        <f t="shared" si="29"/>
        <v>186.71740000000003</v>
      </c>
      <c r="S72" s="139">
        <f t="shared" si="29"/>
        <v>172.33520000000001</v>
      </c>
      <c r="T72" s="139">
        <f t="shared" si="29"/>
        <v>198.6360606060606</v>
      </c>
      <c r="U72" s="139">
        <f t="shared" si="29"/>
        <v>423.39599999999996</v>
      </c>
      <c r="V72" s="139">
        <f t="shared" si="29"/>
        <v>163.97062500000001</v>
      </c>
      <c r="W72" s="139">
        <f t="shared" si="29"/>
        <v>316.42071428571433</v>
      </c>
      <c r="X72" s="139">
        <f t="shared" si="29"/>
        <v>274.47045454545457</v>
      </c>
      <c r="Y72" s="139">
        <f t="shared" si="29"/>
        <v>312.33409090909095</v>
      </c>
      <c r="Z72" s="139">
        <f t="shared" si="29"/>
        <v>285.46707317073168</v>
      </c>
      <c r="AA72" s="139" t="e">
        <f t="shared" ca="1" si="29"/>
        <v>#NAME?</v>
      </c>
      <c r="AB72" s="17"/>
      <c r="AD72" s="139">
        <f>SUMIF($H$34:$H$48,"700000",AD$34:AD$48)/SUMIF($H$54:$H$61,"TLNETRES",AD$54:AD$61)</f>
        <v>249.16006403504196</v>
      </c>
      <c r="AE72" s="17"/>
      <c r="AF72" s="140" t="e">
        <f t="shared" ca="1" si="22"/>
        <v>#NAME?</v>
      </c>
      <c r="AG72" s="139">
        <f>SUMIF($H$34:$H$48,"700000",AG$34:AG$48)/SUMIF($H$54:$H$61,"TLNETRES",AG$54:AG$61)</f>
        <v>250.32714285714286</v>
      </c>
      <c r="AH72" s="17"/>
      <c r="AI72" s="140" t="e">
        <f t="shared" ca="1" si="23"/>
        <v>#NAME?</v>
      </c>
    </row>
    <row r="73" spans="1:35" x14ac:dyDescent="0.25">
      <c r="A73" s="6" t="s">
        <v>14</v>
      </c>
      <c r="B73" s="7"/>
      <c r="G73" s="14"/>
      <c r="H73" s="15"/>
      <c r="I73" s="27"/>
      <c r="J73" s="27"/>
      <c r="K73" s="68"/>
      <c r="L73" s="68"/>
      <c r="M73" s="68"/>
      <c r="N73" s="76" t="s">
        <v>252</v>
      </c>
      <c r="O73" s="139">
        <f>SUMIF($H$34:$H$51,"600000",O$34:O$51)/SUMIF($H$54:$H$61,"TLNETRES",O$54:O$61)</f>
        <v>0</v>
      </c>
      <c r="P73" s="139">
        <f t="shared" ref="P73:AA73" si="30">SUMIF($H$34:$H$51,"600000",P$34:P$51)/SUMIF($H$54:$H$61,"TLNETRES",P$54:P$61)</f>
        <v>0</v>
      </c>
      <c r="Q73" s="139">
        <f t="shared" si="30"/>
        <v>0</v>
      </c>
      <c r="R73" s="139">
        <f t="shared" si="30"/>
        <v>0</v>
      </c>
      <c r="S73" s="139">
        <f t="shared" si="30"/>
        <v>0</v>
      </c>
      <c r="T73" s="139">
        <f t="shared" si="30"/>
        <v>0</v>
      </c>
      <c r="U73" s="139">
        <f t="shared" si="30"/>
        <v>0</v>
      </c>
      <c r="V73" s="139">
        <f t="shared" si="30"/>
        <v>0</v>
      </c>
      <c r="W73" s="139">
        <f t="shared" si="30"/>
        <v>0</v>
      </c>
      <c r="X73" s="139">
        <f t="shared" si="30"/>
        <v>0</v>
      </c>
      <c r="Y73" s="139">
        <f t="shared" si="30"/>
        <v>0</v>
      </c>
      <c r="Z73" s="139">
        <f t="shared" si="30"/>
        <v>0</v>
      </c>
      <c r="AA73" s="139" t="e">
        <f t="shared" ca="1" si="30"/>
        <v>#NAME?</v>
      </c>
      <c r="AB73" s="17"/>
      <c r="AD73" s="139">
        <f>SUMIF($H$34:$H$51,"600000",AD$34:AD$51)/SUMIF($H$54:$H$61,"TLNETRES",AD$54:AD$61)</f>
        <v>58.1947124159149</v>
      </c>
      <c r="AE73" s="17"/>
      <c r="AF73" s="141" t="e">
        <f t="shared" ca="1" si="22"/>
        <v>#NAME?</v>
      </c>
      <c r="AG73" s="139">
        <f>SUMIF($H$34:$H$51,"600000",AG$34:AG$51)/SUMIF($H$54:$H$61,"TLNETRES",AG$54:AG$61)</f>
        <v>0</v>
      </c>
      <c r="AH73" s="17"/>
      <c r="AI73" s="141" t="e">
        <f t="shared" ca="1" si="23"/>
        <v>#NAME?</v>
      </c>
    </row>
    <row r="74" spans="1:35" x14ac:dyDescent="0.25">
      <c r="A74" s="6" t="s">
        <v>15</v>
      </c>
      <c r="B74" s="7"/>
      <c r="G74" s="14"/>
      <c r="H74" s="15"/>
      <c r="I74" s="27"/>
      <c r="J74" s="27"/>
      <c r="K74" s="68"/>
      <c r="L74" s="68"/>
      <c r="M74" s="68"/>
      <c r="N74" s="25" t="s">
        <v>253</v>
      </c>
      <c r="O74" s="142">
        <f>SUMIF($H$34:$H$51,"TOTDEPTEXP",O$34:O$51)/SUMIF($H$54:$H$61,"TLNETRES",O$54:O$61)</f>
        <v>127.43018691588786</v>
      </c>
      <c r="P74" s="142">
        <f t="shared" ref="P74:AA74" si="31">SUMIF($H$34:$H$51,"TOTDEPTEXP",P$34:P$51)/SUMIF($H$54:$H$61,"TLNETRES",P$54:P$61)</f>
        <v>-1197.5610000000001</v>
      </c>
      <c r="Q74" s="142">
        <f t="shared" si="31"/>
        <v>206.54610169491525</v>
      </c>
      <c r="R74" s="142">
        <f t="shared" si="31"/>
        <v>186.71740000000003</v>
      </c>
      <c r="S74" s="142">
        <f t="shared" si="31"/>
        <v>172.33520000000001</v>
      </c>
      <c r="T74" s="142">
        <f t="shared" si="31"/>
        <v>198.6360606060606</v>
      </c>
      <c r="U74" s="142">
        <f t="shared" si="31"/>
        <v>423.39599999999996</v>
      </c>
      <c r="V74" s="142">
        <f t="shared" si="31"/>
        <v>163.97062500000001</v>
      </c>
      <c r="W74" s="142">
        <f t="shared" si="31"/>
        <v>316.42071428571433</v>
      </c>
      <c r="X74" s="142">
        <f t="shared" si="31"/>
        <v>274.47045454545457</v>
      </c>
      <c r="Y74" s="142">
        <f t="shared" si="31"/>
        <v>312.33409090909095</v>
      </c>
      <c r="Z74" s="142">
        <f t="shared" si="31"/>
        <v>285.46707317073168</v>
      </c>
      <c r="AA74" s="142" t="e">
        <f t="shared" ca="1" si="31"/>
        <v>#NAME?</v>
      </c>
      <c r="AB74" s="143"/>
      <c r="AD74" s="142">
        <f>SUMIF($H$34:$H$51,"TOTDEPTEXP",AD$34:AD$51)/SUMIF($H$54:$H$61,"TLNETRES",AD$54:AD$61)</f>
        <v>307.35477645095688</v>
      </c>
      <c r="AE74" s="143"/>
      <c r="AF74" s="144" t="e">
        <f t="shared" ca="1" si="22"/>
        <v>#NAME?</v>
      </c>
      <c r="AG74" s="142">
        <f>SUMIF($H$34:$H$51,"TOTDEPTEXP",AG$34:AG$51)/SUMIF($H$54:$H$61,"TLNETRES",AG$54:AG$61)</f>
        <v>250.32714285714286</v>
      </c>
      <c r="AH74" s="143"/>
      <c r="AI74" s="144" t="e">
        <f t="shared" ca="1" si="23"/>
        <v>#NAME?</v>
      </c>
    </row>
    <row r="75" spans="1:35" x14ac:dyDescent="0.25">
      <c r="A75" s="6" t="s">
        <v>16</v>
      </c>
      <c r="B75" s="7"/>
      <c r="G75" s="14"/>
      <c r="H75" s="14"/>
      <c r="I75" s="14"/>
      <c r="J75" s="14"/>
      <c r="K75" s="14"/>
      <c r="L75" s="14"/>
      <c r="M75" s="14"/>
      <c r="N75" s="26"/>
      <c r="O75" s="26"/>
      <c r="P75" s="26"/>
      <c r="Q75" s="26"/>
      <c r="R75" s="26"/>
      <c r="S75" s="26"/>
      <c r="T75" s="26"/>
      <c r="U75" s="26"/>
      <c r="V75" s="26"/>
      <c r="W75" s="26"/>
      <c r="X75" s="26"/>
      <c r="Y75" s="26"/>
      <c r="Z75" s="26"/>
      <c r="AA75" s="26"/>
      <c r="AB75" s="26"/>
      <c r="AD75" s="26"/>
      <c r="AE75" s="26"/>
      <c r="AF75" s="26"/>
      <c r="AG75" s="26"/>
      <c r="AH75" s="26"/>
      <c r="AI75" s="26"/>
    </row>
    <row r="76" spans="1:35" x14ac:dyDescent="0.25">
      <c r="A76" s="6" t="s">
        <v>17</v>
      </c>
      <c r="B76" s="7"/>
      <c r="G76" s="14"/>
      <c r="N76" s="26" t="e">
        <f ca="1">N51&amp;" - Check"</f>
        <v>#NAME?</v>
      </c>
      <c r="O76" s="139">
        <f>SUMIF($H$48:$H$51,"700000",O$48:O$51)+SUMIF($H$48:$H$51,"600000",O$48:O$51)-SUMIF($H$48:$H$51,"TOTDEPTEXP",O$48:O$51)</f>
        <v>0</v>
      </c>
      <c r="P76" s="139">
        <f t="shared" ref="P76:AA76" si="32">SUMIF($H$48:$H$51,"700000",P$48:P$51)+SUMIF($H$48:$H$51,"600000",P$48:P$51)-SUMIF($H$48:$H$51,"TOTDEPTEXP",P$48:P$51)</f>
        <v>0</v>
      </c>
      <c r="Q76" s="139">
        <f t="shared" si="32"/>
        <v>0</v>
      </c>
      <c r="R76" s="139">
        <f t="shared" si="32"/>
        <v>0</v>
      </c>
      <c r="S76" s="139">
        <f t="shared" si="32"/>
        <v>0</v>
      </c>
      <c r="T76" s="139">
        <f t="shared" si="32"/>
        <v>0</v>
      </c>
      <c r="U76" s="139">
        <f t="shared" si="32"/>
        <v>0</v>
      </c>
      <c r="V76" s="139">
        <f t="shared" si="32"/>
        <v>0</v>
      </c>
      <c r="W76" s="139">
        <f t="shared" si="32"/>
        <v>0</v>
      </c>
      <c r="X76" s="139">
        <f t="shared" si="32"/>
        <v>0</v>
      </c>
      <c r="Y76" s="139">
        <f t="shared" si="32"/>
        <v>0</v>
      </c>
      <c r="Z76" s="139">
        <f t="shared" si="32"/>
        <v>0</v>
      </c>
      <c r="AA76" s="139" t="e">
        <f t="shared" ca="1" si="32"/>
        <v>#NAME?</v>
      </c>
      <c r="AB76" s="17"/>
      <c r="AD76" s="139">
        <f>SUMIF($H$48:$H$51,"700000",AD$48:AD$51)+SUMIF($H$48:$H$51,"600000",AD$48:AD$51)-SUMIF($H$48:$H$51,"TOTDEPTEXP",AD$48:AD$51)</f>
        <v>0</v>
      </c>
      <c r="AE76" s="17"/>
      <c r="AF76" s="21"/>
      <c r="AG76" s="139">
        <f>SUMIF($H$48:$H$51,"700000",AG$48:AG$51)+SUMIF($H$48:$H$51,"600000",AG$48:AG$51)-SUMIF($H$48:$H$51,"TOTDEPTEXP",AG$48:AG$51)</f>
        <v>0</v>
      </c>
      <c r="AH76" s="17"/>
      <c r="AI76" s="21"/>
    </row>
    <row r="77" spans="1:35" x14ac:dyDescent="0.25">
      <c r="I77" s="1"/>
      <c r="J77" s="1"/>
    </row>
    <row r="78" spans="1:35" x14ac:dyDescent="0.25">
      <c r="A78" s="22" t="s">
        <v>92</v>
      </c>
      <c r="B78" s="23" t="s">
        <v>93</v>
      </c>
      <c r="C78" s="23" t="s">
        <v>94</v>
      </c>
      <c r="D78" s="23" t="s">
        <v>95</v>
      </c>
      <c r="E78" s="23" t="s">
        <v>96</v>
      </c>
      <c r="F78" s="24" t="s">
        <v>97</v>
      </c>
      <c r="I78" s="1"/>
      <c r="J78" s="1"/>
    </row>
    <row r="80" spans="1:35" x14ac:dyDescent="0.25">
      <c r="A80" s="1" t="s">
        <v>108</v>
      </c>
      <c r="C80" s="26" t="s">
        <v>101</v>
      </c>
      <c r="D80" s="1" t="s">
        <v>106</v>
      </c>
      <c r="F80" s="1" t="s">
        <v>98</v>
      </c>
    </row>
    <row r="81" spans="1:10" x14ac:dyDescent="0.25">
      <c r="A81" s="1" t="s">
        <v>100</v>
      </c>
      <c r="C81" s="8" t="s">
        <v>101</v>
      </c>
      <c r="D81" s="1" t="s">
        <v>106</v>
      </c>
      <c r="F81" s="1" t="s">
        <v>98</v>
      </c>
    </row>
    <row r="82" spans="1:10" x14ac:dyDescent="0.25">
      <c r="A82" s="1" t="s">
        <v>109</v>
      </c>
      <c r="C82" s="25" t="s">
        <v>101</v>
      </c>
      <c r="D82" s="1" t="s">
        <v>106</v>
      </c>
      <c r="F82" s="1" t="s">
        <v>98</v>
      </c>
    </row>
    <row r="83" spans="1:10" x14ac:dyDescent="0.25">
      <c r="A83" s="1" t="s">
        <v>109</v>
      </c>
      <c r="C83" s="151" t="s">
        <v>101</v>
      </c>
      <c r="D83" s="1" t="s">
        <v>107</v>
      </c>
      <c r="F83" s="1" t="s">
        <v>99</v>
      </c>
    </row>
    <row r="84" spans="1:10" x14ac:dyDescent="0.25">
      <c r="C84" s="29"/>
    </row>
    <row r="85" spans="1:10" x14ac:dyDescent="0.25">
      <c r="C85" s="32"/>
    </row>
    <row r="86" spans="1:10" x14ac:dyDescent="0.25">
      <c r="A86" s="3" t="s">
        <v>23</v>
      </c>
      <c r="B86" s="5" t="s">
        <v>24</v>
      </c>
    </row>
    <row r="87" spans="1:10" x14ac:dyDescent="0.25">
      <c r="A87" s="6" t="s">
        <v>25</v>
      </c>
      <c r="B87" s="7"/>
    </row>
    <row r="88" spans="1:10" x14ac:dyDescent="0.25">
      <c r="A88" s="6" t="s">
        <v>26</v>
      </c>
      <c r="B88" s="7"/>
      <c r="J88" s="1"/>
    </row>
    <row r="89" spans="1:10" x14ac:dyDescent="0.25">
      <c r="A89" s="6" t="s">
        <v>27</v>
      </c>
      <c r="B89" s="7"/>
      <c r="H89" s="11"/>
      <c r="J89" s="1"/>
    </row>
    <row r="90" spans="1:10" x14ac:dyDescent="0.25">
      <c r="A90" s="6" t="s">
        <v>28</v>
      </c>
      <c r="B90" s="7"/>
      <c r="H90" s="11"/>
      <c r="J90" s="1"/>
    </row>
    <row r="91" spans="1:10" x14ac:dyDescent="0.25">
      <c r="A91" s="6" t="s">
        <v>29</v>
      </c>
      <c r="B91" s="7"/>
      <c r="H91" s="11"/>
      <c r="J91" s="1"/>
    </row>
    <row r="92" spans="1:10" x14ac:dyDescent="0.25">
      <c r="A92" s="6" t="s">
        <v>30</v>
      </c>
      <c r="B92" s="7" t="s">
        <v>78</v>
      </c>
      <c r="H92" s="11"/>
      <c r="J92" s="1"/>
    </row>
    <row r="93" spans="1:10" x14ac:dyDescent="0.25">
      <c r="A93" s="6" t="s">
        <v>31</v>
      </c>
      <c r="B93" s="7" t="s">
        <v>78</v>
      </c>
      <c r="H93" s="11"/>
      <c r="J93" s="1"/>
    </row>
    <row r="94" spans="1:10" x14ac:dyDescent="0.25">
      <c r="A94" s="6" t="s">
        <v>32</v>
      </c>
      <c r="B94" s="7"/>
      <c r="H94" s="11"/>
      <c r="J94" s="1"/>
    </row>
    <row r="95" spans="1:10" x14ac:dyDescent="0.25">
      <c r="A95" s="6" t="s">
        <v>33</v>
      </c>
      <c r="B95" s="7"/>
      <c r="H95" s="11"/>
      <c r="J95" s="1"/>
    </row>
    <row r="96" spans="1:10" x14ac:dyDescent="0.25">
      <c r="A96" s="6" t="s">
        <v>34</v>
      </c>
      <c r="B96" s="7"/>
      <c r="H96" s="11"/>
      <c r="J96" s="1"/>
    </row>
    <row r="97" spans="1:10" x14ac:dyDescent="0.25">
      <c r="A97" s="6" t="s">
        <v>35</v>
      </c>
      <c r="B97" s="7"/>
      <c r="H97" s="11"/>
      <c r="J97" s="1"/>
    </row>
    <row r="98" spans="1:10" x14ac:dyDescent="0.25">
      <c r="A98" s="6" t="s">
        <v>36</v>
      </c>
      <c r="B98" s="7"/>
      <c r="H98" s="11"/>
      <c r="J98" s="1"/>
    </row>
    <row r="99" spans="1:10" x14ac:dyDescent="0.25">
      <c r="A99" s="6" t="s">
        <v>37</v>
      </c>
      <c r="B99" s="7"/>
      <c r="H99" s="11"/>
      <c r="J99" s="1"/>
    </row>
    <row r="100" spans="1:10" x14ac:dyDescent="0.25">
      <c r="A100" s="6" t="s">
        <v>38</v>
      </c>
      <c r="B100" s="7"/>
      <c r="H100" s="11"/>
      <c r="J100" s="1"/>
    </row>
    <row r="101" spans="1:10" x14ac:dyDescent="0.25">
      <c r="A101" s="6" t="s">
        <v>39</v>
      </c>
      <c r="B101" s="7"/>
      <c r="H101" s="11"/>
      <c r="J101" s="1"/>
    </row>
    <row r="102" spans="1:10" x14ac:dyDescent="0.25">
      <c r="A102" s="6" t="s">
        <v>40</v>
      </c>
      <c r="B102" s="7"/>
      <c r="H102" s="11"/>
      <c r="J102" s="1"/>
    </row>
    <row r="103" spans="1:10" x14ac:dyDescent="0.25">
      <c r="A103" s="6" t="s">
        <v>41</v>
      </c>
      <c r="B103" s="7"/>
      <c r="H103" s="11"/>
      <c r="J103" s="1"/>
    </row>
    <row r="104" spans="1:10" x14ac:dyDescent="0.25">
      <c r="A104" s="6" t="s">
        <v>42</v>
      </c>
      <c r="B104" s="7"/>
      <c r="H104" s="11"/>
      <c r="J104" s="1"/>
    </row>
    <row r="105" spans="1:10" x14ac:dyDescent="0.25">
      <c r="A105" s="6" t="s">
        <v>43</v>
      </c>
      <c r="B105" s="7"/>
      <c r="H105" s="11"/>
      <c r="J105" s="1"/>
    </row>
    <row r="106" spans="1:10" x14ac:dyDescent="0.25">
      <c r="A106" s="6" t="s">
        <v>44</v>
      </c>
      <c r="B106" s="7"/>
      <c r="H106" s="11"/>
      <c r="J106" s="1"/>
    </row>
    <row r="107" spans="1:10" x14ac:dyDescent="0.25">
      <c r="A107" s="6" t="s">
        <v>45</v>
      </c>
      <c r="B107" s="7"/>
      <c r="H107" s="11"/>
      <c r="J107" s="1"/>
    </row>
    <row r="108" spans="1:10" x14ac:dyDescent="0.25">
      <c r="A108" s="6" t="s">
        <v>46</v>
      </c>
      <c r="B108" s="7"/>
      <c r="H108" s="11"/>
      <c r="J108" s="1"/>
    </row>
    <row r="109" spans="1:10" x14ac:dyDescent="0.25">
      <c r="H109" s="11"/>
      <c r="J109" s="1"/>
    </row>
    <row r="110" spans="1:10" x14ac:dyDescent="0.25">
      <c r="H110" s="11"/>
      <c r="J110" s="1"/>
    </row>
    <row r="112" spans="1:10" x14ac:dyDescent="0.25">
      <c r="C112" s="32"/>
    </row>
    <row r="113" spans="3:3" x14ac:dyDescent="0.25">
      <c r="C113" s="32"/>
    </row>
  </sheetData>
  <mergeCells count="2">
    <mergeCell ref="AD31:AE31"/>
    <mergeCell ref="AG31:AH31"/>
  </mergeCells>
  <dataValidations disablePrompts="1" count="2">
    <dataValidation type="list" allowBlank="1" sqref="B71 B28" xr:uid="{00000000-0002-0000-0800-000000000000}">
      <formula1>"ACCOUNT,BUSINESSUNIT,CATEGORY,DATASRC,DEPARTMENT,INTCO,MEASURES,RPTCURRENCY,TIME"</formula1>
    </dataValidation>
    <dataValidation type="list" allowBlank="1" sqref="B72 B29" xr:uid="{00000000-0002-0000-08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819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8197" r:id="rId7" name="FPMExcelClientSheetOptionst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1.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c r="G4" s="234" t="s">
        <v>824</v>
      </c>
    </row>
    <row r="5" spans="1:35" hidden="1" outlineLevel="1" x14ac:dyDescent="0.25">
      <c r="A5" s="8" t="s">
        <v>51</v>
      </c>
      <c r="B5" s="12" t="s">
        <v>59</v>
      </c>
      <c r="C5" s="1" t="s">
        <v>59</v>
      </c>
    </row>
    <row r="6" spans="1:35" hidden="1" outlineLevel="1" x14ac:dyDescent="0.25">
      <c r="A6" s="8" t="s">
        <v>52</v>
      </c>
      <c r="B6" s="12" t="s">
        <v>237</v>
      </c>
      <c r="C6" s="1" t="s">
        <v>1160</v>
      </c>
      <c r="E6" s="49" t="s">
        <v>1159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1161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1162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1163</v>
      </c>
      <c r="G19" s="18" t="str">
        <f>$B$6</f>
        <v>D_RESV_CON</v>
      </c>
      <c r="H19" s="18">
        <v>700000</v>
      </c>
      <c r="I19" s="19"/>
      <c r="J19" s="19"/>
      <c r="K19" s="18"/>
      <c r="L19" s="18"/>
      <c r="M19" s="18"/>
      <c r="N19" s="18" t="s">
        <v>1116</v>
      </c>
      <c r="O19" s="20">
        <v>13635.03</v>
      </c>
      <c r="P19" s="20">
        <v>11975.61</v>
      </c>
      <c r="Q19" s="20">
        <v>12186.22</v>
      </c>
      <c r="R19" s="20">
        <v>9335.8700000000008</v>
      </c>
      <c r="S19" s="20">
        <v>8616.76</v>
      </c>
      <c r="T19" s="20">
        <v>6554.99</v>
      </c>
      <c r="U19" s="20">
        <v>6350.94</v>
      </c>
      <c r="V19" s="20">
        <v>5247.06</v>
      </c>
      <c r="W19" s="20">
        <v>4429.8900000000003</v>
      </c>
      <c r="X19" s="20">
        <v>6038.35</v>
      </c>
      <c r="Y19" s="20">
        <v>6871.35</v>
      </c>
      <c r="Z19" s="20">
        <v>11704.15</v>
      </c>
      <c r="AA19" s="20">
        <f>SUM(O19:Z19)</f>
        <v>102946.22</v>
      </c>
      <c r="AB19" s="18"/>
      <c r="AC19" s="18"/>
      <c r="AD19" s="20">
        <v>119453.5637</v>
      </c>
      <c r="AE19" s="18"/>
      <c r="AF19" s="18"/>
      <c r="AG19" s="20">
        <v>115651.14</v>
      </c>
      <c r="AH19" s="18"/>
      <c r="AI19" s="18"/>
    </row>
    <row r="20" spans="1:40" hidden="1" outlineLevel="1" x14ac:dyDescent="0.25">
      <c r="A20" s="6" t="s">
        <v>5</v>
      </c>
      <c r="B20" s="7"/>
      <c r="G20" s="18" t="str">
        <f>$B$6</f>
        <v>D_RESV_CON</v>
      </c>
      <c r="H20" s="18" t="s">
        <v>236</v>
      </c>
      <c r="I20" s="19"/>
      <c r="J20" s="19"/>
      <c r="K20" s="18"/>
      <c r="L20" s="18"/>
      <c r="M20" s="18"/>
      <c r="N20" s="18" t="s">
        <v>1164</v>
      </c>
      <c r="O20" s="20">
        <v>107</v>
      </c>
      <c r="P20" s="20">
        <v>-10</v>
      </c>
      <c r="Q20" s="20">
        <v>59</v>
      </c>
      <c r="R20" s="20">
        <v>50</v>
      </c>
      <c r="S20" s="20">
        <v>50</v>
      </c>
      <c r="T20" s="20">
        <v>33</v>
      </c>
      <c r="U20" s="20">
        <v>15</v>
      </c>
      <c r="V20" s="20">
        <v>32</v>
      </c>
      <c r="W20" s="20">
        <v>14</v>
      </c>
      <c r="X20" s="20">
        <v>22</v>
      </c>
      <c r="Y20" s="20">
        <v>22</v>
      </c>
      <c r="Z20" s="20">
        <v>41</v>
      </c>
      <c r="AA20" s="20">
        <f>SUM(O20:Z20)</f>
        <v>435</v>
      </c>
      <c r="AB20" s="18"/>
      <c r="AC20" s="18"/>
      <c r="AD20" s="20">
        <v>479.42500000000001</v>
      </c>
      <c r="AE20" s="18"/>
      <c r="AF20" s="18"/>
      <c r="AG20" s="20">
        <v>462</v>
      </c>
      <c r="AH20" s="18"/>
      <c r="AI20" s="18"/>
    </row>
    <row r="21" spans="1:40" hidden="1" outlineLevel="1" x14ac:dyDescent="0.25">
      <c r="A21" s="6" t="s">
        <v>6</v>
      </c>
      <c r="B21" s="7"/>
      <c r="G21" s="18" t="s">
        <v>254</v>
      </c>
      <c r="H21" s="18">
        <v>990100</v>
      </c>
      <c r="I21" s="138" t="str">
        <f>IF($G$4="ACTUAL","CURRENT",$B$4)</f>
        <v>CURRENT</v>
      </c>
      <c r="J21" s="19"/>
      <c r="K21" s="18"/>
      <c r="L21" s="18"/>
      <c r="M21" s="18"/>
      <c r="N21" s="18" t="s">
        <v>1165</v>
      </c>
      <c r="O21" s="20">
        <v>132</v>
      </c>
      <c r="P21" s="20">
        <v>132</v>
      </c>
      <c r="Q21" s="20">
        <v>132</v>
      </c>
      <c r="R21" s="20">
        <v>132</v>
      </c>
      <c r="S21" s="20">
        <v>132</v>
      </c>
      <c r="T21" s="20">
        <v>132</v>
      </c>
      <c r="U21" s="20">
        <v>132</v>
      </c>
      <c r="V21" s="20">
        <v>132</v>
      </c>
      <c r="W21" s="20">
        <v>132</v>
      </c>
      <c r="X21" s="20">
        <v>132</v>
      </c>
      <c r="Y21" s="20">
        <v>132</v>
      </c>
      <c r="Z21" s="20">
        <v>132</v>
      </c>
      <c r="AA21" s="20">
        <f>SUM(O21:Z21)</f>
        <v>1584</v>
      </c>
      <c r="AB21" s="18"/>
      <c r="AC21" s="18"/>
      <c r="AD21" s="455">
        <v>1584</v>
      </c>
      <c r="AE21" s="18" t="s">
        <v>255</v>
      </c>
      <c r="AF21" s="18"/>
      <c r="AG21" s="455">
        <v>1584</v>
      </c>
      <c r="AH21" s="18" t="s">
        <v>255</v>
      </c>
      <c r="AI21" s="18"/>
    </row>
    <row r="22" spans="1:40" hidden="1" outlineLevel="1" x14ac:dyDescent="0.25">
      <c r="A22" s="6" t="s">
        <v>7</v>
      </c>
      <c r="B22" s="16" t="s">
        <v>1166</v>
      </c>
      <c r="G22" s="18" t="s">
        <v>749</v>
      </c>
      <c r="H22" s="18">
        <v>900200</v>
      </c>
      <c r="I22" s="19"/>
      <c r="J22" s="19"/>
      <c r="K22" s="18"/>
      <c r="L22" s="19"/>
      <c r="M22" s="19"/>
      <c r="N22" s="18" t="s">
        <v>1053</v>
      </c>
      <c r="O22" s="20">
        <v>3881</v>
      </c>
      <c r="P22" s="20">
        <v>3519</v>
      </c>
      <c r="Q22" s="20">
        <v>3762</v>
      </c>
      <c r="R22" s="20">
        <v>3457</v>
      </c>
      <c r="S22" s="20">
        <v>3164</v>
      </c>
      <c r="T22" s="20">
        <v>3405</v>
      </c>
      <c r="U22" s="20">
        <v>3379</v>
      </c>
      <c r="V22" s="20">
        <v>2992</v>
      </c>
      <c r="W22" s="20">
        <v>2680</v>
      </c>
      <c r="X22" s="20">
        <v>3199</v>
      </c>
      <c r="Y22" s="20">
        <v>2979</v>
      </c>
      <c r="Z22" s="20">
        <v>3469</v>
      </c>
      <c r="AA22" s="20">
        <f>SUM(O22:Z22)</f>
        <v>39886</v>
      </c>
      <c r="AB22" s="18"/>
      <c r="AC22" s="18"/>
      <c r="AD22" s="20">
        <v>41253</v>
      </c>
      <c r="AE22" s="18"/>
      <c r="AF22" s="18"/>
      <c r="AG22" s="20">
        <v>41314</v>
      </c>
      <c r="AH22" s="18"/>
      <c r="AI22" s="18"/>
    </row>
    <row r="23" spans="1:40" hidden="1" outlineLevel="1" x14ac:dyDescent="0.25">
      <c r="A23" s="6" t="s">
        <v>47</v>
      </c>
      <c r="B23" s="16" t="s">
        <v>1167</v>
      </c>
      <c r="K23" s="57"/>
      <c r="L23" s="57"/>
      <c r="M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1168</v>
      </c>
    </row>
    <row r="28" spans="1:40" ht="15.75" x14ac:dyDescent="0.25">
      <c r="A28" s="6" t="s">
        <v>12</v>
      </c>
      <c r="B28" s="7" t="s">
        <v>22</v>
      </c>
      <c r="N28" s="71" t="s">
        <v>1005</v>
      </c>
    </row>
    <row r="29" spans="1:40" ht="15" customHeight="1" x14ac:dyDescent="0.25">
      <c r="A29" s="6" t="s">
        <v>13</v>
      </c>
      <c r="B29" s="7" t="s">
        <v>256</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33"/>
      <c r="AM31" s="262">
        <v>2022</v>
      </c>
      <c r="AN31" s="233"/>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
        <v>747</v>
      </c>
      <c r="AM32" s="261" t="str">
        <f>AG32</f>
        <v>Actual</v>
      </c>
      <c r="AN32" s="261" t="s">
        <v>747</v>
      </c>
    </row>
    <row r="33" spans="1:40" x14ac:dyDescent="0.25">
      <c r="A33" s="6" t="s">
        <v>17</v>
      </c>
      <c r="B33" s="7"/>
      <c r="G33" s="14"/>
      <c r="H33" s="1" t="s">
        <v>239</v>
      </c>
      <c r="I33" s="11" t="s">
        <v>1011</v>
      </c>
      <c r="J33" s="11" t="s">
        <v>78</v>
      </c>
      <c r="L33" s="196" t="s">
        <v>364</v>
      </c>
      <c r="M33" s="196" t="s">
        <v>782</v>
      </c>
      <c r="N33" s="40" t="s">
        <v>1169</v>
      </c>
      <c r="O33" s="41"/>
      <c r="P33" s="45"/>
      <c r="Q33" s="45"/>
      <c r="R33" s="45"/>
      <c r="S33" s="45"/>
      <c r="T33" s="45"/>
      <c r="U33" s="45"/>
      <c r="V33" s="45"/>
      <c r="W33" s="45"/>
      <c r="X33" s="45"/>
      <c r="Y33" s="45"/>
      <c r="Z33" s="45"/>
      <c r="AA33" s="45"/>
      <c r="AB33" s="42"/>
      <c r="AD33" s="41"/>
      <c r="AE33" s="45"/>
      <c r="AF33" s="42"/>
      <c r="AG33" s="41"/>
      <c r="AH33" s="45"/>
      <c r="AI33" s="42"/>
    </row>
    <row r="34" spans="1:40" x14ac:dyDescent="0.25">
      <c r="G34" s="14"/>
      <c r="H34" s="15" t="s">
        <v>220</v>
      </c>
      <c r="I34" s="161" t="s">
        <v>1009</v>
      </c>
      <c r="J34" s="161" t="s">
        <v>1009</v>
      </c>
      <c r="K34" s="68" t="str">
        <f t="shared" ref="K34:K45" si="0">IF(AND(I34&gt;="T5"),"&gt;","")</f>
        <v/>
      </c>
      <c r="L34" s="162">
        <v>710150</v>
      </c>
      <c r="M34" s="162">
        <v>590165</v>
      </c>
      <c r="N34" s="162" t="s">
        <v>1170</v>
      </c>
      <c r="O34" s="21"/>
      <c r="P34" s="21"/>
      <c r="Q34" s="21"/>
      <c r="R34" s="21"/>
      <c r="S34" s="21"/>
      <c r="T34" s="21"/>
      <c r="U34" s="21"/>
      <c r="V34" s="21"/>
      <c r="W34" s="21"/>
      <c r="X34" s="21"/>
      <c r="Y34" s="21"/>
      <c r="Z34" s="21"/>
      <c r="AA34" s="310">
        <f t="shared" ref="AA34:AA45" si="1">IF($I34="B1","",SUM(O34:Z34))</f>
        <v>0</v>
      </c>
      <c r="AB34" s="17" t="str">
        <f t="shared" ref="AB34:AB45" si="2">IF(AA34=0,"",IFERROR(AA34/AA$19,""))</f>
        <v/>
      </c>
      <c r="AD34" s="21"/>
      <c r="AE34" s="17" t="str">
        <f t="shared" ref="AE34:AE45" si="3">IF(AD34=0,"",IFERROR(AD34/AD$19,""))</f>
        <v/>
      </c>
      <c r="AF34" s="50">
        <f t="shared" ref="AF34:AF45" si="4">IF(AND($AA34="",AD34=""),"",$AA34-AD34)</f>
        <v>0</v>
      </c>
      <c r="AG34" s="21"/>
      <c r="AH34" s="17" t="str">
        <f t="shared" ref="AH34:AH45" si="5">IF(AG34=0,"",IFERROR(AG34/AG$19,""))</f>
        <v/>
      </c>
      <c r="AI34" s="50">
        <f t="shared" ref="AI34:AI45" si="6">IF(AND($AA34="",AG34=""),"",$AA34-AG34)</f>
        <v>0</v>
      </c>
      <c r="AJ34" s="350">
        <f t="shared" ref="AJ34:AJ45" si="7">IFERROR(AA34/AA$22,0)</f>
        <v>0</v>
      </c>
      <c r="AK34" s="351">
        <f t="shared" ref="AK34:AK45" si="8">IFERROR(AD34/AD$22,0)</f>
        <v>0</v>
      </c>
      <c r="AL34" s="140">
        <f t="shared" ref="AL34:AL45" si="9">AJ34-AK34</f>
        <v>0</v>
      </c>
      <c r="AM34" s="352">
        <f t="shared" ref="AM34:AM45" si="10">IFERROR(AG34/AG$22,0)</f>
        <v>0</v>
      </c>
      <c r="AN34" s="140">
        <f t="shared" ref="AN34:AN45" si="11">AJ34-AM34</f>
        <v>0</v>
      </c>
    </row>
    <row r="35" spans="1:40" x14ac:dyDescent="0.25">
      <c r="A35" s="22" t="s">
        <v>92</v>
      </c>
      <c r="B35" s="23" t="s">
        <v>93</v>
      </c>
      <c r="C35" s="23" t="s">
        <v>94</v>
      </c>
      <c r="D35" s="23" t="s">
        <v>95</v>
      </c>
      <c r="E35" s="23" t="s">
        <v>96</v>
      </c>
      <c r="F35" s="24" t="s">
        <v>97</v>
      </c>
      <c r="G35" s="14"/>
      <c r="H35" s="15" t="s">
        <v>221</v>
      </c>
      <c r="I35" s="161" t="s">
        <v>1009</v>
      </c>
      <c r="J35" s="161" t="s">
        <v>1009</v>
      </c>
      <c r="K35" s="68" t="str">
        <f t="shared" si="0"/>
        <v/>
      </c>
      <c r="L35" s="162">
        <v>710140</v>
      </c>
      <c r="M35" s="162">
        <v>590171</v>
      </c>
      <c r="N35" s="162" t="s">
        <v>1171</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50">
        <f t="shared" si="7"/>
        <v>0</v>
      </c>
      <c r="AK35" s="351">
        <f t="shared" si="8"/>
        <v>0</v>
      </c>
      <c r="AL35" s="140">
        <f t="shared" si="9"/>
        <v>0</v>
      </c>
      <c r="AM35" s="352">
        <f t="shared" si="10"/>
        <v>0</v>
      </c>
      <c r="AN35" s="140">
        <f t="shared" si="11"/>
        <v>0</v>
      </c>
    </row>
    <row r="36" spans="1:40" x14ac:dyDescent="0.25">
      <c r="G36" s="14"/>
      <c r="H36" s="15" t="s">
        <v>222</v>
      </c>
      <c r="I36" s="161" t="s">
        <v>1009</v>
      </c>
      <c r="J36" s="161" t="s">
        <v>1009</v>
      </c>
      <c r="K36" s="68" t="str">
        <f t="shared" si="0"/>
        <v/>
      </c>
      <c r="L36" s="162">
        <v>710145</v>
      </c>
      <c r="M36" s="162">
        <v>590520</v>
      </c>
      <c r="N36" s="162" t="s">
        <v>1172</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50">
        <f t="shared" si="7"/>
        <v>0</v>
      </c>
      <c r="AK36" s="351">
        <f t="shared" si="8"/>
        <v>0</v>
      </c>
      <c r="AL36" s="140">
        <f t="shared" si="9"/>
        <v>0</v>
      </c>
      <c r="AM36" s="352">
        <f t="shared" si="10"/>
        <v>0</v>
      </c>
      <c r="AN36" s="140">
        <f t="shared" si="11"/>
        <v>0</v>
      </c>
    </row>
    <row r="37" spans="1:40" x14ac:dyDescent="0.25">
      <c r="A37" s="1" t="s">
        <v>105</v>
      </c>
      <c r="C37" s="26" t="s">
        <v>101</v>
      </c>
      <c r="D37" s="1" t="s">
        <v>106</v>
      </c>
      <c r="F37" s="1" t="s">
        <v>98</v>
      </c>
      <c r="G37" s="14"/>
      <c r="H37" s="15" t="s">
        <v>223</v>
      </c>
      <c r="I37" s="161" t="s">
        <v>1009</v>
      </c>
      <c r="J37" s="161" t="s">
        <v>1009</v>
      </c>
      <c r="K37" s="68" t="str">
        <f t="shared" si="0"/>
        <v/>
      </c>
      <c r="L37" s="162">
        <v>710160</v>
      </c>
      <c r="M37" s="162">
        <v>590525</v>
      </c>
      <c r="N37" s="162" t="s">
        <v>1173</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50">
        <f t="shared" si="7"/>
        <v>0</v>
      </c>
      <c r="AK37" s="351">
        <f t="shared" si="8"/>
        <v>0</v>
      </c>
      <c r="AL37" s="140">
        <f t="shared" si="9"/>
        <v>0</v>
      </c>
      <c r="AM37" s="352">
        <f t="shared" si="10"/>
        <v>0</v>
      </c>
      <c r="AN37" s="140">
        <f t="shared" si="11"/>
        <v>0</v>
      </c>
    </row>
    <row r="38" spans="1:40" x14ac:dyDescent="0.25">
      <c r="A38" s="1" t="s">
        <v>104</v>
      </c>
      <c r="C38" s="26" t="s">
        <v>101</v>
      </c>
      <c r="D38" s="1" t="s">
        <v>106</v>
      </c>
      <c r="F38" s="1" t="s">
        <v>98</v>
      </c>
      <c r="G38" s="14"/>
      <c r="H38" s="15" t="s">
        <v>224</v>
      </c>
      <c r="I38" s="161" t="s">
        <v>1009</v>
      </c>
      <c r="J38" s="161" t="s">
        <v>1009</v>
      </c>
      <c r="K38" s="68" t="str">
        <f t="shared" si="0"/>
        <v/>
      </c>
      <c r="L38" s="162">
        <v>710170</v>
      </c>
      <c r="M38" s="162">
        <v>590530</v>
      </c>
      <c r="N38" s="162" t="s">
        <v>1174</v>
      </c>
      <c r="O38" s="21">
        <v>684.8</v>
      </c>
      <c r="P38" s="21">
        <v>-64</v>
      </c>
      <c r="Q38" s="21">
        <v>377.6</v>
      </c>
      <c r="R38" s="21">
        <v>311.60000000000002</v>
      </c>
      <c r="S38" s="21">
        <v>324.2</v>
      </c>
      <c r="T38" s="21">
        <v>211.2</v>
      </c>
      <c r="U38" s="21">
        <v>96.8</v>
      </c>
      <c r="V38" s="21">
        <v>204</v>
      </c>
      <c r="W38" s="21">
        <v>89.6</v>
      </c>
      <c r="X38" s="21">
        <v>140.80000000000001</v>
      </c>
      <c r="Y38" s="21">
        <v>140.80000000000001</v>
      </c>
      <c r="Z38" s="21">
        <v>262.39999999999998</v>
      </c>
      <c r="AA38" s="310">
        <f t="shared" si="1"/>
        <v>2779.8</v>
      </c>
      <c r="AB38" s="17">
        <f t="shared" si="2"/>
        <v>2.7002448462896452E-2</v>
      </c>
      <c r="AD38" s="21">
        <v>3068.32</v>
      </c>
      <c r="AE38" s="17">
        <f t="shared" si="3"/>
        <v>2.5686299386646096E-2</v>
      </c>
      <c r="AF38" s="50">
        <f t="shared" si="4"/>
        <v>-288.52</v>
      </c>
      <c r="AG38" s="21">
        <v>2549.4</v>
      </c>
      <c r="AH38" s="17">
        <f t="shared" si="5"/>
        <v>2.2043881279510086E-2</v>
      </c>
      <c r="AI38" s="50">
        <f t="shared" si="6"/>
        <v>230.40000000000009</v>
      </c>
      <c r="AJ38" s="350">
        <f t="shared" si="7"/>
        <v>6.9693626836483988E-2</v>
      </c>
      <c r="AK38" s="351">
        <f t="shared" si="8"/>
        <v>7.4378105834727176E-2</v>
      </c>
      <c r="AL38" s="140">
        <f t="shared" si="9"/>
        <v>-4.6844789982431884E-3</v>
      </c>
      <c r="AM38" s="352">
        <f t="shared" si="10"/>
        <v>6.1707895628600476E-2</v>
      </c>
      <c r="AN38" s="140">
        <f t="shared" si="11"/>
        <v>7.9857312078835119E-3</v>
      </c>
    </row>
    <row r="39" spans="1:40" x14ac:dyDescent="0.25">
      <c r="A39" s="1" t="s">
        <v>102</v>
      </c>
      <c r="C39" s="25" t="s">
        <v>101</v>
      </c>
      <c r="D39" s="1" t="s">
        <v>106</v>
      </c>
      <c r="F39" s="1" t="s">
        <v>98</v>
      </c>
      <c r="G39" s="14"/>
      <c r="H39" s="15" t="s">
        <v>225</v>
      </c>
      <c r="I39" s="161" t="s">
        <v>1009</v>
      </c>
      <c r="J39" s="161" t="s">
        <v>1009</v>
      </c>
      <c r="K39" s="68" t="str">
        <f t="shared" si="0"/>
        <v/>
      </c>
      <c r="L39" s="162">
        <v>710180</v>
      </c>
      <c r="M39" s="162">
        <v>590535</v>
      </c>
      <c r="N39" s="162" t="s">
        <v>1175</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50">
        <f t="shared" si="7"/>
        <v>0</v>
      </c>
      <c r="AK39" s="351">
        <f t="shared" si="8"/>
        <v>0</v>
      </c>
      <c r="AL39" s="140">
        <f t="shared" si="9"/>
        <v>0</v>
      </c>
      <c r="AM39" s="352">
        <f t="shared" si="10"/>
        <v>0</v>
      </c>
      <c r="AN39" s="140">
        <f t="shared" si="11"/>
        <v>0</v>
      </c>
    </row>
    <row r="40" spans="1:40" x14ac:dyDescent="0.25">
      <c r="A40" s="1" t="s">
        <v>102</v>
      </c>
      <c r="C40" s="29" t="s">
        <v>101</v>
      </c>
      <c r="D40" s="1" t="s">
        <v>107</v>
      </c>
      <c r="F40" s="1" t="s">
        <v>99</v>
      </c>
      <c r="G40" s="14"/>
      <c r="H40" s="15" t="s">
        <v>226</v>
      </c>
      <c r="I40" s="161" t="s">
        <v>1058</v>
      </c>
      <c r="J40" s="161" t="s">
        <v>78</v>
      </c>
      <c r="K40" s="68" t="str">
        <f t="shared" si="0"/>
        <v>&gt;</v>
      </c>
      <c r="L40" s="162">
        <v>710190</v>
      </c>
      <c r="M40" s="162"/>
      <c r="N40" s="162" t="s">
        <v>1176</v>
      </c>
      <c r="O40" s="30"/>
      <c r="P40" s="30"/>
      <c r="Q40" s="30"/>
      <c r="R40" s="30"/>
      <c r="S40" s="30"/>
      <c r="T40" s="30"/>
      <c r="U40" s="30"/>
      <c r="V40" s="30"/>
      <c r="W40" s="30"/>
      <c r="X40" s="30"/>
      <c r="Y40" s="30"/>
      <c r="Z40" s="30"/>
      <c r="AA40" s="324">
        <f t="shared" si="1"/>
        <v>0</v>
      </c>
      <c r="AB40" s="31" t="str">
        <f t="shared" si="2"/>
        <v/>
      </c>
      <c r="AD40" s="30"/>
      <c r="AE40" s="31" t="str">
        <f t="shared" si="3"/>
        <v/>
      </c>
      <c r="AF40" s="51">
        <f t="shared" si="4"/>
        <v>0</v>
      </c>
      <c r="AG40" s="30"/>
      <c r="AH40" s="31" t="str">
        <f t="shared" si="5"/>
        <v/>
      </c>
      <c r="AI40" s="51">
        <f t="shared" si="6"/>
        <v>0</v>
      </c>
      <c r="AJ40" s="357">
        <f t="shared" si="7"/>
        <v>0</v>
      </c>
      <c r="AK40" s="358">
        <f t="shared" si="8"/>
        <v>0</v>
      </c>
      <c r="AL40" s="141">
        <f t="shared" si="9"/>
        <v>0</v>
      </c>
      <c r="AM40" s="359">
        <f t="shared" si="10"/>
        <v>0</v>
      </c>
      <c r="AN40" s="141">
        <f t="shared" si="11"/>
        <v>0</v>
      </c>
    </row>
    <row r="41" spans="1:40" x14ac:dyDescent="0.25">
      <c r="A41" s="1" t="s">
        <v>244</v>
      </c>
      <c r="C41" s="29" t="s">
        <v>101</v>
      </c>
      <c r="D41" s="1" t="s">
        <v>107</v>
      </c>
      <c r="F41" s="1" t="s">
        <v>99</v>
      </c>
      <c r="G41" s="14"/>
      <c r="H41" s="15" t="s">
        <v>227</v>
      </c>
      <c r="I41" s="479" t="s">
        <v>1064</v>
      </c>
      <c r="J41" s="479" t="s">
        <v>78</v>
      </c>
      <c r="K41" s="480" t="str">
        <f t="shared" si="0"/>
        <v/>
      </c>
      <c r="L41" s="170"/>
      <c r="M41" s="170"/>
      <c r="N41" s="170" t="s">
        <v>1177</v>
      </c>
      <c r="O41" s="134">
        <v>684.8</v>
      </c>
      <c r="P41" s="134">
        <v>-64</v>
      </c>
      <c r="Q41" s="134">
        <v>377.6</v>
      </c>
      <c r="R41" s="134">
        <v>311.60000000000002</v>
      </c>
      <c r="S41" s="134">
        <v>324.2</v>
      </c>
      <c r="T41" s="134">
        <v>211.2</v>
      </c>
      <c r="U41" s="134">
        <v>96.8</v>
      </c>
      <c r="V41" s="134">
        <v>204</v>
      </c>
      <c r="W41" s="134">
        <v>89.6</v>
      </c>
      <c r="X41" s="134">
        <v>140.80000000000001</v>
      </c>
      <c r="Y41" s="134">
        <v>140.80000000000001</v>
      </c>
      <c r="Z41" s="134">
        <v>262.39999999999998</v>
      </c>
      <c r="AA41" s="134">
        <f t="shared" si="1"/>
        <v>2779.8</v>
      </c>
      <c r="AB41" s="135">
        <f t="shared" si="2"/>
        <v>2.7002448462896452E-2</v>
      </c>
      <c r="AC41" s="137"/>
      <c r="AD41" s="134">
        <v>3068.32</v>
      </c>
      <c r="AE41" s="135">
        <f t="shared" si="3"/>
        <v>2.5686299386646096E-2</v>
      </c>
      <c r="AF41" s="136">
        <f t="shared" si="4"/>
        <v>-288.52</v>
      </c>
      <c r="AG41" s="134">
        <v>2549.4</v>
      </c>
      <c r="AH41" s="135">
        <f t="shared" si="5"/>
        <v>2.2043881279510086E-2</v>
      </c>
      <c r="AI41" s="136">
        <f t="shared" si="6"/>
        <v>230.40000000000009</v>
      </c>
      <c r="AJ41" s="360">
        <f t="shared" si="7"/>
        <v>6.9693626836483988E-2</v>
      </c>
      <c r="AK41" s="361">
        <f t="shared" si="8"/>
        <v>7.4378105834727176E-2</v>
      </c>
      <c r="AL41" s="362">
        <f t="shared" si="9"/>
        <v>-4.6844789982431884E-3</v>
      </c>
      <c r="AM41" s="363">
        <f t="shared" si="10"/>
        <v>6.1707895628600476E-2</v>
      </c>
      <c r="AN41" s="362">
        <f t="shared" si="11"/>
        <v>7.9857312078835119E-3</v>
      </c>
    </row>
    <row r="42" spans="1:40" x14ac:dyDescent="0.25">
      <c r="G42" s="14"/>
      <c r="H42" s="149" t="s">
        <v>228</v>
      </c>
      <c r="I42" s="161" t="s">
        <v>1058</v>
      </c>
      <c r="J42" s="161" t="s">
        <v>78</v>
      </c>
      <c r="K42" s="68" t="str">
        <f t="shared" si="0"/>
        <v>&gt;</v>
      </c>
      <c r="L42" s="162"/>
      <c r="M42" s="162"/>
      <c r="N42" s="162" t="s">
        <v>1178</v>
      </c>
      <c r="O42" s="38"/>
      <c r="P42" s="38"/>
      <c r="Q42" s="38"/>
      <c r="R42" s="38"/>
      <c r="S42" s="38"/>
      <c r="T42" s="38"/>
      <c r="U42" s="38"/>
      <c r="V42" s="38"/>
      <c r="W42" s="38"/>
      <c r="X42" s="38"/>
      <c r="Y42" s="38"/>
      <c r="Z42" s="38"/>
      <c r="AA42" s="315">
        <f t="shared" si="1"/>
        <v>0</v>
      </c>
      <c r="AB42" s="39" t="str">
        <f t="shared" si="2"/>
        <v/>
      </c>
      <c r="AD42" s="38"/>
      <c r="AE42" s="39" t="str">
        <f t="shared" si="3"/>
        <v/>
      </c>
      <c r="AF42" s="132">
        <f t="shared" si="4"/>
        <v>0</v>
      </c>
      <c r="AG42" s="38"/>
      <c r="AH42" s="39" t="str">
        <f t="shared" si="5"/>
        <v/>
      </c>
      <c r="AI42" s="132">
        <f t="shared" si="6"/>
        <v>0</v>
      </c>
      <c r="AJ42" s="353">
        <f t="shared" si="7"/>
        <v>0</v>
      </c>
      <c r="AK42" s="354">
        <f t="shared" si="8"/>
        <v>0</v>
      </c>
      <c r="AL42" s="355">
        <f t="shared" si="9"/>
        <v>0</v>
      </c>
      <c r="AM42" s="356">
        <f t="shared" si="10"/>
        <v>0</v>
      </c>
      <c r="AN42" s="355">
        <f t="shared" si="11"/>
        <v>0</v>
      </c>
    </row>
    <row r="43" spans="1:40" x14ac:dyDescent="0.25">
      <c r="G43" s="14"/>
      <c r="H43" s="149" t="s">
        <v>241</v>
      </c>
      <c r="I43" s="161" t="s">
        <v>1058</v>
      </c>
      <c r="J43" s="161" t="s">
        <v>78</v>
      </c>
      <c r="K43" s="68" t="str">
        <f t="shared" si="0"/>
        <v>&gt;</v>
      </c>
      <c r="L43" s="162"/>
      <c r="M43" s="162"/>
      <c r="N43" s="162" t="s">
        <v>1179</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357">
        <f t="shared" si="7"/>
        <v>0</v>
      </c>
      <c r="AK43" s="358">
        <f t="shared" si="8"/>
        <v>0</v>
      </c>
      <c r="AL43" s="141">
        <f t="shared" si="9"/>
        <v>0</v>
      </c>
      <c r="AM43" s="359">
        <f t="shared" si="10"/>
        <v>0</v>
      </c>
      <c r="AN43" s="141">
        <f t="shared" si="11"/>
        <v>0</v>
      </c>
    </row>
    <row r="44" spans="1:40" x14ac:dyDescent="0.25">
      <c r="A44" s="4" t="s">
        <v>988</v>
      </c>
      <c r="G44" s="14"/>
      <c r="H44" s="149" t="s">
        <v>229</v>
      </c>
      <c r="I44" s="479" t="s">
        <v>1064</v>
      </c>
      <c r="J44" s="479" t="s">
        <v>78</v>
      </c>
      <c r="K44" s="480" t="str">
        <f t="shared" si="0"/>
        <v/>
      </c>
      <c r="L44" s="170"/>
      <c r="M44" s="170"/>
      <c r="N44" s="170" t="s">
        <v>1180</v>
      </c>
      <c r="O44" s="36"/>
      <c r="P44" s="36"/>
      <c r="Q44" s="36"/>
      <c r="R44" s="36"/>
      <c r="S44" s="36"/>
      <c r="T44" s="36"/>
      <c r="U44" s="36"/>
      <c r="V44" s="36"/>
      <c r="W44" s="36"/>
      <c r="X44" s="36"/>
      <c r="Y44" s="36"/>
      <c r="Z44" s="36"/>
      <c r="AA44" s="36">
        <f t="shared" si="1"/>
        <v>0</v>
      </c>
      <c r="AB44" s="37" t="str">
        <f t="shared" si="2"/>
        <v/>
      </c>
      <c r="AC44" s="35"/>
      <c r="AD44" s="36"/>
      <c r="AE44" s="37" t="str">
        <f t="shared" si="3"/>
        <v/>
      </c>
      <c r="AF44" s="58">
        <f t="shared" si="4"/>
        <v>0</v>
      </c>
      <c r="AG44" s="36"/>
      <c r="AH44" s="37" t="str">
        <f t="shared" si="5"/>
        <v/>
      </c>
      <c r="AI44" s="58">
        <f t="shared" si="6"/>
        <v>0</v>
      </c>
      <c r="AJ44" s="372">
        <f t="shared" si="7"/>
        <v>0</v>
      </c>
      <c r="AK44" s="373">
        <f t="shared" si="8"/>
        <v>0</v>
      </c>
      <c r="AL44" s="374">
        <f t="shared" si="9"/>
        <v>0</v>
      </c>
      <c r="AM44" s="375">
        <f t="shared" si="10"/>
        <v>0</v>
      </c>
      <c r="AN44" s="374">
        <f t="shared" si="11"/>
        <v>0</v>
      </c>
    </row>
    <row r="45" spans="1:40" x14ac:dyDescent="0.25">
      <c r="G45" s="14"/>
      <c r="H45" s="149" t="s">
        <v>77</v>
      </c>
      <c r="I45" s="479" t="s">
        <v>1064</v>
      </c>
      <c r="J45" s="479" t="s">
        <v>78</v>
      </c>
      <c r="K45" s="480" t="str">
        <f t="shared" si="0"/>
        <v/>
      </c>
      <c r="L45" s="170">
        <v>710000</v>
      </c>
      <c r="M45" s="170"/>
      <c r="N45" s="170" t="s">
        <v>1115</v>
      </c>
      <c r="O45" s="134">
        <v>684.8</v>
      </c>
      <c r="P45" s="134">
        <v>-64</v>
      </c>
      <c r="Q45" s="134">
        <v>377.6</v>
      </c>
      <c r="R45" s="134">
        <v>311.60000000000002</v>
      </c>
      <c r="S45" s="134">
        <v>324.2</v>
      </c>
      <c r="T45" s="134">
        <v>211.2</v>
      </c>
      <c r="U45" s="134">
        <v>96.8</v>
      </c>
      <c r="V45" s="134">
        <v>204</v>
      </c>
      <c r="W45" s="134">
        <v>89.6</v>
      </c>
      <c r="X45" s="134">
        <v>140.80000000000001</v>
      </c>
      <c r="Y45" s="134">
        <v>140.80000000000001</v>
      </c>
      <c r="Z45" s="134">
        <v>262.39999999999998</v>
      </c>
      <c r="AA45" s="134">
        <f t="shared" si="1"/>
        <v>2779.8</v>
      </c>
      <c r="AB45" s="135">
        <f t="shared" si="2"/>
        <v>2.7002448462896452E-2</v>
      </c>
      <c r="AC45" s="137"/>
      <c r="AD45" s="134">
        <v>3068.32</v>
      </c>
      <c r="AE45" s="135">
        <f t="shared" si="3"/>
        <v>2.5686299386646096E-2</v>
      </c>
      <c r="AF45" s="136">
        <f t="shared" si="4"/>
        <v>-288.52</v>
      </c>
      <c r="AG45" s="134">
        <v>2549.4</v>
      </c>
      <c r="AH45" s="135">
        <f t="shared" si="5"/>
        <v>2.2043881279510086E-2</v>
      </c>
      <c r="AI45" s="136">
        <f t="shared" si="6"/>
        <v>230.40000000000009</v>
      </c>
      <c r="AJ45" s="360">
        <f t="shared" si="7"/>
        <v>6.9693626836483988E-2</v>
      </c>
      <c r="AK45" s="361">
        <f t="shared" si="8"/>
        <v>7.4378105834727176E-2</v>
      </c>
      <c r="AL45" s="362">
        <f t="shared" si="9"/>
        <v>-4.6844789982431884E-3</v>
      </c>
      <c r="AM45" s="363">
        <f t="shared" si="10"/>
        <v>6.1707895628600476E-2</v>
      </c>
      <c r="AN45" s="362">
        <f t="shared" si="11"/>
        <v>7.9857312078835119E-3</v>
      </c>
    </row>
    <row r="46" spans="1:40" x14ac:dyDescent="0.25">
      <c r="A46" s="3" t="s">
        <v>0</v>
      </c>
      <c r="B46" s="5" t="s">
        <v>1</v>
      </c>
      <c r="G46" s="14"/>
      <c r="H46" s="15"/>
      <c r="I46" s="28"/>
      <c r="J46" s="28"/>
      <c r="K46" s="69"/>
      <c r="L46" s="69"/>
      <c r="M46" s="69"/>
      <c r="N46" s="25"/>
      <c r="O46" s="127"/>
      <c r="P46" s="127"/>
      <c r="Q46" s="127"/>
      <c r="R46" s="127"/>
      <c r="S46" s="127"/>
      <c r="T46" s="127"/>
      <c r="U46" s="127"/>
      <c r="V46" s="127"/>
      <c r="W46" s="127"/>
      <c r="X46" s="127"/>
      <c r="Y46" s="127"/>
      <c r="Z46" s="127"/>
      <c r="AA46" s="127"/>
      <c r="AB46" s="128"/>
      <c r="AD46" s="127"/>
      <c r="AE46" s="128"/>
      <c r="AF46" s="133"/>
      <c r="AG46" s="127"/>
      <c r="AH46" s="128"/>
      <c r="AI46" s="133"/>
    </row>
    <row r="47" spans="1:40" x14ac:dyDescent="0.25">
      <c r="A47" s="6" t="s">
        <v>2</v>
      </c>
      <c r="B47" s="16" t="s">
        <v>1161</v>
      </c>
      <c r="G47" s="14"/>
      <c r="H47" s="15"/>
      <c r="I47" s="27"/>
      <c r="J47" s="27"/>
      <c r="N47" s="26" t="s">
        <v>242</v>
      </c>
      <c r="O47" s="30">
        <f t="shared" ref="O47:Z47" si="12">SUMIF($H$34:$H$48,"700000",O34:O48)-SUMIF($H$34:$H$48,"710000",O34:O48)</f>
        <v>12950.230000000001</v>
      </c>
      <c r="P47" s="30">
        <f t="shared" si="12"/>
        <v>12039.61</v>
      </c>
      <c r="Q47" s="30">
        <f t="shared" si="12"/>
        <v>11808.619999999999</v>
      </c>
      <c r="R47" s="30">
        <f t="shared" si="12"/>
        <v>9024.27</v>
      </c>
      <c r="S47" s="30">
        <f t="shared" si="12"/>
        <v>8292.56</v>
      </c>
      <c r="T47" s="30">
        <f t="shared" si="12"/>
        <v>6343.79</v>
      </c>
      <c r="U47" s="30">
        <f t="shared" si="12"/>
        <v>6254.1399999999994</v>
      </c>
      <c r="V47" s="30">
        <f t="shared" si="12"/>
        <v>5043.0600000000004</v>
      </c>
      <c r="W47" s="30">
        <f t="shared" si="12"/>
        <v>4340.29</v>
      </c>
      <c r="X47" s="30">
        <f t="shared" si="12"/>
        <v>5897.55</v>
      </c>
      <c r="Y47" s="30">
        <f t="shared" si="12"/>
        <v>6730.55</v>
      </c>
      <c r="Z47" s="30">
        <f t="shared" si="12"/>
        <v>11441.75</v>
      </c>
      <c r="AA47" s="30">
        <f>IF($I47="B1","",SUM(O47:Z47))</f>
        <v>100166.42</v>
      </c>
      <c r="AB47" s="31">
        <f>IF(AA47=0,"",IFERROR(AA47/AA$19,""))</f>
        <v>0.97299755153710354</v>
      </c>
      <c r="AD47" s="30">
        <f>SUMIF($H$34:$H$48,"700000",AD34:AD48)-SUMIF($H$34:$H$48,"710000",AD34:AD48)</f>
        <v>116385.24369999999</v>
      </c>
      <c r="AE47" s="31">
        <f>IF(AD47=0,"",IFERROR(AD47/AD$19,""))</f>
        <v>0.97431370061335387</v>
      </c>
      <c r="AF47" s="51">
        <f>IF(AND($AA47="",AD47=""),"",$AA47-AD47)</f>
        <v>-16218.823699999994</v>
      </c>
      <c r="AG47" s="30">
        <f>SUMIF($H$34:$H$48,"700000",AG34:AG48)-SUMIF($H$34:$H$48,"710000",AG34:AG48)</f>
        <v>113101.74</v>
      </c>
      <c r="AH47" s="31">
        <f>IF(AG47=0,"",IFERROR(AG47/AG$19,""))</f>
        <v>0.97795611872048993</v>
      </c>
      <c r="AI47" s="51">
        <f>IF(AND($AA47="",AG47=""),"",$AA47-AG47)</f>
        <v>-12935.320000000007</v>
      </c>
      <c r="AJ47" s="376">
        <f>IFERROR(AA47/AA$22,0)</f>
        <v>2.51131775560347</v>
      </c>
      <c r="AK47" s="377">
        <f>IFERROR(AD47/AD$22,0)</f>
        <v>2.8212552711317964</v>
      </c>
      <c r="AL47" s="378">
        <f>AJ47-AK47</f>
        <v>-0.30993751552832638</v>
      </c>
      <c r="AM47" s="379">
        <f>IFERROR(AG47/AG$22,0)</f>
        <v>2.7376129157186426</v>
      </c>
      <c r="AN47" s="378">
        <f>AJ47-AM47</f>
        <v>-0.22629516011517259</v>
      </c>
    </row>
    <row r="48" spans="1:40" x14ac:dyDescent="0.25">
      <c r="A48" s="6" t="s">
        <v>3</v>
      </c>
      <c r="B48" s="16" t="s">
        <v>1162</v>
      </c>
      <c r="G48" s="160"/>
      <c r="H48" s="15" t="s">
        <v>79</v>
      </c>
      <c r="I48" s="27" t="s">
        <v>1012</v>
      </c>
      <c r="J48" s="27" t="s">
        <v>78</v>
      </c>
      <c r="N48" s="119" t="s">
        <v>243</v>
      </c>
      <c r="O48" s="129">
        <v>13635.03</v>
      </c>
      <c r="P48" s="129">
        <v>11975.61</v>
      </c>
      <c r="Q48" s="129">
        <v>12186.22</v>
      </c>
      <c r="R48" s="129">
        <v>9335.8700000000008</v>
      </c>
      <c r="S48" s="129">
        <v>8616.76</v>
      </c>
      <c r="T48" s="129">
        <v>6554.99</v>
      </c>
      <c r="U48" s="129">
        <v>6350.94</v>
      </c>
      <c r="V48" s="129">
        <v>5247.06</v>
      </c>
      <c r="W48" s="129">
        <v>4429.8900000000003</v>
      </c>
      <c r="X48" s="129">
        <v>6038.35</v>
      </c>
      <c r="Y48" s="129">
        <v>6871.35</v>
      </c>
      <c r="Z48" s="129">
        <v>11704.15</v>
      </c>
      <c r="AA48" s="129">
        <f>IF($I48="B1","",SUM(O48:Z48))</f>
        <v>102946.22</v>
      </c>
      <c r="AB48" s="130">
        <f>IF(AA48=0,"",IFERROR(AA48/AA$19,""))</f>
        <v>1</v>
      </c>
      <c r="AD48" s="129">
        <v>119453.5637</v>
      </c>
      <c r="AE48" s="130">
        <f>IF(AD48=0,"",IFERROR(AD48/AD$19,""))</f>
        <v>1</v>
      </c>
      <c r="AF48" s="131">
        <f>IF(AND($AA48="",AD48=""),"",$AA48-AD48)</f>
        <v>-16507.343699999998</v>
      </c>
      <c r="AG48" s="129">
        <v>115651.14</v>
      </c>
      <c r="AH48" s="130">
        <f>IF(AG48=0,"",IFERROR(AG48/AG$19,""))</f>
        <v>1</v>
      </c>
      <c r="AI48" s="131">
        <f>IF(AND($AA48="",AG48=""),"",$AA48-AG48)</f>
        <v>-12704.919999999998</v>
      </c>
      <c r="AJ48" s="353">
        <f>IFERROR(AA48/AA$22,0)</f>
        <v>2.5810113824399541</v>
      </c>
      <c r="AK48" s="354">
        <f>IFERROR(AD48/AD$22,0)</f>
        <v>2.8956333769665235</v>
      </c>
      <c r="AL48" s="355">
        <f>AJ48-AK48</f>
        <v>-0.31462199452656936</v>
      </c>
      <c r="AM48" s="356">
        <f>IFERROR(AG48/AG$22,0)</f>
        <v>2.799320811347243</v>
      </c>
      <c r="AN48" s="355">
        <f>AJ48-AM48</f>
        <v>-0.21830942890728888</v>
      </c>
    </row>
    <row r="49" spans="1:40" x14ac:dyDescent="0.25">
      <c r="A49" s="6" t="s">
        <v>4</v>
      </c>
      <c r="B49" s="16" t="s">
        <v>1181</v>
      </c>
      <c r="G49" s="14"/>
      <c r="H49" s="15"/>
      <c r="I49" s="27"/>
      <c r="J49" s="27"/>
      <c r="N49" s="126"/>
      <c r="O49" s="21"/>
      <c r="P49" s="21"/>
      <c r="Q49" s="21"/>
      <c r="R49" s="21"/>
      <c r="S49" s="21"/>
      <c r="T49" s="21"/>
      <c r="U49" s="21"/>
      <c r="V49" s="21"/>
      <c r="W49" s="21"/>
      <c r="X49" s="21"/>
      <c r="Y49" s="21"/>
      <c r="Z49" s="21"/>
      <c r="AA49" s="21"/>
      <c r="AB49" s="17"/>
      <c r="AD49" s="21"/>
      <c r="AE49" s="17"/>
      <c r="AF49" s="50"/>
      <c r="AG49" s="21"/>
      <c r="AH49" s="17"/>
      <c r="AI49" s="50"/>
    </row>
    <row r="50" spans="1:40" x14ac:dyDescent="0.25">
      <c r="A50" s="6" t="s">
        <v>5</v>
      </c>
      <c r="B50" s="7"/>
      <c r="G50" s="14"/>
      <c r="H50" s="15" t="s">
        <v>76</v>
      </c>
      <c r="I50" s="27" t="s">
        <v>1046</v>
      </c>
      <c r="J50" s="27" t="s">
        <v>78</v>
      </c>
      <c r="N50" s="126" t="s">
        <v>1090</v>
      </c>
      <c r="O50" s="30"/>
      <c r="P50" s="30"/>
      <c r="Q50" s="30"/>
      <c r="R50" s="30"/>
      <c r="S50" s="30"/>
      <c r="T50" s="30"/>
      <c r="U50" s="30"/>
      <c r="V50" s="30"/>
      <c r="W50" s="30"/>
      <c r="X50" s="30"/>
      <c r="Y50" s="30"/>
      <c r="Z50" s="30"/>
      <c r="AA50" s="30">
        <f>IF($I50="B1","",SUM(O50:Z50))</f>
        <v>0</v>
      </c>
      <c r="AB50" s="31"/>
      <c r="AD50" s="30">
        <v>27900</v>
      </c>
      <c r="AE50" s="31"/>
      <c r="AF50" s="51">
        <f>IF(AND($AA50="",AD50=""),"",$AA50-AD50)</f>
        <v>-27900</v>
      </c>
      <c r="AG50" s="30"/>
      <c r="AH50" s="31"/>
      <c r="AI50" s="51">
        <f>IF(AND($AA50="",AG50=""),"",$AA50-AG50)</f>
        <v>0</v>
      </c>
      <c r="AJ50" s="357">
        <f>IFERROR(AA50/AA$22,0)</f>
        <v>0</v>
      </c>
      <c r="AK50" s="358">
        <f>IFERROR(AD50/AD$22,0)</f>
        <v>0.67631444985819211</v>
      </c>
      <c r="AL50" s="141">
        <f>AJ50-AK50</f>
        <v>-0.67631444985819211</v>
      </c>
      <c r="AM50" s="359">
        <f>IFERROR(AG50/AG$22,0)</f>
        <v>0</v>
      </c>
      <c r="AN50" s="141">
        <f>AJ50-AM50</f>
        <v>0</v>
      </c>
    </row>
    <row r="51" spans="1:40" ht="15.75" thickBot="1" x14ac:dyDescent="0.3">
      <c r="A51" s="6" t="s">
        <v>6</v>
      </c>
      <c r="B51" s="7"/>
      <c r="G51" s="14"/>
      <c r="H51" s="15" t="s">
        <v>80</v>
      </c>
      <c r="I51" s="27" t="s">
        <v>1012</v>
      </c>
      <c r="J51" s="27" t="s">
        <v>78</v>
      </c>
      <c r="N51" s="119" t="s">
        <v>1117</v>
      </c>
      <c r="O51" s="62">
        <v>13635.03</v>
      </c>
      <c r="P51" s="62">
        <v>11975.61</v>
      </c>
      <c r="Q51" s="62">
        <v>12186.22</v>
      </c>
      <c r="R51" s="62">
        <v>9335.8700000000008</v>
      </c>
      <c r="S51" s="62">
        <v>8616.76</v>
      </c>
      <c r="T51" s="62">
        <v>6554.99</v>
      </c>
      <c r="U51" s="62">
        <v>6350.94</v>
      </c>
      <c r="V51" s="62">
        <v>5247.06</v>
      </c>
      <c r="W51" s="62">
        <v>4429.8900000000003</v>
      </c>
      <c r="X51" s="62">
        <v>6038.35</v>
      </c>
      <c r="Y51" s="62">
        <v>6871.35</v>
      </c>
      <c r="Z51" s="62">
        <v>11704.15</v>
      </c>
      <c r="AA51" s="62">
        <f>IF($I51="B1","",SUM(O51:Z51))</f>
        <v>102946.22</v>
      </c>
      <c r="AB51" s="63"/>
      <c r="AD51" s="62">
        <v>147353.5637</v>
      </c>
      <c r="AE51" s="63"/>
      <c r="AF51" s="64">
        <f>IF(AND($AA51="",AD51=""),"",$AA51-AD51)</f>
        <v>-44407.343699999998</v>
      </c>
      <c r="AG51" s="62">
        <v>115651.14</v>
      </c>
      <c r="AH51" s="63"/>
      <c r="AI51" s="64">
        <f>IF(AND($AA51="",AG51=""),"",$AA51-AG51)</f>
        <v>-12704.919999999998</v>
      </c>
      <c r="AJ51" s="380">
        <f>IFERROR(AA51/AA$22,0)</f>
        <v>2.5810113824399541</v>
      </c>
      <c r="AK51" s="381">
        <f>IFERROR(AD51/AD$22,0)</f>
        <v>3.5719478268247156</v>
      </c>
      <c r="AL51" s="382">
        <f>AJ51-AK51</f>
        <v>-0.99093644438476147</v>
      </c>
      <c r="AM51" s="383">
        <f>IFERROR(AG51/AG$22,0)</f>
        <v>2.799320811347243</v>
      </c>
      <c r="AN51" s="382">
        <f>AJ51-AM51</f>
        <v>-0.21830942890728888</v>
      </c>
    </row>
    <row r="52" spans="1:40" ht="15.75" thickTop="1" x14ac:dyDescent="0.25">
      <c r="A52" s="6" t="s">
        <v>7</v>
      </c>
      <c r="B52" s="7"/>
      <c r="G52" s="14"/>
      <c r="H52" s="14"/>
      <c r="I52" s="14"/>
      <c r="J52" s="14"/>
      <c r="N52" s="26"/>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16" t="s">
        <v>1167</v>
      </c>
      <c r="G53" s="14"/>
      <c r="H53" s="1" t="s">
        <v>240</v>
      </c>
      <c r="I53" s="11" t="s">
        <v>1011</v>
      </c>
      <c r="J53" s="11" t="s">
        <v>78</v>
      </c>
      <c r="N53" s="40" t="s">
        <v>1182</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G54" s="14"/>
      <c r="H54" s="15" t="s">
        <v>230</v>
      </c>
      <c r="I54" s="27" t="s">
        <v>1009</v>
      </c>
      <c r="J54" s="27" t="s">
        <v>1009</v>
      </c>
      <c r="K54" s="68" t="str">
        <f t="shared" ref="K54:K61" si="13">IF(AND(I54&gt;="T3"),"&gt;","")</f>
        <v/>
      </c>
      <c r="L54" s="195">
        <v>910200</v>
      </c>
      <c r="M54" s="162">
        <v>994300</v>
      </c>
      <c r="N54" s="26" t="s">
        <v>1183</v>
      </c>
      <c r="O54" s="21"/>
      <c r="P54" s="21"/>
      <c r="Q54" s="21"/>
      <c r="R54" s="21"/>
      <c r="S54" s="21"/>
      <c r="T54" s="21"/>
      <c r="U54" s="21"/>
      <c r="V54" s="21"/>
      <c r="W54" s="21"/>
      <c r="X54" s="21"/>
      <c r="Y54" s="21"/>
      <c r="Z54" s="21"/>
      <c r="AA54" s="21">
        <f t="shared" ref="AA54:AA61" si="14">IF($I54="B1","",SUM(O54:Z54))</f>
        <v>0</v>
      </c>
      <c r="AB54" s="17" t="str">
        <f t="shared" ref="AB54:AB61" si="15">IF(AA54=0,"",IFERROR(AA54/AA$20,""))</f>
        <v/>
      </c>
      <c r="AD54" s="21"/>
      <c r="AE54" s="17" t="str">
        <f t="shared" ref="AE54:AE61" si="16">IF(AD54=0,"",IFERROR(AD54/AD$20,""))</f>
        <v/>
      </c>
      <c r="AF54" s="50">
        <f t="shared" ref="AF54:AF61" si="17">IF(AND($AA54="",AD54=""),"",$AA54-AD54)</f>
        <v>0</v>
      </c>
      <c r="AG54" s="21"/>
      <c r="AH54" s="17" t="str">
        <f t="shared" ref="AH54:AH61" si="18">IF(AG54=0,"",IFERROR(AG54/AG$20,""))</f>
        <v/>
      </c>
      <c r="AI54" s="50">
        <f t="shared" ref="AI54:AI61" si="19">IF(AND($AA54="",AG54=""),"",$AA54-AG54)</f>
        <v>0</v>
      </c>
    </row>
    <row r="55" spans="1:40" x14ac:dyDescent="0.25">
      <c r="G55" s="14"/>
      <c r="H55" s="15" t="s">
        <v>175</v>
      </c>
      <c r="I55" s="479" t="s">
        <v>1011</v>
      </c>
      <c r="J55" s="479" t="s">
        <v>78</v>
      </c>
      <c r="K55" s="480" t="str">
        <f t="shared" si="13"/>
        <v/>
      </c>
      <c r="L55" s="25"/>
      <c r="M55" s="170"/>
      <c r="N55" s="170" t="s">
        <v>175</v>
      </c>
      <c r="O55" s="21"/>
      <c r="P55" s="21"/>
      <c r="Q55" s="21"/>
      <c r="R55" s="21"/>
      <c r="S55" s="21"/>
      <c r="T55" s="21"/>
      <c r="U55" s="21"/>
      <c r="V55" s="21"/>
      <c r="W55" s="21"/>
      <c r="X55" s="21"/>
      <c r="Y55" s="21"/>
      <c r="Z55" s="21"/>
      <c r="AA55" s="21" t="str">
        <f t="shared" si="14"/>
        <v/>
      </c>
      <c r="AB55" s="17" t="str">
        <f t="shared" si="15"/>
        <v/>
      </c>
      <c r="AD55" s="21"/>
      <c r="AE55" s="17" t="str">
        <f t="shared" si="16"/>
        <v/>
      </c>
      <c r="AF55" s="50" t="str">
        <f t="shared" si="17"/>
        <v/>
      </c>
      <c r="AG55" s="21"/>
      <c r="AH55" s="17" t="str">
        <f t="shared" si="18"/>
        <v/>
      </c>
      <c r="AI55" s="50" t="str">
        <f t="shared" si="19"/>
        <v/>
      </c>
    </row>
    <row r="56" spans="1:40" x14ac:dyDescent="0.25">
      <c r="G56" s="14"/>
      <c r="H56" s="15" t="s">
        <v>231</v>
      </c>
      <c r="I56" s="161" t="s">
        <v>1012</v>
      </c>
      <c r="J56" s="161" t="s">
        <v>78</v>
      </c>
      <c r="K56" s="68" t="str">
        <f t="shared" si="13"/>
        <v>&gt;</v>
      </c>
      <c r="L56" s="195"/>
      <c r="M56" s="162"/>
      <c r="N56" s="162" t="s">
        <v>1184</v>
      </c>
      <c r="O56" s="21"/>
      <c r="P56" s="21"/>
      <c r="Q56" s="21"/>
      <c r="R56" s="21"/>
      <c r="S56" s="21"/>
      <c r="T56" s="21"/>
      <c r="U56" s="21"/>
      <c r="V56" s="21"/>
      <c r="W56" s="21"/>
      <c r="X56" s="21"/>
      <c r="Y56" s="21"/>
      <c r="Z56" s="21"/>
      <c r="AA56" s="21">
        <f t="shared" si="14"/>
        <v>0</v>
      </c>
      <c r="AB56" s="17" t="str">
        <f t="shared" si="15"/>
        <v/>
      </c>
      <c r="AD56" s="21"/>
      <c r="AE56" s="17" t="str">
        <f t="shared" si="16"/>
        <v/>
      </c>
      <c r="AF56" s="50">
        <f t="shared" si="17"/>
        <v>0</v>
      </c>
      <c r="AG56" s="21"/>
      <c r="AH56" s="17" t="str">
        <f t="shared" si="18"/>
        <v/>
      </c>
      <c r="AI56" s="50">
        <f t="shared" si="19"/>
        <v>0</v>
      </c>
    </row>
    <row r="57" spans="1:40" x14ac:dyDescent="0.25">
      <c r="A57" s="4" t="s">
        <v>988</v>
      </c>
      <c r="G57" s="14"/>
      <c r="H57" s="149" t="s">
        <v>232</v>
      </c>
      <c r="I57" s="27" t="s">
        <v>1009</v>
      </c>
      <c r="J57" s="27" t="s">
        <v>1009</v>
      </c>
      <c r="K57" s="68" t="str">
        <f t="shared" si="13"/>
        <v/>
      </c>
      <c r="L57" s="195">
        <v>910220</v>
      </c>
      <c r="M57" s="162">
        <v>994330</v>
      </c>
      <c r="N57" s="26" t="s">
        <v>1185</v>
      </c>
      <c r="O57" s="21"/>
      <c r="P57" s="21"/>
      <c r="Q57" s="21"/>
      <c r="R57" s="21"/>
      <c r="S57" s="21"/>
      <c r="T57" s="21"/>
      <c r="U57" s="21"/>
      <c r="V57" s="21"/>
      <c r="W57" s="21"/>
      <c r="X57" s="21"/>
      <c r="Y57" s="21"/>
      <c r="Z57" s="21"/>
      <c r="AA57" s="21">
        <f t="shared" si="14"/>
        <v>0</v>
      </c>
      <c r="AB57" s="17" t="str">
        <f t="shared" si="15"/>
        <v/>
      </c>
      <c r="AD57" s="21"/>
      <c r="AE57" s="17" t="str">
        <f t="shared" si="16"/>
        <v/>
      </c>
      <c r="AF57" s="50">
        <f t="shared" si="17"/>
        <v>0</v>
      </c>
      <c r="AG57" s="21"/>
      <c r="AH57" s="17" t="str">
        <f t="shared" si="18"/>
        <v/>
      </c>
      <c r="AI57" s="50">
        <f t="shared" si="19"/>
        <v>0</v>
      </c>
    </row>
    <row r="58" spans="1:40" x14ac:dyDescent="0.25">
      <c r="G58" s="14"/>
      <c r="H58" s="149" t="s">
        <v>233</v>
      </c>
      <c r="I58" s="27" t="s">
        <v>1009</v>
      </c>
      <c r="J58" s="27" t="s">
        <v>1009</v>
      </c>
      <c r="K58" s="68" t="str">
        <f t="shared" si="13"/>
        <v/>
      </c>
      <c r="L58" s="195">
        <v>910230</v>
      </c>
      <c r="M58" s="162">
        <v>994340</v>
      </c>
      <c r="N58" s="26" t="s">
        <v>1186</v>
      </c>
      <c r="O58" s="21">
        <v>107</v>
      </c>
      <c r="P58" s="21">
        <v>-10</v>
      </c>
      <c r="Q58" s="21">
        <v>59</v>
      </c>
      <c r="R58" s="21">
        <v>50</v>
      </c>
      <c r="S58" s="21">
        <v>50</v>
      </c>
      <c r="T58" s="21">
        <v>33</v>
      </c>
      <c r="U58" s="21">
        <v>15</v>
      </c>
      <c r="V58" s="21">
        <v>32</v>
      </c>
      <c r="W58" s="21">
        <v>14</v>
      </c>
      <c r="X58" s="21">
        <v>22</v>
      </c>
      <c r="Y58" s="21">
        <v>22</v>
      </c>
      <c r="Z58" s="21">
        <v>41</v>
      </c>
      <c r="AA58" s="21">
        <f t="shared" si="14"/>
        <v>435</v>
      </c>
      <c r="AB58" s="17">
        <f t="shared" si="15"/>
        <v>1</v>
      </c>
      <c r="AD58" s="21">
        <v>479.42500000000001</v>
      </c>
      <c r="AE58" s="17">
        <f t="shared" si="16"/>
        <v>1</v>
      </c>
      <c r="AF58" s="50">
        <f t="shared" si="17"/>
        <v>-44.425000000000011</v>
      </c>
      <c r="AG58" s="21">
        <v>462</v>
      </c>
      <c r="AH58" s="17">
        <f t="shared" si="18"/>
        <v>1</v>
      </c>
      <c r="AI58" s="50">
        <f t="shared" si="19"/>
        <v>-27</v>
      </c>
    </row>
    <row r="59" spans="1:40" x14ac:dyDescent="0.25">
      <c r="A59" s="3" t="s">
        <v>0</v>
      </c>
      <c r="B59" s="5" t="s">
        <v>1</v>
      </c>
      <c r="G59" s="14"/>
      <c r="H59" s="149" t="s">
        <v>234</v>
      </c>
      <c r="I59" s="27" t="s">
        <v>1009</v>
      </c>
      <c r="J59" s="27" t="s">
        <v>1009</v>
      </c>
      <c r="K59" s="68" t="str">
        <f t="shared" si="13"/>
        <v/>
      </c>
      <c r="L59" s="195">
        <v>910240</v>
      </c>
      <c r="M59" s="162">
        <v>994350</v>
      </c>
      <c r="N59" s="26" t="s">
        <v>1187</v>
      </c>
      <c r="O59" s="21"/>
      <c r="P59" s="21"/>
      <c r="Q59" s="21"/>
      <c r="R59" s="21"/>
      <c r="S59" s="21"/>
      <c r="T59" s="21"/>
      <c r="U59" s="21"/>
      <c r="V59" s="21"/>
      <c r="W59" s="21"/>
      <c r="X59" s="21"/>
      <c r="Y59" s="21"/>
      <c r="Z59" s="21"/>
      <c r="AA59" s="21">
        <f t="shared" si="14"/>
        <v>0</v>
      </c>
      <c r="AB59" s="17" t="str">
        <f t="shared" si="15"/>
        <v/>
      </c>
      <c r="AD59" s="21"/>
      <c r="AE59" s="17" t="str">
        <f t="shared" si="16"/>
        <v/>
      </c>
      <c r="AF59" s="50">
        <f t="shared" si="17"/>
        <v>0</v>
      </c>
      <c r="AG59" s="21"/>
      <c r="AH59" s="17" t="str">
        <f t="shared" si="18"/>
        <v/>
      </c>
      <c r="AI59" s="50">
        <f t="shared" si="19"/>
        <v>0</v>
      </c>
    </row>
    <row r="60" spans="1:40" x14ac:dyDescent="0.25">
      <c r="A60" s="6" t="s">
        <v>2</v>
      </c>
      <c r="B60" s="16" t="s">
        <v>1161</v>
      </c>
      <c r="G60" s="14"/>
      <c r="H60" s="149" t="s">
        <v>235</v>
      </c>
      <c r="I60" s="161" t="s">
        <v>1012</v>
      </c>
      <c r="J60" s="161" t="s">
        <v>78</v>
      </c>
      <c r="K60" s="68" t="str">
        <f t="shared" si="13"/>
        <v>&gt;</v>
      </c>
      <c r="L60" s="195">
        <v>910250</v>
      </c>
      <c r="M60" s="162"/>
      <c r="N60" s="162" t="s">
        <v>1188</v>
      </c>
      <c r="O60" s="30"/>
      <c r="P60" s="30"/>
      <c r="Q60" s="30"/>
      <c r="R60" s="30"/>
      <c r="S60" s="30"/>
      <c r="T60" s="30"/>
      <c r="U60" s="30"/>
      <c r="V60" s="30"/>
      <c r="W60" s="30"/>
      <c r="X60" s="30"/>
      <c r="Y60" s="30"/>
      <c r="Z60" s="30"/>
      <c r="AA60" s="30">
        <f t="shared" si="14"/>
        <v>0</v>
      </c>
      <c r="AB60" s="31" t="str">
        <f t="shared" si="15"/>
        <v/>
      </c>
      <c r="AD60" s="30"/>
      <c r="AE60" s="31" t="str">
        <f t="shared" si="16"/>
        <v/>
      </c>
      <c r="AF60" s="51">
        <f t="shared" si="17"/>
        <v>0</v>
      </c>
      <c r="AG60" s="30"/>
      <c r="AH60" s="31" t="str">
        <f t="shared" si="18"/>
        <v/>
      </c>
      <c r="AI60" s="51">
        <f t="shared" si="19"/>
        <v>0</v>
      </c>
    </row>
    <row r="61" spans="1:40" x14ac:dyDescent="0.25">
      <c r="A61" s="6" t="s">
        <v>3</v>
      </c>
      <c r="B61" s="16" t="s">
        <v>1189</v>
      </c>
      <c r="G61" s="14"/>
      <c r="H61" s="149" t="s">
        <v>236</v>
      </c>
      <c r="I61" s="479" t="s">
        <v>1010</v>
      </c>
      <c r="J61" s="479" t="s">
        <v>78</v>
      </c>
      <c r="K61" s="480" t="str">
        <f t="shared" si="13"/>
        <v/>
      </c>
      <c r="L61" s="25"/>
      <c r="M61" s="170"/>
      <c r="N61" s="170" t="s">
        <v>1164</v>
      </c>
      <c r="O61" s="134">
        <v>107</v>
      </c>
      <c r="P61" s="134">
        <v>-10</v>
      </c>
      <c r="Q61" s="134">
        <v>59</v>
      </c>
      <c r="R61" s="134">
        <v>50</v>
      </c>
      <c r="S61" s="134">
        <v>50</v>
      </c>
      <c r="T61" s="134">
        <v>33</v>
      </c>
      <c r="U61" s="134">
        <v>15</v>
      </c>
      <c r="V61" s="134">
        <v>32</v>
      </c>
      <c r="W61" s="134">
        <v>14</v>
      </c>
      <c r="X61" s="134">
        <v>22</v>
      </c>
      <c r="Y61" s="134">
        <v>22</v>
      </c>
      <c r="Z61" s="134">
        <v>41</v>
      </c>
      <c r="AA61" s="134">
        <f t="shared" si="14"/>
        <v>435</v>
      </c>
      <c r="AB61" s="135">
        <f t="shared" si="15"/>
        <v>1</v>
      </c>
      <c r="AC61" s="137"/>
      <c r="AD61" s="134">
        <v>479.42500000000001</v>
      </c>
      <c r="AE61" s="135">
        <f t="shared" si="16"/>
        <v>1</v>
      </c>
      <c r="AF61" s="136">
        <f t="shared" si="17"/>
        <v>-44.425000000000011</v>
      </c>
      <c r="AG61" s="134">
        <v>462</v>
      </c>
      <c r="AH61" s="135">
        <f t="shared" si="18"/>
        <v>1</v>
      </c>
      <c r="AI61" s="136">
        <f t="shared" si="19"/>
        <v>-27</v>
      </c>
    </row>
    <row r="62" spans="1:40" x14ac:dyDescent="0.25">
      <c r="A62" s="6" t="s">
        <v>4</v>
      </c>
      <c r="B62" s="16" t="s">
        <v>1190</v>
      </c>
      <c r="G62" s="14"/>
      <c r="O62" s="38"/>
      <c r="P62" s="38"/>
      <c r="Q62" s="38"/>
      <c r="R62" s="38"/>
      <c r="S62" s="38"/>
      <c r="T62" s="38"/>
      <c r="U62" s="38"/>
      <c r="V62" s="38"/>
      <c r="W62" s="38"/>
      <c r="X62" s="38"/>
      <c r="Y62" s="38"/>
      <c r="Z62" s="38"/>
      <c r="AA62" s="38"/>
      <c r="AB62" s="39"/>
      <c r="AD62" s="38"/>
      <c r="AE62" s="39"/>
      <c r="AF62" s="132"/>
      <c r="AG62" s="38"/>
      <c r="AH62" s="39"/>
      <c r="AI62" s="132"/>
    </row>
    <row r="63" spans="1:40" x14ac:dyDescent="0.25">
      <c r="A63" s="6" t="s">
        <v>5</v>
      </c>
      <c r="B63" s="7"/>
      <c r="G63" s="14"/>
      <c r="K63" s="26"/>
      <c r="L63" s="26"/>
      <c r="M63" s="26"/>
      <c r="N63" s="26" t="str">
        <f>N21</f>
        <v>Number of Rooms on Property</v>
      </c>
      <c r="O63" s="21">
        <f t="shared" ref="O63:AA63" si="20">O$21</f>
        <v>132</v>
      </c>
      <c r="P63" s="21">
        <f t="shared" si="20"/>
        <v>132</v>
      </c>
      <c r="Q63" s="21">
        <f t="shared" si="20"/>
        <v>132</v>
      </c>
      <c r="R63" s="21">
        <f t="shared" si="20"/>
        <v>132</v>
      </c>
      <c r="S63" s="21">
        <f t="shared" si="20"/>
        <v>132</v>
      </c>
      <c r="T63" s="21">
        <f t="shared" si="20"/>
        <v>132</v>
      </c>
      <c r="U63" s="21">
        <f t="shared" si="20"/>
        <v>132</v>
      </c>
      <c r="V63" s="21">
        <f t="shared" si="20"/>
        <v>132</v>
      </c>
      <c r="W63" s="21">
        <f t="shared" si="20"/>
        <v>132</v>
      </c>
      <c r="X63" s="21">
        <f t="shared" si="20"/>
        <v>132</v>
      </c>
      <c r="Y63" s="21">
        <f t="shared" si="20"/>
        <v>132</v>
      </c>
      <c r="Z63" s="21">
        <f t="shared" si="20"/>
        <v>132</v>
      </c>
      <c r="AA63" s="21">
        <f t="shared" si="20"/>
        <v>1584</v>
      </c>
      <c r="AB63" s="17"/>
      <c r="AD63" s="21">
        <f>AD$21</f>
        <v>1584</v>
      </c>
      <c r="AE63" s="17"/>
      <c r="AF63" s="140"/>
      <c r="AG63" s="21">
        <f>AG$21</f>
        <v>1584</v>
      </c>
      <c r="AH63" s="17"/>
      <c r="AI63" s="140"/>
    </row>
    <row r="64" spans="1:40" x14ac:dyDescent="0.25">
      <c r="A64" s="6" t="s">
        <v>6</v>
      </c>
      <c r="B64" s="7"/>
      <c r="G64" s="14"/>
      <c r="K64" s="26"/>
      <c r="L64" s="26"/>
      <c r="M64" s="26"/>
      <c r="N64" s="26"/>
      <c r="O64" s="21"/>
      <c r="P64" s="21"/>
      <c r="Q64" s="21"/>
      <c r="R64" s="21"/>
      <c r="S64" s="21"/>
      <c r="T64" s="21"/>
      <c r="U64" s="21"/>
      <c r="V64" s="21"/>
      <c r="W64" s="21"/>
      <c r="X64" s="21"/>
      <c r="Y64" s="21"/>
      <c r="Z64" s="21"/>
      <c r="AA64" s="21"/>
      <c r="AB64" s="17"/>
      <c r="AD64" s="21"/>
      <c r="AE64" s="17"/>
      <c r="AF64" s="50"/>
      <c r="AG64" s="21"/>
      <c r="AH64" s="17"/>
      <c r="AI64" s="50"/>
    </row>
    <row r="65" spans="1:35" x14ac:dyDescent="0.25">
      <c r="A65" s="6" t="s">
        <v>7</v>
      </c>
      <c r="B65" s="16" t="s">
        <v>1191</v>
      </c>
      <c r="G65" s="14"/>
      <c r="H65" s="15"/>
      <c r="I65" s="27"/>
      <c r="J65" s="27"/>
      <c r="K65" s="68"/>
      <c r="L65" s="68"/>
      <c r="M65" s="68"/>
      <c r="N65" s="26" t="s">
        <v>245</v>
      </c>
      <c r="O65" s="139" t="e">
        <f t="shared" ref="O65:AA65" si="21">SUMIF($H$34:$H$45,"710150",O$34:O$45)/SUMIF($H$54:$H$61,"910200",O$54:O$61)</f>
        <v>#DIV/0!</v>
      </c>
      <c r="P65" s="139" t="e">
        <f t="shared" si="21"/>
        <v>#DIV/0!</v>
      </c>
      <c r="Q65" s="139" t="e">
        <f t="shared" si="21"/>
        <v>#DIV/0!</v>
      </c>
      <c r="R65" s="139" t="e">
        <f t="shared" si="21"/>
        <v>#DIV/0!</v>
      </c>
      <c r="S65" s="139" t="e">
        <f t="shared" si="21"/>
        <v>#DIV/0!</v>
      </c>
      <c r="T65" s="139" t="e">
        <f t="shared" si="21"/>
        <v>#DIV/0!</v>
      </c>
      <c r="U65" s="139" t="e">
        <f t="shared" si="21"/>
        <v>#DIV/0!</v>
      </c>
      <c r="V65" s="139" t="e">
        <f t="shared" si="21"/>
        <v>#DIV/0!</v>
      </c>
      <c r="W65" s="139" t="e">
        <f t="shared" si="21"/>
        <v>#DIV/0!</v>
      </c>
      <c r="X65" s="139" t="e">
        <f t="shared" si="21"/>
        <v>#DIV/0!</v>
      </c>
      <c r="Y65" s="139" t="e">
        <f t="shared" si="21"/>
        <v>#DIV/0!</v>
      </c>
      <c r="Z65" s="139" t="e">
        <f t="shared" si="21"/>
        <v>#DIV/0!</v>
      </c>
      <c r="AA65" s="139" t="e">
        <f t="shared" si="21"/>
        <v>#DIV/0!</v>
      </c>
      <c r="AB65" s="17"/>
      <c r="AD65" s="139" t="e">
        <f>SUMIF($H$34:$H$45,"710150",AD$34:AD$45)/SUMIF($H$54:$H$61,"910200",AD$54:AD$61)</f>
        <v>#DIV/0!</v>
      </c>
      <c r="AE65" s="17"/>
      <c r="AF65" s="140" t="e">
        <f t="shared" ref="AF65:AF74" si="22">IF(AND($AA65="",AD65=""),"",$AA65-AD65)</f>
        <v>#DIV/0!</v>
      </c>
      <c r="AG65" s="139" t="e">
        <f>SUMIF($H$34:$H$45,"710150",AG$34:AG$45)/SUMIF($H$54:$H$61,"910200",AG$54:AG$61)</f>
        <v>#DIV/0!</v>
      </c>
      <c r="AH65" s="17"/>
      <c r="AI65" s="140" t="e">
        <f t="shared" ref="AI65:AI74" si="23">IF(AND($AA65="",AG65=""),"",$AA65-AG65)</f>
        <v>#DIV/0!</v>
      </c>
    </row>
    <row r="66" spans="1:35" x14ac:dyDescent="0.25">
      <c r="A66" s="6" t="s">
        <v>47</v>
      </c>
      <c r="B66" s="16" t="s">
        <v>1167</v>
      </c>
      <c r="G66" s="14"/>
      <c r="H66" s="15"/>
      <c r="I66" s="27"/>
      <c r="J66" s="27"/>
      <c r="K66" s="68"/>
      <c r="L66" s="68"/>
      <c r="M66" s="68"/>
      <c r="N66" s="26" t="s">
        <v>246</v>
      </c>
      <c r="O66" s="139" t="e">
        <f t="shared" ref="O66:AA66" si="24">(SUMIF($H$34:$H$45,"710140",O$34:O$45)+SUMIF($H$34:$H$45,"710145",O$34:O$45))/(SUMIF($H$54:$H$61,"RESATHOTEL",O$54:O$61)+SUMIF($H$54:$H$61,"910220",O$54:O$61))</f>
        <v>#DIV/0!</v>
      </c>
      <c r="P66" s="139" t="e">
        <f t="shared" si="24"/>
        <v>#DIV/0!</v>
      </c>
      <c r="Q66" s="139" t="e">
        <f t="shared" si="24"/>
        <v>#DIV/0!</v>
      </c>
      <c r="R66" s="139" t="e">
        <f t="shared" si="24"/>
        <v>#DIV/0!</v>
      </c>
      <c r="S66" s="139" t="e">
        <f t="shared" si="24"/>
        <v>#DIV/0!</v>
      </c>
      <c r="T66" s="139" t="e">
        <f t="shared" si="24"/>
        <v>#DIV/0!</v>
      </c>
      <c r="U66" s="139" t="e">
        <f t="shared" si="24"/>
        <v>#DIV/0!</v>
      </c>
      <c r="V66" s="139" t="e">
        <f t="shared" si="24"/>
        <v>#DIV/0!</v>
      </c>
      <c r="W66" s="139" t="e">
        <f t="shared" si="24"/>
        <v>#DIV/0!</v>
      </c>
      <c r="X66" s="139" t="e">
        <f t="shared" si="24"/>
        <v>#DIV/0!</v>
      </c>
      <c r="Y66" s="139" t="e">
        <f t="shared" si="24"/>
        <v>#DIV/0!</v>
      </c>
      <c r="Z66" s="139" t="e">
        <f t="shared" si="24"/>
        <v>#DIV/0!</v>
      </c>
      <c r="AA66" s="139" t="e">
        <f t="shared" si="24"/>
        <v>#DIV/0!</v>
      </c>
      <c r="AB66" s="17"/>
      <c r="AD66" s="139" t="e">
        <f>(SUMIF($H$34:$H$45,"710140",AD$34:AD$45)+SUMIF($H$34:$H$45,"710145",AD$34:AD$45))/(SUMIF($H$54:$H$61,"RESATHOTEL",AD$54:AD$61)+SUMIF($H$54:$H$61,"910220",AD$54:AD$61))</f>
        <v>#DIV/0!</v>
      </c>
      <c r="AE66" s="17"/>
      <c r="AF66" s="140" t="e">
        <f t="shared" si="22"/>
        <v>#DIV/0!</v>
      </c>
      <c r="AG66" s="139" t="e">
        <f>(SUMIF($H$34:$H$45,"710140",AG$34:AG$45)+SUMIF($H$34:$H$45,"710145",AG$34:AG$45))/(SUMIF($H$54:$H$61,"RESATHOTEL",AG$54:AG$61)+SUMIF($H$54:$H$61,"910220",AG$54:AG$61))</f>
        <v>#DIV/0!</v>
      </c>
      <c r="AH66" s="17"/>
      <c r="AI66" s="140" t="e">
        <f t="shared" si="23"/>
        <v>#DIV/0!</v>
      </c>
    </row>
    <row r="67" spans="1:35" x14ac:dyDescent="0.25">
      <c r="A67" s="6" t="s">
        <v>8</v>
      </c>
      <c r="B67" s="7"/>
      <c r="G67" s="14"/>
      <c r="H67" s="15"/>
      <c r="I67" s="27"/>
      <c r="J67" s="27"/>
      <c r="K67" s="68"/>
      <c r="L67" s="68"/>
      <c r="M67" s="68"/>
      <c r="N67" s="26" t="s">
        <v>247</v>
      </c>
      <c r="O67" s="139">
        <f t="shared" ref="O67:AA67" si="25">SUMIF($H$34:$H$45,"710160",O$34:O$45)/O$63</f>
        <v>0</v>
      </c>
      <c r="P67" s="139">
        <f t="shared" si="25"/>
        <v>0</v>
      </c>
      <c r="Q67" s="139">
        <f t="shared" si="25"/>
        <v>0</v>
      </c>
      <c r="R67" s="139">
        <f t="shared" si="25"/>
        <v>0</v>
      </c>
      <c r="S67" s="139">
        <f t="shared" si="25"/>
        <v>0</v>
      </c>
      <c r="T67" s="139">
        <f t="shared" si="25"/>
        <v>0</v>
      </c>
      <c r="U67" s="139">
        <f t="shared" si="25"/>
        <v>0</v>
      </c>
      <c r="V67" s="139">
        <f t="shared" si="25"/>
        <v>0</v>
      </c>
      <c r="W67" s="139">
        <f t="shared" si="25"/>
        <v>0</v>
      </c>
      <c r="X67" s="139">
        <f t="shared" si="25"/>
        <v>0</v>
      </c>
      <c r="Y67" s="139">
        <f t="shared" si="25"/>
        <v>0</v>
      </c>
      <c r="Z67" s="139">
        <f t="shared" si="25"/>
        <v>0</v>
      </c>
      <c r="AA67" s="139">
        <f t="shared" si="25"/>
        <v>0</v>
      </c>
      <c r="AB67" s="17"/>
      <c r="AD67" s="139">
        <f>SUMIF($H$34:$H$45,"710160",AD$34:AD$45)/AD$63</f>
        <v>0</v>
      </c>
      <c r="AE67" s="17"/>
      <c r="AF67" s="140">
        <f t="shared" si="22"/>
        <v>0</v>
      </c>
      <c r="AG67" s="139">
        <f>SUMIF($H$34:$H$45,"710160",AG$34:AG$45)/AG$63</f>
        <v>0</v>
      </c>
      <c r="AH67" s="17"/>
      <c r="AI67" s="140">
        <f t="shared" si="23"/>
        <v>0</v>
      </c>
    </row>
    <row r="68" spans="1:35" x14ac:dyDescent="0.25">
      <c r="G68" s="14"/>
      <c r="H68" s="15"/>
      <c r="I68" s="27"/>
      <c r="J68" s="27"/>
      <c r="K68" s="68"/>
      <c r="L68" s="68"/>
      <c r="M68" s="68"/>
      <c r="N68" s="26" t="s">
        <v>248</v>
      </c>
      <c r="O68" s="139">
        <f t="shared" ref="O68:AA68" si="26">SUMIF($H$34:$H$45,"710170",O$34:O$45)/SUMIF($H$54:$H$61,"910230",O$54:O$61)</f>
        <v>6.3999999999999995</v>
      </c>
      <c r="P68" s="139">
        <f t="shared" si="26"/>
        <v>6.4</v>
      </c>
      <c r="Q68" s="139">
        <f t="shared" si="26"/>
        <v>6.4</v>
      </c>
      <c r="R68" s="139">
        <f t="shared" si="26"/>
        <v>6.2320000000000002</v>
      </c>
      <c r="S68" s="139">
        <f t="shared" si="26"/>
        <v>6.484</v>
      </c>
      <c r="T68" s="139">
        <f t="shared" si="26"/>
        <v>6.3999999999999995</v>
      </c>
      <c r="U68" s="139">
        <f t="shared" si="26"/>
        <v>6.4533333333333331</v>
      </c>
      <c r="V68" s="139">
        <f t="shared" si="26"/>
        <v>6.375</v>
      </c>
      <c r="W68" s="139">
        <f t="shared" si="26"/>
        <v>6.3999999999999995</v>
      </c>
      <c r="X68" s="139">
        <f t="shared" si="26"/>
        <v>6.4</v>
      </c>
      <c r="Y68" s="139">
        <f t="shared" si="26"/>
        <v>6.4</v>
      </c>
      <c r="Z68" s="139">
        <f t="shared" si="26"/>
        <v>6.3999999999999995</v>
      </c>
      <c r="AA68" s="139">
        <f t="shared" si="26"/>
        <v>6.3903448275862074</v>
      </c>
      <c r="AB68" s="17"/>
      <c r="AD68" s="139">
        <f>SUMIF($H$34:$H$45,"710170",AD$34:AD$45)/SUMIF($H$54:$H$61,"910230",AD$54:AD$61)</f>
        <v>6.4</v>
      </c>
      <c r="AE68" s="17"/>
      <c r="AF68" s="140">
        <f t="shared" si="22"/>
        <v>-9.6551724137929895E-3</v>
      </c>
      <c r="AG68" s="139">
        <f>SUMIF($H$34:$H$45,"710170",AG$34:AG$45)/SUMIF($H$54:$H$61,"910230",AG$54:AG$61)</f>
        <v>5.5181818181818185</v>
      </c>
      <c r="AH68" s="17"/>
      <c r="AI68" s="140">
        <f t="shared" si="23"/>
        <v>0.87216300940438884</v>
      </c>
    </row>
    <row r="69" spans="1:35" x14ac:dyDescent="0.25">
      <c r="A69" s="3" t="s">
        <v>9</v>
      </c>
      <c r="B69" s="5" t="s">
        <v>10</v>
      </c>
      <c r="G69" s="14"/>
      <c r="H69" s="15"/>
      <c r="I69" s="27"/>
      <c r="J69" s="27"/>
      <c r="K69" s="68"/>
      <c r="L69" s="68"/>
      <c r="M69" s="68"/>
      <c r="N69" s="26" t="s">
        <v>249</v>
      </c>
      <c r="O69" s="139" t="e">
        <f t="shared" ref="O69:AA69" si="27">SUMIF($H$34:$H$45,"710180",O$34:O$45)/SUMIF($H$54:$H$61,"910240",O$54:O$61)</f>
        <v>#DIV/0!</v>
      </c>
      <c r="P69" s="139" t="e">
        <f t="shared" si="27"/>
        <v>#DIV/0!</v>
      </c>
      <c r="Q69" s="139" t="e">
        <f t="shared" si="27"/>
        <v>#DIV/0!</v>
      </c>
      <c r="R69" s="139" t="e">
        <f t="shared" si="27"/>
        <v>#DIV/0!</v>
      </c>
      <c r="S69" s="139" t="e">
        <f t="shared" si="27"/>
        <v>#DIV/0!</v>
      </c>
      <c r="T69" s="139" t="e">
        <f t="shared" si="27"/>
        <v>#DIV/0!</v>
      </c>
      <c r="U69" s="139" t="e">
        <f t="shared" si="27"/>
        <v>#DIV/0!</v>
      </c>
      <c r="V69" s="139" t="e">
        <f t="shared" si="27"/>
        <v>#DIV/0!</v>
      </c>
      <c r="W69" s="139" t="e">
        <f t="shared" si="27"/>
        <v>#DIV/0!</v>
      </c>
      <c r="X69" s="139" t="e">
        <f t="shared" si="27"/>
        <v>#DIV/0!</v>
      </c>
      <c r="Y69" s="139" t="e">
        <f t="shared" si="27"/>
        <v>#DIV/0!</v>
      </c>
      <c r="Z69" s="139" t="e">
        <f t="shared" si="27"/>
        <v>#DIV/0!</v>
      </c>
      <c r="AA69" s="139" t="e">
        <f t="shared" si="27"/>
        <v>#DIV/0!</v>
      </c>
      <c r="AB69" s="17"/>
      <c r="AD69" s="139" t="e">
        <f>SUMIF($H$34:$H$45,"710180",AD$34:AD$45)/SUMIF($H$54:$H$61,"910240",AD$54:AD$61)</f>
        <v>#DIV/0!</v>
      </c>
      <c r="AE69" s="17"/>
      <c r="AF69" s="140" t="e">
        <f t="shared" si="22"/>
        <v>#DIV/0!</v>
      </c>
      <c r="AG69" s="139" t="e">
        <f>SUMIF($H$34:$H$45,"710180",AG$34:AG$45)/SUMIF($H$54:$H$61,"910240",AG$54:AG$61)</f>
        <v>#DIV/0!</v>
      </c>
      <c r="AH69" s="17"/>
      <c r="AI69" s="140" t="e">
        <f t="shared" si="23"/>
        <v>#DIV/0!</v>
      </c>
    </row>
    <row r="70" spans="1:35" x14ac:dyDescent="0.25">
      <c r="A70" s="6" t="s">
        <v>11</v>
      </c>
      <c r="B70" s="7" t="s">
        <v>21</v>
      </c>
      <c r="G70" s="14"/>
      <c r="H70" s="15"/>
      <c r="I70" s="27"/>
      <c r="J70" s="27"/>
      <c r="K70" s="68"/>
      <c r="L70" s="68"/>
      <c r="M70" s="68"/>
      <c r="N70" s="26" t="s">
        <v>250</v>
      </c>
      <c r="O70" s="139" t="e">
        <f t="shared" ref="O70:AA70" si="28">SUMIF($H$34:$H$45,"710190",O$34:O$45)/SUMIF($H$54:$H$61,"910250",O$54:O$61)</f>
        <v>#DIV/0!</v>
      </c>
      <c r="P70" s="139" t="e">
        <f t="shared" si="28"/>
        <v>#DIV/0!</v>
      </c>
      <c r="Q70" s="139" t="e">
        <f t="shared" si="28"/>
        <v>#DIV/0!</v>
      </c>
      <c r="R70" s="139" t="e">
        <f t="shared" si="28"/>
        <v>#DIV/0!</v>
      </c>
      <c r="S70" s="139" t="e">
        <f t="shared" si="28"/>
        <v>#DIV/0!</v>
      </c>
      <c r="T70" s="139" t="e">
        <f t="shared" si="28"/>
        <v>#DIV/0!</v>
      </c>
      <c r="U70" s="139" t="e">
        <f t="shared" si="28"/>
        <v>#DIV/0!</v>
      </c>
      <c r="V70" s="139" t="e">
        <f t="shared" si="28"/>
        <v>#DIV/0!</v>
      </c>
      <c r="W70" s="139" t="e">
        <f t="shared" si="28"/>
        <v>#DIV/0!</v>
      </c>
      <c r="X70" s="139" t="e">
        <f t="shared" si="28"/>
        <v>#DIV/0!</v>
      </c>
      <c r="Y70" s="139" t="e">
        <f t="shared" si="28"/>
        <v>#DIV/0!</v>
      </c>
      <c r="Z70" s="139" t="e">
        <f t="shared" si="28"/>
        <v>#DIV/0!</v>
      </c>
      <c r="AA70" s="139" t="e">
        <f t="shared" si="28"/>
        <v>#DIV/0!</v>
      </c>
      <c r="AB70" s="17"/>
      <c r="AD70" s="139" t="e">
        <f>SUMIF($H$34:$H$45,"710190",AD$34:AD$45)/SUMIF($H$54:$H$61,"910250",AD$54:AD$61)</f>
        <v>#DIV/0!</v>
      </c>
      <c r="AE70" s="17"/>
      <c r="AF70" s="140" t="e">
        <f t="shared" si="22"/>
        <v>#DIV/0!</v>
      </c>
      <c r="AG70" s="139" t="e">
        <f>SUMIF($H$34:$H$45,"710190",AG$34:AG$45)/SUMIF($H$54:$H$61,"910250",AG$54:AG$61)</f>
        <v>#DIV/0!</v>
      </c>
      <c r="AH70" s="17"/>
      <c r="AI70" s="140" t="e">
        <f t="shared" si="23"/>
        <v>#DIV/0!</v>
      </c>
    </row>
    <row r="71" spans="1:35" x14ac:dyDescent="0.25">
      <c r="A71" s="6" t="s">
        <v>12</v>
      </c>
      <c r="B71" s="7" t="s">
        <v>22</v>
      </c>
      <c r="G71" s="14"/>
      <c r="H71" s="15"/>
      <c r="I71" s="27"/>
      <c r="J71" s="27"/>
      <c r="K71" s="68"/>
      <c r="L71" s="68"/>
      <c r="M71" s="68"/>
      <c r="N71" s="26"/>
      <c r="O71" s="21"/>
      <c r="P71" s="21"/>
      <c r="Q71" s="21"/>
      <c r="R71" s="21"/>
      <c r="S71" s="21"/>
      <c r="T71" s="21"/>
      <c r="U71" s="21"/>
      <c r="V71" s="21"/>
      <c r="W71" s="21"/>
      <c r="X71" s="21"/>
      <c r="Y71" s="21"/>
      <c r="Z71" s="21"/>
      <c r="AA71" s="21"/>
      <c r="AB71" s="17"/>
      <c r="AD71" s="21"/>
      <c r="AE71" s="17"/>
      <c r="AF71" s="140" t="str">
        <f t="shared" si="22"/>
        <v/>
      </c>
      <c r="AG71" s="21"/>
      <c r="AH71" s="17"/>
      <c r="AI71" s="140" t="str">
        <f t="shared" si="23"/>
        <v/>
      </c>
    </row>
    <row r="72" spans="1:35" x14ac:dyDescent="0.25">
      <c r="A72" s="6" t="s">
        <v>13</v>
      </c>
      <c r="B72" s="7" t="s">
        <v>238</v>
      </c>
      <c r="G72" s="14"/>
      <c r="H72" s="15"/>
      <c r="I72" s="27"/>
      <c r="J72" s="27"/>
      <c r="K72" s="68"/>
      <c r="L72" s="68"/>
      <c r="M72" s="68"/>
      <c r="N72" s="76" t="s">
        <v>251</v>
      </c>
      <c r="O72" s="139">
        <f t="shared" ref="O72:AA72" si="29">SUMIF($H$34:$H$48,"700000",O$34:O$48)/SUMIF($H$54:$H$61,"TLNETRES",O$54:O$61)</f>
        <v>127.43018691588786</v>
      </c>
      <c r="P72" s="139">
        <f t="shared" si="29"/>
        <v>-1197.5610000000001</v>
      </c>
      <c r="Q72" s="139">
        <f t="shared" si="29"/>
        <v>206.54610169491525</v>
      </c>
      <c r="R72" s="139">
        <f t="shared" si="29"/>
        <v>186.71740000000003</v>
      </c>
      <c r="S72" s="139">
        <f t="shared" si="29"/>
        <v>172.33520000000001</v>
      </c>
      <c r="T72" s="139">
        <f t="shared" si="29"/>
        <v>198.6360606060606</v>
      </c>
      <c r="U72" s="139">
        <f t="shared" si="29"/>
        <v>423.39599999999996</v>
      </c>
      <c r="V72" s="139">
        <f t="shared" si="29"/>
        <v>163.97062500000001</v>
      </c>
      <c r="W72" s="139">
        <f t="shared" si="29"/>
        <v>316.42071428571433</v>
      </c>
      <c r="X72" s="139">
        <f t="shared" si="29"/>
        <v>274.47045454545457</v>
      </c>
      <c r="Y72" s="139">
        <f t="shared" si="29"/>
        <v>312.33409090909095</v>
      </c>
      <c r="Z72" s="139">
        <f t="shared" si="29"/>
        <v>285.46707317073168</v>
      </c>
      <c r="AA72" s="139">
        <f t="shared" si="29"/>
        <v>236.65797701149427</v>
      </c>
      <c r="AB72" s="17"/>
      <c r="AD72" s="139">
        <f>SUMIF($H$34:$H$48,"700000",AD$34:AD$48)/SUMIF($H$54:$H$61,"TLNETRES",AD$54:AD$61)</f>
        <v>249.16006403504196</v>
      </c>
      <c r="AE72" s="17"/>
      <c r="AF72" s="140">
        <f t="shared" si="22"/>
        <v>-12.502087023547688</v>
      </c>
      <c r="AG72" s="139">
        <f>SUMIF($H$34:$H$48,"700000",AG$34:AG$48)/SUMIF($H$54:$H$61,"TLNETRES",AG$54:AG$61)</f>
        <v>250.32714285714286</v>
      </c>
      <c r="AH72" s="17"/>
      <c r="AI72" s="140">
        <f t="shared" si="23"/>
        <v>-13.669165845648592</v>
      </c>
    </row>
    <row r="73" spans="1:35" x14ac:dyDescent="0.25">
      <c r="A73" s="6" t="s">
        <v>14</v>
      </c>
      <c r="B73" s="7"/>
      <c r="G73" s="14"/>
      <c r="H73" s="15"/>
      <c r="I73" s="27"/>
      <c r="J73" s="27"/>
      <c r="K73" s="68"/>
      <c r="L73" s="68"/>
      <c r="M73" s="68"/>
      <c r="N73" s="76" t="s">
        <v>252</v>
      </c>
      <c r="O73" s="139">
        <f t="shared" ref="O73:AA73" si="30">SUMIF($H$34:$H$51,"600000",O$34:O$51)/SUMIF($H$54:$H$61,"TLNETRES",O$54:O$61)</f>
        <v>0</v>
      </c>
      <c r="P73" s="139">
        <f t="shared" si="30"/>
        <v>0</v>
      </c>
      <c r="Q73" s="139">
        <f t="shared" si="30"/>
        <v>0</v>
      </c>
      <c r="R73" s="139">
        <f t="shared" si="30"/>
        <v>0</v>
      </c>
      <c r="S73" s="139">
        <f t="shared" si="30"/>
        <v>0</v>
      </c>
      <c r="T73" s="139">
        <f t="shared" si="30"/>
        <v>0</v>
      </c>
      <c r="U73" s="139">
        <f t="shared" si="30"/>
        <v>0</v>
      </c>
      <c r="V73" s="139">
        <f t="shared" si="30"/>
        <v>0</v>
      </c>
      <c r="W73" s="139">
        <f t="shared" si="30"/>
        <v>0</v>
      </c>
      <c r="X73" s="139">
        <f t="shared" si="30"/>
        <v>0</v>
      </c>
      <c r="Y73" s="139">
        <f t="shared" si="30"/>
        <v>0</v>
      </c>
      <c r="Z73" s="139">
        <f t="shared" si="30"/>
        <v>0</v>
      </c>
      <c r="AA73" s="139">
        <f t="shared" si="30"/>
        <v>0</v>
      </c>
      <c r="AB73" s="17"/>
      <c r="AD73" s="139">
        <f>SUMIF($H$34:$H$51,"600000",AD$34:AD$51)/SUMIF($H$54:$H$61,"TLNETRES",AD$54:AD$61)</f>
        <v>58.1947124159149</v>
      </c>
      <c r="AE73" s="17"/>
      <c r="AF73" s="141">
        <f t="shared" si="22"/>
        <v>-58.1947124159149</v>
      </c>
      <c r="AG73" s="139">
        <f>SUMIF($H$34:$H$51,"600000",AG$34:AG$51)/SUMIF($H$54:$H$61,"TLNETRES",AG$54:AG$61)</f>
        <v>0</v>
      </c>
      <c r="AH73" s="17"/>
      <c r="AI73" s="141">
        <f t="shared" si="23"/>
        <v>0</v>
      </c>
    </row>
    <row r="74" spans="1:35" x14ac:dyDescent="0.25">
      <c r="A74" s="6" t="s">
        <v>15</v>
      </c>
      <c r="B74" s="7"/>
      <c r="G74" s="14"/>
      <c r="H74" s="15"/>
      <c r="I74" s="27"/>
      <c r="J74" s="27"/>
      <c r="K74" s="68"/>
      <c r="L74" s="68"/>
      <c r="M74" s="68"/>
      <c r="N74" s="25" t="s">
        <v>253</v>
      </c>
      <c r="O74" s="142">
        <f t="shared" ref="O74:AA74" si="31">SUMIF($H$34:$H$51,"TOTDEPTEXP",O$34:O$51)/SUMIF($H$54:$H$61,"TLNETRES",O$54:O$61)</f>
        <v>127.43018691588786</v>
      </c>
      <c r="P74" s="142">
        <f t="shared" si="31"/>
        <v>-1197.5610000000001</v>
      </c>
      <c r="Q74" s="142">
        <f t="shared" si="31"/>
        <v>206.54610169491525</v>
      </c>
      <c r="R74" s="142">
        <f t="shared" si="31"/>
        <v>186.71740000000003</v>
      </c>
      <c r="S74" s="142">
        <f t="shared" si="31"/>
        <v>172.33520000000001</v>
      </c>
      <c r="T74" s="142">
        <f t="shared" si="31"/>
        <v>198.6360606060606</v>
      </c>
      <c r="U74" s="142">
        <f t="shared" si="31"/>
        <v>423.39599999999996</v>
      </c>
      <c r="V74" s="142">
        <f t="shared" si="31"/>
        <v>163.97062500000001</v>
      </c>
      <c r="W74" s="142">
        <f t="shared" si="31"/>
        <v>316.42071428571433</v>
      </c>
      <c r="X74" s="142">
        <f t="shared" si="31"/>
        <v>274.47045454545457</v>
      </c>
      <c r="Y74" s="142">
        <f t="shared" si="31"/>
        <v>312.33409090909095</v>
      </c>
      <c r="Z74" s="142">
        <f t="shared" si="31"/>
        <v>285.46707317073168</v>
      </c>
      <c r="AA74" s="142">
        <f t="shared" si="31"/>
        <v>236.65797701149427</v>
      </c>
      <c r="AB74" s="143"/>
      <c r="AD74" s="142">
        <f>SUMIF($H$34:$H$51,"TOTDEPTEXP",AD$34:AD$51)/SUMIF($H$54:$H$61,"TLNETRES",AD$54:AD$61)</f>
        <v>307.35477645095688</v>
      </c>
      <c r="AE74" s="143"/>
      <c r="AF74" s="144">
        <f t="shared" si="22"/>
        <v>-70.696799439462609</v>
      </c>
      <c r="AG74" s="142">
        <f>SUMIF($H$34:$H$51,"TOTDEPTEXP",AG$34:AG$51)/SUMIF($H$54:$H$61,"TLNETRES",AG$54:AG$61)</f>
        <v>250.32714285714286</v>
      </c>
      <c r="AH74" s="143"/>
      <c r="AI74" s="144">
        <f t="shared" si="23"/>
        <v>-13.669165845648592</v>
      </c>
    </row>
    <row r="75" spans="1:35" x14ac:dyDescent="0.25">
      <c r="A75" s="6" t="s">
        <v>16</v>
      </c>
      <c r="B75" s="7"/>
      <c r="G75" s="14"/>
      <c r="H75" s="14"/>
      <c r="I75" s="14"/>
      <c r="J75" s="14"/>
      <c r="K75" s="14"/>
      <c r="L75" s="14"/>
      <c r="M75" s="14"/>
      <c r="N75" s="26"/>
      <c r="O75" s="26"/>
      <c r="P75" s="26"/>
      <c r="Q75" s="26"/>
      <c r="R75" s="26"/>
      <c r="S75" s="26"/>
      <c r="T75" s="26"/>
      <c r="U75" s="26"/>
      <c r="V75" s="26"/>
      <c r="W75" s="26"/>
      <c r="X75" s="26"/>
      <c r="Y75" s="26"/>
      <c r="Z75" s="26"/>
      <c r="AA75" s="26"/>
      <c r="AB75" s="26"/>
      <c r="AD75" s="26"/>
      <c r="AE75" s="26"/>
      <c r="AF75" s="26"/>
      <c r="AG75" s="26"/>
      <c r="AH75" s="26"/>
      <c r="AI75" s="26"/>
    </row>
    <row r="76" spans="1:35" x14ac:dyDescent="0.25">
      <c r="A76" s="6" t="s">
        <v>17</v>
      </c>
      <c r="B76" s="7"/>
      <c r="G76" s="14"/>
      <c r="N76" s="26" t="str">
        <f>N51&amp;" - Check"</f>
        <v>Total Expenses - Check</v>
      </c>
      <c r="O76" s="139">
        <f t="shared" ref="O76:AA76" si="32">SUMIF($H$48:$H$51,"700000",O$48:O$51)+SUMIF($H$48:$H$51,"600000",O$48:O$51)-SUMIF($H$48:$H$51,"TOTDEPTEXP",O$48:O$51)</f>
        <v>0</v>
      </c>
      <c r="P76" s="139">
        <f t="shared" si="32"/>
        <v>0</v>
      </c>
      <c r="Q76" s="139">
        <f t="shared" si="32"/>
        <v>0</v>
      </c>
      <c r="R76" s="139">
        <f t="shared" si="32"/>
        <v>0</v>
      </c>
      <c r="S76" s="139">
        <f t="shared" si="32"/>
        <v>0</v>
      </c>
      <c r="T76" s="139">
        <f t="shared" si="32"/>
        <v>0</v>
      </c>
      <c r="U76" s="139">
        <f t="shared" si="32"/>
        <v>0</v>
      </c>
      <c r="V76" s="139">
        <f t="shared" si="32"/>
        <v>0</v>
      </c>
      <c r="W76" s="139">
        <f t="shared" si="32"/>
        <v>0</v>
      </c>
      <c r="X76" s="139">
        <f t="shared" si="32"/>
        <v>0</v>
      </c>
      <c r="Y76" s="139">
        <f t="shared" si="32"/>
        <v>0</v>
      </c>
      <c r="Z76" s="139">
        <f t="shared" si="32"/>
        <v>0</v>
      </c>
      <c r="AA76" s="139">
        <f t="shared" si="32"/>
        <v>0</v>
      </c>
      <c r="AB76" s="17"/>
      <c r="AD76" s="139">
        <f>SUMIF($H$48:$H$51,"700000",AD$48:AD$51)+SUMIF($H$48:$H$51,"600000",AD$48:AD$51)-SUMIF($H$48:$H$51,"TOTDEPTEXP",AD$48:AD$51)</f>
        <v>0</v>
      </c>
      <c r="AE76" s="17"/>
      <c r="AF76" s="21"/>
      <c r="AG76" s="139">
        <f>SUMIF($H$48:$H$51,"700000",AG$48:AG$51)+SUMIF($H$48:$H$51,"600000",AG$48:AG$51)-SUMIF($H$48:$H$51,"TOTDEPTEXP",AG$48:AG$51)</f>
        <v>0</v>
      </c>
      <c r="AH76" s="17"/>
      <c r="AI76" s="21"/>
    </row>
    <row r="77" spans="1:35" x14ac:dyDescent="0.25">
      <c r="I77" s="1"/>
      <c r="J77" s="1"/>
    </row>
    <row r="78" spans="1:35" x14ac:dyDescent="0.25">
      <c r="A78" s="22" t="s">
        <v>92</v>
      </c>
      <c r="B78" s="23" t="s">
        <v>93</v>
      </c>
      <c r="C78" s="23" t="s">
        <v>94</v>
      </c>
      <c r="D78" s="23" t="s">
        <v>95</v>
      </c>
      <c r="E78" s="23" t="s">
        <v>96</v>
      </c>
      <c r="F78" s="24" t="s">
        <v>97</v>
      </c>
      <c r="I78" s="1"/>
      <c r="J78" s="1"/>
    </row>
    <row r="80" spans="1:35" x14ac:dyDescent="0.25">
      <c r="A80" s="1" t="s">
        <v>108</v>
      </c>
      <c r="C80" s="26" t="s">
        <v>101</v>
      </c>
      <c r="D80" s="1" t="s">
        <v>106</v>
      </c>
      <c r="F80" s="1" t="s">
        <v>98</v>
      </c>
    </row>
    <row r="81" spans="1:10" x14ac:dyDescent="0.25">
      <c r="A81" s="1" t="s">
        <v>100</v>
      </c>
      <c r="C81" s="8" t="s">
        <v>101</v>
      </c>
      <c r="D81" s="1" t="s">
        <v>106</v>
      </c>
      <c r="F81" s="1" t="s">
        <v>98</v>
      </c>
    </row>
    <row r="82" spans="1:10" x14ac:dyDescent="0.25">
      <c r="A82" s="1" t="s">
        <v>109</v>
      </c>
      <c r="C82" s="25" t="s">
        <v>101</v>
      </c>
      <c r="D82" s="1" t="s">
        <v>106</v>
      </c>
      <c r="F82" s="1" t="s">
        <v>98</v>
      </c>
    </row>
    <row r="83" spans="1:10" x14ac:dyDescent="0.25">
      <c r="A83" s="1" t="s">
        <v>109</v>
      </c>
      <c r="C83" s="151" t="s">
        <v>101</v>
      </c>
      <c r="D83" s="1" t="s">
        <v>107</v>
      </c>
      <c r="F83" s="1" t="s">
        <v>99</v>
      </c>
    </row>
    <row r="84" spans="1:10" x14ac:dyDescent="0.25">
      <c r="C84" s="29"/>
    </row>
    <row r="85" spans="1:10" x14ac:dyDescent="0.25">
      <c r="C85" s="32"/>
    </row>
    <row r="86" spans="1:10" x14ac:dyDescent="0.25">
      <c r="A86" s="3" t="s">
        <v>23</v>
      </c>
      <c r="B86" s="5" t="s">
        <v>24</v>
      </c>
    </row>
    <row r="87" spans="1:10" x14ac:dyDescent="0.25">
      <c r="A87" s="6" t="s">
        <v>25</v>
      </c>
      <c r="B87" s="7"/>
    </row>
    <row r="88" spans="1:10" x14ac:dyDescent="0.25">
      <c r="A88" s="6" t="s">
        <v>26</v>
      </c>
      <c r="B88" s="7"/>
      <c r="J88" s="1"/>
    </row>
    <row r="89" spans="1:10" x14ac:dyDescent="0.25">
      <c r="A89" s="6" t="s">
        <v>27</v>
      </c>
      <c r="B89" s="7"/>
      <c r="H89" s="11"/>
      <c r="J89" s="1"/>
    </row>
    <row r="90" spans="1:10" x14ac:dyDescent="0.25">
      <c r="A90" s="6" t="s">
        <v>28</v>
      </c>
      <c r="B90" s="7"/>
      <c r="H90" s="11"/>
      <c r="J90" s="1"/>
    </row>
    <row r="91" spans="1:10" x14ac:dyDescent="0.25">
      <c r="A91" s="6" t="s">
        <v>29</v>
      </c>
      <c r="B91" s="7"/>
      <c r="H91" s="11"/>
      <c r="J91" s="1"/>
    </row>
    <row r="92" spans="1:10" x14ac:dyDescent="0.25">
      <c r="A92" s="6" t="s">
        <v>30</v>
      </c>
      <c r="B92" s="7" t="s">
        <v>78</v>
      </c>
      <c r="H92" s="11"/>
      <c r="J92" s="1"/>
    </row>
    <row r="93" spans="1:10" x14ac:dyDescent="0.25">
      <c r="A93" s="6" t="s">
        <v>31</v>
      </c>
      <c r="B93" s="7" t="s">
        <v>78</v>
      </c>
      <c r="H93" s="11"/>
      <c r="J93" s="1"/>
    </row>
    <row r="94" spans="1:10" x14ac:dyDescent="0.25">
      <c r="A94" s="6" t="s">
        <v>32</v>
      </c>
      <c r="B94" s="7"/>
      <c r="H94" s="11"/>
      <c r="J94" s="1"/>
    </row>
    <row r="95" spans="1:10" x14ac:dyDescent="0.25">
      <c r="A95" s="6" t="s">
        <v>33</v>
      </c>
      <c r="B95" s="7"/>
      <c r="H95" s="11"/>
      <c r="J95" s="1"/>
    </row>
    <row r="96" spans="1:10" x14ac:dyDescent="0.25">
      <c r="A96" s="6" t="s">
        <v>34</v>
      </c>
      <c r="B96" s="7"/>
      <c r="H96" s="11"/>
      <c r="J96" s="1"/>
    </row>
    <row r="97" spans="1:10" x14ac:dyDescent="0.25">
      <c r="A97" s="6" t="s">
        <v>35</v>
      </c>
      <c r="B97" s="7"/>
      <c r="H97" s="11"/>
      <c r="J97" s="1"/>
    </row>
    <row r="98" spans="1:10" x14ac:dyDescent="0.25">
      <c r="A98" s="6" t="s">
        <v>36</v>
      </c>
      <c r="B98" s="7"/>
      <c r="H98" s="11"/>
      <c r="J98" s="1"/>
    </row>
    <row r="99" spans="1:10" x14ac:dyDescent="0.25">
      <c r="A99" s="6" t="s">
        <v>37</v>
      </c>
      <c r="B99" s="7"/>
      <c r="H99" s="11"/>
      <c r="J99" s="1"/>
    </row>
    <row r="100" spans="1:10" x14ac:dyDescent="0.25">
      <c r="A100" s="6" t="s">
        <v>38</v>
      </c>
      <c r="B100" s="7"/>
      <c r="H100" s="11"/>
      <c r="J100" s="1"/>
    </row>
    <row r="101" spans="1:10" x14ac:dyDescent="0.25">
      <c r="A101" s="6" t="s">
        <v>39</v>
      </c>
      <c r="B101" s="7"/>
      <c r="H101" s="11"/>
      <c r="J101" s="1"/>
    </row>
    <row r="102" spans="1:10" x14ac:dyDescent="0.25">
      <c r="A102" s="6" t="s">
        <v>40</v>
      </c>
      <c r="B102" s="7"/>
      <c r="H102" s="11"/>
      <c r="J102" s="1"/>
    </row>
    <row r="103" spans="1:10" x14ac:dyDescent="0.25">
      <c r="A103" s="6" t="s">
        <v>41</v>
      </c>
      <c r="B103" s="7"/>
      <c r="H103" s="11"/>
      <c r="J103" s="1"/>
    </row>
    <row r="104" spans="1:10" x14ac:dyDescent="0.25">
      <c r="A104" s="6" t="s">
        <v>42</v>
      </c>
      <c r="B104" s="7"/>
      <c r="H104" s="11"/>
      <c r="J104" s="1"/>
    </row>
    <row r="105" spans="1:10" x14ac:dyDescent="0.25">
      <c r="A105" s="6" t="s">
        <v>43</v>
      </c>
      <c r="B105" s="7"/>
      <c r="H105" s="11"/>
      <c r="J105" s="1"/>
    </row>
    <row r="106" spans="1:10" x14ac:dyDescent="0.25">
      <c r="A106" s="6" t="s">
        <v>44</v>
      </c>
      <c r="B106" s="7"/>
      <c r="H106" s="11"/>
      <c r="J106" s="1"/>
    </row>
    <row r="107" spans="1:10" x14ac:dyDescent="0.25">
      <c r="A107" s="6" t="s">
        <v>45</v>
      </c>
      <c r="B107" s="7"/>
      <c r="H107" s="11"/>
      <c r="J107" s="1"/>
    </row>
    <row r="108" spans="1:10" x14ac:dyDescent="0.25">
      <c r="A108" s="6" t="s">
        <v>46</v>
      </c>
      <c r="B108" s="7"/>
      <c r="H108" s="11"/>
      <c r="J108" s="1"/>
    </row>
    <row r="109" spans="1:10" x14ac:dyDescent="0.25">
      <c r="H109" s="11"/>
      <c r="J109" s="1"/>
    </row>
    <row r="110" spans="1:10" x14ac:dyDescent="0.25">
      <c r="H110" s="11"/>
      <c r="J110" s="1"/>
    </row>
    <row r="112" spans="1:10" x14ac:dyDescent="0.25">
      <c r="C112" s="32"/>
    </row>
    <row r="113" spans="3:3" x14ac:dyDescent="0.25">
      <c r="C113" s="32"/>
    </row>
  </sheetData>
  <mergeCells count="2">
    <mergeCell ref="AD31:AE31"/>
    <mergeCell ref="AG31:AH31"/>
  </mergeCells>
  <dataValidations count="2">
    <dataValidation type="list" allowBlank="1" sqref="B72 B29" xr:uid="{00000000-0002-0000-0900-000000000000}">
      <formula1>"SELF,ALL,BAS,DEP,BASMEMBERS,MEMBERS,NOEXPAND,GDEP"</formula1>
    </dataValidation>
    <dataValidation type="list" allowBlank="1" sqref="B71 B28" xr:uid="{00000000-0002-0000-09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485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4854" r:id="rId5" name="FPMExcelClientSheetOptionstb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6" tint="0.39997558519241921"/>
    <pageSetUpPr fitToPage="1"/>
  </sheetPr>
  <dimension ref="A1:AP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358</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'LDXz8fdsAE2Ug4AWCUzTAA=='!$D$10</f>
        <v>#NAME?</v>
      </c>
      <c r="C9" s="1" t="e">
        <f ca="1">_xll.EVDES(B9,$B$1)</f>
        <v>#NAME?</v>
      </c>
      <c r="L9" s="11"/>
      <c r="M9" s="11"/>
    </row>
    <row r="10" spans="1:35" hidden="1" outlineLevel="1" x14ac:dyDescent="0.25">
      <c r="A10" s="8" t="s">
        <v>18</v>
      </c>
      <c r="B10" s="9" t="e">
        <f ca="1">'LDXz8fdsAE2Ug4AWCUzTAA=='!$D$7</f>
        <v>#NAME?</v>
      </c>
      <c r="C10" s="1" t="e">
        <f ca="1">_xll.EVDES(B10,$B$1)</f>
        <v>#NAME?</v>
      </c>
      <c r="D10" s="234" t="e">
        <f ca="1">_xll.EVPRO($B$1,$B$10,"Group")</f>
        <v>#NAME?</v>
      </c>
      <c r="L10" s="11"/>
      <c r="M10" s="11"/>
    </row>
    <row r="11" spans="1:35" hidden="1" outlineLevel="1" x14ac:dyDescent="0.25">
      <c r="B11" s="8"/>
      <c r="L11" s="11"/>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B14" s="8" t="s">
        <v>361</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_xll.EVRNG(G35:H56)</f>
        <v>#NAME?</v>
      </c>
      <c r="G19" s="18" t="str">
        <f>$B$6</f>
        <v>D_REST_CON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D_REST_CON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c r="I22" s="1"/>
      <c r="J22" s="1"/>
    </row>
    <row r="23" spans="1:40" hidden="1" outlineLevel="1" x14ac:dyDescent="0.25">
      <c r="A23" s="6" t="s">
        <v>47</v>
      </c>
      <c r="B23" s="7" t="e">
        <f ca="1">_xll.EVRNG($A$114:$B$135)</f>
        <v>#NAME?</v>
      </c>
      <c r="K23" s="57"/>
      <c r="L23" s="57"/>
      <c r="M23" s="57"/>
      <c r="AD23" s="152"/>
    </row>
    <row r="24" spans="1:40" hidden="1" outlineLevel="1" x14ac:dyDescent="0.25">
      <c r="A24" s="6" t="s">
        <v>8</v>
      </c>
      <c r="B24" s="7"/>
    </row>
    <row r="25" spans="1:40" collapsed="1" x14ac:dyDescent="0.25"/>
    <row r="26" spans="1:40" ht="22.5" x14ac:dyDescent="0.3">
      <c r="A26" s="3" t="s">
        <v>9</v>
      </c>
      <c r="B26" s="5" t="s">
        <v>10</v>
      </c>
      <c r="C26" s="5" t="s">
        <v>357</v>
      </c>
      <c r="N26" s="65" t="e">
        <f ca="1">IF(_xll.EVDES(B3,$B$1)="#NODATA","",_xll.EVDES(B3,$B$1))</f>
        <v>#NAME?</v>
      </c>
    </row>
    <row r="27" spans="1:40" ht="18" x14ac:dyDescent="0.25">
      <c r="A27" s="6" t="s">
        <v>11</v>
      </c>
      <c r="B27" s="7" t="s">
        <v>21</v>
      </c>
      <c r="C27" s="7" t="s">
        <v>21</v>
      </c>
      <c r="N27" s="70" t="e">
        <f ca="1">IF(_xll.EVDES(B6,$B$1)="#NODATA","",_xll.EVDES(B6,$B$1)&amp;" Department")</f>
        <v>#NAME?</v>
      </c>
    </row>
    <row r="28" spans="1:40" ht="15.75" x14ac:dyDescent="0.25">
      <c r="A28" s="6" t="s">
        <v>12</v>
      </c>
      <c r="B28" s="7" t="s">
        <v>52</v>
      </c>
      <c r="C28" s="7" t="s">
        <v>22</v>
      </c>
      <c r="N28" s="71" t="e">
        <f ca="1">"For the Period ended"&amp;" "&amp;IF(_xll.EVDES($B$10,$B$1)="#NODATA","",_xll.EVDES($B$10,$B$1))</f>
        <v>#NAME?</v>
      </c>
    </row>
    <row r="29" spans="1:40" ht="15" customHeight="1" x14ac:dyDescent="0.25">
      <c r="A29" s="6" t="s">
        <v>13</v>
      </c>
      <c r="B29" s="7" t="s">
        <v>359</v>
      </c>
      <c r="C29" s="7" t="s">
        <v>360</v>
      </c>
      <c r="N29" s="71" t="e">
        <f ca="1">_xll.EVDES(B9,B1)</f>
        <v>#NAME?</v>
      </c>
    </row>
    <row r="30" spans="1:40" x14ac:dyDescent="0.25">
      <c r="A30" s="6" t="s">
        <v>14</v>
      </c>
      <c r="B30" s="7"/>
      <c r="C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C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C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2" x14ac:dyDescent="0.25">
      <c r="A33" s="6" t="s">
        <v>17</v>
      </c>
      <c r="B33" s="7"/>
      <c r="C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2" x14ac:dyDescent="0.25">
      <c r="H34" s="1" t="s">
        <v>259</v>
      </c>
      <c r="I34" s="11" t="e">
        <f ca="1">_xll.EVPRO($B$1,$H34,"STYLE")</f>
        <v>#NAME?</v>
      </c>
      <c r="J34" s="11" t="e">
        <f ca="1">_xll.EVPRO($B$1,$H34,"CALC")</f>
        <v>#NAME?</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2" x14ac:dyDescent="0.25">
      <c r="G35" s="15" t="s">
        <v>258</v>
      </c>
      <c r="H35" s="15" t="s">
        <v>265</v>
      </c>
      <c r="I35" s="161" t="e">
        <f ca="1">_xll.EVPRO($B$1,$H35,"STYLE")</f>
        <v>#NAME?</v>
      </c>
      <c r="J35" s="161" t="e">
        <f ca="1">_xll.EVPRO($B$1,$H35,"CALC")</f>
        <v>#NAME?</v>
      </c>
      <c r="K35" s="69" t="e">
        <f ca="1">IF(AND(I35&gt;="T5"),"&gt;","")</f>
        <v>#NAME?</v>
      </c>
      <c r="L35" s="69"/>
      <c r="M35" s="69"/>
      <c r="N35" s="162" t="e">
        <f ca="1">IF(_xll.EVDES(G35,$B$1)="#NODATA","",_xll.EVDES(G35,$B$1)&amp;" Food Rev")</f>
        <v>#NAME?</v>
      </c>
      <c r="O35" s="21">
        <v>80894.84</v>
      </c>
      <c r="P35" s="21">
        <v>78312.259999999995</v>
      </c>
      <c r="Q35" s="21">
        <v>83428.88</v>
      </c>
      <c r="R35" s="21">
        <v>73987.11</v>
      </c>
      <c r="S35" s="21">
        <v>65555.520000000004</v>
      </c>
      <c r="T35" s="21">
        <v>62691.43</v>
      </c>
      <c r="U35" s="21">
        <v>61902.05</v>
      </c>
      <c r="V35" s="21">
        <v>54175.15</v>
      </c>
      <c r="W35" s="21">
        <v>41742.58</v>
      </c>
      <c r="X35" s="21">
        <v>42565.86</v>
      </c>
      <c r="Y35" s="21">
        <v>40668.9</v>
      </c>
      <c r="Z35" s="21">
        <v>57277.66</v>
      </c>
      <c r="AA35" s="310" t="e">
        <f t="shared" ref="AA35:AA56" ca="1" si="0">IF($I35="B1","",SUM(O35:Z35))</f>
        <v>#NAME?</v>
      </c>
      <c r="AB35" s="17" t="e">
        <f ca="1">IF(AA35=0,"",IFERROR(AA35/AA$19,""))</f>
        <v>#NAME?</v>
      </c>
      <c r="AD35" s="21">
        <v>1355659.1619150001</v>
      </c>
      <c r="AE35" s="17" t="str">
        <f ca="1">IF(AD35=0,"",IFERROR(AD35/AD$19,""))</f>
        <v/>
      </c>
      <c r="AF35" s="50" t="e">
        <f ca="1">IF(AND($AA35="",AD35=""),"",$AA35-AD35)</f>
        <v>#NAME?</v>
      </c>
      <c r="AG35" s="21">
        <v>933378.28</v>
      </c>
      <c r="AH35" s="17" t="str">
        <f ca="1">IF(AG35=0,"",IFERROR(AG35/AG$19,""))</f>
        <v/>
      </c>
      <c r="AI35" s="50" t="e">
        <f ca="1">IF(AND($AA35="",AG35=""),"",$AA35-AG35)</f>
        <v>#NAME?</v>
      </c>
      <c r="AJ35" s="350">
        <f ca="1">IFERROR(AA35/AA$20,0)</f>
        <v>0</v>
      </c>
      <c r="AK35" s="351">
        <f ca="1">IFERROR(AD35/AD$20,0)</f>
        <v>0</v>
      </c>
      <c r="AL35" s="352">
        <f ca="1">IFERROR(AG35/AG$20,0)</f>
        <v>0</v>
      </c>
      <c r="AM35" s="387">
        <f ca="1">+IFERROR(ROUND(($AB35-AE35)*100,2)&amp;" pts.",0)</f>
        <v>0</v>
      </c>
      <c r="AN35" s="386">
        <f ca="1">+IFERROR(ROUND(($AB35-AH35)*100,2)&amp;" pts.",0)</f>
        <v>0</v>
      </c>
      <c r="AO35" s="398"/>
      <c r="AP35" s="398"/>
    </row>
    <row r="36" spans="1:42" x14ac:dyDescent="0.25">
      <c r="A36" s="4" t="e">
        <f ca="1">_xll.EVDRE($B$1,A39:B46,A49:B55)</f>
        <v>#NAME?</v>
      </c>
      <c r="G36" s="15" t="s">
        <v>346</v>
      </c>
      <c r="H36" s="15" t="s">
        <v>265</v>
      </c>
      <c r="I36" s="161" t="e">
        <f ca="1">_xll.EVPRO($B$1,$H36,"STYLE")</f>
        <v>#NAME?</v>
      </c>
      <c r="J36" s="161" t="e">
        <f ca="1">_xll.EVPRO($B$1,$H36,"CALC")</f>
        <v>#NAME?</v>
      </c>
      <c r="K36" s="69" t="e">
        <f ca="1">IF(AND(I36&gt;="T5"),"&gt;","")</f>
        <v>#NAME?</v>
      </c>
      <c r="L36" s="69"/>
      <c r="M36" s="69"/>
      <c r="N36" s="162" t="e">
        <f ca="1">IF(_xll.EVDES(G36,$B$1)="#NODATA","",_xll.EVDES(G36,$B$1)&amp;" Food Rev")</f>
        <v>#NAME?</v>
      </c>
      <c r="O36" s="38"/>
      <c r="P36" s="38"/>
      <c r="Q36" s="38"/>
      <c r="R36" s="38"/>
      <c r="S36" s="38"/>
      <c r="T36" s="38"/>
      <c r="U36" s="38"/>
      <c r="V36" s="38"/>
      <c r="W36" s="38"/>
      <c r="X36" s="38"/>
      <c r="Y36" s="38"/>
      <c r="Z36" s="38"/>
      <c r="AA36" s="38" t="e">
        <f t="shared" ca="1" si="0"/>
        <v>#NAME?</v>
      </c>
      <c r="AB36" s="39" t="e">
        <f ca="1">IF(AA36=0,"",IFERROR(AA36/AA$19,""))</f>
        <v>#NAME?</v>
      </c>
      <c r="AD36" s="38"/>
      <c r="AE36" s="39" t="str">
        <f>IF(AD36=0,"",IFERROR(AD36/AD$19,""))</f>
        <v/>
      </c>
      <c r="AF36" s="132" t="e">
        <f ca="1">IF(AND($AA36="",AD36=""),"",$AA36-AD36)</f>
        <v>#NAME?</v>
      </c>
      <c r="AG36" s="38"/>
      <c r="AH36" s="39" t="str">
        <f>IF(AG36=0,"",IFERROR(AG36/AG$19,""))</f>
        <v/>
      </c>
      <c r="AI36" s="132" t="e">
        <f ca="1">IF(AND($AA36="",AG36=""),"",$AA36-AG36)</f>
        <v>#NAME?</v>
      </c>
      <c r="AJ36" s="350">
        <f ca="1">IFERROR(AA36/AA$20,0)</f>
        <v>0</v>
      </c>
      <c r="AK36" s="351">
        <f ca="1">IFERROR(AD36/AD$20,0)</f>
        <v>0</v>
      </c>
      <c r="AL36" s="352">
        <f ca="1">IFERROR(AG36/AG$20,0)</f>
        <v>0</v>
      </c>
      <c r="AM36" s="387">
        <f ca="1">+IFERROR(ROUND(($AB36-AE36)*100,2)&amp;" pts.",0)</f>
        <v>0</v>
      </c>
      <c r="AN36" s="386">
        <f ca="1">+IFERROR(ROUND(($AB36-AH36)*100,2)&amp;" pts.",0)</f>
        <v>0</v>
      </c>
    </row>
    <row r="37" spans="1:42" x14ac:dyDescent="0.25">
      <c r="G37" s="15" t="s">
        <v>347</v>
      </c>
      <c r="H37" s="15" t="s">
        <v>265</v>
      </c>
      <c r="I37" s="161" t="e">
        <f ca="1">_xll.EVPRO($B$1,$H37,"STYLE")</f>
        <v>#NAME?</v>
      </c>
      <c r="J37" s="161" t="e">
        <f ca="1">_xll.EVPRO($B$1,$H37,"CALC")</f>
        <v>#NAME?</v>
      </c>
      <c r="K37" s="69" t="e">
        <f ca="1">IF(AND(I37&gt;="T5"),"&gt;","")</f>
        <v>#NAME?</v>
      </c>
      <c r="L37" s="69"/>
      <c r="M37" s="69"/>
      <c r="N37" s="162" t="e">
        <f ca="1">IF(_xll.EVDES(G37,$B$1)="#NODATA","",_xll.EVDES(G37,$B$1)&amp;" Food Rev")</f>
        <v>#NAME?</v>
      </c>
      <c r="O37" s="38">
        <v>56077</v>
      </c>
      <c r="P37" s="38">
        <v>34793.5</v>
      </c>
      <c r="Q37" s="38">
        <v>27770.07</v>
      </c>
      <c r="R37" s="38">
        <v>9704.25</v>
      </c>
      <c r="S37" s="38">
        <v>13217</v>
      </c>
      <c r="T37" s="38">
        <v>8407.98</v>
      </c>
      <c r="U37" s="38">
        <v>332</v>
      </c>
      <c r="V37" s="38">
        <v>4231</v>
      </c>
      <c r="W37" s="38">
        <v>7174.51</v>
      </c>
      <c r="X37" s="38">
        <v>13310.1</v>
      </c>
      <c r="Y37" s="38">
        <v>13958.3</v>
      </c>
      <c r="Z37" s="38">
        <v>51844.51</v>
      </c>
      <c r="AA37" s="38" t="e">
        <f t="shared" ca="1" si="0"/>
        <v>#NAME?</v>
      </c>
      <c r="AB37" s="39" t="e">
        <f ca="1">IF(AA37=0,"",IFERROR(AA37/AA$19,""))</f>
        <v>#NAME?</v>
      </c>
      <c r="AD37" s="38">
        <v>330737.15881499997</v>
      </c>
      <c r="AE37" s="39" t="str">
        <f ca="1">IF(AD37=0,"",IFERROR(AD37/AD$19,""))</f>
        <v/>
      </c>
      <c r="AF37" s="132" t="e">
        <f ca="1">IF(AND($AA37="",AD37=""),"",$AA37-AD37)</f>
        <v>#NAME?</v>
      </c>
      <c r="AG37" s="38">
        <v>232524.93</v>
      </c>
      <c r="AH37" s="39" t="str">
        <f ca="1">IF(AG37=0,"",IFERROR(AG37/AG$19,""))</f>
        <v/>
      </c>
      <c r="AI37" s="132" t="e">
        <f ca="1">IF(AND($AA37="",AG37=""),"",$AA37-AG37)</f>
        <v>#NAME?</v>
      </c>
      <c r="AJ37" s="350">
        <f ca="1">IFERROR(AA37/AA$20,0)</f>
        <v>0</v>
      </c>
      <c r="AK37" s="351">
        <f ca="1">IFERROR(AD37/AD$20,0)</f>
        <v>0</v>
      </c>
      <c r="AL37" s="352">
        <f ca="1">IFERROR(AG37/AG$20,0)</f>
        <v>0</v>
      </c>
      <c r="AM37" s="387">
        <f ca="1">+IFERROR(ROUND(($AB37-AE37)*100,2)&amp;" pts.",0)</f>
        <v>0</v>
      </c>
      <c r="AN37" s="386">
        <f ca="1">+IFERROR(ROUND(($AB37-AH37)*100,2)&amp;" pts.",0)</f>
        <v>0</v>
      </c>
    </row>
    <row r="38" spans="1:42" x14ac:dyDescent="0.25">
      <c r="A38" s="3" t="s">
        <v>0</v>
      </c>
      <c r="B38" s="5" t="s">
        <v>1</v>
      </c>
      <c r="G38" s="15" t="s">
        <v>349</v>
      </c>
      <c r="H38" s="15" t="s">
        <v>265</v>
      </c>
      <c r="I38" s="161" t="e">
        <f ca="1">_xll.EVPRO($B$1,$H38,"STYLE")</f>
        <v>#NAME?</v>
      </c>
      <c r="J38" s="161" t="e">
        <f ca="1">_xll.EVPRO($B$1,$H38,"CALC")</f>
        <v>#NAME?</v>
      </c>
      <c r="K38" s="69" t="e">
        <f ca="1">IF(AND(I38&gt;="T5"),"&gt;","")</f>
        <v>#NAME?</v>
      </c>
      <c r="L38" s="69"/>
      <c r="M38" s="69"/>
      <c r="N38" s="162" t="e">
        <f ca="1">IF(_xll.EVDES(G38,$B$1)="#NODATA","",_xll.EVDES(G38,$B$1)&amp;" Food Rev")</f>
        <v>#NAME?</v>
      </c>
      <c r="O38" s="38">
        <v>2891</v>
      </c>
      <c r="P38" s="38">
        <v>2684</v>
      </c>
      <c r="Q38" s="38">
        <v>3121</v>
      </c>
      <c r="R38" s="38">
        <v>1855.55</v>
      </c>
      <c r="S38" s="38">
        <v>2588.5500000000002</v>
      </c>
      <c r="T38" s="38">
        <v>3167</v>
      </c>
      <c r="U38" s="38">
        <v>3980.01</v>
      </c>
      <c r="V38" s="38">
        <v>2569</v>
      </c>
      <c r="W38" s="38">
        <v>2175</v>
      </c>
      <c r="X38" s="38">
        <v>2440.4899999999998</v>
      </c>
      <c r="Y38" s="38">
        <v>2356</v>
      </c>
      <c r="Z38" s="38">
        <v>1058</v>
      </c>
      <c r="AA38" s="38" t="e">
        <f t="shared" ca="1" si="0"/>
        <v>#NAME?</v>
      </c>
      <c r="AB38" s="39" t="e">
        <f ca="1">IF(AA38=0,"",IFERROR(AA38/AA$19,""))</f>
        <v>#NAME?</v>
      </c>
      <c r="AD38" s="38">
        <v>67573.5</v>
      </c>
      <c r="AE38" s="39" t="str">
        <f ca="1">IF(AD38=0,"",IFERROR(AD38/AD$19,""))</f>
        <v/>
      </c>
      <c r="AF38" s="132" t="e">
        <f ca="1">IF(AND($AA38="",AD38=""),"",$AA38-AD38)</f>
        <v>#NAME?</v>
      </c>
      <c r="AG38" s="38">
        <v>53085.5</v>
      </c>
      <c r="AH38" s="39" t="str">
        <f ca="1">IF(AG38=0,"",IFERROR(AG38/AG$19,""))</f>
        <v/>
      </c>
      <c r="AI38" s="132" t="e">
        <f ca="1">IF(AND($AA38="",AG38=""),"",$AA38-AG38)</f>
        <v>#NAME?</v>
      </c>
      <c r="AJ38" s="357">
        <f t="shared" ref="AJ38:AJ56" ca="1" si="1">IFERROR(AA38/AA$20,0)</f>
        <v>0</v>
      </c>
      <c r="AK38" s="358">
        <f t="shared" ref="AK38:AK56" ca="1" si="2">IFERROR(AD38/AD$20,0)</f>
        <v>0</v>
      </c>
      <c r="AL38" s="359">
        <f t="shared" ref="AL38:AL56" ca="1" si="3">IFERROR(AG38/AG$20,0)</f>
        <v>0</v>
      </c>
      <c r="AM38" s="388">
        <f t="shared" ref="AM38:AM56" ca="1" si="4">+IFERROR(ROUND(($AB38-AE38)*100,2)&amp;" pts.",0)</f>
        <v>0</v>
      </c>
      <c r="AN38" s="389">
        <f t="shared" ref="AN38:AN56" ca="1" si="5">+IFERROR(ROUND(($AB38-AH38)*100,2)&amp;" pts.",0)</f>
        <v>0</v>
      </c>
    </row>
    <row r="39" spans="1:42" x14ac:dyDescent="0.25">
      <c r="A39" s="6" t="s">
        <v>2</v>
      </c>
      <c r="B39" s="7" t="e">
        <f ca="1">_xll.EVRNG($B$2:$B$10)</f>
        <v>#NAME?</v>
      </c>
      <c r="G39" s="15" t="s">
        <v>358</v>
      </c>
      <c r="H39" s="15" t="s">
        <v>265</v>
      </c>
      <c r="I39" s="161" t="e">
        <f ca="1">_xll.EVPRO($B$1,$H39,"STYLE")</f>
        <v>#NAME?</v>
      </c>
      <c r="J39" s="161" t="e">
        <f ca="1">_xll.EVPRO($B$1,$H39,"CALC")</f>
        <v>#NAME?</v>
      </c>
      <c r="K39" s="69" t="e">
        <f ca="1">IF(AND(I39&gt;="T5"),"&gt;","")</f>
        <v>#NAME?</v>
      </c>
      <c r="L39" s="69"/>
      <c r="M39" s="69"/>
      <c r="N39" s="8" t="e">
        <f ca="1">IF(_xll.EVDES(H39,$B$1)="#NODATA","",_xll.EVDES(H39,$B$1))</f>
        <v>#NAME?</v>
      </c>
      <c r="O39" s="134">
        <v>139862.84</v>
      </c>
      <c r="P39" s="134">
        <v>115789.75999999999</v>
      </c>
      <c r="Q39" s="134">
        <v>114319.95</v>
      </c>
      <c r="R39" s="134">
        <v>85546.91</v>
      </c>
      <c r="S39" s="134">
        <v>81361.070000000007</v>
      </c>
      <c r="T39" s="134">
        <v>74266.41</v>
      </c>
      <c r="U39" s="134">
        <v>66214.06</v>
      </c>
      <c r="V39" s="134">
        <v>60975.15</v>
      </c>
      <c r="W39" s="134">
        <v>51092.09</v>
      </c>
      <c r="X39" s="134">
        <v>58316.45</v>
      </c>
      <c r="Y39" s="134">
        <v>56983.199999999997</v>
      </c>
      <c r="Z39" s="134">
        <v>110180.17</v>
      </c>
      <c r="AA39" s="134" t="e">
        <f t="shared" ca="1" si="0"/>
        <v>#NAME?</v>
      </c>
      <c r="AB39" s="135" t="e">
        <f ca="1">IF(AA39=0,"",IFERROR(AA39/AA$19,""))</f>
        <v>#NAME?</v>
      </c>
      <c r="AD39" s="134">
        <v>1753969.82073</v>
      </c>
      <c r="AE39" s="135" t="str">
        <f ca="1">IF(AD39=0,"",IFERROR(AD39/AD$19,""))</f>
        <v/>
      </c>
      <c r="AF39" s="136" t="e">
        <f ca="1">IF(AND($AA39="",AD39=""),"",$AA39-AD39)</f>
        <v>#NAME?</v>
      </c>
      <c r="AG39" s="134">
        <v>1218988.71</v>
      </c>
      <c r="AH39" s="135" t="str">
        <f ca="1">IF(AG39=0,"",IFERROR(AG39/AG$19,""))</f>
        <v/>
      </c>
      <c r="AI39" s="136" t="e">
        <f ca="1">IF(AND($AA39="",AG39=""),"",$AA39-AG39)</f>
        <v>#NAME?</v>
      </c>
      <c r="AJ39" s="392">
        <f t="shared" ca="1" si="1"/>
        <v>0</v>
      </c>
      <c r="AK39" s="393">
        <f t="shared" ca="1" si="2"/>
        <v>0</v>
      </c>
      <c r="AL39" s="394">
        <f t="shared" ca="1" si="3"/>
        <v>0</v>
      </c>
      <c r="AM39" s="395">
        <f t="shared" ca="1" si="4"/>
        <v>0</v>
      </c>
      <c r="AN39" s="396">
        <f t="shared" ca="1" si="5"/>
        <v>0</v>
      </c>
    </row>
    <row r="40" spans="1:42" x14ac:dyDescent="0.25">
      <c r="A40" s="6" t="s">
        <v>3</v>
      </c>
      <c r="B40" s="7" t="e">
        <f ca="1">_xll.EVRNG($O$16:$AN$18)</f>
        <v>#NAME?</v>
      </c>
      <c r="G40" s="15"/>
      <c r="H40" s="1" t="s">
        <v>266</v>
      </c>
      <c r="I40" s="1" t="e">
        <f ca="1">_xll.EVPRO($B$1,$H40,"STYLE")</f>
        <v>#NAME?</v>
      </c>
      <c r="J40" s="1" t="e">
        <f ca="1">_xll.EVPRO($B$1,$H40,"CALC")</f>
        <v>#NAME?</v>
      </c>
      <c r="K40" s="69"/>
      <c r="L40" s="69"/>
      <c r="M40" s="69"/>
      <c r="N40" s="8" t="e">
        <f ca="1">IF(_xll.EVDES(H40,$B$1)="#NODATA","",_xll.EVDES(H40,$B$1))</f>
        <v>#NAME?</v>
      </c>
      <c r="O40" s="38"/>
      <c r="P40" s="38"/>
      <c r="Q40" s="38"/>
      <c r="R40" s="38"/>
      <c r="S40" s="38"/>
      <c r="T40" s="38"/>
      <c r="U40" s="38"/>
      <c r="V40" s="38"/>
      <c r="W40" s="38"/>
      <c r="X40" s="38"/>
      <c r="Y40" s="38"/>
      <c r="Z40" s="38"/>
      <c r="AA40" s="38" t="e">
        <f t="shared" ca="1" si="0"/>
        <v>#NAME?</v>
      </c>
      <c r="AB40" s="39"/>
      <c r="AD40" s="38"/>
      <c r="AE40" s="39"/>
      <c r="AF40" s="132"/>
      <c r="AG40" s="38"/>
      <c r="AH40" s="39"/>
      <c r="AI40" s="132"/>
      <c r="AJ40" s="353">
        <f t="shared" ca="1" si="1"/>
        <v>0</v>
      </c>
      <c r="AK40" s="354">
        <f t="shared" ca="1" si="2"/>
        <v>0</v>
      </c>
      <c r="AL40" s="356">
        <f t="shared" ca="1" si="3"/>
        <v>0</v>
      </c>
      <c r="AM40" s="390" t="str">
        <f t="shared" si="4"/>
        <v>0 pts.</v>
      </c>
      <c r="AN40" s="391" t="str">
        <f t="shared" si="5"/>
        <v>0 pts.</v>
      </c>
    </row>
    <row r="41" spans="1:42" x14ac:dyDescent="0.25">
      <c r="A41" s="6" t="s">
        <v>4</v>
      </c>
      <c r="B41" s="7" t="e">
        <f ca="1">_xll.EVRNG(H60:H68)</f>
        <v>#NAME?</v>
      </c>
      <c r="G41" s="15" t="s">
        <v>258</v>
      </c>
      <c r="H41" s="15" t="s">
        <v>272</v>
      </c>
      <c r="I41" s="161" t="e">
        <f ca="1">_xll.EVPRO($B$1,$H41,"STYLE")</f>
        <v>#NAME?</v>
      </c>
      <c r="J41" s="161" t="e">
        <f ca="1">_xll.EVPRO($B$1,$H41,"CALC")</f>
        <v>#NAME?</v>
      </c>
      <c r="K41" s="69" t="e">
        <f ca="1">IF(AND(I41&gt;="T5"),"&gt;","")</f>
        <v>#NAME?</v>
      </c>
      <c r="L41" s="69"/>
      <c r="M41" s="69"/>
      <c r="N41" s="162" t="e">
        <f ca="1">IF(_xll.EVDES(G41,$B$1)="#NODATA","",_xll.EVDES(G41,$B$1)&amp;" Beverage Rev")</f>
        <v>#NAME?</v>
      </c>
      <c r="O41" s="38">
        <v>59726.879999999997</v>
      </c>
      <c r="P41" s="38">
        <v>68422.820000000007</v>
      </c>
      <c r="Q41" s="38">
        <v>68298.28</v>
      </c>
      <c r="R41" s="38">
        <v>51394.8</v>
      </c>
      <c r="S41" s="38">
        <v>48681.599999999999</v>
      </c>
      <c r="T41" s="38">
        <v>48041.8</v>
      </c>
      <c r="U41" s="38">
        <v>42012.62</v>
      </c>
      <c r="V41" s="38">
        <v>34039.79</v>
      </c>
      <c r="W41" s="38">
        <v>36910.800000000003</v>
      </c>
      <c r="X41" s="38">
        <v>30593.5</v>
      </c>
      <c r="Y41" s="38">
        <v>36105.800000000003</v>
      </c>
      <c r="Z41" s="38">
        <v>42210.720000000001</v>
      </c>
      <c r="AA41" s="38" t="e">
        <f t="shared" ca="1" si="0"/>
        <v>#NAME?</v>
      </c>
      <c r="AB41" s="39" t="e">
        <f t="shared" ref="AB41:AB47" ca="1" si="6">IF(AA41=0,"",IFERROR(AA41/AA$19,""))</f>
        <v>#NAME?</v>
      </c>
      <c r="AD41" s="38">
        <v>1130160.7780850001</v>
      </c>
      <c r="AE41" s="39" t="str">
        <f t="shared" ref="AE41:AE47" ca="1" si="7">IF(AD41=0,"",IFERROR(AD41/AD$19,""))</f>
        <v/>
      </c>
      <c r="AF41" s="132" t="e">
        <f t="shared" ref="AF41:AF47" ca="1" si="8">IF(AND($AA41="",AD41=""),"",$AA41-AD41)</f>
        <v>#NAME?</v>
      </c>
      <c r="AG41" s="38">
        <v>698636.95</v>
      </c>
      <c r="AH41" s="39" t="str">
        <f t="shared" ref="AH41:AH47" ca="1" si="9">IF(AG41=0,"",IFERROR(AG41/AG$19,""))</f>
        <v/>
      </c>
      <c r="AI41" s="132" t="e">
        <f t="shared" ref="AI41:AI47" ca="1" si="10">IF(AND($AA41="",AG41=""),"",$AA41-AG41)</f>
        <v>#NAME?</v>
      </c>
      <c r="AJ41" s="350">
        <f t="shared" ca="1" si="1"/>
        <v>0</v>
      </c>
      <c r="AK41" s="351">
        <f t="shared" ca="1" si="2"/>
        <v>0</v>
      </c>
      <c r="AL41" s="352">
        <f t="shared" ca="1" si="3"/>
        <v>0</v>
      </c>
      <c r="AM41" s="387">
        <f t="shared" ca="1" si="4"/>
        <v>0</v>
      </c>
      <c r="AN41" s="386">
        <f t="shared" ca="1" si="5"/>
        <v>0</v>
      </c>
    </row>
    <row r="42" spans="1:42" x14ac:dyDescent="0.25">
      <c r="A42" s="6" t="s">
        <v>5</v>
      </c>
      <c r="B42" s="7"/>
      <c r="F42" s="152"/>
      <c r="G42" s="15" t="s">
        <v>346</v>
      </c>
      <c r="H42" s="15" t="s">
        <v>272</v>
      </c>
      <c r="I42" s="161" t="e">
        <f ca="1">_xll.EVPRO($B$1,$H42,"STYLE")</f>
        <v>#NAME?</v>
      </c>
      <c r="J42" s="161" t="e">
        <f ca="1">_xll.EVPRO($B$1,$H42,"CALC")</f>
        <v>#NAME?</v>
      </c>
      <c r="K42" s="69" t="e">
        <f ca="1">IF(AND(I42&gt;="T5"),"&gt;","")</f>
        <v>#NAME?</v>
      </c>
      <c r="L42" s="69"/>
      <c r="M42" s="69"/>
      <c r="N42" s="162" t="e">
        <f ca="1">IF(_xll.EVDES(G42,$B$1)="#NODATA","",_xll.EVDES(G42,$B$1)&amp;" Beverage Rev")</f>
        <v>#NAME?</v>
      </c>
      <c r="O42" s="38"/>
      <c r="P42" s="38"/>
      <c r="Q42" s="38"/>
      <c r="R42" s="38"/>
      <c r="S42" s="38"/>
      <c r="T42" s="38"/>
      <c r="U42" s="38"/>
      <c r="V42" s="38"/>
      <c r="W42" s="38"/>
      <c r="X42" s="38"/>
      <c r="Y42" s="38"/>
      <c r="Z42" s="38"/>
      <c r="AA42" s="38" t="e">
        <f t="shared" ca="1" si="0"/>
        <v>#NAME?</v>
      </c>
      <c r="AB42" s="39" t="e">
        <f t="shared" ca="1" si="6"/>
        <v>#NAME?</v>
      </c>
      <c r="AD42" s="38"/>
      <c r="AE42" s="39" t="str">
        <f t="shared" si="7"/>
        <v/>
      </c>
      <c r="AF42" s="132" t="e">
        <f t="shared" ca="1" si="8"/>
        <v>#NAME?</v>
      </c>
      <c r="AG42" s="38"/>
      <c r="AH42" s="39" t="str">
        <f t="shared" si="9"/>
        <v/>
      </c>
      <c r="AI42" s="132" t="e">
        <f t="shared" ca="1" si="10"/>
        <v>#NAME?</v>
      </c>
      <c r="AJ42" s="350">
        <f t="shared" ca="1" si="1"/>
        <v>0</v>
      </c>
      <c r="AK42" s="351">
        <f t="shared" ca="1" si="2"/>
        <v>0</v>
      </c>
      <c r="AL42" s="352">
        <f t="shared" ca="1" si="3"/>
        <v>0</v>
      </c>
      <c r="AM42" s="387">
        <f t="shared" ca="1" si="4"/>
        <v>0</v>
      </c>
      <c r="AN42" s="386">
        <f t="shared" ca="1" si="5"/>
        <v>0</v>
      </c>
    </row>
    <row r="43" spans="1:42" x14ac:dyDescent="0.25">
      <c r="A43" s="6" t="s">
        <v>6</v>
      </c>
      <c r="B43" s="7"/>
      <c r="F43" s="152"/>
      <c r="G43" s="15" t="s">
        <v>347</v>
      </c>
      <c r="H43" s="15" t="s">
        <v>272</v>
      </c>
      <c r="I43" s="161" t="e">
        <f ca="1">_xll.EVPRO($B$1,$H43,"STYLE")</f>
        <v>#NAME?</v>
      </c>
      <c r="J43" s="161" t="e">
        <f ca="1">_xll.EVPRO($B$1,$H43,"CALC")</f>
        <v>#NAME?</v>
      </c>
      <c r="K43" s="69" t="e">
        <f ca="1">IF(AND(I43&gt;="T5"),"&gt;","")</f>
        <v>#NAME?</v>
      </c>
      <c r="L43" s="69"/>
      <c r="M43" s="69"/>
      <c r="N43" s="162" t="e">
        <f ca="1">IF(_xll.EVDES(G43,$B$1)="#NODATA","",_xll.EVDES(G43,$B$1)&amp;" Beverage Rev")</f>
        <v>#NAME?</v>
      </c>
      <c r="O43" s="38">
        <v>3536</v>
      </c>
      <c r="P43" s="38"/>
      <c r="Q43" s="38">
        <v>3403</v>
      </c>
      <c r="R43" s="38">
        <v>2108</v>
      </c>
      <c r="S43" s="38">
        <v>9512</v>
      </c>
      <c r="T43" s="38">
        <v>311</v>
      </c>
      <c r="U43" s="38"/>
      <c r="V43" s="38">
        <v>1170</v>
      </c>
      <c r="W43" s="38">
        <v>885</v>
      </c>
      <c r="X43" s="38"/>
      <c r="Y43" s="38">
        <v>4968</v>
      </c>
      <c r="Z43" s="38">
        <v>7723.75</v>
      </c>
      <c r="AA43" s="38" t="e">
        <f t="shared" ca="1" si="0"/>
        <v>#NAME?</v>
      </c>
      <c r="AB43" s="39" t="e">
        <f t="shared" ca="1" si="6"/>
        <v>#NAME?</v>
      </c>
      <c r="AD43" s="38">
        <v>8625.0911849999993</v>
      </c>
      <c r="AE43" s="39" t="str">
        <f t="shared" ca="1" si="7"/>
        <v/>
      </c>
      <c r="AF43" s="132" t="e">
        <f t="shared" ca="1" si="8"/>
        <v>#NAME?</v>
      </c>
      <c r="AG43" s="38">
        <v>21862</v>
      </c>
      <c r="AH43" s="39" t="str">
        <f t="shared" ca="1" si="9"/>
        <v/>
      </c>
      <c r="AI43" s="132" t="e">
        <f t="shared" ca="1" si="10"/>
        <v>#NAME?</v>
      </c>
      <c r="AJ43" s="350">
        <f t="shared" ca="1" si="1"/>
        <v>0</v>
      </c>
      <c r="AK43" s="351">
        <f t="shared" ca="1" si="2"/>
        <v>0</v>
      </c>
      <c r="AL43" s="352">
        <f t="shared" ca="1" si="3"/>
        <v>0</v>
      </c>
      <c r="AM43" s="387">
        <f t="shared" ca="1" si="4"/>
        <v>0</v>
      </c>
      <c r="AN43" s="386">
        <f t="shared" ca="1" si="5"/>
        <v>0</v>
      </c>
    </row>
    <row r="44" spans="1:42" x14ac:dyDescent="0.25">
      <c r="A44" s="6" t="s">
        <v>7</v>
      </c>
      <c r="B44" s="7" t="e">
        <f ca="1">_xll.EVRNG(A58:F66)</f>
        <v>#NAME?</v>
      </c>
      <c r="F44" s="152"/>
      <c r="G44" s="15" t="s">
        <v>349</v>
      </c>
      <c r="H44" s="15" t="s">
        <v>272</v>
      </c>
      <c r="I44" s="161" t="e">
        <f ca="1">_xll.EVPRO($B$1,$H44,"STYLE")</f>
        <v>#NAME?</v>
      </c>
      <c r="J44" s="161" t="e">
        <f ca="1">_xll.EVPRO($B$1,$H44,"CALC")</f>
        <v>#NAME?</v>
      </c>
      <c r="K44" s="69" t="e">
        <f ca="1">IF(AND(I44&gt;="T5"),"&gt;","")</f>
        <v>#NAME?</v>
      </c>
      <c r="L44" s="69"/>
      <c r="M44" s="69"/>
      <c r="N44" s="162" t="e">
        <f ca="1">IF(_xll.EVDES(G44,$B$1)="#NODATA","",_xll.EVDES(G44,$B$1)&amp;" Beverage Rev")</f>
        <v>#NAME?</v>
      </c>
      <c r="O44" s="38">
        <v>2412.34</v>
      </c>
      <c r="P44" s="38">
        <v>2979.96</v>
      </c>
      <c r="Q44" s="38">
        <v>4543</v>
      </c>
      <c r="R44" s="38">
        <v>2210.63</v>
      </c>
      <c r="S44" s="38">
        <v>2956</v>
      </c>
      <c r="T44" s="38">
        <v>2486</v>
      </c>
      <c r="U44" s="38">
        <v>2531.31</v>
      </c>
      <c r="V44" s="38">
        <v>2954.78</v>
      </c>
      <c r="W44" s="38">
        <v>2044.38</v>
      </c>
      <c r="X44" s="38">
        <v>2888</v>
      </c>
      <c r="Y44" s="38">
        <v>2261.89</v>
      </c>
      <c r="Z44" s="38">
        <v>5406</v>
      </c>
      <c r="AA44" s="38" t="e">
        <f t="shared" ca="1" si="0"/>
        <v>#NAME?</v>
      </c>
      <c r="AB44" s="39" t="e">
        <f t="shared" ca="1" si="6"/>
        <v>#NAME?</v>
      </c>
      <c r="AD44" s="38">
        <v>33002.400000000001</v>
      </c>
      <c r="AE44" s="39" t="str">
        <f t="shared" ca="1" si="7"/>
        <v/>
      </c>
      <c r="AF44" s="132" t="e">
        <f t="shared" ca="1" si="8"/>
        <v>#NAME?</v>
      </c>
      <c r="AG44" s="38">
        <v>12618.35</v>
      </c>
      <c r="AH44" s="39" t="str">
        <f t="shared" ca="1" si="9"/>
        <v/>
      </c>
      <c r="AI44" s="132" t="e">
        <f t="shared" ca="1" si="10"/>
        <v>#NAME?</v>
      </c>
      <c r="AJ44" s="357">
        <f t="shared" ca="1" si="1"/>
        <v>0</v>
      </c>
      <c r="AK44" s="358">
        <f t="shared" ca="1" si="2"/>
        <v>0</v>
      </c>
      <c r="AL44" s="359">
        <f t="shared" ca="1" si="3"/>
        <v>0</v>
      </c>
      <c r="AM44" s="388">
        <f t="shared" ca="1" si="4"/>
        <v>0</v>
      </c>
      <c r="AN44" s="389">
        <f t="shared" ca="1" si="5"/>
        <v>0</v>
      </c>
    </row>
    <row r="45" spans="1:42" x14ac:dyDescent="0.25">
      <c r="A45" s="6" t="s">
        <v>47</v>
      </c>
      <c r="B45" s="7" t="e">
        <f ca="1">_xll.EVRNG($A$114:$B$135)</f>
        <v>#NAME?</v>
      </c>
      <c r="G45" s="15" t="s">
        <v>358</v>
      </c>
      <c r="H45" s="15" t="s">
        <v>272</v>
      </c>
      <c r="I45" s="161" t="e">
        <f ca="1">_xll.EVPRO($B$1,$H45,"STYLE")</f>
        <v>#NAME?</v>
      </c>
      <c r="J45" s="161" t="e">
        <f ca="1">_xll.EVPRO($B$1,$H45,"CALC")</f>
        <v>#NAME?</v>
      </c>
      <c r="K45" s="69" t="e">
        <f ca="1">IF(AND(I45&gt;="T5"),"&gt;","")</f>
        <v>#NAME?</v>
      </c>
      <c r="L45" s="69"/>
      <c r="M45" s="69"/>
      <c r="N45" s="8" t="e">
        <f ca="1">IF(_xll.EVDES(H45,$B$1)="#NODATA","",_xll.EVDES(H45,$B$1))</f>
        <v>#NAME?</v>
      </c>
      <c r="O45" s="134">
        <v>65675.22</v>
      </c>
      <c r="P45" s="134">
        <v>71402.78</v>
      </c>
      <c r="Q45" s="134">
        <v>76244.28</v>
      </c>
      <c r="R45" s="134">
        <v>55713.43</v>
      </c>
      <c r="S45" s="134">
        <v>61149.599999999999</v>
      </c>
      <c r="T45" s="134">
        <v>50838.8</v>
      </c>
      <c r="U45" s="134">
        <v>44543.93</v>
      </c>
      <c r="V45" s="134">
        <v>38164.57</v>
      </c>
      <c r="W45" s="134">
        <v>39840.18</v>
      </c>
      <c r="X45" s="134">
        <v>33481.5</v>
      </c>
      <c r="Y45" s="134">
        <v>43335.69</v>
      </c>
      <c r="Z45" s="134">
        <v>55340.47</v>
      </c>
      <c r="AA45" s="134" t="e">
        <f t="shared" ca="1" si="0"/>
        <v>#NAME?</v>
      </c>
      <c r="AB45" s="135" t="e">
        <f t="shared" ca="1" si="6"/>
        <v>#NAME?</v>
      </c>
      <c r="AD45" s="134">
        <v>1171788.26927</v>
      </c>
      <c r="AE45" s="135" t="str">
        <f t="shared" ca="1" si="7"/>
        <v/>
      </c>
      <c r="AF45" s="136" t="e">
        <f t="shared" ca="1" si="8"/>
        <v>#NAME?</v>
      </c>
      <c r="AG45" s="134">
        <v>733117.3</v>
      </c>
      <c r="AH45" s="135" t="str">
        <f t="shared" ca="1" si="9"/>
        <v/>
      </c>
      <c r="AI45" s="136" t="e">
        <f t="shared" ca="1" si="10"/>
        <v>#NAME?</v>
      </c>
      <c r="AJ45" s="392">
        <f t="shared" ca="1" si="1"/>
        <v>0</v>
      </c>
      <c r="AK45" s="393">
        <f t="shared" ca="1" si="2"/>
        <v>0</v>
      </c>
      <c r="AL45" s="394">
        <f t="shared" ca="1" si="3"/>
        <v>0</v>
      </c>
      <c r="AM45" s="395">
        <f t="shared" ca="1" si="4"/>
        <v>0</v>
      </c>
      <c r="AN45" s="396">
        <f t="shared" ca="1" si="5"/>
        <v>0</v>
      </c>
    </row>
    <row r="46" spans="1:42" x14ac:dyDescent="0.25">
      <c r="A46" s="6" t="s">
        <v>8</v>
      </c>
      <c r="B46" s="7"/>
      <c r="G46" s="15" t="s">
        <v>358</v>
      </c>
      <c r="H46" s="15" t="s">
        <v>486</v>
      </c>
      <c r="I46" s="28"/>
      <c r="J46" s="28"/>
      <c r="K46" s="69"/>
      <c r="L46" s="69"/>
      <c r="M46" s="69"/>
      <c r="N46" s="162" t="e">
        <f ca="1">IF(_xll.EVDES(H46,$B$1)="#NODATA","",_xll.EVDES(H46,$B$1))</f>
        <v>#NAME?</v>
      </c>
      <c r="O46" s="38">
        <v>-238.62</v>
      </c>
      <c r="P46" s="38">
        <v>-342.8</v>
      </c>
      <c r="Q46" s="38"/>
      <c r="R46" s="38">
        <v>-133.71</v>
      </c>
      <c r="S46" s="38">
        <v>-527.83000000000004</v>
      </c>
      <c r="T46" s="38"/>
      <c r="U46" s="38">
        <v>-0.49</v>
      </c>
      <c r="V46" s="38">
        <v>-359.79</v>
      </c>
      <c r="W46" s="38"/>
      <c r="X46" s="38">
        <v>-122.28</v>
      </c>
      <c r="Y46" s="38">
        <v>-390.24</v>
      </c>
      <c r="Z46" s="38"/>
      <c r="AA46" s="38">
        <f t="shared" si="0"/>
        <v>-2115.7600000000002</v>
      </c>
      <c r="AB46" s="39" t="str">
        <f t="shared" ca="1" si="6"/>
        <v/>
      </c>
      <c r="AD46" s="38"/>
      <c r="AE46" s="39" t="str">
        <f t="shared" si="7"/>
        <v/>
      </c>
      <c r="AF46" s="132">
        <f t="shared" si="8"/>
        <v>-2115.7600000000002</v>
      </c>
      <c r="AG46" s="38">
        <v>-2480.6999999999998</v>
      </c>
      <c r="AH46" s="39" t="str">
        <f t="shared" ca="1" si="9"/>
        <v/>
      </c>
      <c r="AI46" s="132">
        <f t="shared" si="10"/>
        <v>364.9399999999996</v>
      </c>
      <c r="AJ46" s="353">
        <f t="shared" ca="1" si="1"/>
        <v>0</v>
      </c>
      <c r="AK46" s="354">
        <f t="shared" ca="1" si="2"/>
        <v>0</v>
      </c>
      <c r="AL46" s="356">
        <f t="shared" ca="1" si="3"/>
        <v>0</v>
      </c>
      <c r="AM46" s="390">
        <f t="shared" ca="1" si="4"/>
        <v>0</v>
      </c>
      <c r="AN46" s="391">
        <f t="shared" ca="1" si="5"/>
        <v>0</v>
      </c>
    </row>
    <row r="47" spans="1:42" x14ac:dyDescent="0.25">
      <c r="G47" s="15" t="s">
        <v>358</v>
      </c>
      <c r="H47" s="15" t="s">
        <v>273</v>
      </c>
      <c r="I47" s="161" t="e">
        <f ca="1">_xll.EVPRO($B$1,$H47,"STYLE")</f>
        <v>#NAME?</v>
      </c>
      <c r="J47" s="161" t="e">
        <f ca="1">_xll.EVPRO($B$1,$H47,"CALC")</f>
        <v>#NAME?</v>
      </c>
      <c r="K47" s="69" t="e">
        <f ca="1">IF(AND(I47&gt;="T5"),"&gt;","")</f>
        <v>#NAME?</v>
      </c>
      <c r="L47" s="69"/>
      <c r="M47" s="69"/>
      <c r="N47" s="8" t="e">
        <f ca="1">IF(_xll.EVDES(H47,$B$1)="#NODATA","",_xll.EVDES(H47,$B$1))</f>
        <v>#NAME?</v>
      </c>
      <c r="O47" s="134">
        <v>205299.44</v>
      </c>
      <c r="P47" s="134">
        <v>186849.74</v>
      </c>
      <c r="Q47" s="134">
        <v>190564.23</v>
      </c>
      <c r="R47" s="134">
        <v>141126.63</v>
      </c>
      <c r="S47" s="134">
        <v>141982.84</v>
      </c>
      <c r="T47" s="134">
        <v>125105.21</v>
      </c>
      <c r="U47" s="134">
        <v>110757.5</v>
      </c>
      <c r="V47" s="134">
        <v>98779.93</v>
      </c>
      <c r="W47" s="134">
        <v>90932.27</v>
      </c>
      <c r="X47" s="134">
        <v>91675.67</v>
      </c>
      <c r="Y47" s="134">
        <v>99928.65</v>
      </c>
      <c r="Z47" s="134">
        <v>165520.64000000001</v>
      </c>
      <c r="AA47" s="134" t="e">
        <f t="shared" ca="1" si="0"/>
        <v>#NAME?</v>
      </c>
      <c r="AB47" s="135" t="e">
        <f t="shared" ca="1" si="6"/>
        <v>#NAME?</v>
      </c>
      <c r="AD47" s="134">
        <v>2925758.09</v>
      </c>
      <c r="AE47" s="135" t="str">
        <f t="shared" ca="1" si="7"/>
        <v/>
      </c>
      <c r="AF47" s="136" t="e">
        <f t="shared" ca="1" si="8"/>
        <v>#NAME?</v>
      </c>
      <c r="AG47" s="134">
        <v>1949625.31</v>
      </c>
      <c r="AH47" s="135" t="str">
        <f t="shared" ca="1" si="9"/>
        <v/>
      </c>
      <c r="AI47" s="136" t="e">
        <f t="shared" ca="1" si="10"/>
        <v>#NAME?</v>
      </c>
      <c r="AJ47" s="392">
        <f t="shared" ca="1" si="1"/>
        <v>0</v>
      </c>
      <c r="AK47" s="393">
        <f t="shared" ca="1" si="2"/>
        <v>0</v>
      </c>
      <c r="AL47" s="394">
        <f t="shared" ca="1" si="3"/>
        <v>0</v>
      </c>
      <c r="AM47" s="397">
        <f t="shared" ca="1" si="4"/>
        <v>0</v>
      </c>
      <c r="AN47" s="396">
        <f t="shared" ca="1" si="5"/>
        <v>0</v>
      </c>
    </row>
    <row r="48" spans="1:42" x14ac:dyDescent="0.25">
      <c r="A48" s="3" t="s">
        <v>9</v>
      </c>
      <c r="B48" s="5" t="s">
        <v>10</v>
      </c>
      <c r="G48" s="15"/>
      <c r="H48" s="1" t="s">
        <v>279</v>
      </c>
      <c r="I48" s="1" t="e">
        <f ca="1">_xll.EVPRO($B$1,$H48,"STYLE")</f>
        <v>#NAME?</v>
      </c>
      <c r="J48" s="1" t="e">
        <f ca="1">_xll.EVPRO($B$1,$H48,"CALC")</f>
        <v>#NAME?</v>
      </c>
      <c r="K48" s="69" t="e">
        <f ca="1">IF(AND(I48&gt;="T5"),"&gt;","")</f>
        <v>#NAME?</v>
      </c>
      <c r="L48" s="69"/>
      <c r="M48" s="69"/>
      <c r="N48" s="25" t="e">
        <f ca="1">IF(_xll.EVDES(H48,$B$1)="#NODATA","",_xll.EVDES(H48,$B$1))</f>
        <v>#NAME?</v>
      </c>
      <c r="O48" s="185"/>
      <c r="P48" s="288"/>
      <c r="Q48" s="288"/>
      <c r="R48" s="288"/>
      <c r="S48" s="288"/>
      <c r="T48" s="288"/>
      <c r="U48" s="288"/>
      <c r="V48" s="288"/>
      <c r="W48" s="288"/>
      <c r="X48" s="288"/>
      <c r="Y48" s="288"/>
      <c r="Z48" s="288"/>
      <c r="AA48" s="288" t="e">
        <f t="shared" ca="1" si="0"/>
        <v>#NAME?</v>
      </c>
      <c r="AB48" s="186"/>
      <c r="AD48" s="185"/>
      <c r="AE48" s="187"/>
      <c r="AF48" s="188"/>
      <c r="AG48" s="185"/>
      <c r="AH48" s="187"/>
      <c r="AI48" s="188"/>
      <c r="AJ48" s="350">
        <f t="shared" ca="1" si="1"/>
        <v>0</v>
      </c>
      <c r="AK48" s="351">
        <f t="shared" ca="1" si="2"/>
        <v>0</v>
      </c>
      <c r="AL48" s="352">
        <f t="shared" ca="1" si="3"/>
        <v>0</v>
      </c>
      <c r="AM48" s="387" t="str">
        <f t="shared" si="4"/>
        <v>0 pts.</v>
      </c>
      <c r="AN48" s="386" t="str">
        <f t="shared" si="5"/>
        <v>0 pts.</v>
      </c>
    </row>
    <row r="49" spans="1:41" x14ac:dyDescent="0.25">
      <c r="A49" s="6" t="s">
        <v>11</v>
      </c>
      <c r="B49" s="7" t="s">
        <v>21</v>
      </c>
      <c r="G49" s="15" t="s">
        <v>358</v>
      </c>
      <c r="H49" s="15" t="s">
        <v>274</v>
      </c>
      <c r="I49" s="161" t="e">
        <f ca="1">_xll.EVPRO($B$1,$H49,"STYLE")</f>
        <v>#NAME?</v>
      </c>
      <c r="J49" s="161" t="e">
        <f ca="1">_xll.EVPRO($B$1,$H49,"CALC")</f>
        <v>#NAME?</v>
      </c>
      <c r="K49" s="69"/>
      <c r="L49" s="69"/>
      <c r="M49" s="69"/>
      <c r="N49" s="162" t="e">
        <f ca="1">IF(_xll.EVDES(H49,$B$1)="#NODATA","",_xll.EVDES(H49,$B$1))</f>
        <v>#NAME?</v>
      </c>
      <c r="O49" s="21">
        <v>5180</v>
      </c>
      <c r="P49" s="21">
        <v>2870</v>
      </c>
      <c r="Q49" s="21">
        <v>2680</v>
      </c>
      <c r="R49" s="21">
        <v>1815.05</v>
      </c>
      <c r="S49" s="21">
        <v>-553.79999999999995</v>
      </c>
      <c r="T49" s="21">
        <v>970</v>
      </c>
      <c r="U49" s="21">
        <v>1135</v>
      </c>
      <c r="V49" s="21">
        <v>446.6</v>
      </c>
      <c r="W49" s="21">
        <v>1120</v>
      </c>
      <c r="X49" s="21">
        <v>2474.15</v>
      </c>
      <c r="Y49" s="21">
        <v>989.03</v>
      </c>
      <c r="Z49" s="21">
        <v>3715.2</v>
      </c>
      <c r="AA49" s="21" t="e">
        <f t="shared" ca="1" si="0"/>
        <v>#NAME?</v>
      </c>
      <c r="AB49" s="17" t="e">
        <f t="shared" ref="AB49:AB56" ca="1" si="11">IF(AA49=0,"",IFERROR(AA49/AA$19,""))</f>
        <v>#NAME?</v>
      </c>
      <c r="AD49" s="21">
        <v>28440.240000000002</v>
      </c>
      <c r="AE49" s="17" t="str">
        <f t="shared" ref="AE49:AE56" ca="1" si="12">IF(AD49=0,"",IFERROR(AD49/AD$19,""))</f>
        <v/>
      </c>
      <c r="AF49" s="50" t="e">
        <f t="shared" ref="AF49:AF56" ca="1" si="13">IF(AND($AA49="",AD49=""),"",$AA49-AD49)</f>
        <v>#NAME?</v>
      </c>
      <c r="AG49" s="21">
        <v>21595</v>
      </c>
      <c r="AH49" s="17" t="str">
        <f t="shared" ref="AH49:AH56" ca="1" si="14">IF(AG49=0,"",IFERROR(AG49/AG$19,""))</f>
        <v/>
      </c>
      <c r="AI49" s="50" t="e">
        <f t="shared" ref="AI49:AI56" ca="1" si="15">IF(AND($AA49="",AG49=""),"",$AA49-AG49)</f>
        <v>#NAME?</v>
      </c>
      <c r="AJ49" s="350">
        <f t="shared" ca="1" si="1"/>
        <v>0</v>
      </c>
      <c r="AK49" s="351">
        <f t="shared" ca="1" si="2"/>
        <v>0</v>
      </c>
      <c r="AL49" s="352">
        <f t="shared" ca="1" si="3"/>
        <v>0</v>
      </c>
      <c r="AM49" s="387">
        <f t="shared" ca="1" si="4"/>
        <v>0</v>
      </c>
      <c r="AN49" s="386">
        <f t="shared" ca="1" si="5"/>
        <v>0</v>
      </c>
    </row>
    <row r="50" spans="1:41" x14ac:dyDescent="0.25">
      <c r="A50" s="6" t="s">
        <v>12</v>
      </c>
      <c r="B50" s="7" t="s">
        <v>22</v>
      </c>
      <c r="G50" s="15" t="s">
        <v>358</v>
      </c>
      <c r="H50" s="15" t="s">
        <v>275</v>
      </c>
      <c r="I50" s="161" t="e">
        <f ca="1">_xll.EVPRO($B$1,$H50,"STYLE")</f>
        <v>#NAME?</v>
      </c>
      <c r="J50" s="161" t="e">
        <f ca="1">_xll.EVPRO($B$1,$H50,"CALC")</f>
        <v>#NAME?</v>
      </c>
      <c r="K50" s="69"/>
      <c r="L50" s="69"/>
      <c r="M50" s="69"/>
      <c r="N50" s="162" t="e">
        <f ca="1">IF(_xll.EVDES(H50,$B$1)="#NODATA","",_xll.EVDES(H50,$B$1))</f>
        <v>#NAME?</v>
      </c>
      <c r="O50" s="38">
        <v>10450</v>
      </c>
      <c r="P50" s="38">
        <v>5500</v>
      </c>
      <c r="Q50" s="38">
        <v>13850</v>
      </c>
      <c r="R50" s="38">
        <v>4150</v>
      </c>
      <c r="S50" s="38">
        <v>450</v>
      </c>
      <c r="T50" s="38">
        <v>2900</v>
      </c>
      <c r="U50" s="38">
        <v>750</v>
      </c>
      <c r="V50" s="38">
        <v>1000</v>
      </c>
      <c r="W50" s="38">
        <v>1080</v>
      </c>
      <c r="X50" s="38">
        <v>2390.5</v>
      </c>
      <c r="Y50" s="38">
        <v>4467.2700000000004</v>
      </c>
      <c r="Z50" s="38">
        <v>13389.95</v>
      </c>
      <c r="AA50" s="38" t="e">
        <f t="shared" ca="1" si="0"/>
        <v>#NAME?</v>
      </c>
      <c r="AB50" s="39" t="e">
        <f t="shared" ca="1" si="11"/>
        <v>#NAME?</v>
      </c>
      <c r="AD50" s="38">
        <v>120916.5</v>
      </c>
      <c r="AE50" s="39" t="str">
        <f t="shared" ca="1" si="12"/>
        <v/>
      </c>
      <c r="AF50" s="132" t="e">
        <f t="shared" ca="1" si="13"/>
        <v>#NAME?</v>
      </c>
      <c r="AG50" s="38">
        <v>96710</v>
      </c>
      <c r="AH50" s="39" t="str">
        <f t="shared" ca="1" si="14"/>
        <v/>
      </c>
      <c r="AI50" s="132" t="e">
        <f t="shared" ca="1" si="15"/>
        <v>#NAME?</v>
      </c>
      <c r="AJ50" s="350">
        <f t="shared" ca="1" si="1"/>
        <v>0</v>
      </c>
      <c r="AK50" s="351">
        <f t="shared" ca="1" si="2"/>
        <v>0</v>
      </c>
      <c r="AL50" s="352">
        <f t="shared" ca="1" si="3"/>
        <v>0</v>
      </c>
      <c r="AM50" s="387">
        <f t="shared" ca="1" si="4"/>
        <v>0</v>
      </c>
      <c r="AN50" s="386">
        <f t="shared" ca="1" si="5"/>
        <v>0</v>
      </c>
    </row>
    <row r="51" spans="1:41" x14ac:dyDescent="0.25">
      <c r="A51" s="6" t="s">
        <v>13</v>
      </c>
      <c r="B51" s="7" t="e">
        <f ca="1">"DEP(COS_FB) AND "&amp;$E$6&amp;"=Y,COS_FB,COSOTH,DEP(COS_OTHR) AND "&amp;$E$6&amp;"=Y,COS_OTHR,500001"</f>
        <v>#NAME?</v>
      </c>
      <c r="G51" s="15" t="s">
        <v>358</v>
      </c>
      <c r="H51" s="15" t="s">
        <v>276</v>
      </c>
      <c r="I51" s="161" t="e">
        <f ca="1">_xll.EVPRO($B$1,$H51,"STYLE")</f>
        <v>#NAME?</v>
      </c>
      <c r="J51" s="161" t="e">
        <f ca="1">_xll.EVPRO($B$1,$H51,"CALC")</f>
        <v>#NAME?</v>
      </c>
      <c r="K51" s="69"/>
      <c r="L51" s="69"/>
      <c r="M51" s="69"/>
      <c r="N51" s="162" t="e">
        <f ca="1">IF(_xll.EVDES(H51,$B$1)="#NODATA","",_xll.EVDES(H51,$B$1))</f>
        <v>#NAME?</v>
      </c>
      <c r="O51" s="38"/>
      <c r="P51" s="38"/>
      <c r="Q51" s="38"/>
      <c r="R51" s="38"/>
      <c r="S51" s="38"/>
      <c r="T51" s="38"/>
      <c r="U51" s="38"/>
      <c r="V51" s="38"/>
      <c r="W51" s="38"/>
      <c r="X51" s="38"/>
      <c r="Y51" s="38"/>
      <c r="Z51" s="38"/>
      <c r="AA51" s="38" t="e">
        <f t="shared" ca="1" si="0"/>
        <v>#NAME?</v>
      </c>
      <c r="AB51" s="39" t="e">
        <f t="shared" ca="1" si="11"/>
        <v>#NAME?</v>
      </c>
      <c r="AD51" s="38"/>
      <c r="AE51" s="39" t="str">
        <f t="shared" si="12"/>
        <v/>
      </c>
      <c r="AF51" s="132" t="e">
        <f t="shared" ca="1" si="13"/>
        <v>#NAME?</v>
      </c>
      <c r="AG51" s="38"/>
      <c r="AH51" s="39" t="str">
        <f>IF(AG51=0,"",IFERROR(AG51/AG$19,""))</f>
        <v/>
      </c>
      <c r="AI51" s="132" t="e">
        <f t="shared" ca="1" si="15"/>
        <v>#NAME?</v>
      </c>
      <c r="AJ51" s="350">
        <f t="shared" ca="1" si="1"/>
        <v>0</v>
      </c>
      <c r="AK51" s="351">
        <f t="shared" ca="1" si="2"/>
        <v>0</v>
      </c>
      <c r="AL51" s="352">
        <f t="shared" ca="1" si="3"/>
        <v>0</v>
      </c>
      <c r="AM51" s="387">
        <f t="shared" ca="1" si="4"/>
        <v>0</v>
      </c>
      <c r="AN51" s="386">
        <f t="shared" ca="1" si="5"/>
        <v>0</v>
      </c>
    </row>
    <row r="52" spans="1:41" x14ac:dyDescent="0.25">
      <c r="A52" s="6" t="s">
        <v>14</v>
      </c>
      <c r="B52" s="7"/>
      <c r="G52" s="15" t="s">
        <v>358</v>
      </c>
      <c r="H52" s="15" t="s">
        <v>282</v>
      </c>
      <c r="I52" s="161" t="e">
        <f ca="1">_xll.EVPRO($B$1,$H52,"STYLE")</f>
        <v>#NAME?</v>
      </c>
      <c r="J52" s="161" t="e">
        <f ca="1">_xll.EVPRO($B$1,$H52,"CALC")</f>
        <v>#NAME?</v>
      </c>
      <c r="K52" s="69"/>
      <c r="L52" s="69"/>
      <c r="M52" s="69"/>
      <c r="N52" s="162" t="e">
        <f ca="1">IF(_xll.EVDES(H52,$B$1)="#NODATA","",_xll.EVDES(H52,$B$1))</f>
        <v>#NAME?</v>
      </c>
      <c r="O52" s="38">
        <v>38139.660000000003</v>
      </c>
      <c r="P52" s="38">
        <v>36427.21</v>
      </c>
      <c r="Q52" s="38">
        <v>35165.64</v>
      </c>
      <c r="R52" s="38">
        <v>26581.94</v>
      </c>
      <c r="S52" s="38">
        <v>26725.82</v>
      </c>
      <c r="T52" s="38">
        <v>22420.86</v>
      </c>
      <c r="U52" s="38">
        <v>19820.189999999999</v>
      </c>
      <c r="V52" s="38">
        <v>17965.330000000002</v>
      </c>
      <c r="W52" s="38">
        <v>16538.88</v>
      </c>
      <c r="X52" s="38">
        <v>17282.18</v>
      </c>
      <c r="Y52" s="38">
        <v>18528.43</v>
      </c>
      <c r="Z52" s="38">
        <v>32288.61</v>
      </c>
      <c r="AA52" s="38" t="e">
        <f t="shared" ca="1" si="0"/>
        <v>#NAME?</v>
      </c>
      <c r="AB52" s="39" t="e">
        <f t="shared" ca="1" si="11"/>
        <v>#NAME?</v>
      </c>
      <c r="AD52" s="38">
        <v>522107.28419999999</v>
      </c>
      <c r="AE52" s="39" t="str">
        <f t="shared" ca="1" si="12"/>
        <v/>
      </c>
      <c r="AF52" s="132" t="e">
        <f t="shared" ca="1" si="13"/>
        <v>#NAME?</v>
      </c>
      <c r="AG52" s="38">
        <v>357263.61</v>
      </c>
      <c r="AH52" s="39" t="str">
        <f t="shared" ca="1" si="14"/>
        <v/>
      </c>
      <c r="AI52" s="132" t="e">
        <f t="shared" ca="1" si="15"/>
        <v>#NAME?</v>
      </c>
      <c r="AJ52" s="350">
        <f t="shared" ca="1" si="1"/>
        <v>0</v>
      </c>
      <c r="AK52" s="351">
        <f t="shared" ca="1" si="2"/>
        <v>0</v>
      </c>
      <c r="AL52" s="352">
        <f t="shared" ca="1" si="3"/>
        <v>0</v>
      </c>
      <c r="AM52" s="387">
        <f t="shared" ca="1" si="4"/>
        <v>0</v>
      </c>
      <c r="AN52" s="386">
        <f t="shared" ca="1" si="5"/>
        <v>0</v>
      </c>
    </row>
    <row r="53" spans="1:41" x14ac:dyDescent="0.25">
      <c r="A53" s="6" t="s">
        <v>15</v>
      </c>
      <c r="B53" s="7"/>
      <c r="G53" s="15" t="s">
        <v>358</v>
      </c>
      <c r="H53" s="15" t="s">
        <v>283</v>
      </c>
      <c r="I53" s="161" t="e">
        <f ca="1">_xll.EVPRO($B$1,$H53,"STYLE")</f>
        <v>#NAME?</v>
      </c>
      <c r="J53" s="161" t="e">
        <f ca="1">_xll.EVPRO($B$1,$H53,"CALC")</f>
        <v>#NAME?</v>
      </c>
      <c r="K53" s="69"/>
      <c r="L53" s="69"/>
      <c r="M53" s="69"/>
      <c r="N53" s="162" t="e">
        <f ca="1">IF(_xll.EVDES(H53,$B$1)="#NODATA","",_xll.EVDES(H53,$B$1))</f>
        <v>#NAME?</v>
      </c>
      <c r="O53" s="38">
        <v>12579.07</v>
      </c>
      <c r="P53" s="38">
        <v>11469.71</v>
      </c>
      <c r="Q53" s="38">
        <v>20350.43</v>
      </c>
      <c r="R53" s="38">
        <v>5067.8900000000003</v>
      </c>
      <c r="S53" s="38">
        <v>5848</v>
      </c>
      <c r="T53" s="38">
        <v>1639.27</v>
      </c>
      <c r="U53" s="38">
        <v>4678</v>
      </c>
      <c r="V53" s="38">
        <v>1793.97</v>
      </c>
      <c r="W53" s="38">
        <v>1349.74</v>
      </c>
      <c r="X53" s="38">
        <v>1496.17</v>
      </c>
      <c r="Y53" s="38">
        <v>1465.13</v>
      </c>
      <c r="Z53" s="38">
        <v>4172.12</v>
      </c>
      <c r="AA53" s="38" t="e">
        <f t="shared" ca="1" si="0"/>
        <v>#NAME?</v>
      </c>
      <c r="AB53" s="39" t="e">
        <f t="shared" ca="1" si="11"/>
        <v>#NAME?</v>
      </c>
      <c r="AD53" s="38">
        <v>82468.759999999995</v>
      </c>
      <c r="AE53" s="39" t="str">
        <f t="shared" ca="1" si="12"/>
        <v/>
      </c>
      <c r="AF53" s="132" t="e">
        <f t="shared" ca="1" si="13"/>
        <v>#NAME?</v>
      </c>
      <c r="AG53" s="38">
        <v>35246.379999999997</v>
      </c>
      <c r="AH53" s="39" t="str">
        <f t="shared" ca="1" si="14"/>
        <v/>
      </c>
      <c r="AI53" s="132" t="e">
        <f t="shared" ca="1" si="15"/>
        <v>#NAME?</v>
      </c>
      <c r="AJ53" s="350">
        <f t="shared" ca="1" si="1"/>
        <v>0</v>
      </c>
      <c r="AK53" s="351">
        <f t="shared" ca="1" si="2"/>
        <v>0</v>
      </c>
      <c r="AL53" s="352">
        <f t="shared" ca="1" si="3"/>
        <v>0</v>
      </c>
      <c r="AM53" s="387">
        <f t="shared" ca="1" si="4"/>
        <v>0</v>
      </c>
      <c r="AN53" s="386">
        <f t="shared" ca="1" si="5"/>
        <v>0</v>
      </c>
    </row>
    <row r="54" spans="1:41" x14ac:dyDescent="0.25">
      <c r="A54" s="6" t="s">
        <v>16</v>
      </c>
      <c r="B54" s="7"/>
      <c r="G54" s="15" t="s">
        <v>358</v>
      </c>
      <c r="H54" s="15" t="s">
        <v>277</v>
      </c>
      <c r="I54" s="161" t="e">
        <f ca="1">_xll.EVPRO($B$1,$H54,"STYLE")</f>
        <v>#NAME?</v>
      </c>
      <c r="J54" s="161" t="e">
        <f ca="1">_xll.EVPRO($B$1,$H54,"CALC")</f>
        <v>#NAME?</v>
      </c>
      <c r="K54" s="69"/>
      <c r="L54" s="69"/>
      <c r="M54" s="69"/>
      <c r="N54" s="8" t="e">
        <f ca="1">IF(_xll.EVDES(H54,$B$1)="#NODATA","",_xll.EVDES(H54,$B$1))</f>
        <v>#NAME?</v>
      </c>
      <c r="O54" s="134">
        <v>66348.73</v>
      </c>
      <c r="P54" s="134">
        <v>56266.92</v>
      </c>
      <c r="Q54" s="134">
        <v>72046.070000000007</v>
      </c>
      <c r="R54" s="134">
        <v>37614.879999999997</v>
      </c>
      <c r="S54" s="134">
        <v>32470.02</v>
      </c>
      <c r="T54" s="134">
        <v>27930.13</v>
      </c>
      <c r="U54" s="134">
        <v>26383.19</v>
      </c>
      <c r="V54" s="134">
        <v>21205.9</v>
      </c>
      <c r="W54" s="134">
        <v>20088.62</v>
      </c>
      <c r="X54" s="134">
        <v>23643</v>
      </c>
      <c r="Y54" s="134">
        <v>25449.86</v>
      </c>
      <c r="Z54" s="134">
        <v>53565.88</v>
      </c>
      <c r="AA54" s="134" t="e">
        <f t="shared" ca="1" si="0"/>
        <v>#NAME?</v>
      </c>
      <c r="AB54" s="135" t="e">
        <f t="shared" ca="1" si="11"/>
        <v>#NAME?</v>
      </c>
      <c r="AD54" s="134">
        <v>753932.78419999999</v>
      </c>
      <c r="AE54" s="135" t="str">
        <f t="shared" ca="1" si="12"/>
        <v/>
      </c>
      <c r="AF54" s="136" t="e">
        <f t="shared" ca="1" si="13"/>
        <v>#NAME?</v>
      </c>
      <c r="AG54" s="134">
        <v>510814.99</v>
      </c>
      <c r="AH54" s="135" t="str">
        <f t="shared" ca="1" si="14"/>
        <v/>
      </c>
      <c r="AI54" s="136" t="e">
        <f t="shared" ca="1" si="15"/>
        <v>#NAME?</v>
      </c>
      <c r="AJ54" s="392">
        <f t="shared" ca="1" si="1"/>
        <v>0</v>
      </c>
      <c r="AK54" s="393">
        <f t="shared" ca="1" si="2"/>
        <v>0</v>
      </c>
      <c r="AL54" s="394">
        <f t="shared" ca="1" si="3"/>
        <v>0</v>
      </c>
      <c r="AM54" s="395">
        <f t="shared" ca="1" si="4"/>
        <v>0</v>
      </c>
      <c r="AN54" s="396">
        <f t="shared" ca="1" si="5"/>
        <v>0</v>
      </c>
      <c r="AO54" s="398"/>
    </row>
    <row r="55" spans="1:41" x14ac:dyDescent="0.25">
      <c r="A55" s="6" t="s">
        <v>17</v>
      </c>
      <c r="B55" s="7"/>
      <c r="G55" s="15" t="s">
        <v>358</v>
      </c>
      <c r="H55" s="15" t="s">
        <v>473</v>
      </c>
      <c r="I55" s="161"/>
      <c r="J55" s="161"/>
      <c r="K55" s="69"/>
      <c r="L55" s="69"/>
      <c r="M55" s="69"/>
      <c r="N55" s="162" t="e">
        <f ca="1">IF(_xll.EVDES(H55,$B$1)="#NODATA","",_xll.EVDES(H55,$B$1))</f>
        <v>#NAME?</v>
      </c>
      <c r="O55" s="38"/>
      <c r="P55" s="38"/>
      <c r="Q55" s="38"/>
      <c r="R55" s="38"/>
      <c r="S55" s="38"/>
      <c r="T55" s="38"/>
      <c r="U55" s="38"/>
      <c r="V55" s="38"/>
      <c r="W55" s="38"/>
      <c r="X55" s="38"/>
      <c r="Y55" s="38"/>
      <c r="Z55" s="38"/>
      <c r="AA55" s="38">
        <f t="shared" si="0"/>
        <v>0</v>
      </c>
      <c r="AB55" s="39" t="str">
        <f t="shared" si="11"/>
        <v/>
      </c>
      <c r="AD55" s="38"/>
      <c r="AE55" s="39" t="str">
        <f t="shared" si="12"/>
        <v/>
      </c>
      <c r="AF55" s="132">
        <f t="shared" si="13"/>
        <v>0</v>
      </c>
      <c r="AG55" s="38"/>
      <c r="AH55" s="39" t="str">
        <f>IF(AG55=0,"",IFERROR(AG55/AG$19,""))</f>
        <v/>
      </c>
      <c r="AI55" s="132">
        <f t="shared" si="15"/>
        <v>0</v>
      </c>
      <c r="AJ55" s="350">
        <f t="shared" ca="1" si="1"/>
        <v>0</v>
      </c>
      <c r="AK55" s="351">
        <f t="shared" ca="1" si="2"/>
        <v>0</v>
      </c>
      <c r="AL55" s="352">
        <f t="shared" ca="1" si="3"/>
        <v>0</v>
      </c>
      <c r="AM55" s="387">
        <f t="shared" si="4"/>
        <v>0</v>
      </c>
      <c r="AN55" s="386">
        <f t="shared" si="5"/>
        <v>0</v>
      </c>
    </row>
    <row r="56" spans="1:41" x14ac:dyDescent="0.25">
      <c r="G56" s="15" t="s">
        <v>358</v>
      </c>
      <c r="H56" s="15" t="s">
        <v>280</v>
      </c>
      <c r="I56" s="161" t="e">
        <f ca="1">_xll.EVPRO($B$1,$H56,"STYLE")</f>
        <v>#NAME?</v>
      </c>
      <c r="J56" s="161" t="e">
        <f ca="1">_xll.EVPRO($B$1,$H56,"CALC")</f>
        <v>#NAME?</v>
      </c>
      <c r="K56" s="69"/>
      <c r="L56" s="69"/>
      <c r="M56" s="69"/>
      <c r="N56" s="8" t="e">
        <f ca="1">IF(_xll.EVDES(H56,$B$1)="#NODATA","",_xll.EVDES(H56,$B$1))</f>
        <v>#NAME?</v>
      </c>
      <c r="O56" s="134">
        <v>271648.17</v>
      </c>
      <c r="P56" s="134">
        <v>243116.66</v>
      </c>
      <c r="Q56" s="134">
        <v>262610.3</v>
      </c>
      <c r="R56" s="134">
        <v>178741.51</v>
      </c>
      <c r="S56" s="134">
        <v>174452.86</v>
      </c>
      <c r="T56" s="134">
        <v>153035.34</v>
      </c>
      <c r="U56" s="134">
        <v>137140.69</v>
      </c>
      <c r="V56" s="134">
        <v>119985.83</v>
      </c>
      <c r="W56" s="134">
        <v>111020.89</v>
      </c>
      <c r="X56" s="134">
        <v>115318.67</v>
      </c>
      <c r="Y56" s="134">
        <v>125378.51</v>
      </c>
      <c r="Z56" s="134">
        <v>219086.52</v>
      </c>
      <c r="AA56" s="134" t="e">
        <f t="shared" ca="1" si="0"/>
        <v>#NAME?</v>
      </c>
      <c r="AB56" s="135" t="e">
        <f t="shared" ca="1" si="11"/>
        <v>#NAME?</v>
      </c>
      <c r="AD56" s="134">
        <v>3679690.8742</v>
      </c>
      <c r="AE56" s="135" t="str">
        <f t="shared" ca="1" si="12"/>
        <v/>
      </c>
      <c r="AF56" s="136" t="e">
        <f t="shared" ca="1" si="13"/>
        <v>#NAME?</v>
      </c>
      <c r="AG56" s="134">
        <v>2460440.2999999998</v>
      </c>
      <c r="AH56" s="135" t="str">
        <f t="shared" ca="1" si="14"/>
        <v/>
      </c>
      <c r="AI56" s="136" t="e">
        <f t="shared" ca="1" si="15"/>
        <v>#NAME?</v>
      </c>
      <c r="AJ56" s="392">
        <f t="shared" ca="1" si="1"/>
        <v>0</v>
      </c>
      <c r="AK56" s="393">
        <f t="shared" ca="1" si="2"/>
        <v>0</v>
      </c>
      <c r="AL56" s="394">
        <f t="shared" ca="1" si="3"/>
        <v>0</v>
      </c>
      <c r="AM56" s="395">
        <f t="shared" ca="1" si="4"/>
        <v>0</v>
      </c>
      <c r="AN56" s="396">
        <f t="shared" ca="1" si="5"/>
        <v>0</v>
      </c>
    </row>
    <row r="57" spans="1:41" x14ac:dyDescent="0.25">
      <c r="A57" s="22" t="s">
        <v>92</v>
      </c>
      <c r="B57" s="23" t="s">
        <v>93</v>
      </c>
      <c r="C57" s="23" t="s">
        <v>94</v>
      </c>
      <c r="D57" s="23" t="s">
        <v>95</v>
      </c>
      <c r="E57" s="23" t="s">
        <v>96</v>
      </c>
      <c r="F57" s="24" t="s">
        <v>97</v>
      </c>
      <c r="O57" s="163"/>
      <c r="P57" s="287"/>
      <c r="Q57" s="287"/>
      <c r="R57" s="287"/>
      <c r="S57" s="287"/>
      <c r="T57" s="287"/>
      <c r="U57" s="287"/>
      <c r="V57" s="287"/>
      <c r="W57" s="287"/>
      <c r="X57" s="287"/>
      <c r="Y57" s="287"/>
      <c r="Z57" s="287"/>
      <c r="AA57" s="287"/>
      <c r="AB57" s="55"/>
      <c r="AD57" s="163"/>
      <c r="AE57" s="54"/>
      <c r="AF57" s="55"/>
      <c r="AG57" s="163"/>
      <c r="AH57" s="54"/>
      <c r="AI57" s="55"/>
    </row>
    <row r="58" spans="1:41" x14ac:dyDescent="0.25">
      <c r="H58" s="1" t="s">
        <v>281</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55"/>
      <c r="AD58" s="53"/>
      <c r="AE58" s="54"/>
      <c r="AF58" s="55"/>
      <c r="AG58" s="53"/>
      <c r="AH58" s="54"/>
      <c r="AI58" s="55"/>
    </row>
    <row r="59" spans="1:41" x14ac:dyDescent="0.25">
      <c r="A59" s="1" t="s">
        <v>209</v>
      </c>
      <c r="B59" s="1" t="s">
        <v>21</v>
      </c>
      <c r="C59" s="74"/>
      <c r="D59" s="1" t="s">
        <v>590</v>
      </c>
      <c r="F59" s="1" t="s">
        <v>99</v>
      </c>
      <c r="G59" s="14"/>
      <c r="H59" s="1" t="s">
        <v>284</v>
      </c>
      <c r="I59" s="11" t="e">
        <f ca="1">_xll.EVPRO($B$1,$H59,"STYLE")</f>
        <v>#NAME?</v>
      </c>
      <c r="J59" s="11" t="e">
        <f ca="1">_xll.EVPRO($B$1,$H59,"CALC")</f>
        <v>#NAME?</v>
      </c>
      <c r="N59" s="8" t="e">
        <f ca="1">IF(_xll.EVDES(H59,$B$1)="#NODATA","",_xll.EVDES(H59,$B$1))</f>
        <v>#NAME?</v>
      </c>
      <c r="O59" s="53"/>
      <c r="P59" s="54"/>
      <c r="Q59" s="54"/>
      <c r="R59" s="54"/>
      <c r="S59" s="54"/>
      <c r="T59" s="54"/>
      <c r="U59" s="54"/>
      <c r="V59" s="54"/>
      <c r="W59" s="54"/>
      <c r="X59" s="54"/>
      <c r="Y59" s="54"/>
      <c r="Z59" s="54"/>
      <c r="AA59" s="54"/>
      <c r="AB59" s="55"/>
      <c r="AD59" s="53"/>
      <c r="AE59" s="54"/>
      <c r="AF59" s="55"/>
      <c r="AG59" s="53"/>
      <c r="AH59" s="54"/>
      <c r="AI59" s="55"/>
    </row>
    <row r="60" spans="1:41" x14ac:dyDescent="0.25">
      <c r="A60" s="1" t="s">
        <v>105</v>
      </c>
      <c r="C60" s="26" t="s">
        <v>101</v>
      </c>
      <c r="D60" s="1" t="s">
        <v>106</v>
      </c>
      <c r="F60" s="1" t="s">
        <v>98</v>
      </c>
      <c r="H60" s="189" t="s">
        <v>285</v>
      </c>
      <c r="I60" s="161" t="e">
        <f ca="1">_xll.EVPRO($B$1,$H60,"STYLE")</f>
        <v>#NAME?</v>
      </c>
      <c r="J60" s="161" t="e">
        <f ca="1">_xll.EVPRO($B$1,$H60,"CALC")</f>
        <v>#NAME?</v>
      </c>
      <c r="K60" s="68" t="e">
        <f ca="1">IF(AND(I60&gt;="T5"),"&gt;","")</f>
        <v>#NAME?</v>
      </c>
      <c r="L60" s="162" t="e">
        <f ca="1">_xll.EVPRO($B$1,H60,"JDEID")</f>
        <v>#NAME?</v>
      </c>
      <c r="M60" s="162" t="e">
        <f ca="1">IF(AND(I60="N",J60="N"),_xll.EVPRO($B$1,H60,"PSFTID"),"")</f>
        <v>#NAME?</v>
      </c>
      <c r="N60" s="162" t="e">
        <f ca="1">IF(_xll.EVDES(H60,$B$1)="#NODATA","",_xll.EVDES(H60,$B$1))</f>
        <v>#NAME?</v>
      </c>
      <c r="O60" s="309">
        <v>33813.67</v>
      </c>
      <c r="P60" s="310">
        <v>33664.14</v>
      </c>
      <c r="Q60" s="310">
        <v>33197.040000000001</v>
      </c>
      <c r="R60" s="310">
        <v>26118.35</v>
      </c>
      <c r="S60" s="310">
        <v>24604.37</v>
      </c>
      <c r="T60" s="310">
        <v>20973.57</v>
      </c>
      <c r="U60" s="310">
        <v>20449.259999999998</v>
      </c>
      <c r="V60" s="310">
        <v>20667</v>
      </c>
      <c r="W60" s="310">
        <v>12715.37</v>
      </c>
      <c r="X60" s="310">
        <v>17706.330000000002</v>
      </c>
      <c r="Y60" s="310">
        <v>16359.76</v>
      </c>
      <c r="Z60" s="310">
        <v>30452.3</v>
      </c>
      <c r="AA60" s="310" t="e">
        <f t="shared" ref="AA60:AA68" ca="1" si="16">IF($I60="B1","",SUM(O60:Z60))</f>
        <v>#NAME?</v>
      </c>
      <c r="AB60" s="311" t="e">
        <f ca="1">IF(AA60=0,"",IFERROR(AA60/_xll.EVGTS($B$1,1,_xll.EVPRO($B$1,$H60,"COSBASIS"),$B$3,$B$5,$B$6,$B$7,$B$9,AA$16,AA$17,AA$11),""))</f>
        <v>#NAME?</v>
      </c>
      <c r="AC60" s="290"/>
      <c r="AD60" s="310">
        <v>521880.72377500002</v>
      </c>
      <c r="AE60" s="311" t="str">
        <f ca="1">IF(AD60=0,"",IFERROR(AD60/_xll.EVGTS($B$1,1,_xll.EVPRO($B$1,$H60,"COSBASIS"),$B$3,$B$5,$B$6,$B$7,$B$9,AD$16,AD$17,AD$18),""))</f>
        <v/>
      </c>
      <c r="AF60" s="312" t="e">
        <f t="shared" ref="AF60:AF68" ca="1" si="17">IF(AND($AA60="",AD60=""),"",$AA60-AD60)</f>
        <v>#NAME?</v>
      </c>
      <c r="AG60" s="310">
        <v>387970.63</v>
      </c>
      <c r="AH60" s="311" t="str">
        <f ca="1">IF(AG60=0,"",IFERROR(AG60/_xll.EVGTS($B$1,1,_xll.EVPRO($B$1,$H60,"COSBASIS"),$B$3,$B$5,$B$6,$B$7,$B$9,AG$16,AG$17,AG$18),""))</f>
        <v/>
      </c>
      <c r="AI60" s="313"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1" x14ac:dyDescent="0.25">
      <c r="A61" s="1" t="s">
        <v>104</v>
      </c>
      <c r="C61" s="26" t="s">
        <v>101</v>
      </c>
      <c r="D61" s="1" t="s">
        <v>106</v>
      </c>
      <c r="F61" s="1" t="s">
        <v>98</v>
      </c>
      <c r="H61" s="189" t="s">
        <v>636</v>
      </c>
      <c r="I61" s="161" t="e">
        <f ca="1">_xll.EVPRO($B$1,$H61,"STYLE")</f>
        <v>#NAME?</v>
      </c>
      <c r="J61" s="161" t="e">
        <f ca="1">_xll.EVPRO($B$1,$H61,"CALC")</f>
        <v>#NAME?</v>
      </c>
      <c r="K61" s="68" t="e">
        <f t="shared" ref="K61:K68" ca="1" si="18">IF(AND(I61&gt;="T5"),"&gt;","")</f>
        <v>#NAME?</v>
      </c>
      <c r="L61" s="162" t="e">
        <f ca="1">_xll.EVPRO($B$1,H61,"JDEID")</f>
        <v>#NAME?</v>
      </c>
      <c r="M61" s="162" t="e">
        <f ca="1">IF(AND(I61="N",J61="N"),_xll.EVPRO($B$1,H61,"PSFTID"),"")</f>
        <v>#NAME?</v>
      </c>
      <c r="N61" s="162" t="e">
        <f ca="1">IF(_xll.EVDES(H61,$B$1)="#NODATA","",_xll.EVDES(H61,$B$1))</f>
        <v>#NAME?</v>
      </c>
      <c r="O61" s="323">
        <v>15701.27</v>
      </c>
      <c r="P61" s="324">
        <v>17081.43</v>
      </c>
      <c r="Q61" s="324">
        <v>16353.95</v>
      </c>
      <c r="R61" s="324">
        <v>9196.76</v>
      </c>
      <c r="S61" s="324">
        <v>14436.97</v>
      </c>
      <c r="T61" s="324">
        <v>9952.7199999999993</v>
      </c>
      <c r="U61" s="324">
        <v>9407.08</v>
      </c>
      <c r="V61" s="324">
        <v>11227.44</v>
      </c>
      <c r="W61" s="324">
        <v>8610.27</v>
      </c>
      <c r="X61" s="324">
        <v>8012.72</v>
      </c>
      <c r="Y61" s="324">
        <v>8162.03</v>
      </c>
      <c r="Z61" s="324">
        <v>11223.91</v>
      </c>
      <c r="AA61" s="324" t="e">
        <f t="shared" ca="1" si="16"/>
        <v>#NAME?</v>
      </c>
      <c r="AB61" s="325" t="e">
        <f ca="1">IF(AA61=0,"",IFERROR(AA61/_xll.EVGTS($B$1,1,_xll.EVPRO($B$1,$H61,"COSBASIS"),$B$3,$B$5,$B$6,$B$7,$B$9,AA$16,AA$17,AA$11),""))</f>
        <v>#NAME?</v>
      </c>
      <c r="AC61" s="290"/>
      <c r="AD61" s="324">
        <v>239379.02119999999</v>
      </c>
      <c r="AE61" s="325" t="str">
        <f ca="1">IF(AD61=0,"",IFERROR(AD61/_xll.EVGTS($B$1,1,_xll.EVPRO($B$1,$H61,"COSBASIS"),$B$3,$B$5,$B$6,$B$7,$B$9,AD$16,AD$17,AD$18),""))</f>
        <v/>
      </c>
      <c r="AF61" s="326" t="e">
        <f t="shared" ca="1" si="17"/>
        <v>#NAME?</v>
      </c>
      <c r="AG61" s="324">
        <v>158740.44</v>
      </c>
      <c r="AH61" s="325" t="str">
        <f ca="1">IF(AG61=0,"",IFERROR(AG61/_xll.EVGTS($B$1,1,_xll.EVPRO($B$1,$H61,"COSBASIS"),$B$3,$B$5,$B$6,$B$7,$B$9,AG$16,AG$17,AG$18),""))</f>
        <v/>
      </c>
      <c r="AI61" s="327" t="e">
        <f t="shared" ref="AI61:AI68" ca="1" si="19">IF(AND($AA61="",AG61=""),"",$AA61-AG61)</f>
        <v>#NAME?</v>
      </c>
      <c r="AJ61" s="409">
        <f t="shared" ref="AJ61:AJ68" ca="1" si="20">IFERROR(AA61/AA$20,0)</f>
        <v>0</v>
      </c>
      <c r="AK61" s="410">
        <f t="shared" ref="AK61:AK68" ca="1" si="21">IFERROR(AD61/AD$20,0)</f>
        <v>0</v>
      </c>
      <c r="AL61" s="411">
        <f t="shared" ref="AL61:AL68" ca="1" si="22">IFERROR(AG61/AG$20,0)</f>
        <v>0</v>
      </c>
      <c r="AM61" s="412">
        <f t="shared" ref="AM61:AM68" ca="1" si="23">+IFERROR(ROUND(($AB61-AE61)*100,2)&amp;" pts.",0)</f>
        <v>0</v>
      </c>
      <c r="AN61" s="413">
        <f t="shared" ref="AN61:AN68" ca="1" si="24">+IFERROR(ROUND(($AB61-AH61)*100,2)&amp;" pts.",0)</f>
        <v>0</v>
      </c>
    </row>
    <row r="62" spans="1:41" x14ac:dyDescent="0.25">
      <c r="A62" s="1" t="s">
        <v>100</v>
      </c>
      <c r="C62" s="8" t="s">
        <v>101</v>
      </c>
      <c r="D62" s="1" t="s">
        <v>106</v>
      </c>
      <c r="F62" s="1" t="s">
        <v>98</v>
      </c>
      <c r="H62" s="189" t="s">
        <v>286</v>
      </c>
      <c r="I62" s="479" t="e">
        <f ca="1">_xll.EVPRO($B$1,$H62,"STYLE")</f>
        <v>#NAME?</v>
      </c>
      <c r="J62" s="479" t="e">
        <f ca="1">_xll.EVPRO($B$1,$H62,"CALC")</f>
        <v>#NAME?</v>
      </c>
      <c r="K62" s="480" t="e">
        <f t="shared" ca="1" si="18"/>
        <v>#NAME?</v>
      </c>
      <c r="L62" s="170" t="e">
        <f ca="1">_xll.EVPRO($B$1,H62,"JDEID")</f>
        <v>#NAME?</v>
      </c>
      <c r="M62" s="170" t="e">
        <f ca="1">IF(AND(I62="N",J62="N"),_xll.EVPRO($B$1,H62,"PSFTID"),"")</f>
        <v>#NAME?</v>
      </c>
      <c r="N62" s="170" t="e">
        <f ca="1">IF(_xll.EVDES(H62,$B$1)="#NODATA","",_xll.EVDES(H62,$B$1))</f>
        <v>#NAME?</v>
      </c>
      <c r="O62" s="224">
        <v>49514.94</v>
      </c>
      <c r="P62" s="134">
        <v>50745.57</v>
      </c>
      <c r="Q62" s="134">
        <v>49550.99</v>
      </c>
      <c r="R62" s="134">
        <v>35315.11</v>
      </c>
      <c r="S62" s="134">
        <v>39041.339999999997</v>
      </c>
      <c r="T62" s="134">
        <v>30926.29</v>
      </c>
      <c r="U62" s="134">
        <v>29856.34</v>
      </c>
      <c r="V62" s="134">
        <v>31894.44</v>
      </c>
      <c r="W62" s="134">
        <v>21325.64</v>
      </c>
      <c r="X62" s="134">
        <v>25719.05</v>
      </c>
      <c r="Y62" s="134">
        <v>24521.79</v>
      </c>
      <c r="Z62" s="134">
        <v>41676.21</v>
      </c>
      <c r="AA62" s="134" t="e">
        <f t="shared" ca="1" si="16"/>
        <v>#NAME?</v>
      </c>
      <c r="AB62" s="135" t="e">
        <f ca="1">IF(AA62=0,"",IFERROR(AA62/_xll.EVGTS($B$1,1,_xll.EVPRO($B$1,$H62,"COSBASIS"),$B$3,$B$5,$B$6,$B$7,$B$9,AA$16,AA$17,AA$11),""))</f>
        <v>#NAME?</v>
      </c>
      <c r="AC62" s="137"/>
      <c r="AD62" s="134">
        <v>761259.74497500004</v>
      </c>
      <c r="AE62" s="135" t="str">
        <f ca="1">IF(AD62=0,"",IFERROR(AD62/_xll.EVGTS($B$1,1,_xll.EVPRO($B$1,$H62,"COSBASIS"),$B$3,$B$5,$B$6,$B$7,$B$9,AD$16,AD$17,AD$18),""))</f>
        <v/>
      </c>
      <c r="AF62" s="136" t="e">
        <f t="shared" ca="1" si="17"/>
        <v>#NAME?</v>
      </c>
      <c r="AG62" s="134">
        <v>546711.06999999995</v>
      </c>
      <c r="AH62" s="135" t="str">
        <f ca="1">IF(AG62=0,"",IFERROR(AG62/_xll.EVGTS($B$1,1,_xll.EVPRO($B$1,$H62,"COSBASIS"),$B$3,$B$5,$B$6,$B$7,$B$9,AG$16,AG$17,AG$18),""))</f>
        <v/>
      </c>
      <c r="AI62" s="291" t="e">
        <f t="shared" ca="1" si="19"/>
        <v>#NAME?</v>
      </c>
      <c r="AJ62" s="360">
        <f t="shared" ca="1" si="20"/>
        <v>0</v>
      </c>
      <c r="AK62" s="361">
        <f t="shared" ca="1" si="21"/>
        <v>0</v>
      </c>
      <c r="AL62" s="363">
        <f t="shared" ca="1" si="22"/>
        <v>0</v>
      </c>
      <c r="AM62" s="405">
        <f t="shared" ca="1" si="23"/>
        <v>0</v>
      </c>
      <c r="AN62" s="406">
        <f t="shared" ca="1" si="24"/>
        <v>0</v>
      </c>
    </row>
    <row r="63" spans="1:41" x14ac:dyDescent="0.25">
      <c r="A63" s="1" t="s">
        <v>102</v>
      </c>
      <c r="C63" s="25" t="s">
        <v>101</v>
      </c>
      <c r="D63" s="1" t="s">
        <v>106</v>
      </c>
      <c r="F63" s="1" t="s">
        <v>98</v>
      </c>
      <c r="H63" s="189" t="s">
        <v>287</v>
      </c>
      <c r="I63" s="479" t="e">
        <f ca="1">_xll.EVPRO($B$1,$H63,"STYLE")</f>
        <v>#NAME?</v>
      </c>
      <c r="J63" s="479" t="e">
        <f ca="1">_xll.EVPRO($B$1,$H63,"CALC")</f>
        <v>#NAME?</v>
      </c>
      <c r="K63" s="480" t="e">
        <f t="shared" ca="1" si="18"/>
        <v>#NAME?</v>
      </c>
      <c r="L63" s="170" t="e">
        <f ca="1">_xll.EVPRO($B$1,H63,"JDEID")</f>
        <v>#NAME?</v>
      </c>
      <c r="M63" s="170" t="e">
        <f ca="1">IF(AND(I63="N",J63="N"),_xll.EVPRO($B$1,H63,"PSFTID"),"")</f>
        <v>#NAME?</v>
      </c>
      <c r="N63" s="170" t="e">
        <f ca="1">IF(_xll.EVDES(H63,$B$1)="#NODATA","",_xll.EVDES(H63,$B$1))</f>
        <v>#NAME?</v>
      </c>
      <c r="O63" s="314"/>
      <c r="P63" s="315"/>
      <c r="Q63" s="315"/>
      <c r="R63" s="315"/>
      <c r="S63" s="315"/>
      <c r="T63" s="315"/>
      <c r="U63" s="315"/>
      <c r="V63" s="315"/>
      <c r="W63" s="315"/>
      <c r="X63" s="315"/>
      <c r="Y63" s="315"/>
      <c r="Z63" s="315"/>
      <c r="AA63" s="315" t="e">
        <f t="shared" ca="1" si="16"/>
        <v>#NAME?</v>
      </c>
      <c r="AB63" s="316" t="e">
        <f ca="1">IF(AA63=0,"",IFERROR(AA63/_xll.EVGTS($B$1,1,_xll.EVPRO($B$1,$H63,"COSBASIS"),$B$3,$B$5,$B$6,$B$7,$B$9,AA$16,AA$17,AA$11),""))</f>
        <v>#NAME?</v>
      </c>
      <c r="AC63" s="54"/>
      <c r="AD63" s="315"/>
      <c r="AE63" s="316" t="str">
        <f>IF(AD63=0,"",IFERROR(AD63/_xll.EVGTS($B$1,1,_xll.EVPRO($B$1,$H63,"COSBASIS"),$B$3,$B$5,$B$6,$B$7,$B$9,AD$16,AD$17,AD$18),""))</f>
        <v/>
      </c>
      <c r="AF63" s="317" t="e">
        <f t="shared" ca="1" si="17"/>
        <v>#NAME?</v>
      </c>
      <c r="AG63" s="315"/>
      <c r="AH63" s="316" t="str">
        <f>IF(AG63=0,"",IFERROR(AG63/_xll.EVGTS($B$1,1,_xll.EVPRO($B$1,$H63,"COSBASIS"),$B$3,$B$5,$B$6,$B$7,$B$9,AG$16,AG$17,AG$18),""))</f>
        <v/>
      </c>
      <c r="AI63" s="318" t="e">
        <f t="shared" ca="1" si="19"/>
        <v>#NAME?</v>
      </c>
      <c r="AJ63" s="353">
        <f t="shared" ca="1" si="20"/>
        <v>0</v>
      </c>
      <c r="AK63" s="354">
        <f t="shared" ca="1" si="21"/>
        <v>0</v>
      </c>
      <c r="AL63" s="356">
        <f t="shared" ca="1" si="22"/>
        <v>0</v>
      </c>
      <c r="AM63" s="390">
        <f t="shared" ca="1" si="23"/>
        <v>0</v>
      </c>
      <c r="AN63" s="404">
        <f t="shared" ca="1" si="24"/>
        <v>0</v>
      </c>
    </row>
    <row r="64" spans="1:41" x14ac:dyDescent="0.25">
      <c r="A64" s="1" t="s">
        <v>102</v>
      </c>
      <c r="C64" s="151" t="s">
        <v>101</v>
      </c>
      <c r="D64" s="1" t="s">
        <v>107</v>
      </c>
      <c r="F64" s="1" t="s">
        <v>99</v>
      </c>
      <c r="H64" s="189" t="s">
        <v>637</v>
      </c>
      <c r="I64" s="161" t="e">
        <f ca="1">_xll.EVPRO($B$1,$H64,"STYLE")</f>
        <v>#NAME?</v>
      </c>
      <c r="J64" s="161" t="e">
        <f ca="1">_xll.EVPRO($B$1,$H64,"CALC")</f>
        <v>#NAME?</v>
      </c>
      <c r="K64" s="68" t="e">
        <f t="shared" ca="1" si="18"/>
        <v>#NAME?</v>
      </c>
      <c r="L64" s="162" t="e">
        <f ca="1">_xll.EVPRO($B$1,H64,"JDEID")</f>
        <v>#NAME?</v>
      </c>
      <c r="M64" s="162" t="e">
        <f ca="1">IF(AND(I64="N",J64="N"),_xll.EVPRO($B$1,H64,"PSFTID"),"")</f>
        <v>#NAME?</v>
      </c>
      <c r="N64" s="162" t="e">
        <f ca="1">IF(_xll.EVDES(H64,$B$1)="#NODATA","",_xll.EVDES(H64,$B$1))</f>
        <v>#NAME?</v>
      </c>
      <c r="O64" s="309"/>
      <c r="P64" s="310"/>
      <c r="Q64" s="310"/>
      <c r="R64" s="310"/>
      <c r="S64" s="310"/>
      <c r="T64" s="310"/>
      <c r="U64" s="310"/>
      <c r="V64" s="310"/>
      <c r="W64" s="310"/>
      <c r="X64" s="310"/>
      <c r="Y64" s="310"/>
      <c r="Z64" s="310"/>
      <c r="AA64" s="310" t="e">
        <f t="shared" ca="1" si="16"/>
        <v>#NAME?</v>
      </c>
      <c r="AB64" s="311" t="e">
        <f ca="1">IF(AA64=0,"",IFERROR(AA64/_xll.EVGTS($B$1,1,_xll.EVPRO($B$1,$H64,"COSBASIS"),$B$3,$B$5,$B$6,$B$7,$B$9,AA$16,AA$17,AA$11),""))</f>
        <v>#NAME?</v>
      </c>
      <c r="AC64" s="290"/>
      <c r="AD64" s="310"/>
      <c r="AE64" s="311" t="str">
        <f>IF(AD64=0,"",IFERROR(AD64/_xll.EVGTS($B$1,1,_xll.EVPRO($B$1,$H64,"COSBASIS"),$B$3,$B$5,$B$6,$B$7,$B$9,AD$16,AD$17,AD$18),""))</f>
        <v/>
      </c>
      <c r="AF64" s="312" t="e">
        <f t="shared" ca="1" si="17"/>
        <v>#NAME?</v>
      </c>
      <c r="AG64" s="310"/>
      <c r="AH64" s="311" t="str">
        <f>IF(AG64=0,"",IFERROR(AG64/_xll.EVGTS($B$1,1,_xll.EVPRO($B$1,$H64,"COSBASIS"),$B$3,$B$5,$B$6,$B$7,$B$9,AG$16,AG$17,AG$18),""))</f>
        <v/>
      </c>
      <c r="AI64" s="313" t="e">
        <f t="shared" ca="1" si="19"/>
        <v>#NAME?</v>
      </c>
      <c r="AJ64" s="399">
        <f t="shared" ca="1" si="20"/>
        <v>0</v>
      </c>
      <c r="AK64" s="400">
        <f t="shared" ca="1" si="21"/>
        <v>0</v>
      </c>
      <c r="AL64" s="401">
        <f t="shared" ca="1" si="22"/>
        <v>0</v>
      </c>
      <c r="AM64" s="402">
        <f t="shared" ca="1" si="23"/>
        <v>0</v>
      </c>
      <c r="AN64" s="403">
        <f t="shared" ca="1" si="24"/>
        <v>0</v>
      </c>
    </row>
    <row r="65" spans="1:40" x14ac:dyDescent="0.25">
      <c r="A65" s="1" t="s">
        <v>108</v>
      </c>
      <c r="C65" s="25" t="s">
        <v>101</v>
      </c>
      <c r="D65" s="1" t="s">
        <v>106</v>
      </c>
      <c r="F65" s="1" t="s">
        <v>98</v>
      </c>
      <c r="H65" s="189" t="s">
        <v>638</v>
      </c>
      <c r="I65" s="161" t="e">
        <f ca="1">_xll.EVPRO($B$1,$H65,"STYLE")</f>
        <v>#NAME?</v>
      </c>
      <c r="J65" s="161" t="e">
        <f ca="1">_xll.EVPRO($B$1,$H65,"CALC")</f>
        <v>#NAME?</v>
      </c>
      <c r="K65" s="68" t="e">
        <f t="shared" ca="1" si="18"/>
        <v>#NAME?</v>
      </c>
      <c r="L65" s="162" t="e">
        <f ca="1">_xll.EVPRO($B$1,H65,"JDEID")</f>
        <v>#NAME?</v>
      </c>
      <c r="M65" s="162" t="e">
        <f ca="1">IF(AND(I65="N",J65="N"),_xll.EVPRO($B$1,H65,"PSFTID"),"")</f>
        <v>#NAME?</v>
      </c>
      <c r="N65" s="162" t="e">
        <f ca="1">IF(_xll.EVDES(H65,$B$1)="#NODATA","",_xll.EVDES(H65,$B$1))</f>
        <v>#NAME?</v>
      </c>
      <c r="O65" s="309"/>
      <c r="P65" s="310"/>
      <c r="Q65" s="310"/>
      <c r="R65" s="310"/>
      <c r="S65" s="310"/>
      <c r="T65" s="310"/>
      <c r="U65" s="310"/>
      <c r="V65" s="310"/>
      <c r="W65" s="310"/>
      <c r="X65" s="310"/>
      <c r="Y65" s="310"/>
      <c r="Z65" s="310"/>
      <c r="AA65" s="310" t="e">
        <f t="shared" ca="1" si="16"/>
        <v>#NAME?</v>
      </c>
      <c r="AB65" s="311" t="e">
        <f ca="1">IF(AA65=0,"",IFERROR(AA65/_xll.EVGTS($B$1,1,_xll.EVPRO($B$1,$H65,"COSBASIS"),$B$3,$B$5,$B$6,$B$7,$B$9,AA$16,AA$17,AA$11),""))</f>
        <v>#NAME?</v>
      </c>
      <c r="AC65" s="290"/>
      <c r="AD65" s="310"/>
      <c r="AE65" s="311" t="str">
        <f>IF(AD65=0,"",IFERROR(AD65/_xll.EVGTS($B$1,1,_xll.EVPRO($B$1,$H65,"COSBASIS"),$B$3,$B$5,$B$6,$B$7,$B$9,AD$16,AD$17,AD$18),""))</f>
        <v/>
      </c>
      <c r="AF65" s="312" t="e">
        <f t="shared" ca="1" si="17"/>
        <v>#NAME?</v>
      </c>
      <c r="AG65" s="310"/>
      <c r="AH65" s="311" t="str">
        <f>IF(AG65=0,"",IFERROR(AG65/_xll.EVGTS($B$1,1,_xll.EVPRO($B$1,$H65,"COSBASIS"),$B$3,$B$5,$B$6,$B$7,$B$9,AG$16,AG$17,AG$18),""))</f>
        <v/>
      </c>
      <c r="AI65" s="313" t="e">
        <f t="shared" ca="1" si="19"/>
        <v>#NAME?</v>
      </c>
      <c r="AJ65" s="399">
        <f t="shared" ca="1" si="20"/>
        <v>0</v>
      </c>
      <c r="AK65" s="400">
        <f t="shared" ca="1" si="21"/>
        <v>0</v>
      </c>
      <c r="AL65" s="401">
        <f t="shared" ca="1" si="22"/>
        <v>0</v>
      </c>
      <c r="AM65" s="402">
        <f t="shared" ca="1" si="23"/>
        <v>0</v>
      </c>
      <c r="AN65" s="403">
        <f t="shared" ca="1" si="24"/>
        <v>0</v>
      </c>
    </row>
    <row r="66" spans="1:40" x14ac:dyDescent="0.25">
      <c r="A66" s="1" t="s">
        <v>108</v>
      </c>
      <c r="C66" s="151" t="s">
        <v>101</v>
      </c>
      <c r="D66" s="1" t="s">
        <v>107</v>
      </c>
      <c r="F66" s="1" t="s">
        <v>99</v>
      </c>
      <c r="H66" s="189" t="s">
        <v>639</v>
      </c>
      <c r="I66" s="161" t="e">
        <f ca="1">_xll.EVPRO($B$1,$H66,"STYLE")</f>
        <v>#NAME?</v>
      </c>
      <c r="J66" s="161" t="e">
        <f ca="1">_xll.EVPRO($B$1,$H66,"CALC")</f>
        <v>#NAME?</v>
      </c>
      <c r="K66" s="68" t="e">
        <f t="shared" ca="1" si="18"/>
        <v>#NAME?</v>
      </c>
      <c r="L66" s="162" t="e">
        <f ca="1">_xll.EVPRO($B$1,H66,"JDEID")</f>
        <v>#NAME?</v>
      </c>
      <c r="M66" s="162" t="e">
        <f ca="1">IF(AND(I66="N",J66="N"),_xll.EVPRO($B$1,H66,"PSFTID"),"")</f>
        <v>#NAME?</v>
      </c>
      <c r="N66" s="162" t="e">
        <f ca="1">IF(_xll.EVDES(H66,$B$1)="#NODATA","",_xll.EVDES(H66,$B$1))</f>
        <v>#NAME?</v>
      </c>
      <c r="O66" s="323"/>
      <c r="P66" s="324"/>
      <c r="Q66" s="324"/>
      <c r="R66" s="324"/>
      <c r="S66" s="324"/>
      <c r="T66" s="324">
        <v>112.05</v>
      </c>
      <c r="U66" s="324"/>
      <c r="V66" s="324"/>
      <c r="W66" s="324"/>
      <c r="X66" s="324">
        <v>394</v>
      </c>
      <c r="Y66" s="324"/>
      <c r="Z66" s="324">
        <v>722.15</v>
      </c>
      <c r="AA66" s="324" t="e">
        <f t="shared" ca="1" si="16"/>
        <v>#NAME?</v>
      </c>
      <c r="AB66" s="325" t="e">
        <f ca="1">IF(AA66=0,"",IFERROR(AA66/_xll.EVGTS($B$1,1,_xll.EVPRO($B$1,$H66,"COSBASIS"),$B$3,$B$5,$B$6,$B$7,$B$9,AA$16,AA$17,AA$11),""))</f>
        <v>#NAME?</v>
      </c>
      <c r="AC66" s="290"/>
      <c r="AD66" s="324"/>
      <c r="AE66" s="325" t="str">
        <f>IF(AD66=0,"",IFERROR(AD66/_xll.EVGTS($B$1,1,_xll.EVPRO($B$1,$H66,"COSBASIS"),$B$3,$B$5,$B$6,$B$7,$B$9,AD$16,AD$17,AD$18),""))</f>
        <v/>
      </c>
      <c r="AF66" s="326" t="e">
        <f t="shared" ca="1" si="17"/>
        <v>#NAME?</v>
      </c>
      <c r="AG66" s="324">
        <v>973.01</v>
      </c>
      <c r="AH66" s="325" t="str">
        <f ca="1">IF(AG66=0,"",IFERROR(AG66/_xll.EVGTS($B$1,1,_xll.EVPRO($B$1,$H66,"COSBASIS"),$B$3,$B$5,$B$6,$B$7,$B$9,AG$16,AG$17,AG$18),""))</f>
        <v/>
      </c>
      <c r="AI66" s="327" t="e">
        <f t="shared" ca="1" si="19"/>
        <v>#NAME?</v>
      </c>
      <c r="AJ66" s="409">
        <f t="shared" ca="1" si="20"/>
        <v>0</v>
      </c>
      <c r="AK66" s="410">
        <f t="shared" ca="1" si="21"/>
        <v>0</v>
      </c>
      <c r="AL66" s="411">
        <f t="shared" ca="1" si="22"/>
        <v>0</v>
      </c>
      <c r="AM66" s="412">
        <f t="shared" ca="1" si="23"/>
        <v>0</v>
      </c>
      <c r="AN66" s="413">
        <f t="shared" ca="1" si="24"/>
        <v>0</v>
      </c>
    </row>
    <row r="67" spans="1:40" x14ac:dyDescent="0.25">
      <c r="H67" s="189" t="s">
        <v>288</v>
      </c>
      <c r="I67" s="479" t="e">
        <f ca="1">_xll.EVPRO($B$1,$H67,"STYLE")</f>
        <v>#NAME?</v>
      </c>
      <c r="J67" s="479" t="e">
        <f ca="1">_xll.EVPRO($B$1,$H67,"CALC")</f>
        <v>#NAME?</v>
      </c>
      <c r="K67" s="480" t="e">
        <f t="shared" ca="1" si="18"/>
        <v>#NAME?</v>
      </c>
      <c r="L67" s="170" t="e">
        <f ca="1">_xll.EVPRO($B$1,H67,"JDEID")</f>
        <v>#NAME?</v>
      </c>
      <c r="M67" s="170" t="e">
        <f ca="1">IF(AND(I67="N",J67="N"),_xll.EVPRO($B$1,H67,"PSFTID"),"")</f>
        <v>#NAME?</v>
      </c>
      <c r="N67" s="170" t="e">
        <f ca="1">IF(_xll.EVDES(H67,$B$1)="#NODATA","",_xll.EVDES(H67,$B$1))</f>
        <v>#NAME?</v>
      </c>
      <c r="O67" s="225"/>
      <c r="P67" s="36"/>
      <c r="Q67" s="36"/>
      <c r="R67" s="36"/>
      <c r="S67" s="36"/>
      <c r="T67" s="36">
        <v>112.05</v>
      </c>
      <c r="U67" s="36"/>
      <c r="V67" s="36"/>
      <c r="W67" s="36"/>
      <c r="X67" s="36">
        <v>394</v>
      </c>
      <c r="Y67" s="36"/>
      <c r="Z67" s="36">
        <v>722.15</v>
      </c>
      <c r="AA67" s="36" t="e">
        <f t="shared" ca="1" si="16"/>
        <v>#NAME?</v>
      </c>
      <c r="AB67" s="37" t="e">
        <f ca="1">IF(AA67=0,"",IFERROR(AA67/_xll.EVGTS($B$1,1,_xll.EVPRO($B$1,$H67,"COSBASIS"),$B$3,$B$5,$B$6,$B$7,$B$9,AA$16,AA$17,AA$11),""))</f>
        <v>#NAME?</v>
      </c>
      <c r="AC67" s="35"/>
      <c r="AD67" s="36"/>
      <c r="AE67" s="37" t="str">
        <f>IF(AD67=0,"",IFERROR(AD67/_xll.EVGTS($B$1,1,_xll.EVPRO($B$1,$H67,"COSBASIS"),$B$3,$B$5,$B$6,$B$7,$B$9,AD$16,AD$17,AD$18),""))</f>
        <v/>
      </c>
      <c r="AF67" s="58" t="e">
        <f t="shared" ca="1" si="17"/>
        <v>#NAME?</v>
      </c>
      <c r="AG67" s="36">
        <v>973.01</v>
      </c>
      <c r="AH67" s="37" t="str">
        <f ca="1">IF(AG67=0,"",IFERROR(AG67/_xll.EVGTS($B$1,1,_xll.EVPRO($B$1,$H67,"COSBASIS"),$B$3,$B$5,$B$6,$B$7,$B$9,AG$16,AG$17,AG$18),""))</f>
        <v/>
      </c>
      <c r="AI67" s="292" t="e">
        <f t="shared" ca="1" si="19"/>
        <v>#NAME?</v>
      </c>
      <c r="AJ67" s="372">
        <f t="shared" ca="1" si="20"/>
        <v>0</v>
      </c>
      <c r="AK67" s="373">
        <f t="shared" ca="1" si="21"/>
        <v>0</v>
      </c>
      <c r="AL67" s="375">
        <f t="shared" ca="1" si="22"/>
        <v>0</v>
      </c>
      <c r="AM67" s="407">
        <f t="shared" ca="1" si="23"/>
        <v>0</v>
      </c>
      <c r="AN67" s="408">
        <f t="shared" ca="1" si="24"/>
        <v>0</v>
      </c>
    </row>
    <row r="68" spans="1:40" x14ac:dyDescent="0.25">
      <c r="C68" s="32"/>
      <c r="H68" s="189" t="s">
        <v>289</v>
      </c>
      <c r="I68" s="479" t="e">
        <f ca="1">_xll.EVPRO($B$1,$H68,"STYLE")</f>
        <v>#NAME?</v>
      </c>
      <c r="J68" s="479" t="e">
        <f ca="1">_xll.EVPRO($B$1,$H68,"CALC")</f>
        <v>#NAME?</v>
      </c>
      <c r="K68" s="480" t="e">
        <f t="shared" ca="1" si="18"/>
        <v>#NAME?</v>
      </c>
      <c r="L68" s="170" t="e">
        <f ca="1">_xll.EVPRO($B$1,H68,"JDEID")</f>
        <v>#NAME?</v>
      </c>
      <c r="M68" s="170" t="e">
        <f ca="1">IF(AND(I68="N",J68="N"),_xll.EVPRO($B$1,H68,"PSFTID"),"")</f>
        <v>#NAME?</v>
      </c>
      <c r="N68" s="170" t="e">
        <f ca="1">IF(_xll.EVDES(H68,$B$1)="#NODATA","",_xll.EVDES(H68,$B$1))</f>
        <v>#NAME?</v>
      </c>
      <c r="O68" s="224">
        <v>49514.94</v>
      </c>
      <c r="P68" s="134">
        <v>50745.57</v>
      </c>
      <c r="Q68" s="134">
        <v>49550.99</v>
      </c>
      <c r="R68" s="134">
        <v>35315.11</v>
      </c>
      <c r="S68" s="134">
        <v>39041.339999999997</v>
      </c>
      <c r="T68" s="134">
        <v>31038.34</v>
      </c>
      <c r="U68" s="134">
        <v>29856.34</v>
      </c>
      <c r="V68" s="134">
        <v>31894.44</v>
      </c>
      <c r="W68" s="134">
        <v>21325.64</v>
      </c>
      <c r="X68" s="134">
        <v>26113.05</v>
      </c>
      <c r="Y68" s="134">
        <v>24521.79</v>
      </c>
      <c r="Z68" s="134">
        <v>42398.36</v>
      </c>
      <c r="AA68" s="134" t="e">
        <f t="shared" ca="1" si="16"/>
        <v>#NAME?</v>
      </c>
      <c r="AB68" s="135" t="e">
        <f ca="1">IF(AA68=0,"",IFERROR(AA68/_xll.EVGTS($B$1,1,_xll.EVPRO($B$1,$H68,"COSBASIS"),$B$3,$B$5,$B$6,$B$7,$B$9,AA$16,AA$17,AA$11),""))</f>
        <v>#NAME?</v>
      </c>
      <c r="AC68" s="137"/>
      <c r="AD68" s="134">
        <v>761259.74497500004</v>
      </c>
      <c r="AE68" s="135" t="str">
        <f ca="1">IF(AD68=0,"",IFERROR(AD68/_xll.EVGTS($B$1,1,_xll.EVPRO($B$1,$H68,"COSBASIS"),$B$3,$B$5,$B$6,$B$7,$B$9,AD$16,AD$17,AD$18),""))</f>
        <v/>
      </c>
      <c r="AF68" s="136" t="e">
        <f t="shared" ca="1" si="17"/>
        <v>#NAME?</v>
      </c>
      <c r="AG68" s="134">
        <v>547684.07999999996</v>
      </c>
      <c r="AH68" s="135" t="str">
        <f ca="1">IF(AG68=0,"",IFERROR(AG68/_xll.EVGTS($B$1,1,_xll.EVPRO($B$1,$H68,"COSBASIS"),$B$3,$B$5,$B$6,$B$7,$B$9,AG$16,AG$17,AG$18),""))</f>
        <v/>
      </c>
      <c r="AI68" s="291" t="e">
        <f t="shared" ca="1" si="19"/>
        <v>#NAME?</v>
      </c>
      <c r="AJ68" s="360">
        <f t="shared" ca="1" si="20"/>
        <v>0</v>
      </c>
      <c r="AK68" s="361">
        <f t="shared" ca="1" si="21"/>
        <v>0</v>
      </c>
      <c r="AL68" s="363">
        <f t="shared" ca="1" si="22"/>
        <v>0</v>
      </c>
      <c r="AM68" s="405">
        <f t="shared" ca="1" si="23"/>
        <v>0</v>
      </c>
      <c r="AN68" s="406">
        <f t="shared" ca="1" si="24"/>
        <v>0</v>
      </c>
    </row>
    <row r="69" spans="1:40" x14ac:dyDescent="0.25">
      <c r="A69" s="4" t="e">
        <f ca="1">_xll.EVDRE($B$1,A72:B79,A82:B88)</f>
        <v>#NAME?</v>
      </c>
      <c r="H69" s="189" t="s">
        <v>175</v>
      </c>
      <c r="I69" s="28" t="e">
        <f ca="1">_xll.EVPRO($B$1,$H69,"STYLE")</f>
        <v>#NAME?</v>
      </c>
      <c r="J69" s="28" t="e">
        <f ca="1">_xll.EVPRO($B$1,$H69,"CALC")</f>
        <v>#NAME?</v>
      </c>
      <c r="K69" s="69" t="e">
        <f ca="1">IF(AND(I69&gt;="T5"),"&gt;","")</f>
        <v>#NAME?</v>
      </c>
      <c r="L69" s="69"/>
      <c r="M69" s="69"/>
      <c r="N69" s="25" t="e">
        <f ca="1">IF(_xll.EVDES(H69,$B$1)="#NODATA","",_xll.EVDES(H69,$B$1))</f>
        <v>#NAME?</v>
      </c>
      <c r="O69" s="47"/>
      <c r="P69" s="47"/>
      <c r="Q69" s="47"/>
      <c r="R69" s="47"/>
      <c r="S69" s="47"/>
      <c r="T69" s="47"/>
      <c r="U69" s="47"/>
      <c r="V69" s="47"/>
      <c r="W69" s="47"/>
      <c r="X69" s="47"/>
      <c r="Y69" s="47"/>
      <c r="Z69" s="47"/>
      <c r="AA69" s="47"/>
      <c r="AB69" s="48" t="str">
        <f>IF(O69=0,"",IFERROR(O69/_xll.EVGTS($B$1,1,INDEX($C$141:$C$164,MATCH($H69,$A$141:$A$164,0)),$B$3,$B$5,$B$6,$B$7,$B$9,O$16,O$17,O$18),""))</f>
        <v/>
      </c>
      <c r="AD69" s="47"/>
      <c r="AE69" s="48" t="str">
        <f>IF(AD69=0,"",IFERROR(AD69/_xll.EVGTS($B$1,1,INDEX($C$141:$C$164,MATCH($H69,$A$141:$A$164,0)),$B$3,$B$5,$B$6,$B$7,$B$9,AD$16,AD$17,AD$18),""))</f>
        <v/>
      </c>
      <c r="AF69" s="150" t="str">
        <f t="shared" ref="AF69:AF70" si="25">IF(AND($AA69="",AD69=""),"",$AA69-AD69)</f>
        <v/>
      </c>
      <c r="AG69" s="47"/>
      <c r="AH69" s="48" t="str">
        <f>IF(AG69=0,"",IFERROR(AG69/_xll.EVGTS($B$1,1,INDEX($C$141:$C$164,MATCH($H69,$A$141:$A$164,0)),$B$3,$B$5,$B$6,$B$7,$B$9,AG$16,AG$17,AG$18),""))</f>
        <v/>
      </c>
      <c r="AI69" s="150" t="str">
        <f>IF(AND($AA69="",AG69=""),"",$AA69-AG69)</f>
        <v/>
      </c>
    </row>
    <row r="70" spans="1:40" x14ac:dyDescent="0.25">
      <c r="H70" s="189" t="s">
        <v>292</v>
      </c>
      <c r="I70" s="28" t="e">
        <f ca="1">_xll.EVPRO($B$1,$H70,"STYLE")</f>
        <v>#NAME?</v>
      </c>
      <c r="J70" s="28" t="e">
        <f ca="1">_xll.EVPRO($B$1,$H70,"CALC")</f>
        <v>#NAME?</v>
      </c>
      <c r="K70" s="69" t="e">
        <f ca="1">IF(AND(I70&gt;="T5"),"&gt;","")</f>
        <v>#NAME?</v>
      </c>
      <c r="L70" s="69"/>
      <c r="M70" s="69"/>
      <c r="N70" s="25" t="e">
        <f ca="1">IF(_xll.EVDES(H70,$B$1)="#NODATA","",_xll.EVDES(H70,$B$1))</f>
        <v>#NAME?</v>
      </c>
      <c r="O70" s="164">
        <f t="shared" ref="O70:Z70" si="26">SUMIF($H$35:$H$68,"400000",O35:O68)-SUMIF($H$35:$H$68,"500001",O35:O68)</f>
        <v>222133.22999999998</v>
      </c>
      <c r="P70" s="164">
        <f t="shared" si="26"/>
        <v>192371.09</v>
      </c>
      <c r="Q70" s="164">
        <f t="shared" si="26"/>
        <v>213059.31</v>
      </c>
      <c r="R70" s="164">
        <f t="shared" si="26"/>
        <v>143426.40000000002</v>
      </c>
      <c r="S70" s="164">
        <f t="shared" si="26"/>
        <v>135411.51999999999</v>
      </c>
      <c r="T70" s="164">
        <f t="shared" si="26"/>
        <v>121997</v>
      </c>
      <c r="U70" s="164">
        <f t="shared" si="26"/>
        <v>107284.35</v>
      </c>
      <c r="V70" s="164">
        <f t="shared" si="26"/>
        <v>88091.39</v>
      </c>
      <c r="W70" s="164">
        <f t="shared" si="26"/>
        <v>89695.25</v>
      </c>
      <c r="X70" s="164">
        <f t="shared" si="26"/>
        <v>89205.62</v>
      </c>
      <c r="Y70" s="164">
        <f t="shared" si="26"/>
        <v>100856.72</v>
      </c>
      <c r="Z70" s="164">
        <f t="shared" si="26"/>
        <v>176688.15999999997</v>
      </c>
      <c r="AA70" s="164">
        <f>SUM(O70:Z70)</f>
        <v>1680220.0399999996</v>
      </c>
      <c r="AB70" s="135" t="str">
        <f ca="1">IF(AA70=0,"",IFERROR(AA70/AA$19,""))</f>
        <v/>
      </c>
      <c r="AD70" s="164">
        <f>SUMIF($H$35:$H$68,"400000",AD35:AD68)-SUMIF($H$35:$H$68,"500001",AD35:AD68)</f>
        <v>2918431.1292249998</v>
      </c>
      <c r="AE70" s="135" t="str">
        <f ca="1">IF(AD70=0,"",IFERROR(AD70/AD$19,""))</f>
        <v/>
      </c>
      <c r="AF70" s="165">
        <f t="shared" si="25"/>
        <v>-1238211.0892250002</v>
      </c>
      <c r="AG70" s="164">
        <f>SUMIF($H$35:$H$68,"400000",AG35:AG68)-SUMIF($H$35:$H$68,"500001",AG35:AG68)</f>
        <v>1912756.2199999997</v>
      </c>
      <c r="AH70" s="135" t="str">
        <f ca="1">IF(AG70=0,"",IFERROR(AG70/AG$19,""))</f>
        <v/>
      </c>
      <c r="AI70" s="165">
        <f>IF(AND($AA70="",AG70=""),"",$AA70-AG70)</f>
        <v>-232536.18000000017</v>
      </c>
      <c r="AJ70" s="360">
        <f ca="1">IFERROR(AA70/AA$20,0)</f>
        <v>0</v>
      </c>
      <c r="AK70" s="361">
        <f ca="1">IFERROR(AD70/AD$20,0)</f>
        <v>0</v>
      </c>
      <c r="AL70" s="363">
        <f ca="1">IFERROR(AG70/AG$20,0)</f>
        <v>0</v>
      </c>
      <c r="AM70" s="405">
        <f ca="1">+IFERROR(ROUND(($AB70-AE70)*100,2)&amp;" pts.",0)</f>
        <v>0</v>
      </c>
      <c r="AN70" s="406">
        <f ca="1">+IFERROR(ROUND(($AB70-AH70)*100,2)&amp;" pts.",0)</f>
        <v>0</v>
      </c>
    </row>
    <row r="71" spans="1:40" x14ac:dyDescent="0.25">
      <c r="A71" s="3" t="s">
        <v>0</v>
      </c>
      <c r="B71" s="5" t="s">
        <v>1</v>
      </c>
      <c r="O71" s="163"/>
      <c r="P71" s="287"/>
      <c r="Q71" s="287"/>
      <c r="R71" s="287"/>
      <c r="S71" s="287"/>
      <c r="T71" s="287"/>
      <c r="U71" s="287"/>
      <c r="V71" s="287"/>
      <c r="W71" s="287"/>
      <c r="X71" s="287"/>
      <c r="Y71" s="287"/>
      <c r="Z71" s="287"/>
      <c r="AA71" s="287"/>
      <c r="AB71" s="55"/>
      <c r="AD71" s="163"/>
      <c r="AE71" s="54"/>
      <c r="AF71" s="55"/>
      <c r="AG71" s="163"/>
      <c r="AH71" s="54"/>
      <c r="AI71" s="55"/>
    </row>
    <row r="72" spans="1:40" x14ac:dyDescent="0.25">
      <c r="A72" s="6" t="s">
        <v>2</v>
      </c>
      <c r="B72" s="7" t="e">
        <f ca="1">_xll.EVRNG($B$2:$B$10)</f>
        <v>#NAME?</v>
      </c>
      <c r="H72" s="1" t="s">
        <v>73</v>
      </c>
      <c r="I72" s="11" t="e">
        <f ca="1">_xll.EVPRO($B$1,$H72,"STYLE")</f>
        <v>#NAME?</v>
      </c>
      <c r="J72" s="11" t="e">
        <f ca="1">_xll.EVPRO($B$1,$H72,"CALC")</f>
        <v>#NAME?</v>
      </c>
      <c r="N72" s="40" t="e">
        <f ca="1">IF(_xll.EVDES(H72,$B$1)="#NODATA","",_xll.EVDES(H72,$B$1))</f>
        <v>#NAME?</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6" t="s">
        <v>3</v>
      </c>
      <c r="B73" s="7" t="e">
        <f ca="1">_xll.EVRNG($O$16:$AN$18)</f>
        <v>#NAME?</v>
      </c>
      <c r="H73" s="1" t="s">
        <v>74</v>
      </c>
      <c r="I73" s="11" t="e">
        <f ca="1">_xll.EVPRO($B$1,$H73,"STYLE")</f>
        <v>#NAME?</v>
      </c>
      <c r="J73" s="11" t="e">
        <f ca="1">_xll.EVPRO($B$1,$H73,"CALC")</f>
        <v>#NAME?</v>
      </c>
      <c r="N73" s="8" t="e">
        <f ca="1">IF(_xll.EVDES(H73,$B$1)="#NODATA","",_xll.EVDES(H73,$B$1))</f>
        <v>#NAME?</v>
      </c>
      <c r="O73" s="43"/>
      <c r="P73" s="46"/>
      <c r="Q73" s="46"/>
      <c r="R73" s="46"/>
      <c r="S73" s="46"/>
      <c r="T73" s="46"/>
      <c r="U73" s="46"/>
      <c r="V73" s="46"/>
      <c r="W73" s="46"/>
      <c r="X73" s="46"/>
      <c r="Y73" s="46"/>
      <c r="Z73" s="46"/>
      <c r="AA73" s="46"/>
      <c r="AB73" s="44"/>
      <c r="AD73" s="43"/>
      <c r="AE73" s="46"/>
      <c r="AF73" s="44"/>
      <c r="AG73" s="46"/>
      <c r="AH73" s="46"/>
      <c r="AI73" s="44"/>
    </row>
    <row r="74" spans="1:40" x14ac:dyDescent="0.25">
      <c r="A74" s="6" t="s">
        <v>4</v>
      </c>
      <c r="B74" s="7" t="e">
        <f ca="1">_xll.EVRNG(H74:H75,H77:H89,H92:H118)</f>
        <v>#NAME?</v>
      </c>
      <c r="H74" s="189" t="s">
        <v>883</v>
      </c>
      <c r="I74" s="161" t="e">
        <f ca="1">_xll.EVPRO($B$1,$H74,"STYLE")</f>
        <v>#NAME?</v>
      </c>
      <c r="J74" s="161" t="e">
        <f ca="1">_xll.EVPRO($B$1,$H74,"CALC")</f>
        <v>#NAME?</v>
      </c>
      <c r="K74" s="68" t="e">
        <f ca="1">IF(AND(I74&gt;="T3"),"&gt;","")</f>
        <v>#NAME?</v>
      </c>
      <c r="L74" s="162" t="e">
        <f ca="1">_xll.EVPRO($B$1,H74,"JDEID")</f>
        <v>#NAME?</v>
      </c>
      <c r="M74" s="162" t="e">
        <f ca="1">IF(AND(I74="N",J74="N"),_xll.EVPRO($B$1,H74,"PSFTID"),"")</f>
        <v>#NAME?</v>
      </c>
      <c r="N74" s="162" t="e">
        <f ca="1">IF(_xll.EVDES(H74,$B$1)="#NODATA","",_xll.EVDES(H74,$B$1))</f>
        <v>#NAME?</v>
      </c>
      <c r="O74" s="38">
        <v>11743.97</v>
      </c>
      <c r="P74" s="38">
        <v>10000</v>
      </c>
      <c r="Q74" s="38">
        <v>15087.28</v>
      </c>
      <c r="R74" s="38">
        <v>15793.34</v>
      </c>
      <c r="S74" s="38">
        <v>13797.03</v>
      </c>
      <c r="T74" s="38">
        <v>14842.77</v>
      </c>
      <c r="U74" s="38">
        <v>14589.54</v>
      </c>
      <c r="V74" s="38">
        <v>15539.9</v>
      </c>
      <c r="W74" s="38">
        <v>9439.33</v>
      </c>
      <c r="X74" s="38">
        <v>5493.34</v>
      </c>
      <c r="Y74" s="38">
        <v>5239.8999999999996</v>
      </c>
      <c r="Z74" s="38">
        <v>5239.8999999999996</v>
      </c>
      <c r="AA74" s="310" t="e">
        <f ca="1">IF($I74="B1","",SUM(O74:Z74))</f>
        <v>#NAME?</v>
      </c>
      <c r="AB74" s="39" t="e">
        <f ca="1">IF(AA74=0,"",IFERROR(AA74/AA$19,""))</f>
        <v>#NAME?</v>
      </c>
      <c r="AD74" s="38">
        <v>207274.08396146001</v>
      </c>
      <c r="AE74" s="39" t="str">
        <f ca="1">IF(AD74=0,"",IFERROR(AD74/AD$19,""))</f>
        <v/>
      </c>
      <c r="AF74" s="132" t="e">
        <f ca="1">IF(AND($AA74="",AD74=""),"",$AA74-AD74)</f>
        <v>#NAME?</v>
      </c>
      <c r="AG74" s="38">
        <v>151855.14000000001</v>
      </c>
      <c r="AH74" s="39" t="str">
        <f ca="1">IF(AG74=0,"",IFERROR(AG74/AG$19,""))</f>
        <v/>
      </c>
      <c r="AI74" s="132" t="e">
        <f ca="1">IF(AND($AA74="",AG74=""),"",$AA74-AG74)</f>
        <v>#NAME?</v>
      </c>
      <c r="AJ74" s="350">
        <f ca="1">IFERROR(AA74/AA$20,0)</f>
        <v>0</v>
      </c>
      <c r="AK74" s="351">
        <f ca="1">IFERROR(AD74/AD$20,0)</f>
        <v>0</v>
      </c>
      <c r="AL74" s="352">
        <f ca="1">IFERROR(AG74/AG$20,0)</f>
        <v>0</v>
      </c>
      <c r="AM74" s="387">
        <f ca="1">+IFERROR(ROUND(($AB74-AE74)*100,2)&amp;" pts.",0)</f>
        <v>0</v>
      </c>
      <c r="AN74" s="386">
        <f ca="1">+IFERROR(ROUND(($AB74-AH74)*100,2)&amp;" pts.",0)</f>
        <v>0</v>
      </c>
    </row>
    <row r="75" spans="1:40" x14ac:dyDescent="0.25">
      <c r="A75" s="6" t="s">
        <v>5</v>
      </c>
      <c r="B75" s="7"/>
      <c r="H75" s="189" t="s">
        <v>884</v>
      </c>
      <c r="I75" s="161" t="e">
        <f ca="1">_xll.EVPRO($B$1,$H75,"STYLE")</f>
        <v>#NAME?</v>
      </c>
      <c r="J75" s="161" t="e">
        <f ca="1">_xll.EVPRO($B$1,$H75,"CALC")</f>
        <v>#NAME?</v>
      </c>
      <c r="K75" s="68" t="e">
        <f ca="1">IF(AND(I75&gt;="T3"),"&gt;","")</f>
        <v>#NAME?</v>
      </c>
      <c r="L75" s="162" t="e">
        <f ca="1">_xll.EVPRO($B$1,H75,"JDEID")</f>
        <v>#NAME?</v>
      </c>
      <c r="M75" s="162" t="e">
        <f ca="1">IF(AND(I75="N",J75="N"),_xll.EVPRO($B$1,H75,"PSFTID"),"")</f>
        <v>#NAME?</v>
      </c>
      <c r="N75" s="162" t="e">
        <f ca="1">IF(_xll.EVDES(H75,$B$1)="#NODATA","",_xll.EVDES(H75,$B$1))</f>
        <v>#NAME?</v>
      </c>
      <c r="O75" s="38">
        <v>11603.08</v>
      </c>
      <c r="P75" s="38">
        <v>13333.32</v>
      </c>
      <c r="Q75" s="38">
        <v>13083.43</v>
      </c>
      <c r="R75" s="38">
        <v>13733.32</v>
      </c>
      <c r="S75" s="38">
        <v>13099.75</v>
      </c>
      <c r="T75" s="38">
        <v>10952.23</v>
      </c>
      <c r="U75" s="38">
        <v>6649.1</v>
      </c>
      <c r="V75" s="38">
        <v>6649.1</v>
      </c>
      <c r="W75" s="38">
        <v>7401.63</v>
      </c>
      <c r="X75" s="38">
        <v>8154.48</v>
      </c>
      <c r="Y75" s="38">
        <v>11183</v>
      </c>
      <c r="Z75" s="38">
        <v>11811</v>
      </c>
      <c r="AA75" s="310" t="e">
        <f ca="1">IF($I75="B1","",SUM(O75:Z75))</f>
        <v>#NAME?</v>
      </c>
      <c r="AB75" s="39" t="e">
        <f ca="1">IF(AA75=0,"",IFERROR(AA75/AA$19,""))</f>
        <v>#NAME?</v>
      </c>
      <c r="AD75" s="38">
        <v>146001.36230773601</v>
      </c>
      <c r="AE75" s="39" t="str">
        <f ca="1">IF(AD75=0,"",IFERROR(AD75/AD$19,""))</f>
        <v/>
      </c>
      <c r="AF75" s="132" t="e">
        <f ca="1">IF(AND($AA75="",AD75=""),"",$AA75-AD75)</f>
        <v>#NAME?</v>
      </c>
      <c r="AG75" s="38">
        <v>130965.18</v>
      </c>
      <c r="AH75" s="39" t="str">
        <f ca="1">IF(AG75=0,"",IFERROR(AG75/AG$19,""))</f>
        <v/>
      </c>
      <c r="AI75" s="132" t="e">
        <f ca="1">IF(AND($AA75="",AG75=""),"",$AA75-AG75)</f>
        <v>#NAME?</v>
      </c>
      <c r="AJ75" s="350">
        <f ca="1">IFERROR(AA75/AA$20,0)</f>
        <v>0</v>
      </c>
      <c r="AK75" s="351">
        <f ca="1">IFERROR(AD75/AD$20,0)</f>
        <v>0</v>
      </c>
      <c r="AL75" s="352">
        <f ca="1">IFERROR(AG75/AG$20,0)</f>
        <v>0</v>
      </c>
      <c r="AM75" s="387">
        <f ca="1">+IFERROR(ROUND(($AB75-AE75)*100,2)&amp;" pts.",0)</f>
        <v>0</v>
      </c>
      <c r="AN75" s="386">
        <f ca="1">+IFERROR(ROUND(($AB75-AH75)*100,2)&amp;" pts.",0)</f>
        <v>0</v>
      </c>
    </row>
    <row r="76" spans="1:40" x14ac:dyDescent="0.25">
      <c r="A76" s="6" t="s">
        <v>6</v>
      </c>
      <c r="B76" s="7"/>
      <c r="H76" s="189" t="s">
        <v>75</v>
      </c>
      <c r="I76" s="28" t="e">
        <f ca="1">_xll.EVPRO($B$1,$H76,"STYLE")</f>
        <v>#NAME?</v>
      </c>
      <c r="J76" s="28" t="e">
        <f ca="1">_xll.EVPRO($B$1,$H76,"CALC")</f>
        <v>#NAME?</v>
      </c>
      <c r="K76" s="69" t="e">
        <f ca="1">IF(AND(I76&gt;="T3"),"&gt;","")</f>
        <v>#NAME?</v>
      </c>
      <c r="L76" s="25" t="e">
        <f ca="1">_xll.EVPRO($B$1,H76,"JDEID")</f>
        <v>#NAME?</v>
      </c>
      <c r="M76" s="162" t="e">
        <f ca="1">IF(AND(I76="N",J76="N"),_xll.EVPRO($B$1,H76,"PSFTID"),"")</f>
        <v>#NAME?</v>
      </c>
      <c r="N76" s="25" t="e">
        <f ca="1">IF(_xll.EVDES(H76,$B$1)="#NODATA","",_xll.EVDES(H76,$B$1))</f>
        <v>#NAME?</v>
      </c>
      <c r="O76" s="38"/>
      <c r="P76" s="38"/>
      <c r="Q76" s="38"/>
      <c r="R76" s="38"/>
      <c r="S76" s="38"/>
      <c r="T76" s="38"/>
      <c r="U76" s="38"/>
      <c r="V76" s="38"/>
      <c r="W76" s="38"/>
      <c r="X76" s="38"/>
      <c r="Y76" s="38"/>
      <c r="Z76" s="38"/>
      <c r="AA76" s="310" t="e">
        <f t="shared" ref="AA76" ca="1" si="27">IF($I76="B1","",SUM(O76:Z76))</f>
        <v>#NAME?</v>
      </c>
      <c r="AB76" s="39" t="e">
        <f t="shared" ref="AB76" ca="1" si="28">IF(AA76=0,"",IFERROR(AA76/AA$19,""))</f>
        <v>#NAME?</v>
      </c>
      <c r="AD76" s="38"/>
      <c r="AE76" s="39" t="str">
        <f t="shared" ref="AE76" si="29">IF(AD76=0,"",IFERROR(AD76/AD$19,""))</f>
        <v/>
      </c>
      <c r="AF76" s="132" t="e">
        <f t="shared" ref="AF76" ca="1" si="30">IF(AND($AA76="",AD76=""),"",$AA76-AD76)</f>
        <v>#NAME?</v>
      </c>
      <c r="AG76" s="38"/>
      <c r="AH76" s="39" t="str">
        <f>IF(AG76=0,"",IFERROR(AG76/AG$19,""))</f>
        <v/>
      </c>
      <c r="AI76" s="132" t="e">
        <f ca="1">IF(AND($AA76="",AG76=""),"",$AA76-AG76)</f>
        <v>#NAME?</v>
      </c>
      <c r="AJ76" s="350">
        <f ca="1">IFERROR(AA76/AA$20,0)</f>
        <v>0</v>
      </c>
      <c r="AK76" s="351">
        <f ca="1">IFERROR(AD76/AD$20,0)</f>
        <v>0</v>
      </c>
      <c r="AL76" s="352">
        <f ca="1">IFERROR(AG76/AG$20,0)</f>
        <v>0</v>
      </c>
      <c r="AM76" s="387">
        <f ca="1">+IFERROR(ROUND(($AB76-AE76)*100,2)&amp;" pts.",0)</f>
        <v>0</v>
      </c>
      <c r="AN76" s="386">
        <f ca="1">+IFERROR(ROUND(($AB76-AH76)*100,2)&amp;" pts.",0)</f>
        <v>0</v>
      </c>
    </row>
    <row r="77" spans="1:40" x14ac:dyDescent="0.25">
      <c r="A77" s="6" t="s">
        <v>7</v>
      </c>
      <c r="B77" s="7" t="e">
        <f ca="1">_xll.EVRNG(A91:F97)</f>
        <v>#NAME?</v>
      </c>
      <c r="H77" s="189" t="s">
        <v>862</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47"/>
      <c r="P77" s="47"/>
      <c r="Q77" s="47"/>
      <c r="R77" s="47"/>
      <c r="S77" s="47"/>
      <c r="T77" s="47"/>
      <c r="U77" s="47"/>
      <c r="V77" s="47"/>
      <c r="W77" s="47"/>
      <c r="X77" s="47"/>
      <c r="Y77" s="47"/>
      <c r="Z77" s="47"/>
      <c r="AA77" s="324" t="e">
        <f t="shared" ref="AA77:AA89" ca="1" si="31">IF($I77="B1","",SUM(O77:Z77))</f>
        <v>#NAME?</v>
      </c>
      <c r="AB77" s="48" t="e">
        <f t="shared" ref="AB77:AB89" ca="1" si="32">IF(AA77=0,"",IFERROR(AA77/AA$19,""))</f>
        <v>#NAME?</v>
      </c>
      <c r="AD77" s="47">
        <v>17207.3</v>
      </c>
      <c r="AE77" s="48" t="str">
        <f t="shared" ref="AE77:AE89" ca="1" si="33">IF(AD77=0,"",IFERROR(AD77/AD$19,""))</f>
        <v/>
      </c>
      <c r="AF77" s="150" t="e">
        <f t="shared" ref="AF77:AF89" ca="1" si="34">IF(AND($AA77="",AD77=""),"",$AA77-AD77)</f>
        <v>#NAME?</v>
      </c>
      <c r="AG77" s="47">
        <v>45.23</v>
      </c>
      <c r="AH77" s="48" t="str">
        <f ca="1">IF(AG77=0,"",IFERROR(AG77/AG$19,""))</f>
        <v/>
      </c>
      <c r="AI77" s="150" t="e">
        <f ca="1">IF(AND($AA77="",AG77=""),"",$AA77-AG77)</f>
        <v>#NAME?</v>
      </c>
      <c r="AJ77" s="350">
        <f ca="1">IFERROR(AA77/AA$20,0)</f>
        <v>0</v>
      </c>
      <c r="AK77" s="351">
        <f ca="1">IFERROR(AD77/AD$20,0)</f>
        <v>0</v>
      </c>
      <c r="AL77" s="352">
        <f ca="1">IFERROR(AG77/AG$20,0)</f>
        <v>0</v>
      </c>
      <c r="AM77" s="387">
        <f ca="1">+IFERROR(ROUND(($AB77-AE77)*100,2)&amp;" pts.",0)</f>
        <v>0</v>
      </c>
      <c r="AN77" s="386">
        <f ca="1">+IFERROR(ROUND(($AB77-AH77)*100,2)&amp;" pts.",0)</f>
        <v>0</v>
      </c>
    </row>
    <row r="78" spans="1:40" x14ac:dyDescent="0.25">
      <c r="A78" s="6" t="s">
        <v>47</v>
      </c>
      <c r="B78" s="7" t="e">
        <f ca="1">_xll.EVRNG($A$114:$B$135)</f>
        <v>#NAME?</v>
      </c>
      <c r="H78" s="189" t="s">
        <v>882</v>
      </c>
      <c r="I78" s="161" t="e">
        <f ca="1">_xll.EVPRO($B$1,$H78,"STYLE")</f>
        <v>#NAME?</v>
      </c>
      <c r="J78" s="161" t="e">
        <f ca="1">_xll.EVPRO($B$1,$H78,"CALC")</f>
        <v>#NAME?</v>
      </c>
      <c r="K78" s="68" t="e">
        <f t="shared" ref="K78:K89" ca="1" si="35">IF(AND(I78&gt;="T3"),"&gt;","")</f>
        <v>#NAME?</v>
      </c>
      <c r="L78" s="162" t="e">
        <f ca="1">_xll.EVPRO($B$1,H78,"JDEID")</f>
        <v>#NAME?</v>
      </c>
      <c r="M78" s="162" t="e">
        <f ca="1">IF(AND(I78="N",J78="N"),_xll.EVPRO($B$1,H78,"PSFTID"),"")</f>
        <v>#NAME?</v>
      </c>
      <c r="N78" s="162" t="e">
        <f ca="1">IF(_xll.EVDES(H78,$B$1)="#NODATA","",_xll.EVDES(H78,$B$1))</f>
        <v>#NAME?</v>
      </c>
      <c r="O78" s="47">
        <v>2164.02</v>
      </c>
      <c r="P78" s="47">
        <v>2019.7</v>
      </c>
      <c r="Q78" s="47">
        <v>2283.1999999999998</v>
      </c>
      <c r="R78" s="47">
        <v>7178.23</v>
      </c>
      <c r="S78" s="47">
        <v>7149.33</v>
      </c>
      <c r="T78" s="47">
        <v>5078.4799999999996</v>
      </c>
      <c r="U78" s="47">
        <v>5808.76</v>
      </c>
      <c r="V78" s="47">
        <v>5746.26</v>
      </c>
      <c r="W78" s="47">
        <v>242</v>
      </c>
      <c r="X78" s="47">
        <v>6012.01</v>
      </c>
      <c r="Y78" s="47">
        <v>5030.13</v>
      </c>
      <c r="Z78" s="47">
        <v>6873.88</v>
      </c>
      <c r="AA78" s="324" t="e">
        <f t="shared" ca="1" si="31"/>
        <v>#NAME?</v>
      </c>
      <c r="AB78" s="48" t="e">
        <f t="shared" ca="1" si="32"/>
        <v>#NAME?</v>
      </c>
      <c r="AD78" s="47">
        <v>131015.714285715</v>
      </c>
      <c r="AE78" s="48" t="str">
        <f t="shared" ca="1" si="33"/>
        <v/>
      </c>
      <c r="AF78" s="150" t="e">
        <f t="shared" ca="1" si="34"/>
        <v>#NAME?</v>
      </c>
      <c r="AG78" s="47">
        <v>50685.42</v>
      </c>
      <c r="AH78" s="48" t="str">
        <f t="shared" ref="AH78:AH89" ca="1" si="36">IF(AG78=0,"",IFERROR(AG78/AG$19,""))</f>
        <v/>
      </c>
      <c r="AI78" s="150" t="e">
        <f t="shared" ref="AI78:AI89" ca="1" si="37">IF(AND($AA78="",AG78=""),"",$AA78-AG78)</f>
        <v>#NAME?</v>
      </c>
      <c r="AJ78" s="350">
        <f t="shared" ref="AJ78:AJ89" ca="1" si="38">IFERROR(AA78/AA$20,0)</f>
        <v>0</v>
      </c>
      <c r="AK78" s="351">
        <f t="shared" ref="AK78:AK89" ca="1" si="39">IFERROR(AD78/AD$20,0)</f>
        <v>0</v>
      </c>
      <c r="AL78" s="352">
        <f t="shared" ref="AL78:AL89" ca="1" si="40">IFERROR(AG78/AG$20,0)</f>
        <v>0</v>
      </c>
      <c r="AM78" s="387">
        <f t="shared" ref="AM78:AM89" ca="1" si="41">+IFERROR(ROUND(($AB78-AE78)*100,2)&amp;" pts.",0)</f>
        <v>0</v>
      </c>
      <c r="AN78" s="386">
        <f t="shared" ref="AN78:AN89" ca="1" si="42">+IFERROR(ROUND(($AB78-AH78)*100,2)&amp;" pts.",0)</f>
        <v>0</v>
      </c>
    </row>
    <row r="79" spans="1:40" x14ac:dyDescent="0.25">
      <c r="A79" s="6" t="s">
        <v>8</v>
      </c>
      <c r="B79" s="7"/>
      <c r="H79" s="189" t="s">
        <v>863</v>
      </c>
      <c r="I79" s="161" t="e">
        <f ca="1">_xll.EVPRO($B$1,$H79,"STYLE")</f>
        <v>#NAME?</v>
      </c>
      <c r="J79" s="161" t="e">
        <f ca="1">_xll.EVPRO($B$1,$H79,"CALC")</f>
        <v>#NAME?</v>
      </c>
      <c r="K79" s="68" t="e">
        <f t="shared" ca="1" si="35"/>
        <v>#NAME?</v>
      </c>
      <c r="L79" s="162" t="e">
        <f ca="1">_xll.EVPRO($B$1,H79,"JDEID")</f>
        <v>#NAME?</v>
      </c>
      <c r="M79" s="162" t="e">
        <f ca="1">IF(AND(I79="N",J79="N"),_xll.EVPRO($B$1,H79,"PSFTID"),"")</f>
        <v>#NAME?</v>
      </c>
      <c r="N79" s="162" t="e">
        <f ca="1">IF(_xll.EVDES(H79,$B$1)="#NODATA","",_xll.EVDES(H79,$B$1))</f>
        <v>#NAME?</v>
      </c>
      <c r="O79" s="47">
        <v>9206.81</v>
      </c>
      <c r="P79" s="47">
        <v>13859.71</v>
      </c>
      <c r="Q79" s="47">
        <v>16806.3</v>
      </c>
      <c r="R79" s="47">
        <v>15173.98</v>
      </c>
      <c r="S79" s="47">
        <v>12142.27</v>
      </c>
      <c r="T79" s="47">
        <v>10217.01</v>
      </c>
      <c r="U79" s="47">
        <v>10301.08</v>
      </c>
      <c r="V79" s="47">
        <v>8755.01</v>
      </c>
      <c r="W79" s="47">
        <v>9563.82</v>
      </c>
      <c r="X79" s="47">
        <v>10776.03</v>
      </c>
      <c r="Y79" s="47">
        <v>9728.1</v>
      </c>
      <c r="Z79" s="47">
        <v>13159.57</v>
      </c>
      <c r="AA79" s="324" t="e">
        <f t="shared" ca="1" si="31"/>
        <v>#NAME?</v>
      </c>
      <c r="AB79" s="48" t="e">
        <f t="shared" ca="1" si="32"/>
        <v>#NAME?</v>
      </c>
      <c r="AD79" s="47">
        <v>306250.17142857099</v>
      </c>
      <c r="AE79" s="48" t="str">
        <f t="shared" ca="1" si="33"/>
        <v/>
      </c>
      <c r="AF79" s="150" t="e">
        <f t="shared" ca="1" si="34"/>
        <v>#NAME?</v>
      </c>
      <c r="AG79" s="47">
        <v>125627.83</v>
      </c>
      <c r="AH79" s="48" t="str">
        <f t="shared" ca="1" si="36"/>
        <v/>
      </c>
      <c r="AI79" s="150" t="e">
        <f t="shared" ca="1" si="37"/>
        <v>#NAME?</v>
      </c>
      <c r="AJ79" s="357">
        <f t="shared" ca="1" si="38"/>
        <v>0</v>
      </c>
      <c r="AK79" s="358">
        <f t="shared" ca="1" si="39"/>
        <v>0</v>
      </c>
      <c r="AL79" s="359">
        <f t="shared" ca="1" si="40"/>
        <v>0</v>
      </c>
      <c r="AM79" s="388">
        <f t="shared" ca="1" si="41"/>
        <v>0</v>
      </c>
      <c r="AN79" s="389">
        <f t="shared" ca="1" si="42"/>
        <v>0</v>
      </c>
    </row>
    <row r="80" spans="1:40" x14ac:dyDescent="0.25">
      <c r="H80" s="189" t="s">
        <v>848</v>
      </c>
      <c r="I80" s="479" t="e">
        <f ca="1">_xll.EVPRO($B$1,$H80,"STYLE")</f>
        <v>#NAME?</v>
      </c>
      <c r="J80" s="479" t="e">
        <f ca="1">_xll.EVPRO($B$1,$H80,"CALC")</f>
        <v>#NAME?</v>
      </c>
      <c r="K80" s="480" t="e">
        <f t="shared" ca="1" si="35"/>
        <v>#NAME?</v>
      </c>
      <c r="L80" s="170" t="e">
        <f ca="1">_xll.EVPRO($B$1,H80,"JDEID")</f>
        <v>#NAME?</v>
      </c>
      <c r="M80" s="170" t="e">
        <f ca="1">IF(AND(I80="N",J80="N"),_xll.EVPRO($B$1,H80,"PSFTID"),"")</f>
        <v>#NAME?</v>
      </c>
      <c r="N80" s="170" t="e">
        <f ca="1">IF(_xll.EVDES(H80,$B$1)="#NODATA","",_xll.EVDES(H80,$B$1))</f>
        <v>#NAME?</v>
      </c>
      <c r="O80" s="134">
        <v>34717.879999999997</v>
      </c>
      <c r="P80" s="134">
        <v>39212.730000000003</v>
      </c>
      <c r="Q80" s="134">
        <v>47260.21</v>
      </c>
      <c r="R80" s="134">
        <v>51878.87</v>
      </c>
      <c r="S80" s="134">
        <v>46188.38</v>
      </c>
      <c r="T80" s="134">
        <v>41090.49</v>
      </c>
      <c r="U80" s="134">
        <v>37348.480000000003</v>
      </c>
      <c r="V80" s="134">
        <v>36690.269999999997</v>
      </c>
      <c r="W80" s="134">
        <v>26646.78</v>
      </c>
      <c r="X80" s="134">
        <v>30435.86</v>
      </c>
      <c r="Y80" s="134">
        <v>31181.13</v>
      </c>
      <c r="Z80" s="134">
        <v>37084.35</v>
      </c>
      <c r="AA80" s="134" t="e">
        <f t="shared" ca="1" si="31"/>
        <v>#NAME?</v>
      </c>
      <c r="AB80" s="135" t="e">
        <f t="shared" ca="1" si="32"/>
        <v>#NAME?</v>
      </c>
      <c r="AC80" s="137"/>
      <c r="AD80" s="134">
        <v>807748.63198348205</v>
      </c>
      <c r="AE80" s="135" t="str">
        <f t="shared" ca="1" si="33"/>
        <v/>
      </c>
      <c r="AF80" s="136" t="e">
        <f t="shared" ca="1" si="34"/>
        <v>#NAME?</v>
      </c>
      <c r="AG80" s="134">
        <v>459178.8</v>
      </c>
      <c r="AH80" s="135" t="str">
        <f t="shared" ca="1" si="36"/>
        <v/>
      </c>
      <c r="AI80" s="136" t="e">
        <f t="shared" ca="1" si="37"/>
        <v>#NAME?</v>
      </c>
      <c r="AJ80" s="360">
        <f t="shared" ca="1" si="38"/>
        <v>0</v>
      </c>
      <c r="AK80" s="361">
        <f t="shared" ca="1" si="39"/>
        <v>0</v>
      </c>
      <c r="AL80" s="363">
        <f t="shared" ca="1" si="40"/>
        <v>0</v>
      </c>
      <c r="AM80" s="405">
        <f t="shared" ca="1" si="41"/>
        <v>0</v>
      </c>
      <c r="AN80" s="522">
        <f t="shared" ca="1" si="42"/>
        <v>0</v>
      </c>
    </row>
    <row r="81" spans="1:40" x14ac:dyDescent="0.25">
      <c r="A81" s="3" t="s">
        <v>9</v>
      </c>
      <c r="B81" s="5" t="s">
        <v>10</v>
      </c>
      <c r="H81" s="189" t="s">
        <v>864</v>
      </c>
      <c r="I81" s="161" t="e">
        <f ca="1">_xll.EVPRO($B$1,$H81,"STYLE")</f>
        <v>#NAME?</v>
      </c>
      <c r="J81" s="161" t="e">
        <f ca="1">_xll.EVPRO($B$1,$H81,"CALC")</f>
        <v>#NAME?</v>
      </c>
      <c r="K81" s="68" t="e">
        <f t="shared" ca="1" si="35"/>
        <v>#NAME?</v>
      </c>
      <c r="L81" s="162" t="e">
        <f ca="1">_xll.EVPRO($B$1,H81,"JDEID")</f>
        <v>#NAME?</v>
      </c>
      <c r="M81" s="162" t="e">
        <f ca="1">IF(AND(I81="N",J81="N"),_xll.EVPRO($B$1,H81,"PSFTID"),"")</f>
        <v>#NAME?</v>
      </c>
      <c r="N81" s="162" t="e">
        <f ca="1">IF(_xll.EVDES(H81,$B$1)="#NODATA","",_xll.EVDES(H81,$B$1))</f>
        <v>#NAME?</v>
      </c>
      <c r="O81" s="47">
        <v>35582.17</v>
      </c>
      <c r="P81" s="47">
        <v>31152.76</v>
      </c>
      <c r="Q81" s="47">
        <v>37826.910000000003</v>
      </c>
      <c r="R81" s="47">
        <v>25458.35</v>
      </c>
      <c r="S81" s="47">
        <v>25816.66</v>
      </c>
      <c r="T81" s="47">
        <v>22441.96</v>
      </c>
      <c r="U81" s="47">
        <v>20132.8</v>
      </c>
      <c r="V81" s="47">
        <v>18891.400000000001</v>
      </c>
      <c r="W81" s="47">
        <v>16169.1</v>
      </c>
      <c r="X81" s="47">
        <v>17701.28</v>
      </c>
      <c r="Y81" s="47">
        <v>17860.73</v>
      </c>
      <c r="Z81" s="47">
        <v>31088.32</v>
      </c>
      <c r="AA81" s="47" t="e">
        <f t="shared" ca="1" si="31"/>
        <v>#NAME?</v>
      </c>
      <c r="AB81" s="48" t="e">
        <f t="shared" ca="1" si="32"/>
        <v>#NAME?</v>
      </c>
      <c r="AD81" s="47">
        <v>508668.53909999999</v>
      </c>
      <c r="AE81" s="48" t="str">
        <f t="shared" ca="1" si="33"/>
        <v/>
      </c>
      <c r="AF81" s="150" t="e">
        <f t="shared" ca="1" si="34"/>
        <v>#NAME?</v>
      </c>
      <c r="AG81" s="47">
        <v>346984.12</v>
      </c>
      <c r="AH81" s="48" t="str">
        <f t="shared" ca="1" si="36"/>
        <v/>
      </c>
      <c r="AI81" s="150" t="e">
        <f t="shared" ca="1" si="37"/>
        <v>#NAME?</v>
      </c>
      <c r="AJ81" s="353">
        <f t="shared" ca="1" si="38"/>
        <v>0</v>
      </c>
      <c r="AK81" s="354">
        <f t="shared" ca="1" si="39"/>
        <v>0</v>
      </c>
      <c r="AL81" s="356">
        <f t="shared" ca="1" si="40"/>
        <v>0</v>
      </c>
      <c r="AM81" s="390">
        <f t="shared" ca="1" si="41"/>
        <v>0</v>
      </c>
      <c r="AN81" s="391">
        <f t="shared" ca="1" si="42"/>
        <v>0</v>
      </c>
    </row>
    <row r="82" spans="1:40" x14ac:dyDescent="0.25">
      <c r="A82" s="6" t="s">
        <v>11</v>
      </c>
      <c r="B82" s="7" t="s">
        <v>21</v>
      </c>
      <c r="H82" s="189" t="s">
        <v>865</v>
      </c>
      <c r="I82" s="161" t="e">
        <f ca="1">_xll.EVPRO($B$1,$H82,"STYLE")</f>
        <v>#NAME?</v>
      </c>
      <c r="J82" s="161" t="e">
        <f ca="1">_xll.EVPRO($B$1,$H82,"CALC")</f>
        <v>#NAME?</v>
      </c>
      <c r="K82" s="68" t="e">
        <f t="shared" ca="1" si="35"/>
        <v>#NAME?</v>
      </c>
      <c r="L82" s="162" t="e">
        <f ca="1">_xll.EVPRO($B$1,H82,"JDEID")</f>
        <v>#NAME?</v>
      </c>
      <c r="M82" s="162" t="e">
        <f ca="1">IF(AND(I82="N",J82="N"),_xll.EVPRO($B$1,H82,"PSFTID"),"")</f>
        <v>#NAME?</v>
      </c>
      <c r="N82" s="162" t="e">
        <f ca="1">IF(_xll.EVDES(H82,$B$1)="#NODATA","",_xll.EVDES(H82,$B$1))</f>
        <v>#NAME?</v>
      </c>
      <c r="O82" s="47">
        <v>42282.89</v>
      </c>
      <c r="P82" s="47">
        <v>34473.019999999997</v>
      </c>
      <c r="Q82" s="47">
        <v>32843.03</v>
      </c>
      <c r="R82" s="47">
        <v>29928.13</v>
      </c>
      <c r="S82" s="47">
        <v>34257.519999999997</v>
      </c>
      <c r="T82" s="47">
        <v>23055.43</v>
      </c>
      <c r="U82" s="47">
        <v>34526.58</v>
      </c>
      <c r="V82" s="47">
        <v>43155.74</v>
      </c>
      <c r="W82" s="47">
        <v>31883.72</v>
      </c>
      <c r="X82" s="47">
        <v>28312.720000000001</v>
      </c>
      <c r="Y82" s="47">
        <v>34620.81</v>
      </c>
      <c r="Z82" s="47">
        <v>40482.050000000003</v>
      </c>
      <c r="AA82" s="324" t="e">
        <f t="shared" ca="1" si="31"/>
        <v>#NAME?</v>
      </c>
      <c r="AB82" s="48" t="e">
        <f t="shared" ca="1" si="32"/>
        <v>#NAME?</v>
      </c>
      <c r="AD82" s="47">
        <v>332553.41342526599</v>
      </c>
      <c r="AE82" s="48" t="str">
        <f t="shared" ca="1" si="33"/>
        <v/>
      </c>
      <c r="AF82" s="150" t="e">
        <f t="shared" ca="1" si="34"/>
        <v>#NAME?</v>
      </c>
      <c r="AG82" s="47">
        <v>645010.69999999995</v>
      </c>
      <c r="AH82" s="48" t="str">
        <f t="shared" ca="1" si="36"/>
        <v/>
      </c>
      <c r="AI82" s="150" t="e">
        <f t="shared" ca="1" si="37"/>
        <v>#NAME?</v>
      </c>
      <c r="AJ82" s="350">
        <f t="shared" ca="1" si="38"/>
        <v>0</v>
      </c>
      <c r="AK82" s="351">
        <f t="shared" ca="1" si="39"/>
        <v>0</v>
      </c>
      <c r="AL82" s="352">
        <f t="shared" ca="1" si="40"/>
        <v>0</v>
      </c>
      <c r="AM82" s="387">
        <f t="shared" ca="1" si="41"/>
        <v>0</v>
      </c>
      <c r="AN82" s="386">
        <f t="shared" ca="1" si="42"/>
        <v>0</v>
      </c>
    </row>
    <row r="83" spans="1:40" x14ac:dyDescent="0.25">
      <c r="A83" s="6" t="s">
        <v>12</v>
      </c>
      <c r="B83" s="7" t="s">
        <v>22</v>
      </c>
      <c r="H83" s="189" t="s">
        <v>849</v>
      </c>
      <c r="I83" s="161" t="e">
        <f ca="1">_xll.EVPRO($B$1,$H83,"STYLE")</f>
        <v>#NAME?</v>
      </c>
      <c r="J83" s="161" t="e">
        <f ca="1">_xll.EVPRO($B$1,$H83,"CALC")</f>
        <v>#NAME?</v>
      </c>
      <c r="K83" s="68" t="e">
        <f t="shared" ca="1" si="35"/>
        <v>#NAME?</v>
      </c>
      <c r="L83" s="162" t="e">
        <f ca="1">_xll.EVPRO($B$1,H83,"JDEID")</f>
        <v>#NAME?</v>
      </c>
      <c r="M83" s="162" t="e">
        <f ca="1">IF(AND(I83="N",J83="N"),_xll.EVPRO($B$1,H83,"PSFTID"),"")</f>
        <v>#NAME?</v>
      </c>
      <c r="N83" s="162" t="e">
        <f ca="1">IF(_xll.EVDES(H83,$B$1)="#NODATA","",_xll.EVDES(H83,$B$1))</f>
        <v>#NAME?</v>
      </c>
      <c r="O83" s="47">
        <v>3354.17</v>
      </c>
      <c r="P83" s="47">
        <v>1754.52</v>
      </c>
      <c r="Q83" s="47">
        <v>3148.39</v>
      </c>
      <c r="R83" s="47">
        <v>8516.2900000000009</v>
      </c>
      <c r="S83" s="47">
        <v>-5000</v>
      </c>
      <c r="T83" s="47"/>
      <c r="U83" s="47"/>
      <c r="V83" s="47"/>
      <c r="W83" s="47"/>
      <c r="X83" s="47"/>
      <c r="Y83" s="47"/>
      <c r="Z83" s="47"/>
      <c r="AA83" s="324" t="e">
        <f t="shared" ca="1" si="31"/>
        <v>#NAME?</v>
      </c>
      <c r="AB83" s="48" t="e">
        <f t="shared" ca="1" si="32"/>
        <v>#NAME?</v>
      </c>
      <c r="AD83" s="47">
        <v>74462.131813831307</v>
      </c>
      <c r="AE83" s="48" t="str">
        <f t="shared" ca="1" si="33"/>
        <v/>
      </c>
      <c r="AF83" s="150" t="e">
        <f t="shared" ca="1" si="34"/>
        <v>#NAME?</v>
      </c>
      <c r="AG83" s="47">
        <v>47122.77</v>
      </c>
      <c r="AH83" s="48" t="str">
        <f t="shared" ca="1" si="36"/>
        <v/>
      </c>
      <c r="AI83" s="150" t="e">
        <f t="shared" ca="1" si="37"/>
        <v>#NAME?</v>
      </c>
      <c r="AJ83" s="357">
        <f t="shared" ca="1" si="38"/>
        <v>0</v>
      </c>
      <c r="AK83" s="358">
        <f t="shared" ca="1" si="39"/>
        <v>0</v>
      </c>
      <c r="AL83" s="359">
        <f t="shared" ca="1" si="40"/>
        <v>0</v>
      </c>
      <c r="AM83" s="388">
        <f t="shared" ca="1" si="41"/>
        <v>0</v>
      </c>
      <c r="AN83" s="389">
        <f t="shared" ca="1" si="42"/>
        <v>0</v>
      </c>
    </row>
    <row r="84" spans="1:40" x14ac:dyDescent="0.25">
      <c r="A84" s="6" t="s">
        <v>13</v>
      </c>
      <c r="B84" s="7" t="s">
        <v>737</v>
      </c>
      <c r="H84" s="189" t="s">
        <v>850</v>
      </c>
      <c r="I84" s="479" t="e">
        <f ca="1">_xll.EVPRO($B$1,$H84,"STYLE")</f>
        <v>#NAME?</v>
      </c>
      <c r="J84" s="479" t="e">
        <f ca="1">_xll.EVPRO($B$1,$H84,"CALC")</f>
        <v>#NAME?</v>
      </c>
      <c r="K84" s="480" t="e">
        <f t="shared" ca="1" si="35"/>
        <v>#NAME?</v>
      </c>
      <c r="L84" s="170" t="e">
        <f ca="1">_xll.EVPRO($B$1,H84,"JDEID")</f>
        <v>#NAME?</v>
      </c>
      <c r="M84" s="170" t="e">
        <f ca="1">IF(AND(I84="N",J84="N"),_xll.EVPRO($B$1,H84,"PSFTID"),"")</f>
        <v>#NAME?</v>
      </c>
      <c r="N84" s="170" t="e">
        <f ca="1">IF(_xll.EVDES(H84,$B$1)="#NODATA","",_xll.EVDES(H84,$B$1))</f>
        <v>#NAME?</v>
      </c>
      <c r="O84" s="134">
        <v>115937.11</v>
      </c>
      <c r="P84" s="134">
        <v>106593.03</v>
      </c>
      <c r="Q84" s="134">
        <v>121078.54</v>
      </c>
      <c r="R84" s="134">
        <v>115781.64</v>
      </c>
      <c r="S84" s="134">
        <v>101262.56</v>
      </c>
      <c r="T84" s="134">
        <v>86587.88</v>
      </c>
      <c r="U84" s="134">
        <v>92007.86</v>
      </c>
      <c r="V84" s="134">
        <v>98737.41</v>
      </c>
      <c r="W84" s="134">
        <v>74699.600000000006</v>
      </c>
      <c r="X84" s="134">
        <v>76449.86</v>
      </c>
      <c r="Y84" s="134">
        <v>83662.67</v>
      </c>
      <c r="Z84" s="134">
        <v>108654.72</v>
      </c>
      <c r="AA84" s="134" t="e">
        <f t="shared" ca="1" si="31"/>
        <v>#NAME?</v>
      </c>
      <c r="AB84" s="135" t="e">
        <f t="shared" ca="1" si="32"/>
        <v>#NAME?</v>
      </c>
      <c r="AC84" s="137"/>
      <c r="AD84" s="134">
        <v>1723432.7163225799</v>
      </c>
      <c r="AE84" s="135" t="str">
        <f t="shared" ca="1" si="33"/>
        <v/>
      </c>
      <c r="AF84" s="136" t="e">
        <f t="shared" ca="1" si="34"/>
        <v>#NAME?</v>
      </c>
      <c r="AG84" s="134">
        <v>1498296.39</v>
      </c>
      <c r="AH84" s="135" t="str">
        <f t="shared" ca="1" si="36"/>
        <v/>
      </c>
      <c r="AI84" s="136" t="e">
        <f t="shared" ca="1" si="37"/>
        <v>#NAME?</v>
      </c>
      <c r="AJ84" s="360">
        <f t="shared" ca="1" si="38"/>
        <v>0</v>
      </c>
      <c r="AK84" s="361">
        <f t="shared" ca="1" si="39"/>
        <v>0</v>
      </c>
      <c r="AL84" s="363">
        <f t="shared" ca="1" si="40"/>
        <v>0</v>
      </c>
      <c r="AM84" s="405">
        <f t="shared" ca="1" si="41"/>
        <v>0</v>
      </c>
      <c r="AN84" s="522">
        <f t="shared" ca="1" si="42"/>
        <v>0</v>
      </c>
    </row>
    <row r="85" spans="1:40" x14ac:dyDescent="0.25">
      <c r="A85" s="6" t="s">
        <v>14</v>
      </c>
      <c r="B85" s="7"/>
      <c r="H85" s="189" t="s">
        <v>851</v>
      </c>
      <c r="I85" s="161" t="e">
        <f ca="1">_xll.EVPRO($B$1,$H85,"STYLE")</f>
        <v>#NAME?</v>
      </c>
      <c r="J85" s="161" t="e">
        <f ca="1">_xll.EVPRO($B$1,$H85,"CALC")</f>
        <v>#NAME?</v>
      </c>
      <c r="K85" s="68" t="e">
        <f t="shared" ca="1" si="35"/>
        <v>#NAME?</v>
      </c>
      <c r="L85" s="162" t="e">
        <f ca="1">_xll.EVPRO($B$1,H85,"JDEID")</f>
        <v>#NAME?</v>
      </c>
      <c r="M85" s="162" t="e">
        <f ca="1">IF(AND(I85="N",J85="N"),_xll.EVPRO($B$1,H85,"PSFTID"),"")</f>
        <v>#NAME?</v>
      </c>
      <c r="N85" s="162" t="e">
        <f ca="1">IF(_xll.EVDES(H85,$B$1)="#NODATA","",_xll.EVDES(H85,$B$1))</f>
        <v>#NAME?</v>
      </c>
      <c r="O85" s="47">
        <v>5449.45</v>
      </c>
      <c r="P85" s="47">
        <v>5311.38</v>
      </c>
      <c r="Q85" s="47">
        <v>5713.56</v>
      </c>
      <c r="R85" s="47">
        <v>5706.99</v>
      </c>
      <c r="S85" s="47">
        <v>4325.55</v>
      </c>
      <c r="T85" s="47">
        <v>4193.41</v>
      </c>
      <c r="U85" s="47">
        <v>3715.62</v>
      </c>
      <c r="V85" s="47">
        <v>3435.74</v>
      </c>
      <c r="W85" s="47">
        <v>2800.99</v>
      </c>
      <c r="X85" s="47">
        <v>2698.93</v>
      </c>
      <c r="Y85" s="47">
        <v>2008.88</v>
      </c>
      <c r="Z85" s="47">
        <v>2733.89</v>
      </c>
      <c r="AA85" s="47" t="e">
        <f t="shared" ca="1" si="31"/>
        <v>#NAME?</v>
      </c>
      <c r="AB85" s="48" t="e">
        <f t="shared" ca="1" si="32"/>
        <v>#NAME?</v>
      </c>
      <c r="AD85" s="47">
        <v>68745.849662972803</v>
      </c>
      <c r="AE85" s="48" t="str">
        <f t="shared" ca="1" si="33"/>
        <v/>
      </c>
      <c r="AF85" s="150" t="e">
        <f t="shared" ca="1" si="34"/>
        <v>#NAME?</v>
      </c>
      <c r="AG85" s="47">
        <v>60892.32</v>
      </c>
      <c r="AH85" s="48" t="str">
        <f t="shared" ca="1" si="36"/>
        <v/>
      </c>
      <c r="AI85" s="150" t="e">
        <f t="shared" ca="1" si="37"/>
        <v>#NAME?</v>
      </c>
      <c r="AJ85" s="353">
        <f t="shared" ca="1" si="38"/>
        <v>0</v>
      </c>
      <c r="AK85" s="354">
        <f t="shared" ca="1" si="39"/>
        <v>0</v>
      </c>
      <c r="AL85" s="356">
        <f t="shared" ca="1" si="40"/>
        <v>0</v>
      </c>
      <c r="AM85" s="390">
        <f t="shared" ca="1" si="41"/>
        <v>0</v>
      </c>
      <c r="AN85" s="391">
        <f t="shared" ca="1" si="42"/>
        <v>0</v>
      </c>
    </row>
    <row r="86" spans="1:40" x14ac:dyDescent="0.25">
      <c r="A86" s="6" t="s">
        <v>15</v>
      </c>
      <c r="B86" s="7"/>
      <c r="H86" s="189" t="s">
        <v>852</v>
      </c>
      <c r="I86" s="161" t="e">
        <f ca="1">_xll.EVPRO($B$1,$H86,"STYLE")</f>
        <v>#NAME?</v>
      </c>
      <c r="J86" s="161" t="e">
        <f ca="1">_xll.EVPRO($B$1,$H86,"CALC")</f>
        <v>#NAME?</v>
      </c>
      <c r="K86" s="68" t="e">
        <f t="shared" ca="1" si="35"/>
        <v>#NAME?</v>
      </c>
      <c r="L86" s="162" t="e">
        <f ca="1">_xll.EVPRO($B$1,H86,"JDEID")</f>
        <v>#NAME?</v>
      </c>
      <c r="M86" s="162" t="e">
        <f ca="1">IF(AND(I86="N",J86="N"),_xll.EVPRO($B$1,H86,"PSFTID"),"")</f>
        <v>#NAME?</v>
      </c>
      <c r="N86" s="162" t="e">
        <f ca="1">IF(_xll.EVDES(H86,$B$1)="#NODATA","",_xll.EVDES(H86,$B$1))</f>
        <v>#NAME?</v>
      </c>
      <c r="O86" s="47">
        <v>5946.28</v>
      </c>
      <c r="P86" s="47">
        <v>2205.88</v>
      </c>
      <c r="Q86" s="47">
        <v>3990.8</v>
      </c>
      <c r="R86" s="47">
        <v>2493.33</v>
      </c>
      <c r="S86" s="47">
        <v>4452.0200000000004</v>
      </c>
      <c r="T86" s="47">
        <v>2260.6799999999998</v>
      </c>
      <c r="U86" s="47">
        <v>4188.87</v>
      </c>
      <c r="V86" s="47">
        <v>2535.46</v>
      </c>
      <c r="W86" s="47">
        <v>-607.4</v>
      </c>
      <c r="X86" s="47">
        <v>5168.32</v>
      </c>
      <c r="Y86" s="47">
        <v>2944.38</v>
      </c>
      <c r="Z86" s="47">
        <v>1241.44</v>
      </c>
      <c r="AA86" s="324" t="e">
        <f t="shared" ca="1" si="31"/>
        <v>#NAME?</v>
      </c>
      <c r="AB86" s="48" t="e">
        <f t="shared" ca="1" si="32"/>
        <v>#NAME?</v>
      </c>
      <c r="AD86" s="47">
        <v>41700.4799446861</v>
      </c>
      <c r="AE86" s="48" t="str">
        <f t="shared" ca="1" si="33"/>
        <v/>
      </c>
      <c r="AF86" s="150" t="e">
        <f t="shared" ca="1" si="34"/>
        <v>#NAME?</v>
      </c>
      <c r="AG86" s="47">
        <v>29025.82</v>
      </c>
      <c r="AH86" s="48" t="str">
        <f t="shared" ca="1" si="36"/>
        <v/>
      </c>
      <c r="AI86" s="150" t="e">
        <f t="shared" ca="1" si="37"/>
        <v>#NAME?</v>
      </c>
      <c r="AJ86" s="350">
        <f t="shared" ca="1" si="38"/>
        <v>0</v>
      </c>
      <c r="AK86" s="351">
        <f t="shared" ca="1" si="39"/>
        <v>0</v>
      </c>
      <c r="AL86" s="352">
        <f t="shared" ca="1" si="40"/>
        <v>0</v>
      </c>
      <c r="AM86" s="387">
        <f t="shared" ca="1" si="41"/>
        <v>0</v>
      </c>
      <c r="AN86" s="386">
        <f t="shared" ca="1" si="42"/>
        <v>0</v>
      </c>
    </row>
    <row r="87" spans="1:40" x14ac:dyDescent="0.25">
      <c r="A87" s="6" t="s">
        <v>16</v>
      </c>
      <c r="B87" s="7" t="s">
        <v>78</v>
      </c>
      <c r="H87" s="189" t="s">
        <v>853</v>
      </c>
      <c r="I87" s="161" t="e">
        <f ca="1">_xll.EVPRO($B$1,$H87,"STYLE")</f>
        <v>#NAME?</v>
      </c>
      <c r="J87" s="161" t="e">
        <f ca="1">_xll.EVPRO($B$1,$H87,"CALC")</f>
        <v>#NAME?</v>
      </c>
      <c r="K87" s="68" t="e">
        <f t="shared" ca="1" si="35"/>
        <v>#NAME?</v>
      </c>
      <c r="L87" s="162" t="e">
        <f ca="1">_xll.EVPRO($B$1,H87,"JDEID")</f>
        <v>#NAME?</v>
      </c>
      <c r="M87" s="162" t="e">
        <f ca="1">IF(AND(I87="N",J87="N"),_xll.EVPRO($B$1,H87,"PSFTID"),"")</f>
        <v>#NAME?</v>
      </c>
      <c r="N87" s="162" t="e">
        <f ca="1">IF(_xll.EVDES(H87,$B$1)="#NODATA","",_xll.EVDES(H87,$B$1))</f>
        <v>#NAME?</v>
      </c>
      <c r="O87" s="47">
        <v>12447.8</v>
      </c>
      <c r="P87" s="47">
        <v>11784.82</v>
      </c>
      <c r="Q87" s="47">
        <v>11438.43</v>
      </c>
      <c r="R87" s="47">
        <v>12965.89</v>
      </c>
      <c r="S87" s="47">
        <v>14611.11</v>
      </c>
      <c r="T87" s="47">
        <v>9954.2800000000007</v>
      </c>
      <c r="U87" s="47">
        <v>12082.84</v>
      </c>
      <c r="V87" s="47">
        <v>12311.35</v>
      </c>
      <c r="W87" s="47">
        <v>9147.2000000000007</v>
      </c>
      <c r="X87" s="47">
        <v>8348.9</v>
      </c>
      <c r="Y87" s="47">
        <v>6994.77</v>
      </c>
      <c r="Z87" s="47">
        <v>4059.74</v>
      </c>
      <c r="AA87" s="324" t="e">
        <f t="shared" ca="1" si="31"/>
        <v>#NAME?</v>
      </c>
      <c r="AB87" s="48" t="e">
        <f t="shared" ca="1" si="32"/>
        <v>#NAME?</v>
      </c>
      <c r="AD87" s="47">
        <v>66284.606759963397</v>
      </c>
      <c r="AE87" s="48" t="str">
        <f t="shared" ca="1" si="33"/>
        <v/>
      </c>
      <c r="AF87" s="150" t="e">
        <f t="shared" ca="1" si="34"/>
        <v>#NAME?</v>
      </c>
      <c r="AG87" s="47">
        <v>55504.89</v>
      </c>
      <c r="AH87" s="48" t="str">
        <f t="shared" ca="1" si="36"/>
        <v/>
      </c>
      <c r="AI87" s="150" t="e">
        <f t="shared" ca="1" si="37"/>
        <v>#NAME?</v>
      </c>
      <c r="AJ87" s="357">
        <f t="shared" ca="1" si="38"/>
        <v>0</v>
      </c>
      <c r="AK87" s="358">
        <f t="shared" ca="1" si="39"/>
        <v>0</v>
      </c>
      <c r="AL87" s="359">
        <f t="shared" ca="1" si="40"/>
        <v>0</v>
      </c>
      <c r="AM87" s="388">
        <f t="shared" ca="1" si="41"/>
        <v>0</v>
      </c>
      <c r="AN87" s="389">
        <f t="shared" ca="1" si="42"/>
        <v>0</v>
      </c>
    </row>
    <row r="88" spans="1:40" x14ac:dyDescent="0.25">
      <c r="A88" s="6" t="s">
        <v>17</v>
      </c>
      <c r="B88" s="7"/>
      <c r="H88" s="189" t="s">
        <v>854</v>
      </c>
      <c r="I88" s="479" t="e">
        <f ca="1">_xll.EVPRO($B$1,$H88,"STYLE")</f>
        <v>#NAME?</v>
      </c>
      <c r="J88" s="479" t="e">
        <f ca="1">_xll.EVPRO($B$1,$H88,"CALC")</f>
        <v>#NAME?</v>
      </c>
      <c r="K88" s="480" t="e">
        <f t="shared" ca="1" si="35"/>
        <v>#NAME?</v>
      </c>
      <c r="L88" s="170" t="e">
        <f ca="1">_xll.EVPRO($B$1,H88,"JDEID")</f>
        <v>#NAME?</v>
      </c>
      <c r="M88" s="170" t="e">
        <f ca="1">IF(AND(I88="N",J88="N"),_xll.EVPRO($B$1,H88,"PSFTID"),"")</f>
        <v>#NAME?</v>
      </c>
      <c r="N88" s="170" t="e">
        <f ca="1">IF(_xll.EVDES(H88,$B$1)="#NODATA","",_xll.EVDES(H88,$B$1))</f>
        <v>#NAME?</v>
      </c>
      <c r="O88" s="36">
        <v>23843.53</v>
      </c>
      <c r="P88" s="36">
        <v>19302.080000000002</v>
      </c>
      <c r="Q88" s="36">
        <v>21142.79</v>
      </c>
      <c r="R88" s="36">
        <v>21166.21</v>
      </c>
      <c r="S88" s="36">
        <v>23388.68</v>
      </c>
      <c r="T88" s="36">
        <v>16408.37</v>
      </c>
      <c r="U88" s="36">
        <v>19987.330000000002</v>
      </c>
      <c r="V88" s="36">
        <v>18282.55</v>
      </c>
      <c r="W88" s="36">
        <v>11340.79</v>
      </c>
      <c r="X88" s="36">
        <v>16216.15</v>
      </c>
      <c r="Y88" s="36">
        <v>11948.03</v>
      </c>
      <c r="Z88" s="36">
        <v>8035.07</v>
      </c>
      <c r="AA88" s="36" t="e">
        <f t="shared" ca="1" si="31"/>
        <v>#NAME?</v>
      </c>
      <c r="AB88" s="37" t="e">
        <f t="shared" ca="1" si="32"/>
        <v>#NAME?</v>
      </c>
      <c r="AC88" s="35"/>
      <c r="AD88" s="36">
        <v>176730.93636762199</v>
      </c>
      <c r="AE88" s="37" t="str">
        <f t="shared" ca="1" si="33"/>
        <v/>
      </c>
      <c r="AF88" s="58" t="e">
        <f t="shared" ca="1" si="34"/>
        <v>#NAME?</v>
      </c>
      <c r="AG88" s="36">
        <v>145423.03</v>
      </c>
      <c r="AH88" s="37" t="str">
        <f t="shared" ca="1" si="36"/>
        <v/>
      </c>
      <c r="AI88" s="58" t="e">
        <f t="shared" ca="1" si="37"/>
        <v>#NAME?</v>
      </c>
      <c r="AJ88" s="372">
        <f t="shared" ca="1" si="38"/>
        <v>0</v>
      </c>
      <c r="AK88" s="373">
        <f t="shared" ca="1" si="39"/>
        <v>0</v>
      </c>
      <c r="AL88" s="375">
        <f t="shared" ca="1" si="40"/>
        <v>0</v>
      </c>
      <c r="AM88" s="407">
        <f t="shared" ca="1" si="41"/>
        <v>0</v>
      </c>
      <c r="AN88" s="524">
        <f t="shared" ca="1" si="42"/>
        <v>0</v>
      </c>
    </row>
    <row r="89" spans="1:40" x14ac:dyDescent="0.25">
      <c r="H89" s="189" t="s">
        <v>76</v>
      </c>
      <c r="I89" s="479" t="e">
        <f ca="1">_xll.EVPRO($B$1,$H89,"STYLE")</f>
        <v>#NAME?</v>
      </c>
      <c r="J89" s="479" t="e">
        <f ca="1">_xll.EVPRO($B$1,$H89,"CALC")</f>
        <v>#NAME?</v>
      </c>
      <c r="K89" s="480" t="e">
        <f t="shared" ca="1" si="35"/>
        <v>#NAME?</v>
      </c>
      <c r="L89" s="170" t="e">
        <f ca="1">_xll.EVPRO($B$1,H89,"JDEID")</f>
        <v>#NAME?</v>
      </c>
      <c r="M89" s="170" t="e">
        <f ca="1">IF(AND(I89="N",J89="N"),_xll.EVPRO($B$1,H89,"PSFTID"),"")</f>
        <v>#NAME?</v>
      </c>
      <c r="N89" s="170" t="e">
        <f ca="1">IF(_xll.EVDES(H89,$B$1)="#NODATA","",_xll.EVDES(H89,$B$1))</f>
        <v>#NAME?</v>
      </c>
      <c r="O89" s="36">
        <v>139780.64000000001</v>
      </c>
      <c r="P89" s="36">
        <v>125895.11</v>
      </c>
      <c r="Q89" s="36">
        <v>142221.32999999999</v>
      </c>
      <c r="R89" s="36">
        <v>136947.85</v>
      </c>
      <c r="S89" s="36">
        <v>124651.24</v>
      </c>
      <c r="T89" s="36">
        <v>102996.25</v>
      </c>
      <c r="U89" s="36">
        <v>111995.19</v>
      </c>
      <c r="V89" s="36">
        <v>117019.96</v>
      </c>
      <c r="W89" s="36">
        <v>86040.39</v>
      </c>
      <c r="X89" s="36">
        <v>92666.01</v>
      </c>
      <c r="Y89" s="36">
        <v>95610.7</v>
      </c>
      <c r="Z89" s="36">
        <v>116689.79</v>
      </c>
      <c r="AA89" s="36" t="e">
        <f t="shared" ca="1" si="31"/>
        <v>#NAME?</v>
      </c>
      <c r="AB89" s="37" t="e">
        <f t="shared" ca="1" si="32"/>
        <v>#NAME?</v>
      </c>
      <c r="AC89" s="35"/>
      <c r="AD89" s="36">
        <v>1900163.6526901999</v>
      </c>
      <c r="AE89" s="37" t="str">
        <f t="shared" ca="1" si="33"/>
        <v/>
      </c>
      <c r="AF89" s="58" t="e">
        <f t="shared" ca="1" si="34"/>
        <v>#NAME?</v>
      </c>
      <c r="AG89" s="36">
        <v>1643719.42</v>
      </c>
      <c r="AH89" s="37" t="str">
        <f t="shared" ca="1" si="36"/>
        <v/>
      </c>
      <c r="AI89" s="58" t="e">
        <f t="shared" ca="1" si="37"/>
        <v>#NAME?</v>
      </c>
      <c r="AJ89" s="364">
        <f t="shared" ca="1" si="38"/>
        <v>0</v>
      </c>
      <c r="AK89" s="365">
        <f t="shared" ca="1" si="39"/>
        <v>0</v>
      </c>
      <c r="AL89" s="367">
        <f t="shared" ca="1" si="40"/>
        <v>0</v>
      </c>
      <c r="AM89" s="414">
        <f t="shared" ca="1" si="41"/>
        <v>0</v>
      </c>
      <c r="AN89" s="523">
        <f t="shared" ca="1" si="42"/>
        <v>0</v>
      </c>
    </row>
    <row r="90" spans="1:40" x14ac:dyDescent="0.25">
      <c r="A90" s="22" t="s">
        <v>92</v>
      </c>
      <c r="B90" s="23" t="s">
        <v>93</v>
      </c>
      <c r="C90" s="23" t="s">
        <v>94</v>
      </c>
      <c r="D90" s="23" t="s">
        <v>95</v>
      </c>
      <c r="E90" s="23" t="s">
        <v>96</v>
      </c>
      <c r="F90" s="24" t="s">
        <v>97</v>
      </c>
      <c r="O90" s="194"/>
      <c r="P90" s="289"/>
      <c r="Q90" s="289"/>
      <c r="R90" s="289"/>
      <c r="S90" s="289"/>
      <c r="T90" s="289"/>
      <c r="U90" s="289"/>
      <c r="V90" s="289"/>
      <c r="W90" s="289"/>
      <c r="X90" s="289"/>
      <c r="Y90" s="289"/>
      <c r="Z90" s="289"/>
      <c r="AA90" s="289"/>
      <c r="AB90" s="42"/>
      <c r="AD90" s="194"/>
      <c r="AE90" s="45"/>
      <c r="AF90" s="42"/>
      <c r="AG90" s="194"/>
      <c r="AH90" s="45"/>
      <c r="AI90" s="42"/>
    </row>
    <row r="91" spans="1:40" x14ac:dyDescent="0.25">
      <c r="H91" s="1" t="s">
        <v>82</v>
      </c>
      <c r="I91" s="11" t="e">
        <f ca="1">_xll.EVPRO($B$1,$H91,"STYLE")</f>
        <v>#NAME?</v>
      </c>
      <c r="J91" s="11" t="e">
        <f ca="1">_xll.EVPRO($B$1,$H91,"CALC")</f>
        <v>#NAME?</v>
      </c>
      <c r="N91" s="40" t="e">
        <f ca="1">IF(_xll.EVDES(H91,$B$1)="#NODATA","",_xll.EVDES(H91,$B$1))</f>
        <v>#NAME?</v>
      </c>
      <c r="O91" s="43"/>
      <c r="P91" s="46"/>
      <c r="Q91" s="46"/>
      <c r="R91" s="46"/>
      <c r="S91" s="46"/>
      <c r="T91" s="46"/>
      <c r="U91" s="46"/>
      <c r="V91" s="46"/>
      <c r="W91" s="46"/>
      <c r="X91" s="46"/>
      <c r="Y91" s="46"/>
      <c r="Z91" s="46"/>
      <c r="AA91" s="46"/>
      <c r="AB91" s="44"/>
      <c r="AD91" s="43"/>
      <c r="AE91" s="46"/>
      <c r="AF91" s="44"/>
      <c r="AG91" s="43"/>
      <c r="AH91" s="46"/>
      <c r="AI91" s="44"/>
    </row>
    <row r="92" spans="1:40" x14ac:dyDescent="0.25">
      <c r="A92" s="1" t="s">
        <v>108</v>
      </c>
      <c r="C92" s="26" t="s">
        <v>101</v>
      </c>
      <c r="D92" s="1" t="s">
        <v>106</v>
      </c>
      <c r="F92" s="1" t="s">
        <v>98</v>
      </c>
      <c r="H92" s="189" t="s">
        <v>829</v>
      </c>
      <c r="I92" s="161" t="e">
        <f ca="1">_xll.EVPRO($B$1,$H92,"STYLE")</f>
        <v>#NAME?</v>
      </c>
      <c r="J92" s="161" t="e">
        <f ca="1">_xll.EVPRO($B$1,$H92,"CALC")</f>
        <v>#NAME?</v>
      </c>
      <c r="K92" s="68" t="e">
        <f ca="1">IF(AND(I92&lt;&gt;"B1",J92="Y"),"&gt;","")</f>
        <v>#NAME?</v>
      </c>
      <c r="L92" s="162" t="e">
        <f ca="1">_xll.EVPRO($B$1,H92,"JDEID")</f>
        <v>#NAME?</v>
      </c>
      <c r="M92" s="162" t="e">
        <f ca="1">IF(AND(I92="N",J92="N"),_xll.EVPRO($B$1,H92,"PSFTID"),"")</f>
        <v>#NAME?</v>
      </c>
      <c r="N92" s="162" t="e">
        <f ca="1">IF(_xll.EVDES(H92,$B$1)="#NODATA","",_xll.EVDES(H92,$B$1))</f>
        <v>#NAME?</v>
      </c>
      <c r="O92" s="38"/>
      <c r="P92" s="38"/>
      <c r="Q92" s="38">
        <v>35</v>
      </c>
      <c r="R92" s="38"/>
      <c r="S92" s="38"/>
      <c r="T92" s="38"/>
      <c r="U92" s="38"/>
      <c r="V92" s="38"/>
      <c r="W92" s="38"/>
      <c r="X92" s="38">
        <v>1081.5</v>
      </c>
      <c r="Y92" s="38"/>
      <c r="Z92" s="38"/>
      <c r="AA92" s="310" t="e">
        <f t="shared" ref="AA92:AA119" ca="1" si="43">IF($I92="B1","",SUM(O92:Z92))</f>
        <v>#NAME?</v>
      </c>
      <c r="AB92" s="39" t="e">
        <f t="shared" ref="AB92:AB119" ca="1" si="44">IF(AA92=0,"",IFERROR(AA92/AA$19,""))</f>
        <v>#NAME?</v>
      </c>
      <c r="AD92" s="38"/>
      <c r="AE92" s="39" t="str">
        <f t="shared" ref="AE92:AE119" si="45">IF(AD92=0,"",IFERROR(AD92/AD$19,""))</f>
        <v/>
      </c>
      <c r="AF92" s="132" t="e">
        <f t="shared" ref="AF92:AF119" ca="1" si="46">IF(AND($AA92="",AD92=""),"",$AA92-AD92)</f>
        <v>#NAME?</v>
      </c>
      <c r="AG92" s="38">
        <v>5385.3</v>
      </c>
      <c r="AH92" s="39" t="str">
        <f ca="1">IF(AG92=0,"",IFERROR(AG92/AG$19,""))</f>
        <v/>
      </c>
      <c r="AI92" s="132" t="e">
        <f ca="1">IF(AND($AA92="",AG92=""),"",$AA92-AG92)</f>
        <v>#NAME?</v>
      </c>
      <c r="AJ92" s="350">
        <f ca="1">IFERROR(AA92/AA$20,0)</f>
        <v>0</v>
      </c>
      <c r="AK92" s="351">
        <f ca="1">IFERROR(AD92/AD$20,0)</f>
        <v>0</v>
      </c>
      <c r="AL92" s="352">
        <f ca="1">IFERROR(AG92/AG$20,0)</f>
        <v>0</v>
      </c>
      <c r="AM92" s="387">
        <f ca="1">+IFERROR(ROUND(($AB92-AE92)*100,2)&amp;" pts.",0)</f>
        <v>0</v>
      </c>
      <c r="AN92" s="386">
        <f ca="1">+IFERROR(ROUND(($AB92-AH92)*100,2)&amp;" pts.",0)</f>
        <v>0</v>
      </c>
    </row>
    <row r="93" spans="1:40" x14ac:dyDescent="0.25">
      <c r="A93" s="1" t="s">
        <v>100</v>
      </c>
      <c r="C93" s="8" t="s">
        <v>101</v>
      </c>
      <c r="D93" s="1" t="s">
        <v>106</v>
      </c>
      <c r="F93" s="1" t="s">
        <v>98</v>
      </c>
      <c r="G93" s="14"/>
      <c r="H93" s="189" t="s">
        <v>830</v>
      </c>
      <c r="I93" s="161" t="e">
        <f ca="1">_xll.EVPRO($B$1,$H93,"STYLE")</f>
        <v>#NAME?</v>
      </c>
      <c r="J93" s="161" t="e">
        <f ca="1">_xll.EVPRO($B$1,$H93,"CALC")</f>
        <v>#NAME?</v>
      </c>
      <c r="K93" s="68" t="e">
        <f t="shared" ref="K93:K118" ca="1" si="47">IF(AND(I93&lt;&gt;"B1",J93="Y"),"&gt;","")</f>
        <v>#NAME?</v>
      </c>
      <c r="L93" s="162" t="e">
        <f ca="1">_xll.EVPRO($B$1,H93,"JDEID")</f>
        <v>#NAME?</v>
      </c>
      <c r="M93" s="162" t="e">
        <f ca="1">IF(AND(I93="N",J93="N"),_xll.EVPRO($B$1,H93,"PSFTID"),"")</f>
        <v>#NAME?</v>
      </c>
      <c r="N93" s="162" t="e">
        <f ca="1">IF(_xll.EVDES(H93,$B$1)="#NODATA","",_xll.EVDES(H93,$B$1))</f>
        <v>#NAME?</v>
      </c>
      <c r="O93" s="38"/>
      <c r="P93" s="38"/>
      <c r="Q93" s="38"/>
      <c r="R93" s="38"/>
      <c r="S93" s="38"/>
      <c r="T93" s="38">
        <v>34.299999999999997</v>
      </c>
      <c r="U93" s="38"/>
      <c r="V93" s="38"/>
      <c r="W93" s="38"/>
      <c r="X93" s="38"/>
      <c r="Y93" s="38"/>
      <c r="Z93" s="38"/>
      <c r="AA93" s="310" t="e">
        <f t="shared" ca="1" si="43"/>
        <v>#NAME?</v>
      </c>
      <c r="AB93" s="39" t="e">
        <f t="shared" ca="1" si="44"/>
        <v>#NAME?</v>
      </c>
      <c r="AD93" s="38"/>
      <c r="AE93" s="39" t="str">
        <f t="shared" si="45"/>
        <v/>
      </c>
      <c r="AF93" s="132" t="e">
        <f t="shared" ca="1" si="46"/>
        <v>#NAME?</v>
      </c>
      <c r="AG93" s="38"/>
      <c r="AH93" s="39" t="str">
        <f t="shared" ref="AH93:AH118" si="48">IF(AG93=0,"",IFERROR(AG93/AG$19,""))</f>
        <v/>
      </c>
      <c r="AI93" s="132" t="e">
        <f t="shared" ref="AI93:AI118" ca="1" si="49">IF(AND($AA93="",AG93=""),"",$AA93-AG93)</f>
        <v>#NAME?</v>
      </c>
      <c r="AJ93" s="350">
        <f t="shared" ref="AJ93:AJ118" ca="1" si="50">IFERROR(AA93/AA$20,0)</f>
        <v>0</v>
      </c>
      <c r="AK93" s="351">
        <f t="shared" ref="AK93:AK118" ca="1" si="51">IFERROR(AD93/AD$20,0)</f>
        <v>0</v>
      </c>
      <c r="AL93" s="352">
        <f t="shared" ref="AL93:AL118" ca="1" si="52">IFERROR(AG93/AG$20,0)</f>
        <v>0</v>
      </c>
      <c r="AM93" s="387">
        <f t="shared" ref="AM93:AM118" ca="1" si="53">+IFERROR(ROUND(($AB93-AE93)*100,2)&amp;" pts.",0)</f>
        <v>0</v>
      </c>
      <c r="AN93" s="386">
        <f t="shared" ref="AN93:AN118" ca="1" si="54">+IFERROR(ROUND(($AB93-AH93)*100,2)&amp;" pts.",0)</f>
        <v>0</v>
      </c>
    </row>
    <row r="94" spans="1:40" x14ac:dyDescent="0.25">
      <c r="A94" s="1" t="s">
        <v>109</v>
      </c>
      <c r="C94" s="25" t="s">
        <v>101</v>
      </c>
      <c r="D94" s="1" t="s">
        <v>106</v>
      </c>
      <c r="F94" s="1" t="s">
        <v>98</v>
      </c>
      <c r="H94" s="189" t="s">
        <v>869</v>
      </c>
      <c r="I94" s="161" t="e">
        <f ca="1">_xll.EVPRO($B$1,$H94,"STYLE")</f>
        <v>#NAME?</v>
      </c>
      <c r="J94" s="161" t="e">
        <f ca="1">_xll.EVPRO($B$1,$H94,"CALC")</f>
        <v>#NAME?</v>
      </c>
      <c r="K94" s="68" t="e">
        <f t="shared" ca="1" si="47"/>
        <v>#NAME?</v>
      </c>
      <c r="L94" s="162" t="e">
        <f ca="1">_xll.EVPRO($B$1,H94,"JDEID")</f>
        <v>#NAME?</v>
      </c>
      <c r="M94" s="162" t="e">
        <f ca="1">IF(AND(I94="N",J94="N"),_xll.EVPRO($B$1,H94,"PSFTID"),"")</f>
        <v>#NAME?</v>
      </c>
      <c r="N94" s="162" t="e">
        <f ca="1">IF(_xll.EVDES(H94,$B$1)="#NODATA","",_xll.EVDES(H94,$B$1))</f>
        <v>#NAME?</v>
      </c>
      <c r="O94" s="38"/>
      <c r="P94" s="38"/>
      <c r="Q94" s="38">
        <v>455</v>
      </c>
      <c r="R94" s="38">
        <v>546</v>
      </c>
      <c r="S94" s="38">
        <v>-308.45999999999998</v>
      </c>
      <c r="T94" s="38"/>
      <c r="U94" s="38">
        <v>498</v>
      </c>
      <c r="V94" s="38">
        <v>-238</v>
      </c>
      <c r="W94" s="38">
        <v>239.23</v>
      </c>
      <c r="X94" s="38">
        <v>492</v>
      </c>
      <c r="Y94" s="38">
        <v>-896.75</v>
      </c>
      <c r="Z94" s="38"/>
      <c r="AA94" s="310" t="e">
        <f t="shared" ca="1" si="43"/>
        <v>#NAME?</v>
      </c>
      <c r="AB94" s="39" t="e">
        <f t="shared" ca="1" si="44"/>
        <v>#NAME?</v>
      </c>
      <c r="AD94" s="38">
        <v>6292.9894549999999</v>
      </c>
      <c r="AE94" s="39" t="str">
        <f t="shared" ca="1" si="45"/>
        <v/>
      </c>
      <c r="AF94" s="132" t="e">
        <f t="shared" ca="1" si="46"/>
        <v>#NAME?</v>
      </c>
      <c r="AG94" s="38">
        <v>4717.66</v>
      </c>
      <c r="AH94" s="39" t="str">
        <f t="shared" ca="1" si="48"/>
        <v/>
      </c>
      <c r="AI94" s="132" t="e">
        <f t="shared" ca="1" si="49"/>
        <v>#NAME?</v>
      </c>
      <c r="AJ94" s="350">
        <f t="shared" ca="1" si="50"/>
        <v>0</v>
      </c>
      <c r="AK94" s="351">
        <f t="shared" ca="1" si="51"/>
        <v>0</v>
      </c>
      <c r="AL94" s="352">
        <f t="shared" ca="1" si="52"/>
        <v>0</v>
      </c>
      <c r="AM94" s="387">
        <f t="shared" ca="1" si="53"/>
        <v>0</v>
      </c>
      <c r="AN94" s="386">
        <f t="shared" ca="1" si="54"/>
        <v>0</v>
      </c>
    </row>
    <row r="95" spans="1:40" x14ac:dyDescent="0.25">
      <c r="A95" s="1" t="s">
        <v>109</v>
      </c>
      <c r="C95" s="151" t="s">
        <v>101</v>
      </c>
      <c r="D95" s="1" t="s">
        <v>107</v>
      </c>
      <c r="F95" s="1" t="s">
        <v>99</v>
      </c>
      <c r="H95" s="189" t="s">
        <v>832</v>
      </c>
      <c r="I95" s="161" t="e">
        <f ca="1">_xll.EVPRO($B$1,$H95,"STYLE")</f>
        <v>#NAME?</v>
      </c>
      <c r="J95" s="161" t="e">
        <f ca="1">_xll.EVPRO($B$1,$H95,"CALC")</f>
        <v>#NAME?</v>
      </c>
      <c r="K95" s="68" t="e">
        <f t="shared" ca="1" si="47"/>
        <v>#NAME?</v>
      </c>
      <c r="L95" s="162" t="e">
        <f ca="1">_xll.EVPRO($B$1,H95,"JDEID")</f>
        <v>#NAME?</v>
      </c>
      <c r="M95" s="162" t="e">
        <f ca="1">IF(AND(I95="N",J95="N"),_xll.EVPRO($B$1,H95,"PSFTID"),"")</f>
        <v>#NAME?</v>
      </c>
      <c r="N95" s="162" t="e">
        <f ca="1">IF(_xll.EVDES(H95,$B$1)="#NODATA","",_xll.EVDES(H95,$B$1))</f>
        <v>#NAME?</v>
      </c>
      <c r="O95" s="38">
        <v>2889.37</v>
      </c>
      <c r="P95" s="38">
        <v>1734.99</v>
      </c>
      <c r="Q95" s="38">
        <v>3483.46</v>
      </c>
      <c r="R95" s="38">
        <v>3372.2</v>
      </c>
      <c r="S95" s="38">
        <v>3176.72</v>
      </c>
      <c r="T95" s="38">
        <v>2972.65</v>
      </c>
      <c r="U95" s="38">
        <v>2199.4499999999998</v>
      </c>
      <c r="V95" s="38">
        <v>1303.6199999999999</v>
      </c>
      <c r="W95" s="38">
        <v>2408.16</v>
      </c>
      <c r="X95" s="38">
        <v>2956.46</v>
      </c>
      <c r="Y95" s="38">
        <v>1868.91</v>
      </c>
      <c r="Z95" s="38">
        <v>4003.61</v>
      </c>
      <c r="AA95" s="310" t="e">
        <f t="shared" ca="1" si="43"/>
        <v>#NAME?</v>
      </c>
      <c r="AB95" s="39" t="e">
        <f t="shared" ca="1" si="44"/>
        <v>#NAME?</v>
      </c>
      <c r="AD95" s="38">
        <v>34707.519999999997</v>
      </c>
      <c r="AE95" s="39" t="str">
        <f t="shared" ca="1" si="45"/>
        <v/>
      </c>
      <c r="AF95" s="132" t="e">
        <f t="shared" ca="1" si="46"/>
        <v>#NAME?</v>
      </c>
      <c r="AG95" s="38">
        <v>37661.699999999997</v>
      </c>
      <c r="AH95" s="39" t="str">
        <f t="shared" ca="1" si="48"/>
        <v/>
      </c>
      <c r="AI95" s="132" t="e">
        <f t="shared" ca="1" si="49"/>
        <v>#NAME?</v>
      </c>
      <c r="AJ95" s="350">
        <f t="shared" ca="1" si="50"/>
        <v>0</v>
      </c>
      <c r="AK95" s="351">
        <f t="shared" ca="1" si="51"/>
        <v>0</v>
      </c>
      <c r="AL95" s="352">
        <f t="shared" ca="1" si="52"/>
        <v>0</v>
      </c>
      <c r="AM95" s="387">
        <f t="shared" ca="1" si="53"/>
        <v>0</v>
      </c>
      <c r="AN95" s="386">
        <f t="shared" ca="1" si="54"/>
        <v>0</v>
      </c>
    </row>
    <row r="96" spans="1:40" x14ac:dyDescent="0.25">
      <c r="A96" s="1" t="s">
        <v>110</v>
      </c>
      <c r="C96" s="25" t="s">
        <v>101</v>
      </c>
      <c r="D96" s="1" t="s">
        <v>106</v>
      </c>
      <c r="F96" s="1" t="s">
        <v>98</v>
      </c>
      <c r="H96" s="189" t="s">
        <v>856</v>
      </c>
      <c r="I96" s="161" t="e">
        <f ca="1">_xll.EVPRO($B$1,$H96,"STYLE")</f>
        <v>#NAME?</v>
      </c>
      <c r="J96" s="161" t="e">
        <f ca="1">_xll.EVPRO($B$1,$H96,"CALC")</f>
        <v>#NAME?</v>
      </c>
      <c r="K96" s="68" t="e">
        <f t="shared" ca="1" si="47"/>
        <v>#NAME?</v>
      </c>
      <c r="L96" s="162" t="e">
        <f ca="1">_xll.EVPRO($B$1,H96,"JDEID")</f>
        <v>#NAME?</v>
      </c>
      <c r="M96" s="162" t="e">
        <f ca="1">IF(AND(I96="N",J96="N"),_xll.EVPRO($B$1,H96,"PSFTID"),"")</f>
        <v>#NAME?</v>
      </c>
      <c r="N96" s="162" t="e">
        <f ca="1">IF(_xll.EVDES(H96,$B$1)="#NODATA","",_xll.EVDES(H96,$B$1))</f>
        <v>#NAME?</v>
      </c>
      <c r="O96" s="38">
        <v>794.25</v>
      </c>
      <c r="P96" s="38">
        <v>167.05</v>
      </c>
      <c r="Q96" s="38">
        <v>1099.97</v>
      </c>
      <c r="R96" s="38">
        <v>452.89</v>
      </c>
      <c r="S96" s="38">
        <v>843.8</v>
      </c>
      <c r="T96" s="38">
        <v>368.56</v>
      </c>
      <c r="U96" s="38">
        <v>1003</v>
      </c>
      <c r="V96" s="38">
        <v>508.3</v>
      </c>
      <c r="W96" s="38">
        <v>255.04</v>
      </c>
      <c r="X96" s="38">
        <v>1024.93</v>
      </c>
      <c r="Y96" s="38">
        <v>-311.33999999999997</v>
      </c>
      <c r="Z96" s="38">
        <v>1382.66</v>
      </c>
      <c r="AA96" s="310" t="e">
        <f t="shared" ca="1" si="43"/>
        <v>#NAME?</v>
      </c>
      <c r="AB96" s="39" t="e">
        <f t="shared" ca="1" si="44"/>
        <v>#NAME?</v>
      </c>
      <c r="AD96" s="38">
        <v>13534.53</v>
      </c>
      <c r="AE96" s="39" t="str">
        <f t="shared" ca="1" si="45"/>
        <v/>
      </c>
      <c r="AF96" s="132" t="e">
        <f t="shared" ca="1" si="46"/>
        <v>#NAME?</v>
      </c>
      <c r="AG96" s="38">
        <v>11720.79</v>
      </c>
      <c r="AH96" s="39" t="str">
        <f t="shared" ca="1" si="48"/>
        <v/>
      </c>
      <c r="AI96" s="132" t="e">
        <f t="shared" ca="1" si="49"/>
        <v>#NAME?</v>
      </c>
      <c r="AJ96" s="350">
        <f t="shared" ca="1" si="50"/>
        <v>0</v>
      </c>
      <c r="AK96" s="351">
        <f t="shared" ca="1" si="51"/>
        <v>0</v>
      </c>
      <c r="AL96" s="352">
        <f t="shared" ca="1" si="52"/>
        <v>0</v>
      </c>
      <c r="AM96" s="387">
        <f t="shared" ca="1" si="53"/>
        <v>0</v>
      </c>
      <c r="AN96" s="386">
        <f t="shared" ca="1" si="54"/>
        <v>0</v>
      </c>
    </row>
    <row r="97" spans="1:40" x14ac:dyDescent="0.25">
      <c r="A97" s="1" t="s">
        <v>110</v>
      </c>
      <c r="C97" s="29" t="s">
        <v>101</v>
      </c>
      <c r="D97" s="1" t="s">
        <v>107</v>
      </c>
      <c r="F97" s="1" t="s">
        <v>99</v>
      </c>
      <c r="H97" s="189" t="s">
        <v>870</v>
      </c>
      <c r="I97" s="161" t="e">
        <f ca="1">_xll.EVPRO($B$1,$H97,"STYLE")</f>
        <v>#NAME?</v>
      </c>
      <c r="J97" s="161" t="e">
        <f ca="1">_xll.EVPRO($B$1,$H97,"CALC")</f>
        <v>#NAME?</v>
      </c>
      <c r="K97" s="68" t="e">
        <f t="shared" ca="1" si="47"/>
        <v>#NAME?</v>
      </c>
      <c r="L97" s="162" t="e">
        <f ca="1">_xll.EVPRO($B$1,H97,"JDEID")</f>
        <v>#NAME?</v>
      </c>
      <c r="M97" s="162" t="e">
        <f ca="1">IF(AND(I97="N",J97="N"),_xll.EVPRO($B$1,H97,"PSFTID"),"")</f>
        <v>#NAME?</v>
      </c>
      <c r="N97" s="162" t="e">
        <f ca="1">IF(_xll.EVDES(H97,$B$1)="#NODATA","",_xll.EVDES(H97,$B$1))</f>
        <v>#NAME?</v>
      </c>
      <c r="O97" s="38">
        <v>632.76</v>
      </c>
      <c r="P97" s="38">
        <v>591.13</v>
      </c>
      <c r="Q97" s="38">
        <v>1253.08</v>
      </c>
      <c r="R97" s="38">
        <v>777.73</v>
      </c>
      <c r="S97" s="38">
        <v>458.59</v>
      </c>
      <c r="T97" s="38">
        <v>351.79</v>
      </c>
      <c r="U97" s="38">
        <v>825.32</v>
      </c>
      <c r="V97" s="38">
        <v>272.99</v>
      </c>
      <c r="W97" s="38">
        <v>1038.27</v>
      </c>
      <c r="X97" s="38">
        <v>861.1</v>
      </c>
      <c r="Y97" s="38">
        <v>360.87</v>
      </c>
      <c r="Z97" s="38">
        <v>988.39</v>
      </c>
      <c r="AA97" s="310" t="e">
        <f t="shared" ca="1" si="43"/>
        <v>#NAME?</v>
      </c>
      <c r="AB97" s="39" t="e">
        <f t="shared" ca="1" si="44"/>
        <v>#NAME?</v>
      </c>
      <c r="AD97" s="38">
        <v>11032.232092164</v>
      </c>
      <c r="AE97" s="39" t="str">
        <f t="shared" ca="1" si="45"/>
        <v/>
      </c>
      <c r="AF97" s="132" t="e">
        <f t="shared" ca="1" si="46"/>
        <v>#NAME?</v>
      </c>
      <c r="AG97" s="38">
        <v>9448.4699999999993</v>
      </c>
      <c r="AH97" s="39" t="str">
        <f t="shared" ca="1" si="48"/>
        <v/>
      </c>
      <c r="AI97" s="132" t="e">
        <f t="shared" ca="1" si="49"/>
        <v>#NAME?</v>
      </c>
      <c r="AJ97" s="350">
        <f t="shared" ca="1" si="50"/>
        <v>0</v>
      </c>
      <c r="AK97" s="351">
        <f t="shared" ca="1" si="51"/>
        <v>0</v>
      </c>
      <c r="AL97" s="352">
        <f t="shared" ca="1" si="52"/>
        <v>0</v>
      </c>
      <c r="AM97" s="387">
        <f t="shared" ca="1" si="53"/>
        <v>0</v>
      </c>
      <c r="AN97" s="386">
        <f t="shared" ca="1" si="54"/>
        <v>0</v>
      </c>
    </row>
    <row r="98" spans="1:40" x14ac:dyDescent="0.25">
      <c r="C98" s="32"/>
      <c r="H98" s="189" t="s">
        <v>871</v>
      </c>
      <c r="I98" s="161" t="e">
        <f ca="1">_xll.EVPRO($B$1,$H98,"STYLE")</f>
        <v>#NAME?</v>
      </c>
      <c r="J98" s="161" t="e">
        <f ca="1">_xll.EVPRO($B$1,$H98,"CALC")</f>
        <v>#NAME?</v>
      </c>
      <c r="K98" s="68" t="e">
        <f t="shared" ca="1" si="47"/>
        <v>#NAME?</v>
      </c>
      <c r="L98" s="162" t="e">
        <f ca="1">_xll.EVPRO($B$1,H98,"JDEID")</f>
        <v>#NAME?</v>
      </c>
      <c r="M98" s="162" t="e">
        <f ca="1">IF(AND(I98="N",J98="N"),_xll.EVPRO($B$1,H98,"PSFTID"),"")</f>
        <v>#NAME?</v>
      </c>
      <c r="N98" s="162" t="e">
        <f ca="1">IF(_xll.EVDES(H98,$B$1)="#NODATA","",_xll.EVDES(H98,$B$1))</f>
        <v>#NAME?</v>
      </c>
      <c r="O98" s="38"/>
      <c r="P98" s="38"/>
      <c r="Q98" s="38">
        <v>279.85000000000002</v>
      </c>
      <c r="R98" s="38"/>
      <c r="S98" s="38"/>
      <c r="T98" s="38"/>
      <c r="U98" s="38"/>
      <c r="V98" s="38"/>
      <c r="W98" s="38"/>
      <c r="X98" s="38"/>
      <c r="Y98" s="38"/>
      <c r="Z98" s="38"/>
      <c r="AA98" s="310" t="e">
        <f t="shared" ca="1" si="43"/>
        <v>#NAME?</v>
      </c>
      <c r="AB98" s="39" t="e">
        <f t="shared" ca="1" si="44"/>
        <v>#NAME?</v>
      </c>
      <c r="AD98" s="38"/>
      <c r="AE98" s="39" t="str">
        <f t="shared" si="45"/>
        <v/>
      </c>
      <c r="AF98" s="132" t="e">
        <f t="shared" ca="1" si="46"/>
        <v>#NAME?</v>
      </c>
      <c r="AG98" s="38">
        <v>73.790000000000006</v>
      </c>
      <c r="AH98" s="39" t="str">
        <f t="shared" ca="1" si="48"/>
        <v/>
      </c>
      <c r="AI98" s="132" t="e">
        <f t="shared" ca="1" si="49"/>
        <v>#NAME?</v>
      </c>
      <c r="AJ98" s="350">
        <f t="shared" ca="1" si="50"/>
        <v>0</v>
      </c>
      <c r="AK98" s="351">
        <f t="shared" ca="1" si="51"/>
        <v>0</v>
      </c>
      <c r="AL98" s="352">
        <f t="shared" ca="1" si="52"/>
        <v>0</v>
      </c>
      <c r="AM98" s="387">
        <f t="shared" ca="1" si="53"/>
        <v>0</v>
      </c>
      <c r="AN98" s="386">
        <f t="shared" ca="1" si="54"/>
        <v>0</v>
      </c>
    </row>
    <row r="99" spans="1:40" x14ac:dyDescent="0.25">
      <c r="C99" s="32"/>
      <c r="H99" s="189" t="s">
        <v>857</v>
      </c>
      <c r="I99" s="161" t="e">
        <f ca="1">_xll.EVPRO($B$1,$H99,"STYLE")</f>
        <v>#NAME?</v>
      </c>
      <c r="J99" s="161" t="e">
        <f ca="1">_xll.EVPRO($B$1,$H99,"CALC")</f>
        <v>#NAME?</v>
      </c>
      <c r="K99" s="68" t="e">
        <f t="shared" ca="1" si="47"/>
        <v>#NAME?</v>
      </c>
      <c r="L99" s="162" t="e">
        <f ca="1">_xll.EVPRO($B$1,H99,"JDEID")</f>
        <v>#NAME?</v>
      </c>
      <c r="M99" s="162" t="e">
        <f ca="1">IF(AND(I99="N",J99="N"),_xll.EVPRO($B$1,H99,"PSFTID"),"")</f>
        <v>#NAME?</v>
      </c>
      <c r="N99" s="162" t="e">
        <f ca="1">IF(_xll.EVDES(H99,$B$1)="#NODATA","",_xll.EVDES(H99,$B$1))</f>
        <v>#NAME?</v>
      </c>
      <c r="O99" s="38"/>
      <c r="P99" s="38"/>
      <c r="Q99" s="38"/>
      <c r="R99" s="38"/>
      <c r="S99" s="38"/>
      <c r="T99" s="38"/>
      <c r="U99" s="38"/>
      <c r="V99" s="38"/>
      <c r="W99" s="38">
        <v>73.599999999999994</v>
      </c>
      <c r="X99" s="38"/>
      <c r="Y99" s="38"/>
      <c r="Z99" s="38"/>
      <c r="AA99" s="310" t="e">
        <f t="shared" ca="1" si="43"/>
        <v>#NAME?</v>
      </c>
      <c r="AB99" s="39" t="e">
        <f t="shared" ca="1" si="44"/>
        <v>#NAME?</v>
      </c>
      <c r="AD99" s="38"/>
      <c r="AE99" s="39" t="str">
        <f t="shared" si="45"/>
        <v/>
      </c>
      <c r="AF99" s="132" t="e">
        <f t="shared" ca="1" si="46"/>
        <v>#NAME?</v>
      </c>
      <c r="AG99" s="38"/>
      <c r="AH99" s="39" t="str">
        <f t="shared" si="48"/>
        <v/>
      </c>
      <c r="AI99" s="132" t="e">
        <f t="shared" ca="1" si="49"/>
        <v>#NAME?</v>
      </c>
      <c r="AJ99" s="350">
        <f t="shared" ca="1" si="50"/>
        <v>0</v>
      </c>
      <c r="AK99" s="351">
        <f t="shared" ca="1" si="51"/>
        <v>0</v>
      </c>
      <c r="AL99" s="352">
        <f t="shared" ca="1" si="52"/>
        <v>0</v>
      </c>
      <c r="AM99" s="387">
        <f t="shared" ca="1" si="53"/>
        <v>0</v>
      </c>
      <c r="AN99" s="386">
        <f t="shared" ca="1" si="54"/>
        <v>0</v>
      </c>
    </row>
    <row r="100" spans="1:40" x14ac:dyDescent="0.25">
      <c r="A100" s="4" t="e">
        <f ca="1">_xll.EVDRE($B$1,A103:B110)</f>
        <v>#NAME?</v>
      </c>
      <c r="B100" s="1" t="s">
        <v>736</v>
      </c>
      <c r="H100" s="189" t="s">
        <v>872</v>
      </c>
      <c r="I100" s="161" t="e">
        <f ca="1">_xll.EVPRO($B$1,$H100,"STYLE")</f>
        <v>#NAME?</v>
      </c>
      <c r="J100" s="161" t="e">
        <f ca="1">_xll.EVPRO($B$1,$H100,"CALC")</f>
        <v>#NAME?</v>
      </c>
      <c r="K100" s="68" t="e">
        <f t="shared" ca="1" si="47"/>
        <v>#NAME?</v>
      </c>
      <c r="L100" s="162" t="e">
        <f ca="1">_xll.EVPRO($B$1,H100,"JDEID")</f>
        <v>#NAME?</v>
      </c>
      <c r="M100" s="162" t="e">
        <f ca="1">IF(AND(I100="N",J100="N"),_xll.EVPRO($B$1,H100,"PSFTID"),"")</f>
        <v>#NAME?</v>
      </c>
      <c r="N100" s="162" t="e">
        <f ca="1">IF(_xll.EVDES(H100,$B$1)="#NODATA","",_xll.EVDES(H100,$B$1))</f>
        <v>#NAME?</v>
      </c>
      <c r="O100" s="38">
        <v>2200.15</v>
      </c>
      <c r="P100" s="38">
        <v>1502.49</v>
      </c>
      <c r="Q100" s="38">
        <v>2003.17</v>
      </c>
      <c r="R100" s="38">
        <v>2231.15</v>
      </c>
      <c r="S100" s="38">
        <v>1281.19</v>
      </c>
      <c r="T100" s="38">
        <v>1463.09</v>
      </c>
      <c r="U100" s="38">
        <v>1282.99</v>
      </c>
      <c r="V100" s="38">
        <v>1635.17</v>
      </c>
      <c r="W100" s="38">
        <v>825.98</v>
      </c>
      <c r="X100" s="38">
        <v>1375.73</v>
      </c>
      <c r="Y100" s="38">
        <v>700.35</v>
      </c>
      <c r="Z100" s="38">
        <v>2172.4699999999998</v>
      </c>
      <c r="AA100" s="310" t="e">
        <f t="shared" ca="1" si="43"/>
        <v>#NAME?</v>
      </c>
      <c r="AB100" s="39" t="e">
        <f t="shared" ca="1" si="44"/>
        <v>#NAME?</v>
      </c>
      <c r="AD100" s="38">
        <v>17100.919999999998</v>
      </c>
      <c r="AE100" s="39" t="str">
        <f t="shared" ca="1" si="45"/>
        <v/>
      </c>
      <c r="AF100" s="132" t="e">
        <f t="shared" ca="1" si="46"/>
        <v>#NAME?</v>
      </c>
      <c r="AG100" s="38">
        <v>30474.87</v>
      </c>
      <c r="AH100" s="39" t="str">
        <f t="shared" ca="1" si="48"/>
        <v/>
      </c>
      <c r="AI100" s="132" t="e">
        <f t="shared" ca="1" si="49"/>
        <v>#NAME?</v>
      </c>
      <c r="AJ100" s="350">
        <f t="shared" ca="1" si="50"/>
        <v>0</v>
      </c>
      <c r="AK100" s="351">
        <f t="shared" ca="1" si="51"/>
        <v>0</v>
      </c>
      <c r="AL100" s="352">
        <f t="shared" ca="1" si="52"/>
        <v>0</v>
      </c>
      <c r="AM100" s="387">
        <f t="shared" ca="1" si="53"/>
        <v>0</v>
      </c>
      <c r="AN100" s="386">
        <f t="shared" ca="1" si="54"/>
        <v>0</v>
      </c>
    </row>
    <row r="101" spans="1:40" x14ac:dyDescent="0.25">
      <c r="H101" s="189" t="s">
        <v>858</v>
      </c>
      <c r="I101" s="161" t="e">
        <f ca="1">_xll.EVPRO($B$1,$H101,"STYLE")</f>
        <v>#NAME?</v>
      </c>
      <c r="J101" s="161" t="e">
        <f ca="1">_xll.EVPRO($B$1,$H101,"CALC")</f>
        <v>#NAME?</v>
      </c>
      <c r="K101" s="68" t="e">
        <f t="shared" ca="1" si="47"/>
        <v>#NAME?</v>
      </c>
      <c r="L101" s="162" t="e">
        <f ca="1">_xll.EVPRO($B$1,H101,"JDEID")</f>
        <v>#NAME?</v>
      </c>
      <c r="M101" s="162" t="e">
        <f ca="1">IF(AND(I101="N",J101="N"),_xll.EVPRO($B$1,H101,"PSFTID"),"")</f>
        <v>#NAME?</v>
      </c>
      <c r="N101" s="162" t="e">
        <f ca="1">IF(_xll.EVDES(H101,$B$1)="#NODATA","",_xll.EVDES(H101,$B$1))</f>
        <v>#NAME?</v>
      </c>
      <c r="O101" s="38">
        <v>221.32</v>
      </c>
      <c r="P101" s="38">
        <v>500</v>
      </c>
      <c r="Q101" s="38">
        <v>200</v>
      </c>
      <c r="R101" s="38">
        <v>200</v>
      </c>
      <c r="S101" s="38"/>
      <c r="T101" s="38">
        <v>-59.06</v>
      </c>
      <c r="U101" s="38">
        <v>190.09</v>
      </c>
      <c r="V101" s="38"/>
      <c r="W101" s="38"/>
      <c r="X101" s="38">
        <v>207.46</v>
      </c>
      <c r="Y101" s="38">
        <v>-207.46</v>
      </c>
      <c r="Z101" s="38">
        <v>30.18</v>
      </c>
      <c r="AA101" s="310" t="e">
        <f t="shared" ca="1" si="43"/>
        <v>#NAME?</v>
      </c>
      <c r="AB101" s="39" t="e">
        <f t="shared" ca="1" si="44"/>
        <v>#NAME?</v>
      </c>
      <c r="AD101" s="38">
        <v>2335</v>
      </c>
      <c r="AE101" s="39" t="str">
        <f t="shared" ca="1" si="45"/>
        <v/>
      </c>
      <c r="AF101" s="132" t="e">
        <f t="shared" ca="1" si="46"/>
        <v>#NAME?</v>
      </c>
      <c r="AG101" s="38">
        <v>2358.75</v>
      </c>
      <c r="AH101" s="39" t="str">
        <f t="shared" ca="1" si="48"/>
        <v/>
      </c>
      <c r="AI101" s="132" t="e">
        <f t="shared" ca="1" si="49"/>
        <v>#NAME?</v>
      </c>
      <c r="AJ101" s="350">
        <f t="shared" ca="1" si="50"/>
        <v>0</v>
      </c>
      <c r="AK101" s="351">
        <f t="shared" ca="1" si="51"/>
        <v>0</v>
      </c>
      <c r="AL101" s="352">
        <f t="shared" ca="1" si="52"/>
        <v>0</v>
      </c>
      <c r="AM101" s="387">
        <f t="shared" ca="1" si="53"/>
        <v>0</v>
      </c>
      <c r="AN101" s="386">
        <f t="shared" ca="1" si="54"/>
        <v>0</v>
      </c>
    </row>
    <row r="102" spans="1:40" x14ac:dyDescent="0.25">
      <c r="A102" s="3" t="s">
        <v>0</v>
      </c>
      <c r="B102" s="5" t="s">
        <v>1</v>
      </c>
      <c r="H102" s="189" t="s">
        <v>873</v>
      </c>
      <c r="I102" s="161" t="e">
        <f ca="1">_xll.EVPRO($B$1,$H102,"STYLE")</f>
        <v>#NAME?</v>
      </c>
      <c r="J102" s="161" t="e">
        <f ca="1">_xll.EVPRO($B$1,$H102,"CALC")</f>
        <v>#NAME?</v>
      </c>
      <c r="K102" s="68" t="e">
        <f t="shared" ca="1" si="47"/>
        <v>#NAME?</v>
      </c>
      <c r="L102" s="162" t="e">
        <f ca="1">_xll.EVPRO($B$1,H102,"JDEID")</f>
        <v>#NAME?</v>
      </c>
      <c r="M102" s="162" t="e">
        <f ca="1">IF(AND(I102="N",J102="N"),_xll.EVPRO($B$1,H102,"PSFTID"),"")</f>
        <v>#NAME?</v>
      </c>
      <c r="N102" s="162" t="e">
        <f ca="1">IF(_xll.EVDES(H102,$B$1)="#NODATA","",_xll.EVDES(H102,$B$1))</f>
        <v>#NAME?</v>
      </c>
      <c r="O102" s="38">
        <v>315.66000000000003</v>
      </c>
      <c r="P102" s="38">
        <v>-57.06</v>
      </c>
      <c r="Q102" s="38">
        <v>444</v>
      </c>
      <c r="R102" s="38">
        <v>189</v>
      </c>
      <c r="S102" s="38">
        <v>182</v>
      </c>
      <c r="T102" s="38">
        <v>410</v>
      </c>
      <c r="U102" s="38">
        <v>-2</v>
      </c>
      <c r="V102" s="38">
        <v>122</v>
      </c>
      <c r="W102" s="38">
        <v>399.42</v>
      </c>
      <c r="X102" s="38">
        <v>-67</v>
      </c>
      <c r="Y102" s="38">
        <v>-148</v>
      </c>
      <c r="Z102" s="38">
        <v>74</v>
      </c>
      <c r="AA102" s="310" t="e">
        <f t="shared" ca="1" si="43"/>
        <v>#NAME?</v>
      </c>
      <c r="AB102" s="39" t="e">
        <f t="shared" ca="1" si="44"/>
        <v>#NAME?</v>
      </c>
      <c r="AD102" s="38">
        <v>5559.96</v>
      </c>
      <c r="AE102" s="39" t="str">
        <f t="shared" ca="1" si="45"/>
        <v/>
      </c>
      <c r="AF102" s="132" t="e">
        <f t="shared" ca="1" si="46"/>
        <v>#NAME?</v>
      </c>
      <c r="AG102" s="38">
        <v>4861.8</v>
      </c>
      <c r="AH102" s="39" t="str">
        <f t="shared" ca="1" si="48"/>
        <v/>
      </c>
      <c r="AI102" s="132" t="e">
        <f t="shared" ca="1" si="49"/>
        <v>#NAME?</v>
      </c>
      <c r="AJ102" s="350">
        <f t="shared" ca="1" si="50"/>
        <v>0</v>
      </c>
      <c r="AK102" s="351">
        <f t="shared" ca="1" si="51"/>
        <v>0</v>
      </c>
      <c r="AL102" s="352">
        <f t="shared" ca="1" si="52"/>
        <v>0</v>
      </c>
      <c r="AM102" s="387">
        <f t="shared" ca="1" si="53"/>
        <v>0</v>
      </c>
      <c r="AN102" s="386">
        <f t="shared" ca="1" si="54"/>
        <v>0</v>
      </c>
    </row>
    <row r="103" spans="1:40" x14ac:dyDescent="0.25">
      <c r="A103" s="6" t="s">
        <v>2</v>
      </c>
      <c r="B103" s="7" t="e">
        <f ca="1">_xll.EVRNG($B$2:$B$10)</f>
        <v>#NAME?</v>
      </c>
      <c r="H103" s="189" t="s">
        <v>833</v>
      </c>
      <c r="I103" s="161" t="e">
        <f ca="1">_xll.EVPRO($B$1,$H103,"STYLE")</f>
        <v>#NAME?</v>
      </c>
      <c r="J103" s="161" t="e">
        <f ca="1">_xll.EVPRO($B$1,$H103,"CALC")</f>
        <v>#NAME?</v>
      </c>
      <c r="K103" s="68" t="e">
        <f t="shared" ca="1" si="47"/>
        <v>#NAME?</v>
      </c>
      <c r="L103" s="162" t="e">
        <f ca="1">_xll.EVPRO($B$1,H103,"JDEID")</f>
        <v>#NAME?</v>
      </c>
      <c r="M103" s="162" t="e">
        <f ca="1">IF(AND(I103="N",J103="N"),_xll.EVPRO($B$1,H103,"PSFTID"),"")</f>
        <v>#NAME?</v>
      </c>
      <c r="N103" s="162" t="e">
        <f ca="1">IF(_xll.EVDES(H103,$B$1)="#NODATA","",_xll.EVDES(H103,$B$1))</f>
        <v>#NAME?</v>
      </c>
      <c r="O103" s="38">
        <v>4815</v>
      </c>
      <c r="P103" s="38">
        <v>5250</v>
      </c>
      <c r="Q103" s="38">
        <v>6101.58</v>
      </c>
      <c r="R103" s="38">
        <v>5285.47</v>
      </c>
      <c r="S103" s="38">
        <v>5094</v>
      </c>
      <c r="T103" s="38">
        <v>6356</v>
      </c>
      <c r="U103" s="38">
        <v>4794</v>
      </c>
      <c r="V103" s="38">
        <v>6374.2</v>
      </c>
      <c r="W103" s="38">
        <v>6514.38</v>
      </c>
      <c r="X103" s="38">
        <v>4906.49</v>
      </c>
      <c r="Y103" s="38">
        <v>4794</v>
      </c>
      <c r="Z103" s="38">
        <v>5714</v>
      </c>
      <c r="AA103" s="310" t="e">
        <f t="shared" ca="1" si="43"/>
        <v>#NAME?</v>
      </c>
      <c r="AB103" s="39" t="e">
        <f t="shared" ca="1" si="44"/>
        <v>#NAME?</v>
      </c>
      <c r="AD103" s="38">
        <v>65460</v>
      </c>
      <c r="AE103" s="39" t="str">
        <f t="shared" ca="1" si="45"/>
        <v/>
      </c>
      <c r="AF103" s="132" t="e">
        <f t="shared" ca="1" si="46"/>
        <v>#NAME?</v>
      </c>
      <c r="AG103" s="38">
        <v>74074</v>
      </c>
      <c r="AH103" s="39" t="str">
        <f t="shared" ca="1" si="48"/>
        <v/>
      </c>
      <c r="AI103" s="132" t="e">
        <f t="shared" ca="1" si="49"/>
        <v>#NAME?</v>
      </c>
      <c r="AJ103" s="350">
        <f t="shared" ca="1" si="50"/>
        <v>0</v>
      </c>
      <c r="AK103" s="351">
        <f t="shared" ca="1" si="51"/>
        <v>0</v>
      </c>
      <c r="AL103" s="352">
        <f t="shared" ca="1" si="52"/>
        <v>0</v>
      </c>
      <c r="AM103" s="387">
        <f t="shared" ca="1" si="53"/>
        <v>0</v>
      </c>
      <c r="AN103" s="386">
        <f t="shared" ca="1" si="54"/>
        <v>0</v>
      </c>
    </row>
    <row r="104" spans="1:40" x14ac:dyDescent="0.25">
      <c r="A104" s="6" t="s">
        <v>3</v>
      </c>
      <c r="B104" s="7" t="e">
        <f ca="1">_xll.EVRNG($O$16:$AN$18)</f>
        <v>#NAME?</v>
      </c>
      <c r="H104" s="189" t="s">
        <v>834</v>
      </c>
      <c r="I104" s="161" t="e">
        <f ca="1">_xll.EVPRO($B$1,$H104,"STYLE")</f>
        <v>#NAME?</v>
      </c>
      <c r="J104" s="161" t="e">
        <f ca="1">_xll.EVPRO($B$1,$H104,"CALC")</f>
        <v>#NAME?</v>
      </c>
      <c r="K104" s="68" t="e">
        <f t="shared" ca="1" si="47"/>
        <v>#NAME?</v>
      </c>
      <c r="L104" s="162" t="e">
        <f ca="1">_xll.EVPRO($B$1,H104,"JDEID")</f>
        <v>#NAME?</v>
      </c>
      <c r="M104" s="162" t="e">
        <f ca="1">IF(AND(I104="N",J104="N"),_xll.EVPRO($B$1,H104,"PSFTID"),"")</f>
        <v>#NAME?</v>
      </c>
      <c r="N104" s="162" t="e">
        <f ca="1">IF(_xll.EVDES(H104,$B$1)="#NODATA","",_xll.EVDES(H104,$B$1))</f>
        <v>#NAME?</v>
      </c>
      <c r="O104" s="38">
        <v>60.01</v>
      </c>
      <c r="P104" s="38">
        <v>95.21</v>
      </c>
      <c r="Q104" s="38">
        <v>19.57</v>
      </c>
      <c r="R104" s="38"/>
      <c r="S104" s="38">
        <v>1874.74</v>
      </c>
      <c r="T104" s="38">
        <v>243.55</v>
      </c>
      <c r="U104" s="38"/>
      <c r="V104" s="38"/>
      <c r="W104" s="38">
        <v>1119.24</v>
      </c>
      <c r="X104" s="38">
        <v>31.71</v>
      </c>
      <c r="Y104" s="38">
        <v>179.52</v>
      </c>
      <c r="Z104" s="38"/>
      <c r="AA104" s="310" t="e">
        <f t="shared" ca="1" si="43"/>
        <v>#NAME?</v>
      </c>
      <c r="AB104" s="39" t="e">
        <f t="shared" ca="1" si="44"/>
        <v>#NAME?</v>
      </c>
      <c r="AD104" s="38">
        <v>4250</v>
      </c>
      <c r="AE104" s="39" t="str">
        <f t="shared" ca="1" si="45"/>
        <v/>
      </c>
      <c r="AF104" s="132" t="e">
        <f t="shared" ca="1" si="46"/>
        <v>#NAME?</v>
      </c>
      <c r="AG104" s="38">
        <v>13298.15</v>
      </c>
      <c r="AH104" s="39" t="str">
        <f t="shared" ca="1" si="48"/>
        <v/>
      </c>
      <c r="AI104" s="132" t="e">
        <f t="shared" ca="1" si="49"/>
        <v>#NAME?</v>
      </c>
      <c r="AJ104" s="350">
        <f t="shared" ca="1" si="50"/>
        <v>0</v>
      </c>
      <c r="AK104" s="351">
        <f t="shared" ca="1" si="51"/>
        <v>0</v>
      </c>
      <c r="AL104" s="352">
        <f t="shared" ca="1" si="52"/>
        <v>0</v>
      </c>
      <c r="AM104" s="387">
        <f t="shared" ca="1" si="53"/>
        <v>0</v>
      </c>
      <c r="AN104" s="386">
        <f t="shared" ca="1" si="54"/>
        <v>0</v>
      </c>
    </row>
    <row r="105" spans="1:40" x14ac:dyDescent="0.25">
      <c r="A105" s="6" t="s">
        <v>4</v>
      </c>
      <c r="B105" s="7" t="e">
        <f ca="1">_xll.EVRNG(H119:H122)</f>
        <v>#NAME?</v>
      </c>
      <c r="H105" s="189" t="s">
        <v>835</v>
      </c>
      <c r="I105" s="161" t="e">
        <f ca="1">_xll.EVPRO($B$1,$H105,"STYLE")</f>
        <v>#NAME?</v>
      </c>
      <c r="J105" s="161" t="e">
        <f ca="1">_xll.EVPRO($B$1,$H105,"CALC")</f>
        <v>#NAME?</v>
      </c>
      <c r="K105" s="68" t="e">
        <f t="shared" ca="1" si="47"/>
        <v>#NAME?</v>
      </c>
      <c r="L105" s="162" t="e">
        <f ca="1">_xll.EVPRO($B$1,H105,"JDEID")</f>
        <v>#NAME?</v>
      </c>
      <c r="M105" s="162" t="e">
        <f ca="1">IF(AND(I105="N",J105="N"),_xll.EVPRO($B$1,H105,"PSFTID"),"")</f>
        <v>#NAME?</v>
      </c>
      <c r="N105" s="162" t="e">
        <f ca="1">IF(_xll.EVDES(H105,$B$1)="#NODATA","",_xll.EVDES(H105,$B$1))</f>
        <v>#NAME?</v>
      </c>
      <c r="O105" s="38"/>
      <c r="P105" s="38"/>
      <c r="Q105" s="38"/>
      <c r="R105" s="38"/>
      <c r="S105" s="38"/>
      <c r="T105" s="38"/>
      <c r="U105" s="38"/>
      <c r="V105" s="38"/>
      <c r="W105" s="38"/>
      <c r="X105" s="38"/>
      <c r="Y105" s="38"/>
      <c r="Z105" s="38"/>
      <c r="AA105" s="310" t="e">
        <f t="shared" ca="1" si="43"/>
        <v>#NAME?</v>
      </c>
      <c r="AB105" s="39" t="e">
        <f t="shared" ca="1" si="44"/>
        <v>#NAME?</v>
      </c>
      <c r="AD105" s="38">
        <v>2200</v>
      </c>
      <c r="AE105" s="39" t="str">
        <f t="shared" ca="1" si="45"/>
        <v/>
      </c>
      <c r="AF105" s="132" t="e">
        <f t="shared" ca="1" si="46"/>
        <v>#NAME?</v>
      </c>
      <c r="AG105" s="38">
        <v>4303.71</v>
      </c>
      <c r="AH105" s="39" t="str">
        <f t="shared" ca="1" si="48"/>
        <v/>
      </c>
      <c r="AI105" s="132" t="e">
        <f t="shared" ca="1" si="49"/>
        <v>#NAME?</v>
      </c>
      <c r="AJ105" s="350">
        <f t="shared" ca="1" si="50"/>
        <v>0</v>
      </c>
      <c r="AK105" s="351">
        <f t="shared" ca="1" si="51"/>
        <v>0</v>
      </c>
      <c r="AL105" s="352">
        <f t="shared" ca="1" si="52"/>
        <v>0</v>
      </c>
      <c r="AM105" s="387">
        <f t="shared" ca="1" si="53"/>
        <v>0</v>
      </c>
      <c r="AN105" s="386">
        <f t="shared" ca="1" si="54"/>
        <v>0</v>
      </c>
    </row>
    <row r="106" spans="1:40" x14ac:dyDescent="0.25">
      <c r="A106" s="6" t="s">
        <v>5</v>
      </c>
      <c r="B106" s="7"/>
      <c r="H106" s="189" t="s">
        <v>874</v>
      </c>
      <c r="I106" s="161" t="e">
        <f ca="1">_xll.EVPRO($B$1,$H106,"STYLE")</f>
        <v>#NAME?</v>
      </c>
      <c r="J106" s="161" t="e">
        <f ca="1">_xll.EVPRO($B$1,$H106,"CALC")</f>
        <v>#NAME?</v>
      </c>
      <c r="K106" s="68" t="e">
        <f t="shared" ca="1" si="47"/>
        <v>#NAME?</v>
      </c>
      <c r="L106" s="162" t="e">
        <f ca="1">_xll.EVPRO($B$1,H106,"JDEID")</f>
        <v>#NAME?</v>
      </c>
      <c r="M106" s="162" t="e">
        <f ca="1">IF(AND(I106="N",J106="N"),_xll.EVPRO($B$1,H106,"PSFTID"),"")</f>
        <v>#NAME?</v>
      </c>
      <c r="N106" s="162" t="e">
        <f ca="1">IF(_xll.EVDES(H106,$B$1)="#NODATA","",_xll.EVDES(H106,$B$1))</f>
        <v>#NAME?</v>
      </c>
      <c r="O106" s="38"/>
      <c r="P106" s="38"/>
      <c r="Q106" s="38"/>
      <c r="R106" s="38"/>
      <c r="S106" s="38"/>
      <c r="T106" s="38"/>
      <c r="U106" s="38"/>
      <c r="V106" s="38">
        <v>139.12</v>
      </c>
      <c r="W106" s="38"/>
      <c r="X106" s="38">
        <v>55.98</v>
      </c>
      <c r="Y106" s="38"/>
      <c r="Z106" s="38"/>
      <c r="AA106" s="310" t="e">
        <f t="shared" ca="1" si="43"/>
        <v>#NAME?</v>
      </c>
      <c r="AB106" s="39" t="e">
        <f t="shared" ca="1" si="44"/>
        <v>#NAME?</v>
      </c>
      <c r="AD106" s="38">
        <v>1060.73</v>
      </c>
      <c r="AE106" s="39" t="str">
        <f t="shared" ca="1" si="45"/>
        <v/>
      </c>
      <c r="AF106" s="132" t="e">
        <f t="shared" ca="1" si="46"/>
        <v>#NAME?</v>
      </c>
      <c r="AG106" s="38">
        <v>1989.84</v>
      </c>
      <c r="AH106" s="39" t="str">
        <f t="shared" ca="1" si="48"/>
        <v/>
      </c>
      <c r="AI106" s="132" t="e">
        <f t="shared" ca="1" si="49"/>
        <v>#NAME?</v>
      </c>
      <c r="AJ106" s="350">
        <f t="shared" ca="1" si="50"/>
        <v>0</v>
      </c>
      <c r="AK106" s="351">
        <f t="shared" ca="1" si="51"/>
        <v>0</v>
      </c>
      <c r="AL106" s="352">
        <f t="shared" ca="1" si="52"/>
        <v>0</v>
      </c>
      <c r="AM106" s="387">
        <f t="shared" ca="1" si="53"/>
        <v>0</v>
      </c>
      <c r="AN106" s="386">
        <f t="shared" ca="1" si="54"/>
        <v>0</v>
      </c>
    </row>
    <row r="107" spans="1:40" x14ac:dyDescent="0.25">
      <c r="A107" s="6" t="s">
        <v>6</v>
      </c>
      <c r="B107" s="7"/>
      <c r="H107" s="189" t="s">
        <v>875</v>
      </c>
      <c r="I107" s="161" t="e">
        <f ca="1">_xll.EVPRO($B$1,$H107,"STYLE")</f>
        <v>#NAME?</v>
      </c>
      <c r="J107" s="161" t="e">
        <f ca="1">_xll.EVPRO($B$1,$H107,"CALC")</f>
        <v>#NAME?</v>
      </c>
      <c r="K107" s="68" t="e">
        <f t="shared" ca="1" si="47"/>
        <v>#NAME?</v>
      </c>
      <c r="L107" s="162" t="e">
        <f ca="1">_xll.EVPRO($B$1,H107,"JDEID")</f>
        <v>#NAME?</v>
      </c>
      <c r="M107" s="162" t="e">
        <f ca="1">IF(AND(I107="N",J107="N"),_xll.EVPRO($B$1,H107,"PSFTID"),"")</f>
        <v>#NAME?</v>
      </c>
      <c r="N107" s="162" t="e">
        <f ca="1">IF(_xll.EVDES(H107,$B$1)="#NODATA","",_xll.EVDES(H107,$B$1))</f>
        <v>#NAME?</v>
      </c>
      <c r="O107" s="38"/>
      <c r="P107" s="38"/>
      <c r="Q107" s="38">
        <v>352</v>
      </c>
      <c r="R107" s="38"/>
      <c r="S107" s="38">
        <v>-72</v>
      </c>
      <c r="T107" s="38"/>
      <c r="U107" s="38"/>
      <c r="V107" s="38"/>
      <c r="W107" s="38"/>
      <c r="X107" s="38"/>
      <c r="Y107" s="38"/>
      <c r="Z107" s="38"/>
      <c r="AA107" s="310" t="e">
        <f t="shared" ca="1" si="43"/>
        <v>#NAME?</v>
      </c>
      <c r="AB107" s="39" t="e">
        <f t="shared" ca="1" si="44"/>
        <v>#NAME?</v>
      </c>
      <c r="AD107" s="38">
        <v>704</v>
      </c>
      <c r="AE107" s="39" t="str">
        <f t="shared" ca="1" si="45"/>
        <v/>
      </c>
      <c r="AF107" s="132" t="e">
        <f t="shared" ca="1" si="46"/>
        <v>#NAME?</v>
      </c>
      <c r="AG107" s="38"/>
      <c r="AH107" s="39" t="str">
        <f t="shared" si="48"/>
        <v/>
      </c>
      <c r="AI107" s="132" t="e">
        <f t="shared" ca="1" si="49"/>
        <v>#NAME?</v>
      </c>
      <c r="AJ107" s="350">
        <f t="shared" ca="1" si="50"/>
        <v>0</v>
      </c>
      <c r="AK107" s="351">
        <f t="shared" ca="1" si="51"/>
        <v>0</v>
      </c>
      <c r="AL107" s="352">
        <f t="shared" ca="1" si="52"/>
        <v>0</v>
      </c>
      <c r="AM107" s="387">
        <f t="shared" ca="1" si="53"/>
        <v>0</v>
      </c>
      <c r="AN107" s="386">
        <f t="shared" ca="1" si="54"/>
        <v>0</v>
      </c>
    </row>
    <row r="108" spans="1:40" x14ac:dyDescent="0.25">
      <c r="A108" s="6" t="s">
        <v>7</v>
      </c>
      <c r="B108" s="7"/>
      <c r="G108" s="14"/>
      <c r="H108" s="189" t="s">
        <v>859</v>
      </c>
      <c r="I108" s="161" t="e">
        <f ca="1">_xll.EVPRO($B$1,$H108,"STYLE")</f>
        <v>#NAME?</v>
      </c>
      <c r="J108" s="161" t="e">
        <f ca="1">_xll.EVPRO($B$1,$H108,"CALC")</f>
        <v>#NAME?</v>
      </c>
      <c r="K108" s="68" t="e">
        <f t="shared" ca="1" si="47"/>
        <v>#NAME?</v>
      </c>
      <c r="L108" s="162" t="e">
        <f ca="1">_xll.EVPRO($B$1,H108,"JDEID")</f>
        <v>#NAME?</v>
      </c>
      <c r="M108" s="162" t="e">
        <f ca="1">IF(AND(I108="N",J108="N"),_xll.EVPRO($B$1,H108,"PSFTID"),"")</f>
        <v>#NAME?</v>
      </c>
      <c r="N108" s="162" t="e">
        <f ca="1">IF(_xll.EVDES(H108,$B$1)="#NODATA","",_xll.EVDES(H108,$B$1))</f>
        <v>#NAME?</v>
      </c>
      <c r="O108" s="38"/>
      <c r="P108" s="38"/>
      <c r="Q108" s="38">
        <v>97.2</v>
      </c>
      <c r="R108" s="38">
        <v>90.4</v>
      </c>
      <c r="S108" s="38">
        <v>-819.85</v>
      </c>
      <c r="T108" s="38">
        <v>367.11</v>
      </c>
      <c r="U108" s="38">
        <v>868.54</v>
      </c>
      <c r="V108" s="38">
        <v>184.03</v>
      </c>
      <c r="W108" s="38"/>
      <c r="X108" s="38">
        <v>603.72</v>
      </c>
      <c r="Y108" s="38"/>
      <c r="Z108" s="38">
        <v>448.13</v>
      </c>
      <c r="AA108" s="310" t="e">
        <f t="shared" ca="1" si="43"/>
        <v>#NAME?</v>
      </c>
      <c r="AB108" s="39" t="e">
        <f t="shared" ca="1" si="44"/>
        <v>#NAME?</v>
      </c>
      <c r="AD108" s="38">
        <v>3800</v>
      </c>
      <c r="AE108" s="39" t="str">
        <f t="shared" ca="1" si="45"/>
        <v/>
      </c>
      <c r="AF108" s="132" t="e">
        <f t="shared" ca="1" si="46"/>
        <v>#NAME?</v>
      </c>
      <c r="AG108" s="38">
        <v>1903.2</v>
      </c>
      <c r="AH108" s="39" t="str">
        <f t="shared" ca="1" si="48"/>
        <v/>
      </c>
      <c r="AI108" s="132" t="e">
        <f t="shared" ca="1" si="49"/>
        <v>#NAME?</v>
      </c>
      <c r="AJ108" s="350">
        <f t="shared" ca="1" si="50"/>
        <v>0</v>
      </c>
      <c r="AK108" s="351">
        <f t="shared" ca="1" si="51"/>
        <v>0</v>
      </c>
      <c r="AL108" s="352">
        <f t="shared" ca="1" si="52"/>
        <v>0</v>
      </c>
      <c r="AM108" s="387">
        <f t="shared" ca="1" si="53"/>
        <v>0</v>
      </c>
      <c r="AN108" s="386">
        <f t="shared" ca="1" si="54"/>
        <v>0</v>
      </c>
    </row>
    <row r="109" spans="1:40" x14ac:dyDescent="0.25">
      <c r="A109" s="6" t="s">
        <v>47</v>
      </c>
      <c r="B109" s="7" t="e">
        <f ca="1">_xll.EVRNG($A$114:$B$135)</f>
        <v>#NAME?</v>
      </c>
      <c r="H109" s="189" t="s">
        <v>876</v>
      </c>
      <c r="I109" s="161" t="e">
        <f ca="1">_xll.EVPRO($B$1,$H109,"STYLE")</f>
        <v>#NAME?</v>
      </c>
      <c r="J109" s="161" t="e">
        <f ca="1">_xll.EVPRO($B$1,$H109,"CALC")</f>
        <v>#NAME?</v>
      </c>
      <c r="K109" s="68" t="e">
        <f t="shared" ca="1" si="47"/>
        <v>#NAME?</v>
      </c>
      <c r="L109" s="162" t="e">
        <f ca="1">_xll.EVPRO($B$1,H109,"JDEID")</f>
        <v>#NAME?</v>
      </c>
      <c r="M109" s="162" t="e">
        <f ca="1">IF(AND(I109="N",J109="N"),_xll.EVPRO($B$1,H109,"PSFTID"),"")</f>
        <v>#NAME?</v>
      </c>
      <c r="N109" s="162" t="e">
        <f ca="1">IF(_xll.EVDES(H109,$B$1)="#NODATA","",_xll.EVDES(H109,$B$1))</f>
        <v>#NAME?</v>
      </c>
      <c r="O109" s="38">
        <v>144.26</v>
      </c>
      <c r="P109" s="38">
        <v>185.42</v>
      </c>
      <c r="Q109" s="38">
        <v>268.73</v>
      </c>
      <c r="R109" s="38">
        <v>220.08</v>
      </c>
      <c r="S109" s="38">
        <v>146.63999999999999</v>
      </c>
      <c r="T109" s="38">
        <v>235.62</v>
      </c>
      <c r="U109" s="38">
        <v>120.49</v>
      </c>
      <c r="V109" s="38">
        <v>93.88</v>
      </c>
      <c r="W109" s="38">
        <v>128.74</v>
      </c>
      <c r="X109" s="38">
        <v>73.510000000000005</v>
      </c>
      <c r="Y109" s="38">
        <v>146.29</v>
      </c>
      <c r="Z109" s="38">
        <v>28.56</v>
      </c>
      <c r="AA109" s="310" t="e">
        <f t="shared" ca="1" si="43"/>
        <v>#NAME?</v>
      </c>
      <c r="AB109" s="39" t="e">
        <f t="shared" ca="1" si="44"/>
        <v>#NAME?</v>
      </c>
      <c r="AD109" s="38">
        <v>2406.08</v>
      </c>
      <c r="AE109" s="39" t="str">
        <f t="shared" ca="1" si="45"/>
        <v/>
      </c>
      <c r="AF109" s="132" t="e">
        <f t="shared" ca="1" si="46"/>
        <v>#NAME?</v>
      </c>
      <c r="AG109" s="38">
        <v>2532.52</v>
      </c>
      <c r="AH109" s="39" t="str">
        <f t="shared" ca="1" si="48"/>
        <v/>
      </c>
      <c r="AI109" s="132" t="e">
        <f t="shared" ca="1" si="49"/>
        <v>#NAME?</v>
      </c>
      <c r="AJ109" s="350">
        <f t="shared" ca="1" si="50"/>
        <v>0</v>
      </c>
      <c r="AK109" s="351">
        <f t="shared" ca="1" si="51"/>
        <v>0</v>
      </c>
      <c r="AL109" s="352">
        <f t="shared" ca="1" si="52"/>
        <v>0</v>
      </c>
      <c r="AM109" s="387">
        <f t="shared" ca="1" si="53"/>
        <v>0</v>
      </c>
      <c r="AN109" s="386">
        <f t="shared" ca="1" si="54"/>
        <v>0</v>
      </c>
    </row>
    <row r="110" spans="1:40" x14ac:dyDescent="0.25">
      <c r="A110" s="6" t="s">
        <v>8</v>
      </c>
      <c r="B110" s="7"/>
      <c r="H110" s="189" t="s">
        <v>860</v>
      </c>
      <c r="I110" s="161" t="e">
        <f ca="1">_xll.EVPRO($B$1,$H110,"STYLE")</f>
        <v>#NAME?</v>
      </c>
      <c r="J110" s="161" t="e">
        <f ca="1">_xll.EVPRO($B$1,$H110,"CALC")</f>
        <v>#NAME?</v>
      </c>
      <c r="K110" s="68" t="e">
        <f t="shared" ca="1" si="47"/>
        <v>#NAME?</v>
      </c>
      <c r="L110" s="162" t="e">
        <f ca="1">_xll.EVPRO($B$1,H110,"JDEID")</f>
        <v>#NAME?</v>
      </c>
      <c r="M110" s="162" t="e">
        <f ca="1">IF(AND(I110="N",J110="N"),_xll.EVPRO($B$1,H110,"PSFTID"),"")</f>
        <v>#NAME?</v>
      </c>
      <c r="N110" s="162" t="e">
        <f ca="1">IF(_xll.EVDES(H110,$B$1)="#NODATA","",_xll.EVDES(H110,$B$1))</f>
        <v>#NAME?</v>
      </c>
      <c r="O110" s="38">
        <v>2020.74</v>
      </c>
      <c r="P110" s="38">
        <v>1614.51</v>
      </c>
      <c r="Q110" s="38">
        <v>2436.87</v>
      </c>
      <c r="R110" s="38">
        <v>2064.29</v>
      </c>
      <c r="S110" s="38">
        <v>1988.21</v>
      </c>
      <c r="T110" s="38">
        <v>2005.84</v>
      </c>
      <c r="U110" s="38">
        <v>1783.06</v>
      </c>
      <c r="V110" s="38">
        <v>1834.25</v>
      </c>
      <c r="W110" s="38">
        <v>1199.49</v>
      </c>
      <c r="X110" s="38">
        <v>2008.57</v>
      </c>
      <c r="Y110" s="38">
        <v>1896.07</v>
      </c>
      <c r="Z110" s="38">
        <v>2299.0500000000002</v>
      </c>
      <c r="AA110" s="310" t="e">
        <f t="shared" ca="1" si="43"/>
        <v>#NAME?</v>
      </c>
      <c r="AB110" s="39" t="e">
        <f t="shared" ca="1" si="44"/>
        <v>#NAME?</v>
      </c>
      <c r="AD110" s="38">
        <v>20730.72</v>
      </c>
      <c r="AE110" s="39" t="str">
        <f t="shared" ca="1" si="45"/>
        <v/>
      </c>
      <c r="AF110" s="132" t="e">
        <f t="shared" ca="1" si="46"/>
        <v>#NAME?</v>
      </c>
      <c r="AG110" s="38">
        <v>19774.46</v>
      </c>
      <c r="AH110" s="39" t="str">
        <f t="shared" ca="1" si="48"/>
        <v/>
      </c>
      <c r="AI110" s="132" t="e">
        <f t="shared" ca="1" si="49"/>
        <v>#NAME?</v>
      </c>
      <c r="AJ110" s="350">
        <f t="shared" ca="1" si="50"/>
        <v>0</v>
      </c>
      <c r="AK110" s="351">
        <f t="shared" ca="1" si="51"/>
        <v>0</v>
      </c>
      <c r="AL110" s="352">
        <f t="shared" ca="1" si="52"/>
        <v>0</v>
      </c>
      <c r="AM110" s="387">
        <f t="shared" ca="1" si="53"/>
        <v>0</v>
      </c>
      <c r="AN110" s="386">
        <f t="shared" ca="1" si="54"/>
        <v>0</v>
      </c>
    </row>
    <row r="111" spans="1:40" x14ac:dyDescent="0.25">
      <c r="H111" s="189" t="s">
        <v>877</v>
      </c>
      <c r="I111" s="161" t="e">
        <f ca="1">_xll.EVPRO($B$1,$H111,"STYLE")</f>
        <v>#NAME?</v>
      </c>
      <c r="J111" s="161" t="e">
        <f ca="1">_xll.EVPRO($B$1,$H111,"CALC")</f>
        <v>#NAME?</v>
      </c>
      <c r="K111" s="68" t="e">
        <f t="shared" ca="1" si="47"/>
        <v>#NAME?</v>
      </c>
      <c r="L111" s="162" t="e">
        <f ca="1">_xll.EVPRO($B$1,H111,"JDEID")</f>
        <v>#NAME?</v>
      </c>
      <c r="M111" s="162" t="e">
        <f ca="1">IF(AND(I111="N",J111="N"),_xll.EVPRO($B$1,H111,"PSFTID"),"")</f>
        <v>#NAME?</v>
      </c>
      <c r="N111" s="162" t="e">
        <f ca="1">IF(_xll.EVDES(H111,$B$1)="#NODATA","",_xll.EVDES(H111,$B$1))</f>
        <v>#NAME?</v>
      </c>
      <c r="O111" s="38"/>
      <c r="P111" s="38">
        <v>396.94</v>
      </c>
      <c r="Q111" s="38">
        <v>255.73</v>
      </c>
      <c r="R111" s="38">
        <v>340.28</v>
      </c>
      <c r="S111" s="38"/>
      <c r="T111" s="38"/>
      <c r="U111" s="38"/>
      <c r="V111" s="38">
        <v>-797.94</v>
      </c>
      <c r="W111" s="38"/>
      <c r="X111" s="38">
        <v>8.35</v>
      </c>
      <c r="Y111" s="38">
        <v>681.74</v>
      </c>
      <c r="Z111" s="38">
        <v>-288.45999999999998</v>
      </c>
      <c r="AA111" s="310" t="e">
        <f t="shared" ca="1" si="43"/>
        <v>#NAME?</v>
      </c>
      <c r="AB111" s="39" t="e">
        <f t="shared" ca="1" si="44"/>
        <v>#NAME?</v>
      </c>
      <c r="AD111" s="38">
        <v>500</v>
      </c>
      <c r="AE111" s="39" t="str">
        <f t="shared" ca="1" si="45"/>
        <v/>
      </c>
      <c r="AF111" s="132" t="e">
        <f t="shared" ca="1" si="46"/>
        <v>#NAME?</v>
      </c>
      <c r="AG111" s="38">
        <v>1098.68</v>
      </c>
      <c r="AH111" s="39" t="str">
        <f t="shared" ca="1" si="48"/>
        <v/>
      </c>
      <c r="AI111" s="132" t="e">
        <f t="shared" ca="1" si="49"/>
        <v>#NAME?</v>
      </c>
      <c r="AJ111" s="350">
        <f t="shared" ca="1" si="50"/>
        <v>0</v>
      </c>
      <c r="AK111" s="351">
        <f t="shared" ca="1" si="51"/>
        <v>0</v>
      </c>
      <c r="AL111" s="352">
        <f t="shared" ca="1" si="52"/>
        <v>0</v>
      </c>
      <c r="AM111" s="387">
        <f t="shared" ca="1" si="53"/>
        <v>0</v>
      </c>
      <c r="AN111" s="386">
        <f t="shared" ca="1" si="54"/>
        <v>0</v>
      </c>
    </row>
    <row r="112" spans="1:40" x14ac:dyDescent="0.25">
      <c r="H112" s="189" t="s">
        <v>878</v>
      </c>
      <c r="I112" s="161" t="e">
        <f ca="1">_xll.EVPRO($B$1,$H112,"STYLE")</f>
        <v>#NAME?</v>
      </c>
      <c r="J112" s="161" t="e">
        <f ca="1">_xll.EVPRO($B$1,$H112,"CALC")</f>
        <v>#NAME?</v>
      </c>
      <c r="K112" s="68" t="e">
        <f t="shared" ca="1" si="47"/>
        <v>#NAME?</v>
      </c>
      <c r="L112" s="162" t="e">
        <f ca="1">_xll.EVPRO($B$1,H112,"JDEID")</f>
        <v>#NAME?</v>
      </c>
      <c r="M112" s="162" t="e">
        <f ca="1">IF(AND(I112="N",J112="N"),_xll.EVPRO($B$1,H112,"PSFTID"),"")</f>
        <v>#NAME?</v>
      </c>
      <c r="N112" s="162" t="e">
        <f ca="1">IF(_xll.EVDES(H112,$B$1)="#NODATA","",_xll.EVDES(H112,$B$1))</f>
        <v>#NAME?</v>
      </c>
      <c r="O112" s="38">
        <v>1163.71</v>
      </c>
      <c r="P112" s="38">
        <v>340.26</v>
      </c>
      <c r="Q112" s="38">
        <v>220.96</v>
      </c>
      <c r="R112" s="38">
        <v>253.35</v>
      </c>
      <c r="S112" s="38">
        <v>641.96</v>
      </c>
      <c r="T112" s="38">
        <v>376.75</v>
      </c>
      <c r="U112" s="38"/>
      <c r="V112" s="38"/>
      <c r="W112" s="38"/>
      <c r="X112" s="38"/>
      <c r="Y112" s="38">
        <v>641.79</v>
      </c>
      <c r="Z112" s="38">
        <v>-199.05</v>
      </c>
      <c r="AA112" s="310" t="e">
        <f t="shared" ca="1" si="43"/>
        <v>#NAME?</v>
      </c>
      <c r="AB112" s="39" t="e">
        <f t="shared" ca="1" si="44"/>
        <v>#NAME?</v>
      </c>
      <c r="AD112" s="38">
        <v>400</v>
      </c>
      <c r="AE112" s="39" t="str">
        <f t="shared" ca="1" si="45"/>
        <v/>
      </c>
      <c r="AF112" s="132" t="e">
        <f t="shared" ca="1" si="46"/>
        <v>#NAME?</v>
      </c>
      <c r="AG112" s="38">
        <v>4856.28</v>
      </c>
      <c r="AH112" s="39" t="str">
        <f t="shared" ca="1" si="48"/>
        <v/>
      </c>
      <c r="AI112" s="132" t="e">
        <f t="shared" ca="1" si="49"/>
        <v>#NAME?</v>
      </c>
      <c r="AJ112" s="350">
        <f t="shared" ca="1" si="50"/>
        <v>0</v>
      </c>
      <c r="AK112" s="351">
        <f t="shared" ca="1" si="51"/>
        <v>0</v>
      </c>
      <c r="AL112" s="352">
        <f t="shared" ca="1" si="52"/>
        <v>0</v>
      </c>
      <c r="AM112" s="387">
        <f t="shared" ca="1" si="53"/>
        <v>0</v>
      </c>
      <c r="AN112" s="386">
        <f t="shared" ca="1" si="54"/>
        <v>0</v>
      </c>
    </row>
    <row r="113" spans="1:40" x14ac:dyDescent="0.25">
      <c r="A113" s="3" t="s">
        <v>23</v>
      </c>
      <c r="B113" s="5" t="s">
        <v>24</v>
      </c>
      <c r="G113" s="14"/>
      <c r="H113" s="189" t="s">
        <v>879</v>
      </c>
      <c r="I113" s="161" t="e">
        <f ca="1">_xll.EVPRO($B$1,$H113,"STYLE")</f>
        <v>#NAME?</v>
      </c>
      <c r="J113" s="161" t="e">
        <f ca="1">_xll.EVPRO($B$1,$H113,"CALC")</f>
        <v>#NAME?</v>
      </c>
      <c r="K113" s="68" t="e">
        <f t="shared" ca="1" si="47"/>
        <v>#NAME?</v>
      </c>
      <c r="L113" s="162" t="e">
        <f ca="1">_xll.EVPRO($B$1,H113,"JDEID")</f>
        <v>#NAME?</v>
      </c>
      <c r="M113" s="162" t="e">
        <f ca="1">IF(AND(I113="N",J113="N"),_xll.EVPRO($B$1,H113,"PSFTID"),"")</f>
        <v>#NAME?</v>
      </c>
      <c r="N113" s="162" t="e">
        <f ca="1">IF(_xll.EVDES(H113,$B$1)="#NODATA","",_xll.EVDES(H113,$B$1))</f>
        <v>#NAME?</v>
      </c>
      <c r="O113" s="38"/>
      <c r="P113" s="38"/>
      <c r="Q113" s="38">
        <v>279.8</v>
      </c>
      <c r="R113" s="38"/>
      <c r="S113" s="38"/>
      <c r="T113" s="38"/>
      <c r="U113" s="38"/>
      <c r="V113" s="38"/>
      <c r="W113" s="38"/>
      <c r="X113" s="38"/>
      <c r="Y113" s="38"/>
      <c r="Z113" s="38"/>
      <c r="AA113" s="310" t="e">
        <f t="shared" ca="1" si="43"/>
        <v>#NAME?</v>
      </c>
      <c r="AB113" s="39" t="e">
        <f t="shared" ca="1" si="44"/>
        <v>#NAME?</v>
      </c>
      <c r="AD113" s="38">
        <v>800</v>
      </c>
      <c r="AE113" s="39" t="str">
        <f t="shared" ca="1" si="45"/>
        <v/>
      </c>
      <c r="AF113" s="132" t="e">
        <f t="shared" ca="1" si="46"/>
        <v>#NAME?</v>
      </c>
      <c r="AG113" s="38">
        <v>1583.86</v>
      </c>
      <c r="AH113" s="39" t="str">
        <f t="shared" ca="1" si="48"/>
        <v/>
      </c>
      <c r="AI113" s="132" t="e">
        <f t="shared" ca="1" si="49"/>
        <v>#NAME?</v>
      </c>
      <c r="AJ113" s="350">
        <f t="shared" ca="1" si="50"/>
        <v>0</v>
      </c>
      <c r="AK113" s="351">
        <f t="shared" ca="1" si="51"/>
        <v>0</v>
      </c>
      <c r="AL113" s="352">
        <f t="shared" ca="1" si="52"/>
        <v>0</v>
      </c>
      <c r="AM113" s="387">
        <f t="shared" ca="1" si="53"/>
        <v>0</v>
      </c>
      <c r="AN113" s="386">
        <f t="shared" ca="1" si="54"/>
        <v>0</v>
      </c>
    </row>
    <row r="114" spans="1:40" x14ac:dyDescent="0.25">
      <c r="A114" s="6" t="s">
        <v>25</v>
      </c>
      <c r="B114" s="7"/>
      <c r="H114" s="189" t="s">
        <v>880</v>
      </c>
      <c r="I114" s="161" t="e">
        <f ca="1">_xll.EVPRO($B$1,$H114,"STYLE")</f>
        <v>#NAME?</v>
      </c>
      <c r="J114" s="161" t="e">
        <f ca="1">_xll.EVPRO($B$1,$H114,"CALC")</f>
        <v>#NAME?</v>
      </c>
      <c r="K114" s="68" t="e">
        <f t="shared" ca="1" si="47"/>
        <v>#NAME?</v>
      </c>
      <c r="L114" s="162" t="e">
        <f ca="1">_xll.EVPRO($B$1,H114,"JDEID")</f>
        <v>#NAME?</v>
      </c>
      <c r="M114" s="162" t="e">
        <f ca="1">IF(AND(I114="N",J114="N"),_xll.EVPRO($B$1,H114,"PSFTID"),"")</f>
        <v>#NAME?</v>
      </c>
      <c r="N114" s="162" t="e">
        <f ca="1">IF(_xll.EVDES(H114,$B$1)="#NODATA","",_xll.EVDES(H114,$B$1))</f>
        <v>#NAME?</v>
      </c>
      <c r="O114" s="38"/>
      <c r="P114" s="38"/>
      <c r="Q114" s="38"/>
      <c r="R114" s="38">
        <v>500</v>
      </c>
      <c r="S114" s="38">
        <v>-500</v>
      </c>
      <c r="T114" s="38">
        <v>115.55</v>
      </c>
      <c r="U114" s="38"/>
      <c r="V114" s="38"/>
      <c r="W114" s="38"/>
      <c r="X114" s="38">
        <v>251.76</v>
      </c>
      <c r="Y114" s="38"/>
      <c r="Z114" s="38"/>
      <c r="AA114" s="310" t="e">
        <f t="shared" ca="1" si="43"/>
        <v>#NAME?</v>
      </c>
      <c r="AB114" s="39" t="e">
        <f t="shared" ca="1" si="44"/>
        <v>#NAME?</v>
      </c>
      <c r="AD114" s="38">
        <v>1000</v>
      </c>
      <c r="AE114" s="39" t="str">
        <f t="shared" ca="1" si="45"/>
        <v/>
      </c>
      <c r="AF114" s="132" t="e">
        <f t="shared" ca="1" si="46"/>
        <v>#NAME?</v>
      </c>
      <c r="AG114" s="38">
        <v>302.8</v>
      </c>
      <c r="AH114" s="39" t="str">
        <f t="shared" ca="1" si="48"/>
        <v/>
      </c>
      <c r="AI114" s="132" t="e">
        <f t="shared" ca="1" si="49"/>
        <v>#NAME?</v>
      </c>
      <c r="AJ114" s="350">
        <f t="shared" ca="1" si="50"/>
        <v>0</v>
      </c>
      <c r="AK114" s="351">
        <f t="shared" ca="1" si="51"/>
        <v>0</v>
      </c>
      <c r="AL114" s="352">
        <f t="shared" ca="1" si="52"/>
        <v>0</v>
      </c>
      <c r="AM114" s="387">
        <f t="shared" ca="1" si="53"/>
        <v>0</v>
      </c>
      <c r="AN114" s="386">
        <f t="shared" ca="1" si="54"/>
        <v>0</v>
      </c>
    </row>
    <row r="115" spans="1:40" x14ac:dyDescent="0.25">
      <c r="A115" s="6" t="s">
        <v>26</v>
      </c>
      <c r="B115" s="7"/>
      <c r="H115" s="189" t="s">
        <v>861</v>
      </c>
      <c r="I115" s="161" t="e">
        <f ca="1">_xll.EVPRO($B$1,$H115,"STYLE")</f>
        <v>#NAME?</v>
      </c>
      <c r="J115" s="161" t="e">
        <f ca="1">_xll.EVPRO($B$1,$H115,"CALC")</f>
        <v>#NAME?</v>
      </c>
      <c r="K115" s="68" t="e">
        <f t="shared" ca="1" si="47"/>
        <v>#NAME?</v>
      </c>
      <c r="L115" s="162" t="e">
        <f ca="1">_xll.EVPRO($B$1,H115,"JDEID")</f>
        <v>#NAME?</v>
      </c>
      <c r="M115" s="162" t="e">
        <f ca="1">IF(AND(I115="N",J115="N"),_xll.EVPRO($B$1,H115,"PSFTID"),"")</f>
        <v>#NAME?</v>
      </c>
      <c r="N115" s="162" t="e">
        <f ca="1">IF(_xll.EVDES(H115,$B$1)="#NODATA","",_xll.EVDES(H115,$B$1))</f>
        <v>#NAME?</v>
      </c>
      <c r="O115" s="38">
        <v>586</v>
      </c>
      <c r="P115" s="38">
        <v>2711.66</v>
      </c>
      <c r="Q115" s="38">
        <v>882.85</v>
      </c>
      <c r="R115" s="38"/>
      <c r="S115" s="38">
        <v>-237.5</v>
      </c>
      <c r="T115" s="38">
        <v>471.75</v>
      </c>
      <c r="U115" s="38">
        <v>85.6</v>
      </c>
      <c r="V115" s="38">
        <v>271.35000000000002</v>
      </c>
      <c r="W115" s="38">
        <v>3104.1</v>
      </c>
      <c r="X115" s="38">
        <v>1879</v>
      </c>
      <c r="Y115" s="38">
        <v>1504.63</v>
      </c>
      <c r="Z115" s="38">
        <v>22137.29</v>
      </c>
      <c r="AA115" s="310" t="e">
        <f t="shared" ca="1" si="43"/>
        <v>#NAME?</v>
      </c>
      <c r="AB115" s="39" t="e">
        <f t="shared" ca="1" si="44"/>
        <v>#NAME?</v>
      </c>
      <c r="AD115" s="38">
        <v>4067</v>
      </c>
      <c r="AE115" s="39" t="str">
        <f t="shared" ca="1" si="45"/>
        <v/>
      </c>
      <c r="AF115" s="132" t="e">
        <f t="shared" ca="1" si="46"/>
        <v>#NAME?</v>
      </c>
      <c r="AG115" s="38">
        <v>9637.9</v>
      </c>
      <c r="AH115" s="39" t="str">
        <f t="shared" ca="1" si="48"/>
        <v/>
      </c>
      <c r="AI115" s="132" t="e">
        <f t="shared" ca="1" si="49"/>
        <v>#NAME?</v>
      </c>
      <c r="AJ115" s="350">
        <f t="shared" ca="1" si="50"/>
        <v>0</v>
      </c>
      <c r="AK115" s="351">
        <f t="shared" ca="1" si="51"/>
        <v>0</v>
      </c>
      <c r="AL115" s="352">
        <f t="shared" ca="1" si="52"/>
        <v>0</v>
      </c>
      <c r="AM115" s="387">
        <f t="shared" ca="1" si="53"/>
        <v>0</v>
      </c>
      <c r="AN115" s="386">
        <f t="shared" ca="1" si="54"/>
        <v>0</v>
      </c>
    </row>
    <row r="116" spans="1:40" x14ac:dyDescent="0.25">
      <c r="A116" s="6" t="s">
        <v>27</v>
      </c>
      <c r="B116" s="7"/>
      <c r="H116" s="189" t="s">
        <v>881</v>
      </c>
      <c r="I116" s="161" t="e">
        <f ca="1">_xll.EVPRO($B$1,$H116,"STYLE")</f>
        <v>#NAME?</v>
      </c>
      <c r="J116" s="161" t="e">
        <f ca="1">_xll.EVPRO($B$1,$H116,"CALC")</f>
        <v>#NAME?</v>
      </c>
      <c r="K116" s="68" t="e">
        <f t="shared" ca="1" si="47"/>
        <v>#NAME?</v>
      </c>
      <c r="L116" s="162" t="e">
        <f ca="1">_xll.EVPRO($B$1,H116,"JDEID")</f>
        <v>#NAME?</v>
      </c>
      <c r="M116" s="162" t="e">
        <f ca="1">IF(AND(I116="N",J116="N"),_xll.EVPRO($B$1,H116,"PSFTID"),"")</f>
        <v>#NAME?</v>
      </c>
      <c r="N116" s="162" t="e">
        <f ca="1">IF(_xll.EVDES(H116,$B$1)="#NODATA","",_xll.EVDES(H116,$B$1))</f>
        <v>#NAME?</v>
      </c>
      <c r="O116" s="38"/>
      <c r="P116" s="38">
        <v>1700</v>
      </c>
      <c r="Q116" s="38">
        <v>400</v>
      </c>
      <c r="R116" s="38"/>
      <c r="S116" s="38"/>
      <c r="T116" s="38">
        <v>717</v>
      </c>
      <c r="U116" s="38">
        <v>283</v>
      </c>
      <c r="V116" s="38">
        <v>400</v>
      </c>
      <c r="W116" s="38">
        <v>900</v>
      </c>
      <c r="X116" s="38">
        <v>-650</v>
      </c>
      <c r="Y116" s="38"/>
      <c r="Z116" s="38">
        <v>983</v>
      </c>
      <c r="AA116" s="310" t="e">
        <f t="shared" ca="1" si="43"/>
        <v>#NAME?</v>
      </c>
      <c r="AB116" s="39" t="e">
        <f t="shared" ca="1" si="44"/>
        <v>#NAME?</v>
      </c>
      <c r="AD116" s="38">
        <v>21100.000000000298</v>
      </c>
      <c r="AE116" s="39" t="str">
        <f t="shared" ca="1" si="45"/>
        <v/>
      </c>
      <c r="AF116" s="132" t="e">
        <f t="shared" ca="1" si="46"/>
        <v>#NAME?</v>
      </c>
      <c r="AG116" s="38">
        <v>10748.63</v>
      </c>
      <c r="AH116" s="39" t="str">
        <f t="shared" ca="1" si="48"/>
        <v/>
      </c>
      <c r="AI116" s="132" t="e">
        <f t="shared" ca="1" si="49"/>
        <v>#NAME?</v>
      </c>
      <c r="AJ116" s="350">
        <f t="shared" ca="1" si="50"/>
        <v>0</v>
      </c>
      <c r="AK116" s="351">
        <f t="shared" ca="1" si="51"/>
        <v>0</v>
      </c>
      <c r="AL116" s="352">
        <f t="shared" ca="1" si="52"/>
        <v>0</v>
      </c>
      <c r="AM116" s="387">
        <f t="shared" ca="1" si="53"/>
        <v>0</v>
      </c>
      <c r="AN116" s="386">
        <f t="shared" ca="1" si="54"/>
        <v>0</v>
      </c>
    </row>
    <row r="117" spans="1:40" x14ac:dyDescent="0.25">
      <c r="A117" s="6" t="s">
        <v>28</v>
      </c>
      <c r="B117" s="7"/>
      <c r="H117" s="189" t="s">
        <v>841</v>
      </c>
      <c r="I117" s="161" t="e">
        <f ca="1">_xll.EVPRO($B$1,$H117,"STYLE")</f>
        <v>#NAME?</v>
      </c>
      <c r="J117" s="161" t="e">
        <f ca="1">_xll.EVPRO($B$1,$H117,"CALC")</f>
        <v>#NAME?</v>
      </c>
      <c r="K117" s="68" t="e">
        <f t="shared" ca="1" si="47"/>
        <v>#NAME?</v>
      </c>
      <c r="L117" s="162" t="e">
        <f ca="1">_xll.EVPRO($B$1,H117,"JDEID")</f>
        <v>#NAME?</v>
      </c>
      <c r="M117" s="162" t="e">
        <f ca="1">IF(AND(I117="N",J117="N"),_xll.EVPRO($B$1,H117,"PSFTID"),"")</f>
        <v>#NAME?</v>
      </c>
      <c r="N117" s="162" t="e">
        <f ca="1">IF(_xll.EVDES(H117,$B$1)="#NODATA","",_xll.EVDES(H117,$B$1))</f>
        <v>#NAME?</v>
      </c>
      <c r="O117" s="38"/>
      <c r="P117" s="38"/>
      <c r="Q117" s="38">
        <v>2404</v>
      </c>
      <c r="R117" s="38">
        <v>96</v>
      </c>
      <c r="S117" s="38"/>
      <c r="T117" s="38"/>
      <c r="U117" s="38"/>
      <c r="V117" s="38"/>
      <c r="W117" s="38"/>
      <c r="X117" s="38"/>
      <c r="Y117" s="38">
        <v>646</v>
      </c>
      <c r="Z117" s="38"/>
      <c r="AA117" s="310" t="e">
        <f t="shared" ca="1" si="43"/>
        <v>#NAME?</v>
      </c>
      <c r="AB117" s="39" t="e">
        <f t="shared" ca="1" si="44"/>
        <v>#NAME?</v>
      </c>
      <c r="AD117" s="38">
        <v>2193</v>
      </c>
      <c r="AE117" s="39" t="str">
        <f t="shared" ca="1" si="45"/>
        <v/>
      </c>
      <c r="AF117" s="132" t="e">
        <f t="shared" ca="1" si="46"/>
        <v>#NAME?</v>
      </c>
      <c r="AG117" s="38">
        <v>2143</v>
      </c>
      <c r="AH117" s="39" t="str">
        <f t="shared" ca="1" si="48"/>
        <v/>
      </c>
      <c r="AI117" s="132" t="e">
        <f t="shared" ca="1" si="49"/>
        <v>#NAME?</v>
      </c>
      <c r="AJ117" s="350">
        <f t="shared" ca="1" si="50"/>
        <v>0</v>
      </c>
      <c r="AK117" s="351">
        <f t="shared" ca="1" si="51"/>
        <v>0</v>
      </c>
      <c r="AL117" s="352">
        <f t="shared" ca="1" si="52"/>
        <v>0</v>
      </c>
      <c r="AM117" s="387">
        <f t="shared" ca="1" si="53"/>
        <v>0</v>
      </c>
      <c r="AN117" s="386">
        <f t="shared" ca="1" si="54"/>
        <v>0</v>
      </c>
    </row>
    <row r="118" spans="1:40" x14ac:dyDescent="0.25">
      <c r="A118" s="6" t="s">
        <v>29</v>
      </c>
      <c r="B118" s="7"/>
      <c r="H118" s="189" t="s">
        <v>844</v>
      </c>
      <c r="I118" s="161" t="e">
        <f ca="1">_xll.EVPRO($B$1,$H118,"STYLE")</f>
        <v>#NAME?</v>
      </c>
      <c r="J118" s="161" t="e">
        <f ca="1">_xll.EVPRO($B$1,$H118,"CALC")</f>
        <v>#NAME?</v>
      </c>
      <c r="K118" s="68" t="e">
        <f t="shared" ca="1" si="47"/>
        <v>#NAME?</v>
      </c>
      <c r="L118" s="162" t="e">
        <f ca="1">_xll.EVPRO($B$1,H118,"JDEID")</f>
        <v>#NAME?</v>
      </c>
      <c r="M118" s="162" t="e">
        <f ca="1">IF(AND(I118="N",J118="N"),_xll.EVPRO($B$1,H118,"PSFTID"),"")</f>
        <v>#NAME?</v>
      </c>
      <c r="N118" s="162" t="e">
        <f ca="1">IF(_xll.EVDES(H118,$B$1)="#NODATA","",_xll.EVDES(H118,$B$1))</f>
        <v>#NAME?</v>
      </c>
      <c r="O118" s="38"/>
      <c r="P118" s="38"/>
      <c r="Q118" s="38"/>
      <c r="R118" s="38">
        <v>52.11</v>
      </c>
      <c r="S118" s="38">
        <v>667.91</v>
      </c>
      <c r="T118" s="38"/>
      <c r="U118" s="38"/>
      <c r="V118" s="38">
        <v>423.66</v>
      </c>
      <c r="W118" s="38">
        <v>51.08</v>
      </c>
      <c r="X118" s="38"/>
      <c r="Y118" s="38"/>
      <c r="Z118" s="38"/>
      <c r="AA118" s="310" t="e">
        <f t="shared" ca="1" si="43"/>
        <v>#NAME?</v>
      </c>
      <c r="AB118" s="39" t="e">
        <f t="shared" ca="1" si="44"/>
        <v>#NAME?</v>
      </c>
      <c r="AD118" s="38"/>
      <c r="AE118" s="39" t="str">
        <f t="shared" si="45"/>
        <v/>
      </c>
      <c r="AF118" s="132" t="e">
        <f t="shared" ca="1" si="46"/>
        <v>#NAME?</v>
      </c>
      <c r="AG118" s="38">
        <v>152.38999999999999</v>
      </c>
      <c r="AH118" s="39" t="str">
        <f t="shared" ca="1" si="48"/>
        <v/>
      </c>
      <c r="AI118" s="132" t="e">
        <f t="shared" ca="1" si="49"/>
        <v>#NAME?</v>
      </c>
      <c r="AJ118" s="350">
        <f t="shared" ca="1" si="50"/>
        <v>0</v>
      </c>
      <c r="AK118" s="351">
        <f t="shared" ca="1" si="51"/>
        <v>0</v>
      </c>
      <c r="AL118" s="352">
        <f t="shared" ca="1" si="52"/>
        <v>0</v>
      </c>
      <c r="AM118" s="387">
        <f t="shared" ca="1" si="53"/>
        <v>0</v>
      </c>
      <c r="AN118" s="386">
        <f t="shared" ca="1" si="54"/>
        <v>0</v>
      </c>
    </row>
    <row r="119" spans="1:40" x14ac:dyDescent="0.25">
      <c r="A119" s="6" t="s">
        <v>30</v>
      </c>
      <c r="B119" s="7" t="s">
        <v>78</v>
      </c>
      <c r="H119" s="15" t="s">
        <v>79</v>
      </c>
      <c r="I119" s="27" t="e">
        <f ca="1">_xll.EVPRO($B$1,$H119,"STYLE")</f>
        <v>#NAME?</v>
      </c>
      <c r="J119" s="27" t="e">
        <f ca="1">_xll.EVPRO($B$1,$H119,"CALC")</f>
        <v>#NAME?</v>
      </c>
      <c r="K119" s="26"/>
      <c r="L119" s="26"/>
      <c r="M119" s="26"/>
      <c r="N119" s="25" t="e">
        <f ca="1">IF(_xll.EVDES(H119,$B$1)="#NODATA","",_xll.EVDES(H119,$B$1))</f>
        <v>#NAME?</v>
      </c>
      <c r="O119" s="33">
        <v>15843.23</v>
      </c>
      <c r="P119" s="33">
        <v>16732.599999999999</v>
      </c>
      <c r="Q119" s="33">
        <v>22972.82</v>
      </c>
      <c r="R119" s="33">
        <v>16670.95</v>
      </c>
      <c r="S119" s="33">
        <v>14417.95</v>
      </c>
      <c r="T119" s="33">
        <v>16430.5</v>
      </c>
      <c r="U119" s="33">
        <v>13931.54</v>
      </c>
      <c r="V119" s="33">
        <v>12526.63</v>
      </c>
      <c r="W119" s="33">
        <v>18256.73</v>
      </c>
      <c r="X119" s="33">
        <v>17101.27</v>
      </c>
      <c r="Y119" s="33">
        <v>11856.62</v>
      </c>
      <c r="Z119" s="33">
        <v>39773.83</v>
      </c>
      <c r="AA119" s="33" t="e">
        <f t="shared" ca="1" si="43"/>
        <v>#NAME?</v>
      </c>
      <c r="AB119" s="34" t="e">
        <f t="shared" ca="1" si="44"/>
        <v>#NAME?</v>
      </c>
      <c r="AD119" s="33">
        <v>221234.68154716399</v>
      </c>
      <c r="AE119" s="34" t="str">
        <f t="shared" ca="1" si="45"/>
        <v/>
      </c>
      <c r="AF119" s="52" t="e">
        <f t="shared" ca="1" si="46"/>
        <v>#NAME?</v>
      </c>
      <c r="AG119" s="33">
        <v>255102.55</v>
      </c>
      <c r="AH119" s="34" t="str">
        <f ca="1">IF(AG119=0,"",IFERROR(AG119/AG$19,""))</f>
        <v/>
      </c>
      <c r="AI119" s="52" t="e">
        <f ca="1">IF(AND($AA119="",AG119=""),"",$AA119-AG119)</f>
        <v>#NAME?</v>
      </c>
      <c r="AJ119" s="415">
        <f ca="1">IFERROR(AA119/AA$20,0)</f>
        <v>0</v>
      </c>
      <c r="AK119" s="416">
        <f ca="1">IFERROR(AD119/AD$20,0)</f>
        <v>0</v>
      </c>
      <c r="AL119" s="417">
        <f ca="1">IFERROR(AG119/AG$20,0)</f>
        <v>0</v>
      </c>
      <c r="AM119" s="418">
        <f ca="1">+IFERROR(ROUND(($AB119-AE119)*100,2)&amp;" pts.",0)</f>
        <v>0</v>
      </c>
      <c r="AN119" s="419">
        <f ca="1">+IFERROR(ROUND(($AB119-AH119)*100,2)&amp;" pts.",0)</f>
        <v>0</v>
      </c>
    </row>
    <row r="120" spans="1:40" x14ac:dyDescent="0.25">
      <c r="A120" s="6" t="s">
        <v>31</v>
      </c>
      <c r="B120" s="7" t="s">
        <v>78</v>
      </c>
      <c r="O120" s="166"/>
      <c r="P120" s="166"/>
      <c r="Q120" s="166"/>
      <c r="R120" s="166"/>
      <c r="S120" s="166"/>
      <c r="T120" s="166"/>
      <c r="U120" s="166"/>
      <c r="V120" s="166"/>
      <c r="W120" s="166"/>
      <c r="X120" s="166"/>
      <c r="Y120" s="166"/>
      <c r="Z120" s="166"/>
      <c r="AA120" s="166"/>
      <c r="AD120" s="166"/>
      <c r="AG120" s="166"/>
    </row>
    <row r="121" spans="1:40" x14ac:dyDescent="0.25">
      <c r="A121" s="6" t="s">
        <v>32</v>
      </c>
      <c r="B121" s="7"/>
      <c r="H121" s="15" t="s">
        <v>80</v>
      </c>
      <c r="I121" s="27" t="e">
        <f ca="1">_xll.EVPRO($B$1,$H121,"STYLE")</f>
        <v>#NAME?</v>
      </c>
      <c r="J121" s="27" t="e">
        <f ca="1">_xll.EVPRO($B$1,$H121,"CALC")</f>
        <v>#NAME?</v>
      </c>
      <c r="K121" s="25"/>
      <c r="L121" s="25"/>
      <c r="M121" s="25"/>
      <c r="N121" s="25" t="e">
        <f ca="1">IF(_xll.EVDES(H121,$B$1)="#NODATA","",_xll.EVDES(H121,$B$1))</f>
        <v>#NAME?</v>
      </c>
      <c r="O121" s="36">
        <v>155623.87</v>
      </c>
      <c r="P121" s="36">
        <v>142627.71</v>
      </c>
      <c r="Q121" s="36">
        <v>165194.15</v>
      </c>
      <c r="R121" s="36">
        <v>153618.79999999999</v>
      </c>
      <c r="S121" s="36">
        <v>139069.19</v>
      </c>
      <c r="T121" s="36">
        <v>119426.75</v>
      </c>
      <c r="U121" s="36">
        <v>125926.73</v>
      </c>
      <c r="V121" s="36">
        <v>129546.59</v>
      </c>
      <c r="W121" s="36">
        <v>104297.12</v>
      </c>
      <c r="X121" s="36">
        <v>109767.28</v>
      </c>
      <c r="Y121" s="36">
        <v>107467.32</v>
      </c>
      <c r="Z121" s="36">
        <v>156463.62</v>
      </c>
      <c r="AA121" s="36" t="e">
        <f ca="1">IF($I121="B1","",SUM(O121:Z121))</f>
        <v>#NAME?</v>
      </c>
      <c r="AB121" s="37" t="e">
        <f ca="1">IF(AA121=0,"",IFERROR(AA121/AA$19,""))</f>
        <v>#NAME?</v>
      </c>
      <c r="AD121" s="36">
        <v>2121398.3342373702</v>
      </c>
      <c r="AE121" s="37" t="str">
        <f ca="1">IF(AD121=0,"",IFERROR(AD121/AD$19,""))</f>
        <v/>
      </c>
      <c r="AF121" s="59" t="e">
        <f ca="1">IF(AND($AA121="",AD121=""),"",$AA121-AD121)</f>
        <v>#NAME?</v>
      </c>
      <c r="AG121" s="60">
        <v>1898821.97</v>
      </c>
      <c r="AH121" s="61" t="str">
        <f ca="1">IF(AG121=0,"",IFERROR(AG121/AG$19,""))</f>
        <v/>
      </c>
      <c r="AI121" s="59" t="e">
        <f ca="1">IF(AND($AA121="",AG121=""),"",$AA121-AG121)</f>
        <v>#NAME?</v>
      </c>
      <c r="AJ121" s="392">
        <f ca="1">IFERROR(AA121/AA$20,0)</f>
        <v>0</v>
      </c>
      <c r="AK121" s="393">
        <f ca="1">IFERROR(AD121/AD$20,0)</f>
        <v>0</v>
      </c>
      <c r="AL121" s="394">
        <f ca="1">IFERROR(AG121/AG$20,0)</f>
        <v>0</v>
      </c>
      <c r="AM121" s="395">
        <f ca="1">+IFERROR(ROUND(($AB121-AE121)*100,2)&amp;" pts.",0)</f>
        <v>0</v>
      </c>
      <c r="AN121" s="396">
        <f ca="1">+IFERROR(ROUND(($AB121-AH121)*100,2)&amp;" pts.",0)</f>
        <v>0</v>
      </c>
    </row>
    <row r="122" spans="1:40" ht="15.75" thickBot="1" x14ac:dyDescent="0.3">
      <c r="A122" s="6" t="s">
        <v>33</v>
      </c>
      <c r="B122" s="7"/>
      <c r="H122" s="15" t="s">
        <v>81</v>
      </c>
      <c r="I122" s="27" t="e">
        <f ca="1">_xll.EVPRO($B$1,$H122,"STYLE")</f>
        <v>#NAME?</v>
      </c>
      <c r="J122" s="27" t="e">
        <f ca="1">_xll.EVPRO($B$1,$H122,"CALC")</f>
        <v>#NAME?</v>
      </c>
      <c r="K122" s="25"/>
      <c r="L122" s="25"/>
      <c r="M122" s="25"/>
      <c r="N122" s="25" t="e">
        <f ca="1">IF(_xll.EVDES(H122,$B$1)="#NODATA","",_xll.EVDES(H122,$B$1))</f>
        <v>#NAME?</v>
      </c>
      <c r="O122" s="62">
        <v>66509.36</v>
      </c>
      <c r="P122" s="62">
        <v>49743.38</v>
      </c>
      <c r="Q122" s="62">
        <v>47865.16</v>
      </c>
      <c r="R122" s="62">
        <v>-10192.4</v>
      </c>
      <c r="S122" s="62">
        <v>-3657.6699999999801</v>
      </c>
      <c r="T122" s="62">
        <v>2570.25000000003</v>
      </c>
      <c r="U122" s="62">
        <v>-18642.38</v>
      </c>
      <c r="V122" s="62">
        <v>-41455.199999999997</v>
      </c>
      <c r="W122" s="62">
        <v>-14601.87</v>
      </c>
      <c r="X122" s="62">
        <v>-20561.66</v>
      </c>
      <c r="Y122" s="62">
        <v>-6610.6000000000104</v>
      </c>
      <c r="Z122" s="62">
        <v>20224.54</v>
      </c>
      <c r="AA122" s="62" t="e">
        <f ca="1">IF($I122="B1","",SUM(O122:Z122))</f>
        <v>#NAME?</v>
      </c>
      <c r="AB122" s="63" t="e">
        <f ca="1">IF(AA122=0,"",IFERROR(AA122/AA$19,""))</f>
        <v>#NAME?</v>
      </c>
      <c r="AD122" s="62">
        <v>797032.79498763499</v>
      </c>
      <c r="AE122" s="63" t="str">
        <f ca="1">IF(AD122=0,"",IFERROR(AD122/AD$19,""))</f>
        <v/>
      </c>
      <c r="AF122" s="64" t="e">
        <f ca="1">IF(AND($AA122="",AD122=""),"",$AA122-AD122)</f>
        <v>#NAME?</v>
      </c>
      <c r="AG122" s="62">
        <v>13934.2500000003</v>
      </c>
      <c r="AH122" s="63" t="str">
        <f ca="1">IF(AG122=0,"",IFERROR(AG122/AG$19,""))</f>
        <v/>
      </c>
      <c r="AI122" s="64" t="e">
        <f ca="1">IF(AND($AA122="",AG122=""),"",$AA122-AG122)</f>
        <v>#NAME?</v>
      </c>
      <c r="AJ122" s="430">
        <f ca="1">IFERROR(AA122/AA$20,0)</f>
        <v>0</v>
      </c>
      <c r="AK122" s="431">
        <f ca="1">IFERROR(AD122/AD$20,0)</f>
        <v>0</v>
      </c>
      <c r="AL122" s="432">
        <f ca="1">IFERROR(AG122/AG$20,0)</f>
        <v>0</v>
      </c>
      <c r="AM122" s="433">
        <f ca="1">+IFERROR(ROUND(($AB122-AE122)*100,2)&amp;" pts.",0)</f>
        <v>0</v>
      </c>
      <c r="AN122" s="434">
        <f ca="1">+IFERROR(ROUND(($AB122-AH122)*100,2)&amp;" pts.",0)</f>
        <v>0</v>
      </c>
    </row>
    <row r="123" spans="1:40" ht="15.75" thickTop="1" x14ac:dyDescent="0.25">
      <c r="A123" s="6" t="s">
        <v>34</v>
      </c>
      <c r="B123" s="7"/>
    </row>
    <row r="124" spans="1:40" x14ac:dyDescent="0.25">
      <c r="A124" s="6" t="s">
        <v>35</v>
      </c>
      <c r="B124" s="7"/>
      <c r="N124" s="26" t="e">
        <f ca="1">N121&amp;" - Check"</f>
        <v>#NAME?</v>
      </c>
      <c r="O124" s="139">
        <f t="shared" ref="O124:AA124" si="55">SUMIF($H$35:$H$122,"600000",O$35:O$122)+SUMIF($H$35:$H$122,"700000",O$35:O$122)-SUMIF($H$35:$H$122,"TOTDEPTEXP",O$35:O$122)</f>
        <v>0</v>
      </c>
      <c r="P124" s="139">
        <f t="shared" si="55"/>
        <v>0</v>
      </c>
      <c r="Q124" s="139">
        <f t="shared" si="55"/>
        <v>0</v>
      </c>
      <c r="R124" s="139">
        <f t="shared" si="55"/>
        <v>0</v>
      </c>
      <c r="S124" s="139">
        <f t="shared" si="55"/>
        <v>0</v>
      </c>
      <c r="T124" s="139">
        <f t="shared" si="55"/>
        <v>0</v>
      </c>
      <c r="U124" s="139">
        <f t="shared" si="55"/>
        <v>0</v>
      </c>
      <c r="V124" s="139">
        <f t="shared" si="55"/>
        <v>0</v>
      </c>
      <c r="W124" s="139">
        <f t="shared" si="55"/>
        <v>0</v>
      </c>
      <c r="X124" s="139">
        <f t="shared" si="55"/>
        <v>0</v>
      </c>
      <c r="Y124" s="139">
        <f t="shared" si="55"/>
        <v>0</v>
      </c>
      <c r="Z124" s="139">
        <f t="shared" si="55"/>
        <v>0</v>
      </c>
      <c r="AA124" s="139" t="e">
        <f t="shared" ca="1" si="55"/>
        <v>#NAME?</v>
      </c>
      <c r="AB124" s="17"/>
      <c r="AD124" s="139">
        <f>SUMIF($H$35:$H$122,"600000",AD$35:AD$122)+SUMIF($H$35:$H$122,"700000",AD$35:AD$122)-SUMIF($H$35:$H$122,"TOTDEPTEXP",AD$35:AD$122)</f>
        <v>-6.0535967350006104E-9</v>
      </c>
      <c r="AE124" s="17"/>
      <c r="AF124" s="21"/>
      <c r="AG124" s="139">
        <f>SUMIF($H$35:$H$122,"600000",AG$35:AG$122)+SUMIF($H$35:$H$122,"700000",AG$35:AG$122)-SUMIF($H$35:$H$122,"TOTDEPTEXP",AG$35:AG$122)</f>
        <v>0</v>
      </c>
      <c r="AH124" s="17"/>
      <c r="AI124" s="21"/>
    </row>
    <row r="125" spans="1:40" x14ac:dyDescent="0.25">
      <c r="A125" s="6" t="s">
        <v>36</v>
      </c>
      <c r="B125" s="7"/>
      <c r="N125" s="26" t="e">
        <f ca="1">N122&amp;" - Check"</f>
        <v>#NAME?</v>
      </c>
      <c r="O125" s="139">
        <f t="shared" ref="O125:AA125" si="56">SUMIF($H$35:$H$122,"KPI_GP",O$35:O$122)-SUMIF($H$35:$H$122,"TOTDEPTEXP",O$35:O$122)-SUMIF($H$35:$H$122,"TOTDEPTPL",O$35:O$122)</f>
        <v>0</v>
      </c>
      <c r="P125" s="139">
        <f t="shared" si="56"/>
        <v>0</v>
      </c>
      <c r="Q125" s="139">
        <f t="shared" si="56"/>
        <v>0</v>
      </c>
      <c r="R125" s="139">
        <f t="shared" si="56"/>
        <v>3.4560798667371273E-11</v>
      </c>
      <c r="S125" s="139">
        <f t="shared" si="56"/>
        <v>-3.2741809263825417E-11</v>
      </c>
      <c r="T125" s="139">
        <f t="shared" si="56"/>
        <v>-3.0013325158506632E-11</v>
      </c>
      <c r="U125" s="139">
        <f t="shared" si="56"/>
        <v>0</v>
      </c>
      <c r="V125" s="139">
        <f t="shared" si="56"/>
        <v>0</v>
      </c>
      <c r="W125" s="139">
        <f t="shared" si="56"/>
        <v>0</v>
      </c>
      <c r="X125" s="139">
        <f t="shared" si="56"/>
        <v>0</v>
      </c>
      <c r="Y125" s="139">
        <f t="shared" si="56"/>
        <v>0</v>
      </c>
      <c r="Z125" s="139">
        <f t="shared" si="56"/>
        <v>0</v>
      </c>
      <c r="AA125" s="139" t="e">
        <f t="shared" ca="1" si="56"/>
        <v>#NAME?</v>
      </c>
      <c r="AB125" s="17"/>
      <c r="AD125" s="139">
        <f>SUMIF($H$35:$H$122,"KPI_GP",AD$35:AD$122)-SUMIF($H$35:$H$122,"TOTDEPTEXP",AD$35:AD$122)-SUMIF($H$35:$H$122,"TOTDEPTPL",AD$35:AD$122)</f>
        <v>-5.3551048040390015E-9</v>
      </c>
      <c r="AE125" s="17"/>
      <c r="AF125" s="21"/>
      <c r="AG125" s="139">
        <f>SUMIF($H$35:$H$122,"KPI_GP",AG$35:AG$122)-SUMIF($H$35:$H$122,"TOTDEPTEXP",AG$35:AG$122)-SUMIF($H$35:$H$122,"TOTDEPTPL",AG$35:AG$122)</f>
        <v>-5.3296389523893595E-10</v>
      </c>
      <c r="AH125" s="17"/>
      <c r="AI125" s="21"/>
    </row>
    <row r="126" spans="1:40" x14ac:dyDescent="0.25">
      <c r="A126" s="6" t="s">
        <v>37</v>
      </c>
      <c r="B126" s="7"/>
    </row>
    <row r="127" spans="1:40" x14ac:dyDescent="0.25">
      <c r="A127" s="6" t="s">
        <v>38</v>
      </c>
      <c r="B127" s="7"/>
      <c r="O127" s="166"/>
      <c r="P127" s="166"/>
      <c r="Q127" s="166"/>
      <c r="R127" s="166"/>
      <c r="S127" s="166"/>
      <c r="T127" s="166"/>
      <c r="U127" s="166"/>
      <c r="V127" s="166"/>
      <c r="W127" s="166"/>
      <c r="X127" s="166"/>
      <c r="Y127" s="166"/>
      <c r="Z127" s="166"/>
      <c r="AA127" s="166"/>
      <c r="AD127" s="166"/>
      <c r="AF127" s="166"/>
      <c r="AG127" s="166"/>
    </row>
    <row r="128" spans="1:40" x14ac:dyDescent="0.25">
      <c r="A128" s="6" t="s">
        <v>39</v>
      </c>
      <c r="B128" s="7"/>
      <c r="O128" s="166"/>
      <c r="P128" s="166"/>
      <c r="Q128" s="166"/>
      <c r="R128" s="166"/>
      <c r="S128" s="166"/>
      <c r="T128" s="166"/>
      <c r="U128" s="166"/>
      <c r="V128" s="166"/>
      <c r="W128" s="166"/>
      <c r="X128" s="166"/>
      <c r="Y128" s="166"/>
      <c r="Z128" s="166"/>
      <c r="AA128" s="166"/>
      <c r="AD128" s="166"/>
      <c r="AF128" s="166"/>
      <c r="AG128" s="166"/>
    </row>
    <row r="129" spans="1:33" x14ac:dyDescent="0.25">
      <c r="A129" s="6" t="s">
        <v>40</v>
      </c>
      <c r="B129" s="7"/>
      <c r="O129" s="166"/>
      <c r="P129" s="166"/>
      <c r="Q129" s="166"/>
      <c r="R129" s="166"/>
      <c r="S129" s="166"/>
      <c r="T129" s="166"/>
      <c r="U129" s="166"/>
      <c r="V129" s="166"/>
      <c r="W129" s="166"/>
      <c r="X129" s="166"/>
      <c r="Y129" s="166"/>
      <c r="Z129" s="166"/>
      <c r="AA129" s="166"/>
      <c r="AD129" s="166"/>
      <c r="AG129" s="166"/>
    </row>
    <row r="130" spans="1:33" x14ac:dyDescent="0.25">
      <c r="A130" s="6" t="s">
        <v>41</v>
      </c>
      <c r="B130" s="7"/>
    </row>
    <row r="131" spans="1:33" x14ac:dyDescent="0.25">
      <c r="A131" s="6" t="s">
        <v>42</v>
      </c>
      <c r="B131" s="7"/>
    </row>
    <row r="132" spans="1:33" x14ac:dyDescent="0.25">
      <c r="A132" s="6" t="s">
        <v>43</v>
      </c>
      <c r="B132" s="7"/>
      <c r="H132" s="11"/>
      <c r="J132" s="1"/>
    </row>
    <row r="133" spans="1:33" x14ac:dyDescent="0.25">
      <c r="A133" s="6" t="s">
        <v>44</v>
      </c>
      <c r="B133" s="7"/>
      <c r="H133" s="11"/>
      <c r="J133" s="1"/>
    </row>
    <row r="134" spans="1:33" x14ac:dyDescent="0.25">
      <c r="A134" s="6" t="s">
        <v>45</v>
      </c>
      <c r="B134" s="7"/>
      <c r="H134" s="11"/>
      <c r="J134" s="1"/>
    </row>
    <row r="135" spans="1:33" x14ac:dyDescent="0.25">
      <c r="A135" s="6" t="s">
        <v>46</v>
      </c>
      <c r="B135" s="7"/>
      <c r="H135" s="11"/>
      <c r="J135" s="1"/>
    </row>
    <row r="136" spans="1:33" x14ac:dyDescent="0.25">
      <c r="H136" s="11"/>
      <c r="J136" s="1"/>
    </row>
    <row r="137" spans="1:33" x14ac:dyDescent="0.25">
      <c r="H137" s="11"/>
      <c r="J137" s="1"/>
    </row>
    <row r="138" spans="1:33" x14ac:dyDescent="0.25">
      <c r="H138" s="11"/>
      <c r="J138" s="1"/>
    </row>
    <row r="139" spans="1:33" x14ac:dyDescent="0.25">
      <c r="H139" s="11"/>
      <c r="J139" s="1"/>
    </row>
    <row r="140" spans="1:33" x14ac:dyDescent="0.25">
      <c r="H140" s="11"/>
      <c r="J140" s="1"/>
    </row>
    <row r="141" spans="1:33" x14ac:dyDescent="0.25">
      <c r="H141" s="11"/>
      <c r="J141" s="1"/>
    </row>
    <row r="142" spans="1:33" x14ac:dyDescent="0.25">
      <c r="H142" s="11"/>
      <c r="J142" s="1"/>
    </row>
    <row r="143" spans="1:33" x14ac:dyDescent="0.25">
      <c r="H143" s="11"/>
      <c r="J143" s="1"/>
    </row>
    <row r="144" spans="1:33" x14ac:dyDescent="0.25">
      <c r="H144" s="11"/>
      <c r="J144" s="1"/>
    </row>
    <row r="145" spans="5:10" x14ac:dyDescent="0.25">
      <c r="H145" s="11"/>
      <c r="J145" s="1"/>
    </row>
    <row r="146" spans="5:10" x14ac:dyDescent="0.25">
      <c r="H146" s="11"/>
      <c r="J146" s="1"/>
    </row>
    <row r="147" spans="5:10" x14ac:dyDescent="0.25">
      <c r="H147" s="11"/>
      <c r="J147" s="1"/>
    </row>
    <row r="148" spans="5:10" x14ac:dyDescent="0.25">
      <c r="H148" s="11"/>
      <c r="J148" s="1"/>
    </row>
    <row r="149" spans="5:10" x14ac:dyDescent="0.25">
      <c r="H149" s="11"/>
      <c r="J149" s="1"/>
    </row>
    <row r="150" spans="5:10" x14ac:dyDescent="0.25">
      <c r="H150" s="11"/>
      <c r="J150" s="1"/>
    </row>
    <row r="151" spans="5:10" x14ac:dyDescent="0.25">
      <c r="H151" s="11"/>
      <c r="J151" s="1"/>
    </row>
    <row r="152" spans="5:10" x14ac:dyDescent="0.25">
      <c r="E152" s="76"/>
      <c r="H152" s="11"/>
      <c r="J152" s="1"/>
    </row>
    <row r="153" spans="5:10" x14ac:dyDescent="0.25">
      <c r="H153" s="11"/>
      <c r="J153" s="1"/>
    </row>
    <row r="154" spans="5:10" x14ac:dyDescent="0.25">
      <c r="H154" s="11"/>
      <c r="J154" s="1"/>
    </row>
    <row r="156" spans="5:10" x14ac:dyDescent="0.25">
      <c r="E156" s="76"/>
    </row>
    <row r="192" spans="7:7" x14ac:dyDescent="0.25">
      <c r="G192" s="76"/>
    </row>
    <row r="195" spans="7:34" x14ac:dyDescent="0.25">
      <c r="I195" s="76"/>
      <c r="J195" s="1"/>
      <c r="K195" s="76"/>
      <c r="L195" s="76"/>
      <c r="M195" s="76"/>
      <c r="O195" s="76"/>
      <c r="P195" s="76"/>
      <c r="Q195" s="76"/>
      <c r="R195" s="76"/>
      <c r="S195" s="76"/>
      <c r="T195" s="76"/>
      <c r="U195" s="76"/>
      <c r="V195" s="76"/>
      <c r="W195" s="76"/>
      <c r="X195" s="76"/>
      <c r="Y195" s="76"/>
      <c r="Z195" s="76"/>
      <c r="AA195" s="76"/>
      <c r="AD195" s="76"/>
      <c r="AF195" s="76"/>
      <c r="AH195" s="76"/>
    </row>
    <row r="196" spans="7:34" x14ac:dyDescent="0.25">
      <c r="G196" s="76"/>
    </row>
    <row r="199" spans="7:34" x14ac:dyDescent="0.25">
      <c r="I199" s="76"/>
      <c r="J199" s="1"/>
      <c r="K199" s="76"/>
      <c r="L199" s="76"/>
      <c r="M199" s="76"/>
      <c r="O199" s="76"/>
      <c r="P199" s="76"/>
      <c r="Q199" s="76"/>
      <c r="R199" s="76"/>
      <c r="S199" s="76"/>
      <c r="T199" s="76"/>
      <c r="U199" s="76"/>
      <c r="V199" s="76"/>
      <c r="W199" s="76"/>
      <c r="X199" s="76"/>
      <c r="Y199" s="76"/>
      <c r="Z199" s="76"/>
      <c r="AA199" s="76"/>
      <c r="AD199" s="76"/>
      <c r="AF199" s="76"/>
      <c r="AH199" s="76"/>
    </row>
  </sheetData>
  <mergeCells count="2">
    <mergeCell ref="AD31:AE31"/>
    <mergeCell ref="AG31:AH31"/>
  </mergeCells>
  <dataValidations disablePrompts="1" count="2">
    <dataValidation type="list" allowBlank="1" sqref="B84 B51 B29:C29" xr:uid="{00000000-0002-0000-0A00-000000000000}">
      <formula1>"SELF,ALL,BAS,DEP,BASMEMBERS,MEMBERS,NOEXPAND,GDEP"</formula1>
    </dataValidation>
    <dataValidation type="list" allowBlank="1" sqref="B83 B50 B28:C28" xr:uid="{00000000-0002-0000-0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253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2536" r:id="rId7" name="FPMExcelClientSheetOptionstb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9">
    <tabColor theme="6" tint="0.39997558519241921"/>
    <pageSetUpPr fitToPage="1"/>
  </sheetPr>
  <dimension ref="A1:AP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26" sqref="O26"/>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c r="L4" s="11"/>
      <c r="M4" s="11"/>
    </row>
    <row r="5" spans="1:35" hidden="1" outlineLevel="1" x14ac:dyDescent="0.25">
      <c r="A5" s="8" t="s">
        <v>51</v>
      </c>
      <c r="B5" s="12" t="s">
        <v>59</v>
      </c>
      <c r="C5" s="1" t="s">
        <v>59</v>
      </c>
      <c r="L5" s="11"/>
      <c r="M5" s="11"/>
    </row>
    <row r="6" spans="1:35" hidden="1" outlineLevel="1" x14ac:dyDescent="0.25">
      <c r="A6" s="8" t="s">
        <v>52</v>
      </c>
      <c r="B6" s="12" t="s">
        <v>358</v>
      </c>
      <c r="C6" s="1" t="s">
        <v>356</v>
      </c>
      <c r="E6" s="49" t="s">
        <v>1192</v>
      </c>
      <c r="F6" s="1" t="s">
        <v>278</v>
      </c>
      <c r="L6" s="11"/>
      <c r="M6" s="11"/>
    </row>
    <row r="7" spans="1:35" hidden="1" outlineLevel="1" x14ac:dyDescent="0.25">
      <c r="A7" s="8" t="s">
        <v>53</v>
      </c>
      <c r="B7" s="12" t="s">
        <v>61</v>
      </c>
      <c r="C7" s="1" t="s">
        <v>983</v>
      </c>
      <c r="L7" s="11"/>
      <c r="M7" s="11"/>
    </row>
    <row r="8" spans="1:35" hidden="1" outlineLevel="1" x14ac:dyDescent="0.25">
      <c r="A8" s="8" t="s">
        <v>20</v>
      </c>
      <c r="B8" s="12" t="s">
        <v>63</v>
      </c>
      <c r="C8" s="1" t="s">
        <v>984</v>
      </c>
      <c r="L8" s="11"/>
      <c r="M8" s="11"/>
    </row>
    <row r="9" spans="1:35" hidden="1" outlineLevel="1" x14ac:dyDescent="0.25">
      <c r="A9" s="8" t="s">
        <v>54</v>
      </c>
      <c r="B9" s="9" t="str">
        <f>SetUp!$D$10</f>
        <v>LC</v>
      </c>
      <c r="C9" s="1" t="s">
        <v>985</v>
      </c>
      <c r="L9" s="11"/>
      <c r="M9" s="11"/>
    </row>
    <row r="10" spans="1:35" hidden="1" outlineLevel="1" x14ac:dyDescent="0.25">
      <c r="A10" s="8" t="s">
        <v>18</v>
      </c>
      <c r="B10" s="9" t="str">
        <f>SetUp!$D$7</f>
        <v>2023.TOTAL</v>
      </c>
      <c r="C10" s="1" t="s">
        <v>986</v>
      </c>
      <c r="D10" s="234" t="s">
        <v>987</v>
      </c>
      <c r="L10" s="11"/>
      <c r="M10" s="11"/>
    </row>
    <row r="11" spans="1:35" hidden="1" outlineLevel="1" x14ac:dyDescent="0.25">
      <c r="B11" s="8"/>
      <c r="L11" s="11"/>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L12" s="11"/>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L13" s="11"/>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B14" s="8" t="s">
        <v>361</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1193</v>
      </c>
      <c r="L17" s="11"/>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1194</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1195</v>
      </c>
      <c r="G19" s="18" t="str">
        <f>$B$6</f>
        <v>D_REST_CON</v>
      </c>
      <c r="H19" s="18">
        <v>400000</v>
      </c>
      <c r="I19" s="19"/>
      <c r="J19" s="19"/>
      <c r="K19" s="18"/>
      <c r="L19" s="18"/>
      <c r="M19" s="18"/>
      <c r="N19" s="18" t="s">
        <v>1003</v>
      </c>
      <c r="O19" s="20">
        <v>271648.17</v>
      </c>
      <c r="P19" s="20">
        <v>243116.66</v>
      </c>
      <c r="Q19" s="20">
        <v>262610.3</v>
      </c>
      <c r="R19" s="20">
        <v>178741.51</v>
      </c>
      <c r="S19" s="20">
        <v>174452.86</v>
      </c>
      <c r="T19" s="20">
        <v>153035.34</v>
      </c>
      <c r="U19" s="20">
        <v>137140.69</v>
      </c>
      <c r="V19" s="20">
        <v>119985.83</v>
      </c>
      <c r="W19" s="20">
        <v>111020.89</v>
      </c>
      <c r="X19" s="20">
        <v>115318.67</v>
      </c>
      <c r="Y19" s="20">
        <v>125378.51</v>
      </c>
      <c r="Z19" s="20">
        <v>219086.52</v>
      </c>
      <c r="AA19" s="20">
        <f>SUM(O19:Z19)</f>
        <v>2111535.9499999997</v>
      </c>
      <c r="AB19" s="18"/>
      <c r="AC19" s="18"/>
      <c r="AD19" s="20">
        <v>3679690.8742</v>
      </c>
      <c r="AE19" s="18"/>
      <c r="AF19" s="18"/>
      <c r="AG19" s="20">
        <v>2460440.2999999998</v>
      </c>
      <c r="AH19" s="18"/>
      <c r="AI19" s="18"/>
    </row>
    <row r="20" spans="1:40" hidden="1" outlineLevel="1" x14ac:dyDescent="0.25">
      <c r="A20" s="6" t="s">
        <v>5</v>
      </c>
      <c r="B20" s="7"/>
      <c r="G20" s="18" t="str">
        <f>$B$6</f>
        <v>D_REST_CON</v>
      </c>
      <c r="H20" s="18">
        <v>946000</v>
      </c>
      <c r="I20" s="19"/>
      <c r="J20" s="19"/>
      <c r="K20" s="18"/>
      <c r="L20" s="19"/>
      <c r="M20" s="19"/>
      <c r="N20" s="18" t="s">
        <v>1196</v>
      </c>
      <c r="O20" s="20">
        <v>5313</v>
      </c>
      <c r="P20" s="20">
        <v>5074</v>
      </c>
      <c r="Q20" s="20">
        <v>5517</v>
      </c>
      <c r="R20" s="20">
        <v>4364</v>
      </c>
      <c r="S20" s="20">
        <v>4257</v>
      </c>
      <c r="T20" s="20">
        <v>4447</v>
      </c>
      <c r="U20" s="20">
        <v>3889</v>
      </c>
      <c r="V20" s="20">
        <v>3360</v>
      </c>
      <c r="W20" s="20">
        <v>2985</v>
      </c>
      <c r="X20" s="20">
        <v>3089</v>
      </c>
      <c r="Y20" s="20">
        <v>3112</v>
      </c>
      <c r="Z20" s="20">
        <v>4316</v>
      </c>
      <c r="AA20" s="20">
        <f>SUM(O20:Z20)</f>
        <v>49723</v>
      </c>
      <c r="AB20" s="18"/>
      <c r="AC20" s="18"/>
      <c r="AD20" s="20">
        <v>70912</v>
      </c>
      <c r="AE20" s="18"/>
      <c r="AF20" s="18"/>
      <c r="AG20" s="20">
        <v>56333</v>
      </c>
      <c r="AH20" s="18"/>
      <c r="AI20" s="18"/>
    </row>
    <row r="21" spans="1:40" hidden="1" outlineLevel="1" x14ac:dyDescent="0.25">
      <c r="A21" s="6" t="s">
        <v>6</v>
      </c>
      <c r="B21" s="7"/>
      <c r="I21" s="1"/>
      <c r="J21" s="1"/>
    </row>
    <row r="22" spans="1:40" hidden="1" outlineLevel="1" x14ac:dyDescent="0.25">
      <c r="A22" s="6" t="s">
        <v>7</v>
      </c>
      <c r="B22" s="7"/>
      <c r="I22" s="1"/>
      <c r="J22" s="1"/>
    </row>
    <row r="23" spans="1:40" hidden="1" outlineLevel="1" x14ac:dyDescent="0.25">
      <c r="A23" s="6" t="s">
        <v>47</v>
      </c>
      <c r="B23" s="16" t="s">
        <v>1197</v>
      </c>
      <c r="K23" s="57"/>
      <c r="L23" s="57"/>
      <c r="M23" s="57"/>
      <c r="AD23" s="152"/>
    </row>
    <row r="24" spans="1:40" hidden="1" outlineLevel="1" x14ac:dyDescent="0.25">
      <c r="A24" s="6" t="s">
        <v>8</v>
      </c>
      <c r="B24" s="7"/>
    </row>
    <row r="25" spans="1:40" collapsed="1" x14ac:dyDescent="0.25"/>
    <row r="26" spans="1:40" ht="22.5" x14ac:dyDescent="0.3">
      <c r="A26" s="3" t="s">
        <v>9</v>
      </c>
      <c r="B26" s="5" t="s">
        <v>10</v>
      </c>
      <c r="C26" s="5" t="s">
        <v>357</v>
      </c>
      <c r="N26" s="65" t="s">
        <v>981</v>
      </c>
    </row>
    <row r="27" spans="1:40" ht="18" x14ac:dyDescent="0.25">
      <c r="A27" s="6" t="s">
        <v>11</v>
      </c>
      <c r="B27" s="7" t="s">
        <v>21</v>
      </c>
      <c r="C27" s="7" t="s">
        <v>21</v>
      </c>
      <c r="N27" s="70" t="s">
        <v>1198</v>
      </c>
    </row>
    <row r="28" spans="1:40" ht="15.75" x14ac:dyDescent="0.25">
      <c r="A28" s="6" t="s">
        <v>12</v>
      </c>
      <c r="B28" s="7" t="s">
        <v>52</v>
      </c>
      <c r="C28" s="7" t="s">
        <v>22</v>
      </c>
      <c r="N28" s="71" t="s">
        <v>1005</v>
      </c>
    </row>
    <row r="29" spans="1:40" ht="15" customHeight="1" x14ac:dyDescent="0.25">
      <c r="A29" s="6" t="s">
        <v>13</v>
      </c>
      <c r="B29" s="7" t="s">
        <v>359</v>
      </c>
      <c r="C29" s="7" t="s">
        <v>360</v>
      </c>
      <c r="N29" s="71" t="s">
        <v>985</v>
      </c>
    </row>
    <row r="30" spans="1:40" x14ac:dyDescent="0.25">
      <c r="A30" s="6" t="s">
        <v>14</v>
      </c>
      <c r="B30" s="7"/>
      <c r="C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C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C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2" x14ac:dyDescent="0.25">
      <c r="A33" s="6" t="s">
        <v>17</v>
      </c>
      <c r="B33" s="7"/>
      <c r="C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2" x14ac:dyDescent="0.25">
      <c r="H34" s="1" t="s">
        <v>259</v>
      </c>
      <c r="I34" s="11" t="s">
        <v>1011</v>
      </c>
      <c r="J34" s="11" t="s">
        <v>78</v>
      </c>
      <c r="N34" s="8" t="s">
        <v>1201</v>
      </c>
      <c r="O34" s="53"/>
      <c r="P34" s="54"/>
      <c r="Q34" s="54"/>
      <c r="R34" s="54"/>
      <c r="S34" s="54"/>
      <c r="T34" s="54"/>
      <c r="U34" s="54"/>
      <c r="V34" s="54"/>
      <c r="W34" s="54"/>
      <c r="X34" s="54"/>
      <c r="Y34" s="54"/>
      <c r="Z34" s="54"/>
      <c r="AA34" s="54"/>
      <c r="AB34" s="55"/>
      <c r="AD34" s="53"/>
      <c r="AE34" s="54"/>
      <c r="AF34" s="55"/>
      <c r="AG34" s="53"/>
      <c r="AH34" s="54"/>
      <c r="AI34" s="55"/>
    </row>
    <row r="35" spans="1:42" x14ac:dyDescent="0.25">
      <c r="G35" s="15" t="s">
        <v>258</v>
      </c>
      <c r="H35" s="15" t="s">
        <v>265</v>
      </c>
      <c r="I35" s="161" t="s">
        <v>1064</v>
      </c>
      <c r="J35" s="161" t="s">
        <v>78</v>
      </c>
      <c r="K35" s="69" t="str">
        <f>IF(AND(I35&gt;="T5"),"&gt;","")</f>
        <v/>
      </c>
      <c r="L35" s="69"/>
      <c r="M35" s="69"/>
      <c r="N35" s="162" t="s">
        <v>1202</v>
      </c>
      <c r="O35" s="21">
        <v>80894.84</v>
      </c>
      <c r="P35" s="21">
        <v>78312.259999999995</v>
      </c>
      <c r="Q35" s="21">
        <v>83428.88</v>
      </c>
      <c r="R35" s="21">
        <v>73987.11</v>
      </c>
      <c r="S35" s="21">
        <v>65555.520000000004</v>
      </c>
      <c r="T35" s="21">
        <v>62691.43</v>
      </c>
      <c r="U35" s="21">
        <v>61902.05</v>
      </c>
      <c r="V35" s="21">
        <v>54175.15</v>
      </c>
      <c r="W35" s="21">
        <v>41742.58</v>
      </c>
      <c r="X35" s="21">
        <v>42565.86</v>
      </c>
      <c r="Y35" s="21">
        <v>40668.9</v>
      </c>
      <c r="Z35" s="21">
        <v>57277.66</v>
      </c>
      <c r="AA35" s="310">
        <f t="shared" ref="AA35:AA56" si="0">IF($I35="B1","",SUM(O35:Z35))</f>
        <v>743202.24</v>
      </c>
      <c r="AB35" s="17">
        <f>IF(AA35=0,"",IFERROR(AA35/AA$19,""))</f>
        <v>0.35197233558822433</v>
      </c>
      <c r="AD35" s="21">
        <v>1355659.1619150001</v>
      </c>
      <c r="AE35" s="17">
        <f>IF(AD35=0,"",IFERROR(AD35/AD$19,""))</f>
        <v>0.36841658939889438</v>
      </c>
      <c r="AF35" s="50">
        <f>IF(AND($AA35="",AD35=""),"",$AA35-AD35)</f>
        <v>-612456.92191500007</v>
      </c>
      <c r="AG35" s="21">
        <v>933378.28</v>
      </c>
      <c r="AH35" s="17">
        <f>IF(AG35=0,"",IFERROR(AG35/AG$19,""))</f>
        <v>0.37935416681315132</v>
      </c>
      <c r="AI35" s="50">
        <f>IF(AND($AA35="",AG35=""),"",$AA35-AG35)</f>
        <v>-190176.04000000004</v>
      </c>
      <c r="AJ35" s="350">
        <f t="shared" ref="AJ35:AJ56" si="1">IFERROR(AA35/AA$20,0)</f>
        <v>14.946850350944231</v>
      </c>
      <c r="AK35" s="351">
        <f t="shared" ref="AK35:AK56" si="2">IFERROR(AD35/AD$20,0)</f>
        <v>19.117485925019743</v>
      </c>
      <c r="AL35" s="352">
        <f t="shared" ref="AL35:AL56" si="3">IFERROR(AG35/AG$20,0)</f>
        <v>16.568943248184901</v>
      </c>
      <c r="AM35" s="387" t="str">
        <f t="shared" ref="AM35:AM56" si="4">+IFERROR(ROUND(($AB35-AE35)*100,2)&amp;" pts.",0)</f>
        <v>-1.64 pts.</v>
      </c>
      <c r="AN35" s="386" t="str">
        <f t="shared" ref="AN35:AN56" si="5">+IFERROR(ROUND(($AB35-AH35)*100,2)&amp;" pts.",0)</f>
        <v>-2.74 pts.</v>
      </c>
      <c r="AO35" s="398"/>
      <c r="AP35" s="398"/>
    </row>
    <row r="36" spans="1:42" x14ac:dyDescent="0.25">
      <c r="A36" s="4" t="s">
        <v>988</v>
      </c>
      <c r="G36" s="15" t="s">
        <v>346</v>
      </c>
      <c r="H36" s="15" t="s">
        <v>265</v>
      </c>
      <c r="I36" s="161" t="s">
        <v>1064</v>
      </c>
      <c r="J36" s="161" t="s">
        <v>78</v>
      </c>
      <c r="K36" s="69" t="str">
        <f>IF(AND(I36&gt;="T5"),"&gt;","")</f>
        <v/>
      </c>
      <c r="L36" s="69"/>
      <c r="M36" s="69"/>
      <c r="N36" s="162" t="s">
        <v>1203</v>
      </c>
      <c r="O36" s="38"/>
      <c r="P36" s="38"/>
      <c r="Q36" s="38"/>
      <c r="R36" s="38"/>
      <c r="S36" s="38"/>
      <c r="T36" s="38"/>
      <c r="U36" s="38"/>
      <c r="V36" s="38"/>
      <c r="W36" s="38"/>
      <c r="X36" s="38"/>
      <c r="Y36" s="38"/>
      <c r="Z36" s="38"/>
      <c r="AA36" s="38">
        <f t="shared" si="0"/>
        <v>0</v>
      </c>
      <c r="AB36" s="39" t="str">
        <f>IF(AA36=0,"",IFERROR(AA36/AA$19,""))</f>
        <v/>
      </c>
      <c r="AD36" s="38"/>
      <c r="AE36" s="39" t="str">
        <f>IF(AD36=0,"",IFERROR(AD36/AD$19,""))</f>
        <v/>
      </c>
      <c r="AF36" s="132">
        <f>IF(AND($AA36="",AD36=""),"",$AA36-AD36)</f>
        <v>0</v>
      </c>
      <c r="AG36" s="38"/>
      <c r="AH36" s="39" t="str">
        <f>IF(AG36=0,"",IFERROR(AG36/AG$19,""))</f>
        <v/>
      </c>
      <c r="AI36" s="132">
        <f>IF(AND($AA36="",AG36=""),"",$AA36-AG36)</f>
        <v>0</v>
      </c>
      <c r="AJ36" s="350">
        <f t="shared" si="1"/>
        <v>0</v>
      </c>
      <c r="AK36" s="351">
        <f t="shared" si="2"/>
        <v>0</v>
      </c>
      <c r="AL36" s="352">
        <f t="shared" si="3"/>
        <v>0</v>
      </c>
      <c r="AM36" s="387">
        <f t="shared" si="4"/>
        <v>0</v>
      </c>
      <c r="AN36" s="386">
        <f t="shared" si="5"/>
        <v>0</v>
      </c>
    </row>
    <row r="37" spans="1:42" x14ac:dyDescent="0.25">
      <c r="G37" s="15" t="s">
        <v>347</v>
      </c>
      <c r="H37" s="15" t="s">
        <v>265</v>
      </c>
      <c r="I37" s="161" t="s">
        <v>1064</v>
      </c>
      <c r="J37" s="161" t="s">
        <v>78</v>
      </c>
      <c r="K37" s="69" t="str">
        <f>IF(AND(I37&gt;="T5"),"&gt;","")</f>
        <v/>
      </c>
      <c r="L37" s="69"/>
      <c r="M37" s="69"/>
      <c r="N37" s="162" t="s">
        <v>1204</v>
      </c>
      <c r="O37" s="38">
        <v>56077</v>
      </c>
      <c r="P37" s="38">
        <v>34793.5</v>
      </c>
      <c r="Q37" s="38">
        <v>27770.07</v>
      </c>
      <c r="R37" s="38">
        <v>9704.25</v>
      </c>
      <c r="S37" s="38">
        <v>13217</v>
      </c>
      <c r="T37" s="38">
        <v>8407.98</v>
      </c>
      <c r="U37" s="38">
        <v>332</v>
      </c>
      <c r="V37" s="38">
        <v>4231</v>
      </c>
      <c r="W37" s="38">
        <v>7174.51</v>
      </c>
      <c r="X37" s="38">
        <v>13310.1</v>
      </c>
      <c r="Y37" s="38">
        <v>13958.3</v>
      </c>
      <c r="Z37" s="38">
        <v>51844.51</v>
      </c>
      <c r="AA37" s="38">
        <f t="shared" si="0"/>
        <v>240820.22000000003</v>
      </c>
      <c r="AB37" s="39">
        <f>IF(AA37=0,"",IFERROR(AA37/AA$19,""))</f>
        <v>0.11404978447087299</v>
      </c>
      <c r="AD37" s="38">
        <v>330737.15881499997</v>
      </c>
      <c r="AE37" s="39">
        <f>IF(AD37=0,"",IFERROR(AD37/AD$19,""))</f>
        <v>8.9881778149884781E-2</v>
      </c>
      <c r="AF37" s="132">
        <f>IF(AND($AA37="",AD37=""),"",$AA37-AD37)</f>
        <v>-89916.938814999943</v>
      </c>
      <c r="AG37" s="38">
        <v>232524.93</v>
      </c>
      <c r="AH37" s="39">
        <f>IF(AG37=0,"",IFERROR(AG37/AG$19,""))</f>
        <v>9.4505414335799981E-2</v>
      </c>
      <c r="AI37" s="132">
        <f>IF(AND($AA37="",AG37=""),"",$AA37-AG37)</f>
        <v>8295.2900000000373</v>
      </c>
      <c r="AJ37" s="350">
        <f t="shared" si="1"/>
        <v>4.8432359270357788</v>
      </c>
      <c r="AK37" s="351">
        <f t="shared" si="2"/>
        <v>4.6640506376212771</v>
      </c>
      <c r="AL37" s="352">
        <f t="shared" si="3"/>
        <v>4.127685903466884</v>
      </c>
      <c r="AM37" s="387" t="str">
        <f t="shared" si="4"/>
        <v>2.42 pts.</v>
      </c>
      <c r="AN37" s="386" t="str">
        <f t="shared" si="5"/>
        <v>1.95 pts.</v>
      </c>
    </row>
    <row r="38" spans="1:42" x14ac:dyDescent="0.25">
      <c r="A38" s="3" t="s">
        <v>0</v>
      </c>
      <c r="B38" s="5" t="s">
        <v>1</v>
      </c>
      <c r="G38" s="15" t="s">
        <v>349</v>
      </c>
      <c r="H38" s="15" t="s">
        <v>265</v>
      </c>
      <c r="I38" s="161" t="s">
        <v>1064</v>
      </c>
      <c r="J38" s="161" t="s">
        <v>78</v>
      </c>
      <c r="K38" s="69" t="str">
        <f>IF(AND(I38&gt;="T5"),"&gt;","")</f>
        <v/>
      </c>
      <c r="L38" s="69"/>
      <c r="M38" s="69"/>
      <c r="N38" s="162" t="s">
        <v>1205</v>
      </c>
      <c r="O38" s="38">
        <v>2891</v>
      </c>
      <c r="P38" s="38">
        <v>2684</v>
      </c>
      <c r="Q38" s="38">
        <v>3121</v>
      </c>
      <c r="R38" s="38">
        <v>1855.55</v>
      </c>
      <c r="S38" s="38">
        <v>2588.5500000000002</v>
      </c>
      <c r="T38" s="38">
        <v>3167</v>
      </c>
      <c r="U38" s="38">
        <v>3980.01</v>
      </c>
      <c r="V38" s="38">
        <v>2569</v>
      </c>
      <c r="W38" s="38">
        <v>2175</v>
      </c>
      <c r="X38" s="38">
        <v>2440.4899999999998</v>
      </c>
      <c r="Y38" s="38">
        <v>2356</v>
      </c>
      <c r="Z38" s="38">
        <v>1058</v>
      </c>
      <c r="AA38" s="38">
        <f t="shared" si="0"/>
        <v>30885.599999999999</v>
      </c>
      <c r="AB38" s="39">
        <f>IF(AA38=0,"",IFERROR(AA38/AA$19,""))</f>
        <v>1.4627077507252482E-2</v>
      </c>
      <c r="AD38" s="38">
        <v>67573.5</v>
      </c>
      <c r="AE38" s="39">
        <f>IF(AD38=0,"",IFERROR(AD38/AD$19,""))</f>
        <v>1.8363906727543011E-2</v>
      </c>
      <c r="AF38" s="132">
        <f>IF(AND($AA38="",AD38=""),"",$AA38-AD38)</f>
        <v>-36687.9</v>
      </c>
      <c r="AG38" s="38">
        <v>53085.5</v>
      </c>
      <c r="AH38" s="39">
        <f>IF(AG38=0,"",IFERROR(AG38/AG$19,""))</f>
        <v>2.1575609861373187E-2</v>
      </c>
      <c r="AI38" s="132">
        <f>IF(AND($AA38="",AG38=""),"",$AA38-AG38)</f>
        <v>-22199.9</v>
      </c>
      <c r="AJ38" s="357">
        <f t="shared" si="1"/>
        <v>0.62115318866520519</v>
      </c>
      <c r="AK38" s="358">
        <f t="shared" si="2"/>
        <v>0.95292052120938631</v>
      </c>
      <c r="AL38" s="359">
        <f t="shared" si="3"/>
        <v>0.94235172989189286</v>
      </c>
      <c r="AM38" s="388" t="str">
        <f t="shared" si="4"/>
        <v>-0.37 pts.</v>
      </c>
      <c r="AN38" s="389" t="str">
        <f t="shared" si="5"/>
        <v>-0.69 pts.</v>
      </c>
    </row>
    <row r="39" spans="1:42" x14ac:dyDescent="0.25">
      <c r="A39" s="6" t="s">
        <v>2</v>
      </c>
      <c r="B39" s="16" t="s">
        <v>1193</v>
      </c>
      <c r="G39" s="15" t="s">
        <v>358</v>
      </c>
      <c r="H39" s="15" t="s">
        <v>265</v>
      </c>
      <c r="I39" s="161" t="s">
        <v>1064</v>
      </c>
      <c r="J39" s="161" t="s">
        <v>78</v>
      </c>
      <c r="K39" s="69" t="str">
        <f>IF(AND(I39&gt;="T5"),"&gt;","")</f>
        <v/>
      </c>
      <c r="L39" s="69"/>
      <c r="M39" s="69"/>
      <c r="N39" s="8" t="s">
        <v>1206</v>
      </c>
      <c r="O39" s="134">
        <v>139862.84</v>
      </c>
      <c r="P39" s="134">
        <v>115789.75999999999</v>
      </c>
      <c r="Q39" s="134">
        <v>114319.95</v>
      </c>
      <c r="R39" s="134">
        <v>85546.91</v>
      </c>
      <c r="S39" s="134">
        <v>81361.070000000007</v>
      </c>
      <c r="T39" s="134">
        <v>74266.41</v>
      </c>
      <c r="U39" s="134">
        <v>66214.06</v>
      </c>
      <c r="V39" s="134">
        <v>60975.15</v>
      </c>
      <c r="W39" s="134">
        <v>51092.09</v>
      </c>
      <c r="X39" s="134">
        <v>58316.45</v>
      </c>
      <c r="Y39" s="134">
        <v>56983.199999999997</v>
      </c>
      <c r="Z39" s="134">
        <v>110180.17</v>
      </c>
      <c r="AA39" s="134">
        <f t="shared" si="0"/>
        <v>1014908.0599999999</v>
      </c>
      <c r="AB39" s="135">
        <f>IF(AA39=0,"",IFERROR(AA39/AA$19,""))</f>
        <v>0.48064919756634977</v>
      </c>
      <c r="AD39" s="134">
        <v>1753969.82073</v>
      </c>
      <c r="AE39" s="135">
        <f>IF(AD39=0,"",IFERROR(AD39/AD$19,""))</f>
        <v>0.47666227427632218</v>
      </c>
      <c r="AF39" s="136">
        <f>IF(AND($AA39="",AD39=""),"",$AA39-AD39)</f>
        <v>-739061.7607300001</v>
      </c>
      <c r="AG39" s="134">
        <v>1218988.71</v>
      </c>
      <c r="AH39" s="135">
        <f>IF(AG39=0,"",IFERROR(AG39/AG$19,""))</f>
        <v>0.49543519101032446</v>
      </c>
      <c r="AI39" s="136">
        <f>IF(AND($AA39="",AG39=""),"",$AA39-AG39)</f>
        <v>-204080.65000000002</v>
      </c>
      <c r="AJ39" s="392">
        <f t="shared" si="1"/>
        <v>20.411239466645213</v>
      </c>
      <c r="AK39" s="393">
        <f t="shared" si="2"/>
        <v>24.734457083850408</v>
      </c>
      <c r="AL39" s="394">
        <f t="shared" si="3"/>
        <v>21.638980881543677</v>
      </c>
      <c r="AM39" s="395" t="str">
        <f t="shared" si="4"/>
        <v>0.4 pts.</v>
      </c>
      <c r="AN39" s="396" t="str">
        <f t="shared" si="5"/>
        <v>-1.48 pts.</v>
      </c>
    </row>
    <row r="40" spans="1:42" x14ac:dyDescent="0.25">
      <c r="A40" s="6" t="s">
        <v>3</v>
      </c>
      <c r="B40" s="16" t="s">
        <v>1194</v>
      </c>
      <c r="G40" s="15"/>
      <c r="H40" s="1" t="s">
        <v>266</v>
      </c>
      <c r="I40" s="1" t="s">
        <v>1011</v>
      </c>
      <c r="J40" s="1" t="s">
        <v>78</v>
      </c>
      <c r="K40" s="69"/>
      <c r="L40" s="69"/>
      <c r="M40" s="69"/>
      <c r="N40" s="8" t="s">
        <v>1207</v>
      </c>
      <c r="O40" s="38"/>
      <c r="P40" s="38"/>
      <c r="Q40" s="38"/>
      <c r="R40" s="38"/>
      <c r="S40" s="38"/>
      <c r="T40" s="38"/>
      <c r="U40" s="38"/>
      <c r="V40" s="38"/>
      <c r="W40" s="38"/>
      <c r="X40" s="38"/>
      <c r="Y40" s="38"/>
      <c r="Z40" s="38"/>
      <c r="AA40" s="38" t="str">
        <f t="shared" si="0"/>
        <v/>
      </c>
      <c r="AB40" s="39"/>
      <c r="AD40" s="38"/>
      <c r="AE40" s="39"/>
      <c r="AF40" s="132"/>
      <c r="AG40" s="38"/>
      <c r="AH40" s="39"/>
      <c r="AI40" s="132"/>
      <c r="AJ40" s="353">
        <f t="shared" si="1"/>
        <v>0</v>
      </c>
      <c r="AK40" s="354">
        <f t="shared" si="2"/>
        <v>0</v>
      </c>
      <c r="AL40" s="356">
        <f t="shared" si="3"/>
        <v>0</v>
      </c>
      <c r="AM40" s="390" t="str">
        <f t="shared" si="4"/>
        <v>0 pts.</v>
      </c>
      <c r="AN40" s="391" t="str">
        <f t="shared" si="5"/>
        <v>0 pts.</v>
      </c>
    </row>
    <row r="41" spans="1:42" x14ac:dyDescent="0.25">
      <c r="A41" s="6" t="s">
        <v>4</v>
      </c>
      <c r="B41" s="16" t="s">
        <v>1199</v>
      </c>
      <c r="G41" s="15" t="s">
        <v>258</v>
      </c>
      <c r="H41" s="15" t="s">
        <v>272</v>
      </c>
      <c r="I41" s="161" t="s">
        <v>1064</v>
      </c>
      <c r="J41" s="161" t="s">
        <v>78</v>
      </c>
      <c r="K41" s="69" t="str">
        <f>IF(AND(I41&gt;="T5"),"&gt;","")</f>
        <v/>
      </c>
      <c r="L41" s="69"/>
      <c r="M41" s="69"/>
      <c r="N41" s="162" t="s">
        <v>1208</v>
      </c>
      <c r="O41" s="38">
        <v>59726.879999999997</v>
      </c>
      <c r="P41" s="38">
        <v>68422.820000000007</v>
      </c>
      <c r="Q41" s="38">
        <v>68298.28</v>
      </c>
      <c r="R41" s="38">
        <v>51394.8</v>
      </c>
      <c r="S41" s="38">
        <v>48681.599999999999</v>
      </c>
      <c r="T41" s="38">
        <v>48041.8</v>
      </c>
      <c r="U41" s="38">
        <v>42012.62</v>
      </c>
      <c r="V41" s="38">
        <v>34039.79</v>
      </c>
      <c r="W41" s="38">
        <v>36910.800000000003</v>
      </c>
      <c r="X41" s="38">
        <v>30593.5</v>
      </c>
      <c r="Y41" s="38">
        <v>36105.800000000003</v>
      </c>
      <c r="Z41" s="38">
        <v>42210.720000000001</v>
      </c>
      <c r="AA41" s="38">
        <f t="shared" si="0"/>
        <v>566439.40999999992</v>
      </c>
      <c r="AB41" s="39">
        <f t="shared" ref="AB41:AB47" si="6">IF(AA41=0,"",IFERROR(AA41/AA$19,""))</f>
        <v>0.26825942035227957</v>
      </c>
      <c r="AD41" s="38">
        <v>1130160.7780850001</v>
      </c>
      <c r="AE41" s="39">
        <f t="shared" ref="AE41:AE47" si="7">IF(AD41=0,"",IFERROR(AD41/AD$19,""))</f>
        <v>0.30713470688776484</v>
      </c>
      <c r="AF41" s="132">
        <f t="shared" ref="AF41:AF47" si="8">IF(AND($AA41="",AD41=""),"",$AA41-AD41)</f>
        <v>-563721.3680850002</v>
      </c>
      <c r="AG41" s="38">
        <v>698636.95</v>
      </c>
      <c r="AH41" s="39">
        <f t="shared" ref="AH41:AH47" si="9">IF(AG41=0,"",IFERROR(AG41/AG$19,""))</f>
        <v>0.2839479380987216</v>
      </c>
      <c r="AI41" s="132">
        <f t="shared" ref="AI41:AI47" si="10">IF(AND($AA41="",AG41=""),"",$AA41-AG41)</f>
        <v>-132197.54000000004</v>
      </c>
      <c r="AJ41" s="350">
        <f t="shared" si="1"/>
        <v>11.391899322245237</v>
      </c>
      <c r="AK41" s="351">
        <f t="shared" si="2"/>
        <v>15.937510972543436</v>
      </c>
      <c r="AL41" s="352">
        <f t="shared" si="3"/>
        <v>12.401912733211438</v>
      </c>
      <c r="AM41" s="387" t="str">
        <f t="shared" si="4"/>
        <v>-3.89 pts.</v>
      </c>
      <c r="AN41" s="386" t="str">
        <f t="shared" si="5"/>
        <v>-1.57 pts.</v>
      </c>
    </row>
    <row r="42" spans="1:42" x14ac:dyDescent="0.25">
      <c r="A42" s="6" t="s">
        <v>5</v>
      </c>
      <c r="B42" s="7"/>
      <c r="F42" s="152"/>
      <c r="G42" s="15" t="s">
        <v>346</v>
      </c>
      <c r="H42" s="15" t="s">
        <v>272</v>
      </c>
      <c r="I42" s="161" t="s">
        <v>1064</v>
      </c>
      <c r="J42" s="161" t="s">
        <v>78</v>
      </c>
      <c r="K42" s="69" t="str">
        <f>IF(AND(I42&gt;="T5"),"&gt;","")</f>
        <v/>
      </c>
      <c r="L42" s="69"/>
      <c r="M42" s="69"/>
      <c r="N42" s="162" t="s">
        <v>1209</v>
      </c>
      <c r="O42" s="38"/>
      <c r="P42" s="38"/>
      <c r="Q42" s="38"/>
      <c r="R42" s="38"/>
      <c r="S42" s="38"/>
      <c r="T42" s="38"/>
      <c r="U42" s="38"/>
      <c r="V42" s="38"/>
      <c r="W42" s="38"/>
      <c r="X42" s="38"/>
      <c r="Y42" s="38"/>
      <c r="Z42" s="38"/>
      <c r="AA42" s="38">
        <f t="shared" si="0"/>
        <v>0</v>
      </c>
      <c r="AB42" s="39" t="str">
        <f t="shared" si="6"/>
        <v/>
      </c>
      <c r="AD42" s="38"/>
      <c r="AE42" s="39" t="str">
        <f t="shared" si="7"/>
        <v/>
      </c>
      <c r="AF42" s="132">
        <f t="shared" si="8"/>
        <v>0</v>
      </c>
      <c r="AG42" s="38"/>
      <c r="AH42" s="39" t="str">
        <f t="shared" si="9"/>
        <v/>
      </c>
      <c r="AI42" s="132">
        <f t="shared" si="10"/>
        <v>0</v>
      </c>
      <c r="AJ42" s="350">
        <f t="shared" si="1"/>
        <v>0</v>
      </c>
      <c r="AK42" s="351">
        <f t="shared" si="2"/>
        <v>0</v>
      </c>
      <c r="AL42" s="352">
        <f t="shared" si="3"/>
        <v>0</v>
      </c>
      <c r="AM42" s="387">
        <f t="shared" si="4"/>
        <v>0</v>
      </c>
      <c r="AN42" s="386">
        <f t="shared" si="5"/>
        <v>0</v>
      </c>
    </row>
    <row r="43" spans="1:42" x14ac:dyDescent="0.25">
      <c r="A43" s="6" t="s">
        <v>6</v>
      </c>
      <c r="B43" s="7"/>
      <c r="F43" s="152"/>
      <c r="G43" s="15" t="s">
        <v>347</v>
      </c>
      <c r="H43" s="15" t="s">
        <v>272</v>
      </c>
      <c r="I43" s="161" t="s">
        <v>1064</v>
      </c>
      <c r="J43" s="161" t="s">
        <v>78</v>
      </c>
      <c r="K43" s="69" t="str">
        <f>IF(AND(I43&gt;="T5"),"&gt;","")</f>
        <v/>
      </c>
      <c r="L43" s="69"/>
      <c r="M43" s="69"/>
      <c r="N43" s="162" t="s">
        <v>1210</v>
      </c>
      <c r="O43" s="38">
        <v>3536</v>
      </c>
      <c r="P43" s="38"/>
      <c r="Q43" s="38">
        <v>3403</v>
      </c>
      <c r="R43" s="38">
        <v>2108</v>
      </c>
      <c r="S43" s="38">
        <v>9512</v>
      </c>
      <c r="T43" s="38">
        <v>311</v>
      </c>
      <c r="U43" s="38"/>
      <c r="V43" s="38">
        <v>1170</v>
      </c>
      <c r="W43" s="38">
        <v>885</v>
      </c>
      <c r="X43" s="38"/>
      <c r="Y43" s="38">
        <v>4968</v>
      </c>
      <c r="Z43" s="38">
        <v>7723.75</v>
      </c>
      <c r="AA43" s="38">
        <f t="shared" si="0"/>
        <v>33616.75</v>
      </c>
      <c r="AB43" s="39">
        <f t="shared" si="6"/>
        <v>1.5920519847175702E-2</v>
      </c>
      <c r="AD43" s="38">
        <v>8625.0911849999993</v>
      </c>
      <c r="AE43" s="39">
        <f t="shared" si="7"/>
        <v>2.3439716758476828E-3</v>
      </c>
      <c r="AF43" s="132">
        <f t="shared" si="8"/>
        <v>24991.658815000003</v>
      </c>
      <c r="AG43" s="38">
        <v>21862</v>
      </c>
      <c r="AH43" s="39">
        <f t="shared" si="9"/>
        <v>8.8854015275233473E-3</v>
      </c>
      <c r="AI43" s="132">
        <f t="shared" si="10"/>
        <v>11754.75</v>
      </c>
      <c r="AJ43" s="350">
        <f t="shared" si="1"/>
        <v>0.67608048589184078</v>
      </c>
      <c r="AK43" s="351">
        <f t="shared" si="2"/>
        <v>0.12163091134081677</v>
      </c>
      <c r="AL43" s="352">
        <f t="shared" si="3"/>
        <v>0.3880851365984414</v>
      </c>
      <c r="AM43" s="387" t="str">
        <f t="shared" si="4"/>
        <v>1.36 pts.</v>
      </c>
      <c r="AN43" s="386" t="str">
        <f t="shared" si="5"/>
        <v>0.7 pts.</v>
      </c>
    </row>
    <row r="44" spans="1:42" x14ac:dyDescent="0.25">
      <c r="A44" s="6" t="s">
        <v>7</v>
      </c>
      <c r="B44" s="16" t="s">
        <v>1200</v>
      </c>
      <c r="F44" s="152"/>
      <c r="G44" s="15" t="s">
        <v>349</v>
      </c>
      <c r="H44" s="15" t="s">
        <v>272</v>
      </c>
      <c r="I44" s="161" t="s">
        <v>1064</v>
      </c>
      <c r="J44" s="161" t="s">
        <v>78</v>
      </c>
      <c r="K44" s="69" t="str">
        <f>IF(AND(I44&gt;="T5"),"&gt;","")</f>
        <v/>
      </c>
      <c r="L44" s="69"/>
      <c r="M44" s="69"/>
      <c r="N44" s="162" t="s">
        <v>1211</v>
      </c>
      <c r="O44" s="38">
        <v>2412.34</v>
      </c>
      <c r="P44" s="38">
        <v>2979.96</v>
      </c>
      <c r="Q44" s="38">
        <v>4543</v>
      </c>
      <c r="R44" s="38">
        <v>2210.63</v>
      </c>
      <c r="S44" s="38">
        <v>2956</v>
      </c>
      <c r="T44" s="38">
        <v>2486</v>
      </c>
      <c r="U44" s="38">
        <v>2531.31</v>
      </c>
      <c r="V44" s="38">
        <v>2954.78</v>
      </c>
      <c r="W44" s="38">
        <v>2044.38</v>
      </c>
      <c r="X44" s="38">
        <v>2888</v>
      </c>
      <c r="Y44" s="38">
        <v>2261.89</v>
      </c>
      <c r="Z44" s="38">
        <v>5406</v>
      </c>
      <c r="AA44" s="38">
        <f t="shared" si="0"/>
        <v>35674.29</v>
      </c>
      <c r="AB44" s="39">
        <f t="shared" si="6"/>
        <v>1.6894947964300588E-2</v>
      </c>
      <c r="AD44" s="38">
        <v>33002.400000000001</v>
      </c>
      <c r="AE44" s="39">
        <f t="shared" si="7"/>
        <v>8.968796871333666E-3</v>
      </c>
      <c r="AF44" s="132">
        <f t="shared" si="8"/>
        <v>2671.8899999999994</v>
      </c>
      <c r="AG44" s="38">
        <v>12618.35</v>
      </c>
      <c r="AH44" s="39">
        <f t="shared" si="9"/>
        <v>5.1284926523110525E-3</v>
      </c>
      <c r="AI44" s="132">
        <f t="shared" si="10"/>
        <v>23055.940000000002</v>
      </c>
      <c r="AJ44" s="357">
        <f t="shared" si="1"/>
        <v>0.71746053134364385</v>
      </c>
      <c r="AK44" s="358">
        <f t="shared" si="2"/>
        <v>0.46539936823104694</v>
      </c>
      <c r="AL44" s="359">
        <f t="shared" si="3"/>
        <v>0.22399570411659242</v>
      </c>
      <c r="AM44" s="388" t="str">
        <f t="shared" si="4"/>
        <v>0.79 pts.</v>
      </c>
      <c r="AN44" s="389" t="str">
        <f t="shared" si="5"/>
        <v>1.18 pts.</v>
      </c>
    </row>
    <row r="45" spans="1:42" x14ac:dyDescent="0.25">
      <c r="A45" s="6" t="s">
        <v>47</v>
      </c>
      <c r="B45" s="16" t="s">
        <v>1197</v>
      </c>
      <c r="G45" s="15" t="s">
        <v>358</v>
      </c>
      <c r="H45" s="15" t="s">
        <v>272</v>
      </c>
      <c r="I45" s="161" t="s">
        <v>1064</v>
      </c>
      <c r="J45" s="161" t="s">
        <v>78</v>
      </c>
      <c r="K45" s="69" t="str">
        <f>IF(AND(I45&gt;="T5"),"&gt;","")</f>
        <v/>
      </c>
      <c r="L45" s="69"/>
      <c r="M45" s="69"/>
      <c r="N45" s="8" t="s">
        <v>1212</v>
      </c>
      <c r="O45" s="134">
        <v>65675.22</v>
      </c>
      <c r="P45" s="134">
        <v>71402.78</v>
      </c>
      <c r="Q45" s="134">
        <v>76244.28</v>
      </c>
      <c r="R45" s="134">
        <v>55713.43</v>
      </c>
      <c r="S45" s="134">
        <v>61149.599999999999</v>
      </c>
      <c r="T45" s="134">
        <v>50838.8</v>
      </c>
      <c r="U45" s="134">
        <v>44543.93</v>
      </c>
      <c r="V45" s="134">
        <v>38164.57</v>
      </c>
      <c r="W45" s="134">
        <v>39840.18</v>
      </c>
      <c r="X45" s="134">
        <v>33481.5</v>
      </c>
      <c r="Y45" s="134">
        <v>43335.69</v>
      </c>
      <c r="Z45" s="134">
        <v>55340.47</v>
      </c>
      <c r="AA45" s="134">
        <f t="shared" si="0"/>
        <v>635730.44999999995</v>
      </c>
      <c r="AB45" s="135">
        <f t="shared" si="6"/>
        <v>0.30107488816375588</v>
      </c>
      <c r="AD45" s="134">
        <v>1171788.26927</v>
      </c>
      <c r="AE45" s="135">
        <f t="shared" si="7"/>
        <v>0.31844747543494617</v>
      </c>
      <c r="AF45" s="136">
        <f t="shared" si="8"/>
        <v>-536057.81927000009</v>
      </c>
      <c r="AG45" s="134">
        <v>733117.3</v>
      </c>
      <c r="AH45" s="135">
        <f t="shared" si="9"/>
        <v>0.29796183227855605</v>
      </c>
      <c r="AI45" s="136">
        <f t="shared" si="10"/>
        <v>-97386.850000000093</v>
      </c>
      <c r="AJ45" s="392">
        <f t="shared" si="1"/>
        <v>12.785440339480722</v>
      </c>
      <c r="AK45" s="393">
        <f t="shared" si="2"/>
        <v>16.524541252115299</v>
      </c>
      <c r="AL45" s="394">
        <f t="shared" si="3"/>
        <v>13.013993573926474</v>
      </c>
      <c r="AM45" s="395" t="str">
        <f t="shared" si="4"/>
        <v>-1.74 pts.</v>
      </c>
      <c r="AN45" s="396" t="str">
        <f t="shared" si="5"/>
        <v>0.31 pts.</v>
      </c>
    </row>
    <row r="46" spans="1:42" x14ac:dyDescent="0.25">
      <c r="A46" s="6" t="s">
        <v>8</v>
      </c>
      <c r="B46" s="7"/>
      <c r="G46" s="15" t="s">
        <v>358</v>
      </c>
      <c r="H46" s="15" t="s">
        <v>486</v>
      </c>
      <c r="I46" s="28"/>
      <c r="J46" s="28"/>
      <c r="K46" s="69"/>
      <c r="L46" s="69"/>
      <c r="M46" s="69"/>
      <c r="N46" s="162" t="s">
        <v>1213</v>
      </c>
      <c r="O46" s="38">
        <v>-238.62</v>
      </c>
      <c r="P46" s="38">
        <v>-342.8</v>
      </c>
      <c r="Q46" s="38"/>
      <c r="R46" s="38">
        <v>-133.71</v>
      </c>
      <c r="S46" s="38">
        <v>-527.83000000000004</v>
      </c>
      <c r="T46" s="38"/>
      <c r="U46" s="38">
        <v>-0.49</v>
      </c>
      <c r="V46" s="38">
        <v>-359.79</v>
      </c>
      <c r="W46" s="38"/>
      <c r="X46" s="38">
        <v>-122.28</v>
      </c>
      <c r="Y46" s="38">
        <v>-390.24</v>
      </c>
      <c r="Z46" s="38"/>
      <c r="AA46" s="38">
        <f t="shared" si="0"/>
        <v>-2115.7600000000002</v>
      </c>
      <c r="AB46" s="39">
        <f t="shared" si="6"/>
        <v>-1.002000463217309E-3</v>
      </c>
      <c r="AD46" s="38"/>
      <c r="AE46" s="39" t="str">
        <f t="shared" si="7"/>
        <v/>
      </c>
      <c r="AF46" s="132">
        <f t="shared" si="8"/>
        <v>-2115.7600000000002</v>
      </c>
      <c r="AG46" s="38">
        <v>-2480.6999999999998</v>
      </c>
      <c r="AH46" s="39">
        <f t="shared" si="9"/>
        <v>-1.0082341766227776E-3</v>
      </c>
      <c r="AI46" s="132">
        <f t="shared" si="10"/>
        <v>364.9399999999996</v>
      </c>
      <c r="AJ46" s="353">
        <f t="shared" si="1"/>
        <v>-4.2550932164189613E-2</v>
      </c>
      <c r="AK46" s="354">
        <f t="shared" si="2"/>
        <v>0</v>
      </c>
      <c r="AL46" s="356">
        <f t="shared" si="3"/>
        <v>-4.4036355244705588E-2</v>
      </c>
      <c r="AM46" s="390">
        <f t="shared" si="4"/>
        <v>0</v>
      </c>
      <c r="AN46" s="391" t="str">
        <f t="shared" si="5"/>
        <v>0 pts.</v>
      </c>
    </row>
    <row r="47" spans="1:42" x14ac:dyDescent="0.25">
      <c r="G47" s="15" t="s">
        <v>358</v>
      </c>
      <c r="H47" s="15" t="s">
        <v>273</v>
      </c>
      <c r="I47" s="161" t="s">
        <v>1064</v>
      </c>
      <c r="J47" s="161" t="s">
        <v>78</v>
      </c>
      <c r="K47" s="69" t="str">
        <f>IF(AND(I47&gt;="T5"),"&gt;","")</f>
        <v/>
      </c>
      <c r="L47" s="69"/>
      <c r="M47" s="69"/>
      <c r="N47" s="8" t="s">
        <v>1214</v>
      </c>
      <c r="O47" s="134">
        <v>205299.44</v>
      </c>
      <c r="P47" s="134">
        <v>186849.74</v>
      </c>
      <c r="Q47" s="134">
        <v>190564.23</v>
      </c>
      <c r="R47" s="134">
        <v>141126.63</v>
      </c>
      <c r="S47" s="134">
        <v>141982.84</v>
      </c>
      <c r="T47" s="134">
        <v>125105.21</v>
      </c>
      <c r="U47" s="134">
        <v>110757.5</v>
      </c>
      <c r="V47" s="134">
        <v>98779.93</v>
      </c>
      <c r="W47" s="134">
        <v>90932.27</v>
      </c>
      <c r="X47" s="134">
        <v>91675.67</v>
      </c>
      <c r="Y47" s="134">
        <v>99928.65</v>
      </c>
      <c r="Z47" s="134">
        <v>165520.64000000001</v>
      </c>
      <c r="AA47" s="134">
        <f t="shared" si="0"/>
        <v>1648522.7499999995</v>
      </c>
      <c r="AB47" s="135">
        <f t="shared" si="6"/>
        <v>0.78072208526688813</v>
      </c>
      <c r="AD47" s="134">
        <v>2925758.09</v>
      </c>
      <c r="AE47" s="135">
        <f t="shared" si="7"/>
        <v>0.79510974971126824</v>
      </c>
      <c r="AF47" s="136">
        <f t="shared" si="8"/>
        <v>-1277235.3400000003</v>
      </c>
      <c r="AG47" s="134">
        <v>1949625.31</v>
      </c>
      <c r="AH47" s="135">
        <f t="shared" si="9"/>
        <v>0.79238878911225774</v>
      </c>
      <c r="AI47" s="136">
        <f t="shared" si="10"/>
        <v>-301102.56000000052</v>
      </c>
      <c r="AJ47" s="392">
        <f t="shared" si="1"/>
        <v>33.154128873961739</v>
      </c>
      <c r="AK47" s="393">
        <f t="shared" si="2"/>
        <v>41.2589983359657</v>
      </c>
      <c r="AL47" s="394">
        <f t="shared" si="3"/>
        <v>34.608938100225444</v>
      </c>
      <c r="AM47" s="397" t="str">
        <f t="shared" si="4"/>
        <v>-1.44 pts.</v>
      </c>
      <c r="AN47" s="396" t="str">
        <f t="shared" si="5"/>
        <v>-1.17 pts.</v>
      </c>
    </row>
    <row r="48" spans="1:42" x14ac:dyDescent="0.25">
      <c r="A48" s="3" t="s">
        <v>9</v>
      </c>
      <c r="B48" s="5" t="s">
        <v>10</v>
      </c>
      <c r="G48" s="15"/>
      <c r="H48" s="1" t="s">
        <v>279</v>
      </c>
      <c r="I48" s="1" t="s">
        <v>1011</v>
      </c>
      <c r="J48" s="1" t="s">
        <v>78</v>
      </c>
      <c r="K48" s="69" t="str">
        <f>IF(AND(I48&gt;="T5"),"&gt;","")</f>
        <v/>
      </c>
      <c r="L48" s="69"/>
      <c r="M48" s="69"/>
      <c r="N48" s="25" t="s">
        <v>1215</v>
      </c>
      <c r="O48" s="185"/>
      <c r="P48" s="288"/>
      <c r="Q48" s="288"/>
      <c r="R48" s="288"/>
      <c r="S48" s="288"/>
      <c r="T48" s="288"/>
      <c r="U48" s="288"/>
      <c r="V48" s="288"/>
      <c r="W48" s="288"/>
      <c r="X48" s="288"/>
      <c r="Y48" s="288"/>
      <c r="Z48" s="288"/>
      <c r="AA48" s="288" t="str">
        <f t="shared" si="0"/>
        <v/>
      </c>
      <c r="AB48" s="186"/>
      <c r="AD48" s="185"/>
      <c r="AE48" s="187"/>
      <c r="AF48" s="188"/>
      <c r="AG48" s="185"/>
      <c r="AH48" s="187"/>
      <c r="AI48" s="188"/>
      <c r="AJ48" s="350">
        <f t="shared" si="1"/>
        <v>0</v>
      </c>
      <c r="AK48" s="351">
        <f t="shared" si="2"/>
        <v>0</v>
      </c>
      <c r="AL48" s="352">
        <f t="shared" si="3"/>
        <v>0</v>
      </c>
      <c r="AM48" s="387" t="str">
        <f t="shared" si="4"/>
        <v>0 pts.</v>
      </c>
      <c r="AN48" s="386" t="str">
        <f t="shared" si="5"/>
        <v>0 pts.</v>
      </c>
    </row>
    <row r="49" spans="1:41" x14ac:dyDescent="0.25">
      <c r="A49" s="6" t="s">
        <v>11</v>
      </c>
      <c r="B49" s="7" t="s">
        <v>21</v>
      </c>
      <c r="G49" s="15" t="s">
        <v>358</v>
      </c>
      <c r="H49" s="15" t="s">
        <v>274</v>
      </c>
      <c r="I49" s="161" t="s">
        <v>1058</v>
      </c>
      <c r="J49" s="161" t="s">
        <v>78</v>
      </c>
      <c r="K49" s="69"/>
      <c r="L49" s="69"/>
      <c r="M49" s="69"/>
      <c r="N49" s="162" t="s">
        <v>1216</v>
      </c>
      <c r="O49" s="21">
        <v>5180</v>
      </c>
      <c r="P49" s="21">
        <v>2870</v>
      </c>
      <c r="Q49" s="21">
        <v>2680</v>
      </c>
      <c r="R49" s="21">
        <v>1815.05</v>
      </c>
      <c r="S49" s="21">
        <v>-553.79999999999995</v>
      </c>
      <c r="T49" s="21">
        <v>970</v>
      </c>
      <c r="U49" s="21">
        <v>1135</v>
      </c>
      <c r="V49" s="21">
        <v>446.6</v>
      </c>
      <c r="W49" s="21">
        <v>1120</v>
      </c>
      <c r="X49" s="21">
        <v>2474.15</v>
      </c>
      <c r="Y49" s="21">
        <v>989.03</v>
      </c>
      <c r="Z49" s="21">
        <v>3715.2</v>
      </c>
      <c r="AA49" s="21">
        <f t="shared" si="0"/>
        <v>22841.23</v>
      </c>
      <c r="AB49" s="17">
        <f t="shared" ref="AB49:AB56" si="11">IF(AA49=0,"",IFERROR(AA49/AA$19,""))</f>
        <v>1.0817353121551163E-2</v>
      </c>
      <c r="AD49" s="21">
        <v>28440.240000000002</v>
      </c>
      <c r="AE49" s="17">
        <f t="shared" ref="AE49:AE56" si="12">IF(AD49=0,"",IFERROR(AD49/AD$19,""))</f>
        <v>7.7289753330660373E-3</v>
      </c>
      <c r="AF49" s="50">
        <f t="shared" ref="AF49:AF56" si="13">IF(AND($AA49="",AD49=""),"",$AA49-AD49)</f>
        <v>-5599.010000000002</v>
      </c>
      <c r="AG49" s="21">
        <v>21595</v>
      </c>
      <c r="AH49" s="17">
        <f t="shared" ref="AH49:AH56" si="14">IF(AG49=0,"",IFERROR(AG49/AG$19,""))</f>
        <v>8.7768843649650846E-3</v>
      </c>
      <c r="AI49" s="50">
        <f t="shared" ref="AI49:AI56" si="15">IF(AND($AA49="",AG49=""),"",$AA49-AG49)</f>
        <v>1246.2299999999996</v>
      </c>
      <c r="AJ49" s="350">
        <f t="shared" si="1"/>
        <v>0.45936950706916313</v>
      </c>
      <c r="AK49" s="351">
        <f t="shared" si="2"/>
        <v>0.40106385379061377</v>
      </c>
      <c r="AL49" s="352">
        <f t="shared" si="3"/>
        <v>0.38334546358262472</v>
      </c>
      <c r="AM49" s="387" t="str">
        <f t="shared" si="4"/>
        <v>0.31 pts.</v>
      </c>
      <c r="AN49" s="386" t="str">
        <f t="shared" si="5"/>
        <v>0.2 pts.</v>
      </c>
    </row>
    <row r="50" spans="1:41" x14ac:dyDescent="0.25">
      <c r="A50" s="6" t="s">
        <v>12</v>
      </c>
      <c r="B50" s="7" t="s">
        <v>22</v>
      </c>
      <c r="G50" s="15" t="s">
        <v>358</v>
      </c>
      <c r="H50" s="15" t="s">
        <v>275</v>
      </c>
      <c r="I50" s="161" t="s">
        <v>1058</v>
      </c>
      <c r="J50" s="161" t="s">
        <v>78</v>
      </c>
      <c r="K50" s="69"/>
      <c r="L50" s="69"/>
      <c r="M50" s="69"/>
      <c r="N50" s="162" t="s">
        <v>1217</v>
      </c>
      <c r="O50" s="38">
        <v>10450</v>
      </c>
      <c r="P50" s="38">
        <v>5500</v>
      </c>
      <c r="Q50" s="38">
        <v>13850</v>
      </c>
      <c r="R50" s="38">
        <v>4150</v>
      </c>
      <c r="S50" s="38">
        <v>450</v>
      </c>
      <c r="T50" s="38">
        <v>2900</v>
      </c>
      <c r="U50" s="38">
        <v>750</v>
      </c>
      <c r="V50" s="38">
        <v>1000</v>
      </c>
      <c r="W50" s="38">
        <v>1080</v>
      </c>
      <c r="X50" s="38">
        <v>2390.5</v>
      </c>
      <c r="Y50" s="38">
        <v>4467.2700000000004</v>
      </c>
      <c r="Z50" s="38">
        <v>13389.95</v>
      </c>
      <c r="AA50" s="38">
        <f t="shared" si="0"/>
        <v>60377.72</v>
      </c>
      <c r="AB50" s="39">
        <f t="shared" si="11"/>
        <v>2.8594218346128564E-2</v>
      </c>
      <c r="AD50" s="38">
        <v>120916.5</v>
      </c>
      <c r="AE50" s="39">
        <f t="shared" si="12"/>
        <v>3.2860504899419954E-2</v>
      </c>
      <c r="AF50" s="132">
        <f t="shared" si="13"/>
        <v>-60538.78</v>
      </c>
      <c r="AG50" s="38">
        <v>96710</v>
      </c>
      <c r="AH50" s="39">
        <f t="shared" si="14"/>
        <v>3.9305973000035813E-2</v>
      </c>
      <c r="AI50" s="132">
        <f t="shared" si="15"/>
        <v>-36332.28</v>
      </c>
      <c r="AJ50" s="350">
        <f t="shared" si="1"/>
        <v>1.2142815196186876</v>
      </c>
      <c r="AK50" s="351">
        <f t="shared" si="2"/>
        <v>1.7051627369133573</v>
      </c>
      <c r="AL50" s="352">
        <f t="shared" si="3"/>
        <v>1.7167557204480499</v>
      </c>
      <c r="AM50" s="387" t="str">
        <f t="shared" si="4"/>
        <v>-0.43 pts.</v>
      </c>
      <c r="AN50" s="386" t="str">
        <f t="shared" si="5"/>
        <v>-1.07 pts.</v>
      </c>
    </row>
    <row r="51" spans="1:41" x14ac:dyDescent="0.25">
      <c r="A51" s="6" t="s">
        <v>13</v>
      </c>
      <c r="B51" s="7" t="str">
        <f>"DEP(COS_FB) AND "&amp;$E$6&amp;"=Y,COS_FB,COSOTH,DEP(COS_OTHR) AND "&amp;$E$6&amp;"=Y,COS_OTHR,500001"</f>
        <v>DEP(COS_FB) AND D_FB=Y,COS_FB,COSOTH,DEP(COS_OTHR) AND D_FB=Y,COS_OTHR,500001</v>
      </c>
      <c r="G51" s="15" t="s">
        <v>358</v>
      </c>
      <c r="H51" s="15" t="s">
        <v>276</v>
      </c>
      <c r="I51" s="161" t="s">
        <v>1058</v>
      </c>
      <c r="J51" s="161" t="s">
        <v>78</v>
      </c>
      <c r="K51" s="69"/>
      <c r="L51" s="69"/>
      <c r="M51" s="69"/>
      <c r="N51" s="162" t="s">
        <v>1218</v>
      </c>
      <c r="O51" s="38"/>
      <c r="P51" s="38"/>
      <c r="Q51" s="38"/>
      <c r="R51" s="38"/>
      <c r="S51" s="38"/>
      <c r="T51" s="38"/>
      <c r="U51" s="38"/>
      <c r="V51" s="38"/>
      <c r="W51" s="38"/>
      <c r="X51" s="38"/>
      <c r="Y51" s="38"/>
      <c r="Z51" s="38"/>
      <c r="AA51" s="38">
        <f t="shared" si="0"/>
        <v>0</v>
      </c>
      <c r="AB51" s="39" t="str">
        <f t="shared" si="11"/>
        <v/>
      </c>
      <c r="AD51" s="38"/>
      <c r="AE51" s="39" t="str">
        <f t="shared" si="12"/>
        <v/>
      </c>
      <c r="AF51" s="132">
        <f t="shared" si="13"/>
        <v>0</v>
      </c>
      <c r="AG51" s="38"/>
      <c r="AH51" s="39" t="str">
        <f t="shared" si="14"/>
        <v/>
      </c>
      <c r="AI51" s="132">
        <f t="shared" si="15"/>
        <v>0</v>
      </c>
      <c r="AJ51" s="350">
        <f t="shared" si="1"/>
        <v>0</v>
      </c>
      <c r="AK51" s="351">
        <f t="shared" si="2"/>
        <v>0</v>
      </c>
      <c r="AL51" s="352">
        <f t="shared" si="3"/>
        <v>0</v>
      </c>
      <c r="AM51" s="387">
        <f t="shared" si="4"/>
        <v>0</v>
      </c>
      <c r="AN51" s="386">
        <f t="shared" si="5"/>
        <v>0</v>
      </c>
    </row>
    <row r="52" spans="1:41" x14ac:dyDescent="0.25">
      <c r="A52" s="6" t="s">
        <v>14</v>
      </c>
      <c r="B52" s="7"/>
      <c r="G52" s="15" t="s">
        <v>358</v>
      </c>
      <c r="H52" s="15" t="s">
        <v>282</v>
      </c>
      <c r="I52" s="161" t="s">
        <v>1058</v>
      </c>
      <c r="J52" s="161" t="s">
        <v>78</v>
      </c>
      <c r="K52" s="69"/>
      <c r="L52" s="69"/>
      <c r="M52" s="69"/>
      <c r="N52" s="162" t="s">
        <v>1219</v>
      </c>
      <c r="O52" s="38">
        <v>38139.660000000003</v>
      </c>
      <c r="P52" s="38">
        <v>36427.21</v>
      </c>
      <c r="Q52" s="38">
        <v>35165.64</v>
      </c>
      <c r="R52" s="38">
        <v>26581.94</v>
      </c>
      <c r="S52" s="38">
        <v>26725.82</v>
      </c>
      <c r="T52" s="38">
        <v>22420.86</v>
      </c>
      <c r="U52" s="38">
        <v>19820.189999999999</v>
      </c>
      <c r="V52" s="38">
        <v>17965.330000000002</v>
      </c>
      <c r="W52" s="38">
        <v>16538.88</v>
      </c>
      <c r="X52" s="38">
        <v>17282.18</v>
      </c>
      <c r="Y52" s="38">
        <v>18528.43</v>
      </c>
      <c r="Z52" s="38">
        <v>32288.61</v>
      </c>
      <c r="AA52" s="38">
        <f t="shared" si="0"/>
        <v>307884.75</v>
      </c>
      <c r="AB52" s="39">
        <f t="shared" si="11"/>
        <v>0.1458108018478208</v>
      </c>
      <c r="AD52" s="38">
        <v>522107.28419999999</v>
      </c>
      <c r="AE52" s="39">
        <f t="shared" si="12"/>
        <v>0.14188889829325979</v>
      </c>
      <c r="AF52" s="132">
        <f t="shared" si="13"/>
        <v>-214222.53419999999</v>
      </c>
      <c r="AG52" s="38">
        <v>357263.61</v>
      </c>
      <c r="AH52" s="39">
        <f t="shared" si="14"/>
        <v>0.14520312075850814</v>
      </c>
      <c r="AI52" s="132">
        <f t="shared" si="15"/>
        <v>-49378.859999999986</v>
      </c>
      <c r="AJ52" s="350">
        <f t="shared" si="1"/>
        <v>6.1919986726464611</v>
      </c>
      <c r="AK52" s="351">
        <f t="shared" si="2"/>
        <v>7.3627493823330328</v>
      </c>
      <c r="AL52" s="352">
        <f t="shared" si="3"/>
        <v>6.3419951005627251</v>
      </c>
      <c r="AM52" s="387" t="str">
        <f t="shared" si="4"/>
        <v>0.39 pts.</v>
      </c>
      <c r="AN52" s="386" t="str">
        <f t="shared" si="5"/>
        <v>0.06 pts.</v>
      </c>
    </row>
    <row r="53" spans="1:41" x14ac:dyDescent="0.25">
      <c r="A53" s="6" t="s">
        <v>15</v>
      </c>
      <c r="B53" s="7"/>
      <c r="G53" s="15" t="s">
        <v>358</v>
      </c>
      <c r="H53" s="15" t="s">
        <v>283</v>
      </c>
      <c r="I53" s="161" t="s">
        <v>1058</v>
      </c>
      <c r="J53" s="161" t="s">
        <v>78</v>
      </c>
      <c r="K53" s="69"/>
      <c r="L53" s="69"/>
      <c r="M53" s="69"/>
      <c r="N53" s="162" t="s">
        <v>1220</v>
      </c>
      <c r="O53" s="38">
        <v>12579.07</v>
      </c>
      <c r="P53" s="38">
        <v>11469.71</v>
      </c>
      <c r="Q53" s="38">
        <v>20350.43</v>
      </c>
      <c r="R53" s="38">
        <v>5067.8900000000003</v>
      </c>
      <c r="S53" s="38">
        <v>5848</v>
      </c>
      <c r="T53" s="38">
        <v>1639.27</v>
      </c>
      <c r="U53" s="38">
        <v>4678</v>
      </c>
      <c r="V53" s="38">
        <v>1793.97</v>
      </c>
      <c r="W53" s="38">
        <v>1349.74</v>
      </c>
      <c r="X53" s="38">
        <v>1496.17</v>
      </c>
      <c r="Y53" s="38">
        <v>1465.13</v>
      </c>
      <c r="Z53" s="38">
        <v>4172.12</v>
      </c>
      <c r="AA53" s="38">
        <f t="shared" si="0"/>
        <v>71909.5</v>
      </c>
      <c r="AB53" s="39">
        <f t="shared" si="11"/>
        <v>3.4055541417611197E-2</v>
      </c>
      <c r="AD53" s="38">
        <v>82468.759999999995</v>
      </c>
      <c r="AE53" s="39">
        <f t="shared" si="12"/>
        <v>2.2411871762985931E-2</v>
      </c>
      <c r="AF53" s="132">
        <f t="shared" si="13"/>
        <v>-10559.259999999995</v>
      </c>
      <c r="AG53" s="38">
        <v>35246.379999999997</v>
      </c>
      <c r="AH53" s="39">
        <f t="shared" si="14"/>
        <v>1.4325232764233297E-2</v>
      </c>
      <c r="AI53" s="132">
        <f t="shared" si="15"/>
        <v>36663.120000000003</v>
      </c>
      <c r="AJ53" s="350">
        <f t="shared" si="1"/>
        <v>1.4462019588520403</v>
      </c>
      <c r="AK53" s="351">
        <f t="shared" si="2"/>
        <v>1.162973262635379</v>
      </c>
      <c r="AL53" s="352">
        <f t="shared" si="3"/>
        <v>0.62567908685850204</v>
      </c>
      <c r="AM53" s="387" t="str">
        <f t="shared" si="4"/>
        <v>1.16 pts.</v>
      </c>
      <c r="AN53" s="386" t="str">
        <f t="shared" si="5"/>
        <v>1.97 pts.</v>
      </c>
    </row>
    <row r="54" spans="1:41" x14ac:dyDescent="0.25">
      <c r="A54" s="6" t="s">
        <v>16</v>
      </c>
      <c r="B54" s="7"/>
      <c r="G54" s="15" t="s">
        <v>358</v>
      </c>
      <c r="H54" s="15" t="s">
        <v>277</v>
      </c>
      <c r="I54" s="161" t="s">
        <v>1064</v>
      </c>
      <c r="J54" s="161" t="s">
        <v>78</v>
      </c>
      <c r="K54" s="69"/>
      <c r="L54" s="69"/>
      <c r="M54" s="69"/>
      <c r="N54" s="8" t="s">
        <v>1221</v>
      </c>
      <c r="O54" s="134">
        <v>66348.73</v>
      </c>
      <c r="P54" s="134">
        <v>56266.92</v>
      </c>
      <c r="Q54" s="134">
        <v>72046.070000000007</v>
      </c>
      <c r="R54" s="134">
        <v>37614.879999999997</v>
      </c>
      <c r="S54" s="134">
        <v>32470.02</v>
      </c>
      <c r="T54" s="134">
        <v>27930.13</v>
      </c>
      <c r="U54" s="134">
        <v>26383.19</v>
      </c>
      <c r="V54" s="134">
        <v>21205.9</v>
      </c>
      <c r="W54" s="134">
        <v>20088.62</v>
      </c>
      <c r="X54" s="134">
        <v>23643</v>
      </c>
      <c r="Y54" s="134">
        <v>25449.86</v>
      </c>
      <c r="Z54" s="134">
        <v>53565.88</v>
      </c>
      <c r="AA54" s="134">
        <f t="shared" si="0"/>
        <v>463013.2</v>
      </c>
      <c r="AB54" s="135">
        <f t="shared" si="11"/>
        <v>0.21927791473311173</v>
      </c>
      <c r="AD54" s="134">
        <v>753932.78419999999</v>
      </c>
      <c r="AE54" s="135">
        <f t="shared" si="12"/>
        <v>0.2048902502887317</v>
      </c>
      <c r="AF54" s="136">
        <f t="shared" si="13"/>
        <v>-290919.58419999998</v>
      </c>
      <c r="AG54" s="134">
        <v>510814.99</v>
      </c>
      <c r="AH54" s="135">
        <f t="shared" si="14"/>
        <v>0.20761121088774234</v>
      </c>
      <c r="AI54" s="136">
        <f t="shared" si="15"/>
        <v>-47801.789999999979</v>
      </c>
      <c r="AJ54" s="392">
        <f t="shared" si="1"/>
        <v>9.3118516581863524</v>
      </c>
      <c r="AK54" s="393">
        <f t="shared" si="2"/>
        <v>10.631949235672383</v>
      </c>
      <c r="AL54" s="394">
        <f t="shared" si="3"/>
        <v>9.0677753714519014</v>
      </c>
      <c r="AM54" s="395" t="str">
        <f t="shared" si="4"/>
        <v>1.44 pts.</v>
      </c>
      <c r="AN54" s="396" t="str">
        <f t="shared" si="5"/>
        <v>1.17 pts.</v>
      </c>
      <c r="AO54" s="398"/>
    </row>
    <row r="55" spans="1:41" x14ac:dyDescent="0.25">
      <c r="A55" s="6" t="s">
        <v>17</v>
      </c>
      <c r="B55" s="7"/>
      <c r="G55" s="15" t="s">
        <v>358</v>
      </c>
      <c r="H55" s="15" t="s">
        <v>473</v>
      </c>
      <c r="I55" s="161"/>
      <c r="J55" s="161"/>
      <c r="K55" s="69"/>
      <c r="L55" s="69"/>
      <c r="M55" s="69"/>
      <c r="N55" s="162" t="s">
        <v>1222</v>
      </c>
      <c r="O55" s="38"/>
      <c r="P55" s="38"/>
      <c r="Q55" s="38"/>
      <c r="R55" s="38"/>
      <c r="S55" s="38"/>
      <c r="T55" s="38"/>
      <c r="U55" s="38"/>
      <c r="V55" s="38"/>
      <c r="W55" s="38"/>
      <c r="X55" s="38"/>
      <c r="Y55" s="38"/>
      <c r="Z55" s="38"/>
      <c r="AA55" s="38">
        <f t="shared" si="0"/>
        <v>0</v>
      </c>
      <c r="AB55" s="39" t="str">
        <f t="shared" si="11"/>
        <v/>
      </c>
      <c r="AD55" s="38"/>
      <c r="AE55" s="39" t="str">
        <f t="shared" si="12"/>
        <v/>
      </c>
      <c r="AF55" s="132">
        <f t="shared" si="13"/>
        <v>0</v>
      </c>
      <c r="AG55" s="38"/>
      <c r="AH55" s="39" t="str">
        <f t="shared" si="14"/>
        <v/>
      </c>
      <c r="AI55" s="132">
        <f t="shared" si="15"/>
        <v>0</v>
      </c>
      <c r="AJ55" s="350">
        <f t="shared" si="1"/>
        <v>0</v>
      </c>
      <c r="AK55" s="351">
        <f t="shared" si="2"/>
        <v>0</v>
      </c>
      <c r="AL55" s="352">
        <f t="shared" si="3"/>
        <v>0</v>
      </c>
      <c r="AM55" s="387">
        <f t="shared" si="4"/>
        <v>0</v>
      </c>
      <c r="AN55" s="386">
        <f t="shared" si="5"/>
        <v>0</v>
      </c>
    </row>
    <row r="56" spans="1:41" x14ac:dyDescent="0.25">
      <c r="G56" s="15" t="s">
        <v>358</v>
      </c>
      <c r="H56" s="15" t="s">
        <v>280</v>
      </c>
      <c r="I56" s="161" t="s">
        <v>1012</v>
      </c>
      <c r="J56" s="161" t="s">
        <v>78</v>
      </c>
      <c r="K56" s="69"/>
      <c r="L56" s="69"/>
      <c r="M56" s="69"/>
      <c r="N56" s="8" t="s">
        <v>1003</v>
      </c>
      <c r="O56" s="134">
        <v>271648.17</v>
      </c>
      <c r="P56" s="134">
        <v>243116.66</v>
      </c>
      <c r="Q56" s="134">
        <v>262610.3</v>
      </c>
      <c r="R56" s="134">
        <v>178741.51</v>
      </c>
      <c r="S56" s="134">
        <v>174452.86</v>
      </c>
      <c r="T56" s="134">
        <v>153035.34</v>
      </c>
      <c r="U56" s="134">
        <v>137140.69</v>
      </c>
      <c r="V56" s="134">
        <v>119985.83</v>
      </c>
      <c r="W56" s="134">
        <v>111020.89</v>
      </c>
      <c r="X56" s="134">
        <v>115318.67</v>
      </c>
      <c r="Y56" s="134">
        <v>125378.51</v>
      </c>
      <c r="Z56" s="134">
        <v>219086.52</v>
      </c>
      <c r="AA56" s="134">
        <f t="shared" si="0"/>
        <v>2111535.9499999997</v>
      </c>
      <c r="AB56" s="135">
        <f t="shared" si="11"/>
        <v>1</v>
      </c>
      <c r="AD56" s="134">
        <v>3679690.8742</v>
      </c>
      <c r="AE56" s="135">
        <f t="shared" si="12"/>
        <v>1</v>
      </c>
      <c r="AF56" s="136">
        <f t="shared" si="13"/>
        <v>-1568154.9242000002</v>
      </c>
      <c r="AG56" s="134">
        <v>2460440.2999999998</v>
      </c>
      <c r="AH56" s="135">
        <f t="shared" si="14"/>
        <v>1</v>
      </c>
      <c r="AI56" s="136">
        <f t="shared" si="15"/>
        <v>-348904.35000000009</v>
      </c>
      <c r="AJ56" s="392">
        <f t="shared" si="1"/>
        <v>42.465980532148095</v>
      </c>
      <c r="AK56" s="393">
        <f t="shared" si="2"/>
        <v>51.890947571638087</v>
      </c>
      <c r="AL56" s="394">
        <f t="shared" si="3"/>
        <v>43.676713471677346</v>
      </c>
      <c r="AM56" s="395" t="str">
        <f t="shared" si="4"/>
        <v>0 pts.</v>
      </c>
      <c r="AN56" s="396" t="str">
        <f t="shared" si="5"/>
        <v>0 pts.</v>
      </c>
    </row>
    <row r="57" spans="1:41" x14ac:dyDescent="0.25">
      <c r="A57" s="22" t="s">
        <v>92</v>
      </c>
      <c r="B57" s="23" t="s">
        <v>93</v>
      </c>
      <c r="C57" s="23" t="s">
        <v>94</v>
      </c>
      <c r="D57" s="23" t="s">
        <v>95</v>
      </c>
      <c r="E57" s="23" t="s">
        <v>96</v>
      </c>
      <c r="F57" s="24" t="s">
        <v>97</v>
      </c>
      <c r="O57" s="163"/>
      <c r="P57" s="287"/>
      <c r="Q57" s="287"/>
      <c r="R57" s="287"/>
      <c r="S57" s="287"/>
      <c r="T57" s="287"/>
      <c r="U57" s="287"/>
      <c r="V57" s="287"/>
      <c r="W57" s="287"/>
      <c r="X57" s="287"/>
      <c r="Y57" s="287"/>
      <c r="Z57" s="287"/>
      <c r="AA57" s="287"/>
      <c r="AB57" s="55"/>
      <c r="AD57" s="163"/>
      <c r="AE57" s="54"/>
      <c r="AF57" s="55"/>
      <c r="AG57" s="163"/>
      <c r="AH57" s="54"/>
      <c r="AI57" s="55"/>
    </row>
    <row r="58" spans="1:41" x14ac:dyDescent="0.25">
      <c r="H58" s="1" t="s">
        <v>281</v>
      </c>
      <c r="I58" s="11" t="s">
        <v>1011</v>
      </c>
      <c r="J58" s="11" t="s">
        <v>78</v>
      </c>
      <c r="N58" s="40" t="s">
        <v>1223</v>
      </c>
      <c r="O58" s="53"/>
      <c r="P58" s="54"/>
      <c r="Q58" s="54"/>
      <c r="R58" s="54"/>
      <c r="S58" s="54"/>
      <c r="T58" s="54"/>
      <c r="U58" s="54"/>
      <c r="V58" s="54"/>
      <c r="W58" s="54"/>
      <c r="X58" s="54"/>
      <c r="Y58" s="54"/>
      <c r="Z58" s="54"/>
      <c r="AA58" s="54"/>
      <c r="AB58" s="55"/>
      <c r="AD58" s="53"/>
      <c r="AE58" s="54"/>
      <c r="AF58" s="55"/>
      <c r="AG58" s="53"/>
      <c r="AH58" s="54"/>
      <c r="AI58" s="55"/>
    </row>
    <row r="59" spans="1:41" x14ac:dyDescent="0.25">
      <c r="A59" s="1" t="s">
        <v>209</v>
      </c>
      <c r="B59" s="1" t="s">
        <v>21</v>
      </c>
      <c r="C59" s="74"/>
      <c r="D59" s="1" t="s">
        <v>590</v>
      </c>
      <c r="F59" s="1" t="s">
        <v>99</v>
      </c>
      <c r="G59" s="14"/>
      <c r="H59" s="1" t="s">
        <v>284</v>
      </c>
      <c r="I59" s="11" t="s">
        <v>1011</v>
      </c>
      <c r="J59" s="11" t="s">
        <v>78</v>
      </c>
      <c r="N59" s="8" t="s">
        <v>1224</v>
      </c>
      <c r="O59" s="53"/>
      <c r="P59" s="54"/>
      <c r="Q59" s="54"/>
      <c r="R59" s="54"/>
      <c r="S59" s="54"/>
      <c r="T59" s="54"/>
      <c r="U59" s="54"/>
      <c r="V59" s="54"/>
      <c r="W59" s="54"/>
      <c r="X59" s="54"/>
      <c r="Y59" s="54"/>
      <c r="Z59" s="54"/>
      <c r="AA59" s="54"/>
      <c r="AB59" s="55"/>
      <c r="AD59" s="53"/>
      <c r="AE59" s="54"/>
      <c r="AF59" s="55"/>
      <c r="AG59" s="53"/>
      <c r="AH59" s="54"/>
      <c r="AI59" s="55"/>
    </row>
    <row r="60" spans="1:41" x14ac:dyDescent="0.25">
      <c r="A60" s="1" t="s">
        <v>105</v>
      </c>
      <c r="C60" s="26" t="s">
        <v>101</v>
      </c>
      <c r="D60" s="1" t="s">
        <v>106</v>
      </c>
      <c r="F60" s="1" t="s">
        <v>98</v>
      </c>
      <c r="H60" s="189" t="s">
        <v>285</v>
      </c>
      <c r="I60" s="161" t="s">
        <v>1058</v>
      </c>
      <c r="J60" s="161" t="s">
        <v>78</v>
      </c>
      <c r="K60" s="68" t="str">
        <f t="shared" ref="K60:K70" si="16">IF(AND(I60&gt;="T5"),"&gt;","")</f>
        <v>&gt;</v>
      </c>
      <c r="L60" s="162">
        <v>561100</v>
      </c>
      <c r="M60" s="162"/>
      <c r="N60" s="162" t="s">
        <v>1225</v>
      </c>
      <c r="O60" s="309">
        <v>33813.67</v>
      </c>
      <c r="P60" s="310">
        <v>33664.14</v>
      </c>
      <c r="Q60" s="310">
        <v>33197.040000000001</v>
      </c>
      <c r="R60" s="310">
        <v>26118.35</v>
      </c>
      <c r="S60" s="310">
        <v>24604.37</v>
      </c>
      <c r="T60" s="310">
        <v>20973.57</v>
      </c>
      <c r="U60" s="310">
        <v>20449.259999999998</v>
      </c>
      <c r="V60" s="310">
        <v>20667</v>
      </c>
      <c r="W60" s="310">
        <v>12715.37</v>
      </c>
      <c r="X60" s="310">
        <v>17706.330000000002</v>
      </c>
      <c r="Y60" s="310">
        <v>16359.76</v>
      </c>
      <c r="Z60" s="310">
        <v>30452.3</v>
      </c>
      <c r="AA60" s="310">
        <f t="shared" ref="AA60:AA68" si="17">IF($I60="B1","",SUM(O60:Z60))</f>
        <v>290721.16000000003</v>
      </c>
      <c r="AB60" s="311">
        <v>0.28645073525182202</v>
      </c>
      <c r="AC60" s="290"/>
      <c r="AD60" s="310">
        <v>521880.72377500002</v>
      </c>
      <c r="AE60" s="311">
        <v>0.29754259030397301</v>
      </c>
      <c r="AF60" s="312">
        <f t="shared" ref="AF60:AF70" si="18">IF(AND($AA60="",AD60=""),"",$AA60-AD60)</f>
        <v>-231159.56377499999</v>
      </c>
      <c r="AG60" s="310">
        <v>387970.63</v>
      </c>
      <c r="AH60" s="311">
        <v>0.31827253756927698</v>
      </c>
      <c r="AI60" s="313">
        <f t="shared" ref="AI60:AI70" si="19">IF(AND($AA60="",AG60=""),"",$AA60-AG60)</f>
        <v>-97249.469999999972</v>
      </c>
      <c r="AJ60" s="399">
        <f t="shared" ref="AJ60:AJ68" si="20">IFERROR(AA60/AA$20,0)</f>
        <v>5.8468145526215238</v>
      </c>
      <c r="AK60" s="400">
        <f t="shared" ref="AK60:AK68" si="21">IFERROR(AD60/AD$20,0)</f>
        <v>7.3595544304913139</v>
      </c>
      <c r="AL60" s="401">
        <f t="shared" ref="AL60:AL68" si="22">IFERROR(AG60/AG$20,0)</f>
        <v>6.8870933555819862</v>
      </c>
      <c r="AM60" s="402" t="str">
        <f t="shared" ref="AM60:AM68" si="23">+IFERROR(ROUND(($AB60-AE60)*100,2)&amp;" pts.",0)</f>
        <v>-1.11 pts.</v>
      </c>
      <c r="AN60" s="403" t="str">
        <f t="shared" ref="AN60:AN68" si="24">+IFERROR(ROUND(($AB60-AH60)*100,2)&amp;" pts.",0)</f>
        <v>-3.18 pts.</v>
      </c>
    </row>
    <row r="61" spans="1:41" x14ac:dyDescent="0.25">
      <c r="A61" s="1" t="s">
        <v>104</v>
      </c>
      <c r="C61" s="26" t="s">
        <v>101</v>
      </c>
      <c r="D61" s="1" t="s">
        <v>106</v>
      </c>
      <c r="F61" s="1" t="s">
        <v>98</v>
      </c>
      <c r="H61" s="189" t="s">
        <v>636</v>
      </c>
      <c r="I61" s="161" t="s">
        <v>1058</v>
      </c>
      <c r="J61" s="161" t="s">
        <v>78</v>
      </c>
      <c r="K61" s="68" t="str">
        <f t="shared" si="16"/>
        <v>&gt;</v>
      </c>
      <c r="L61" s="162"/>
      <c r="M61" s="162"/>
      <c r="N61" s="162" t="s">
        <v>1226</v>
      </c>
      <c r="O61" s="323">
        <v>15701.27</v>
      </c>
      <c r="P61" s="324">
        <v>17081.43</v>
      </c>
      <c r="Q61" s="324">
        <v>16353.95</v>
      </c>
      <c r="R61" s="324">
        <v>9196.76</v>
      </c>
      <c r="S61" s="324">
        <v>14436.97</v>
      </c>
      <c r="T61" s="324">
        <v>9952.7199999999993</v>
      </c>
      <c r="U61" s="324">
        <v>9407.08</v>
      </c>
      <c r="V61" s="324">
        <v>11227.44</v>
      </c>
      <c r="W61" s="324">
        <v>8610.27</v>
      </c>
      <c r="X61" s="324">
        <v>8012.72</v>
      </c>
      <c r="Y61" s="324">
        <v>8162.03</v>
      </c>
      <c r="Z61" s="324">
        <v>11223.91</v>
      </c>
      <c r="AA61" s="324">
        <f t="shared" si="17"/>
        <v>139366.54999999999</v>
      </c>
      <c r="AB61" s="325">
        <v>0.21922270673050201</v>
      </c>
      <c r="AC61" s="290"/>
      <c r="AD61" s="324">
        <v>239379.02119999999</v>
      </c>
      <c r="AE61" s="325">
        <v>0.20428521728513999</v>
      </c>
      <c r="AF61" s="326">
        <f t="shared" si="18"/>
        <v>-100012.4712</v>
      </c>
      <c r="AG61" s="324">
        <v>158740.44</v>
      </c>
      <c r="AH61" s="325">
        <v>0.216528023550938</v>
      </c>
      <c r="AI61" s="327">
        <f t="shared" si="19"/>
        <v>-19373.890000000014</v>
      </c>
      <c r="AJ61" s="409">
        <f t="shared" si="20"/>
        <v>2.8028588379623112</v>
      </c>
      <c r="AK61" s="410">
        <f t="shared" si="21"/>
        <v>3.3757195002256317</v>
      </c>
      <c r="AL61" s="411">
        <f t="shared" si="22"/>
        <v>2.8178943070669056</v>
      </c>
      <c r="AM61" s="412" t="str">
        <f t="shared" si="23"/>
        <v>1.49 pts.</v>
      </c>
      <c r="AN61" s="413" t="str">
        <f t="shared" si="24"/>
        <v>0.27 pts.</v>
      </c>
    </row>
    <row r="62" spans="1:41" x14ac:dyDescent="0.25">
      <c r="A62" s="1" t="s">
        <v>100</v>
      </c>
      <c r="C62" s="8" t="s">
        <v>101</v>
      </c>
      <c r="D62" s="1" t="s">
        <v>106</v>
      </c>
      <c r="F62" s="1" t="s">
        <v>98</v>
      </c>
      <c r="H62" s="189" t="s">
        <v>286</v>
      </c>
      <c r="I62" s="479" t="s">
        <v>1064</v>
      </c>
      <c r="J62" s="479" t="s">
        <v>78</v>
      </c>
      <c r="K62" s="480" t="str">
        <f t="shared" si="16"/>
        <v/>
      </c>
      <c r="L62" s="170"/>
      <c r="M62" s="170"/>
      <c r="N62" s="170" t="s">
        <v>1227</v>
      </c>
      <c r="O62" s="224">
        <v>49514.94</v>
      </c>
      <c r="P62" s="134">
        <v>50745.57</v>
      </c>
      <c r="Q62" s="134">
        <v>49550.99</v>
      </c>
      <c r="R62" s="134">
        <v>35315.11</v>
      </c>
      <c r="S62" s="134">
        <v>39041.339999999997</v>
      </c>
      <c r="T62" s="134">
        <v>30926.29</v>
      </c>
      <c r="U62" s="134">
        <v>29856.34</v>
      </c>
      <c r="V62" s="134">
        <v>31894.44</v>
      </c>
      <c r="W62" s="134">
        <v>21325.64</v>
      </c>
      <c r="X62" s="134">
        <v>25719.05</v>
      </c>
      <c r="Y62" s="134">
        <v>24521.79</v>
      </c>
      <c r="Z62" s="134">
        <v>41676.21</v>
      </c>
      <c r="AA62" s="134">
        <f t="shared" si="17"/>
        <v>430087.71</v>
      </c>
      <c r="AB62" s="135">
        <v>0.260892796292924</v>
      </c>
      <c r="AC62" s="137"/>
      <c r="AD62" s="134">
        <v>761259.74497500004</v>
      </c>
      <c r="AE62" s="135">
        <v>0.26019230625283901</v>
      </c>
      <c r="AF62" s="136">
        <f t="shared" si="18"/>
        <v>-331172.03497500002</v>
      </c>
      <c r="AG62" s="134">
        <v>546711.06999999995</v>
      </c>
      <c r="AH62" s="135">
        <v>0.28041853334372202</v>
      </c>
      <c r="AI62" s="291">
        <f t="shared" si="19"/>
        <v>-116623.35999999993</v>
      </c>
      <c r="AJ62" s="360">
        <f t="shared" si="20"/>
        <v>8.6496733905838354</v>
      </c>
      <c r="AK62" s="361">
        <f t="shared" si="21"/>
        <v>10.735273930716945</v>
      </c>
      <c r="AL62" s="363">
        <f t="shared" si="22"/>
        <v>9.7049876626488913</v>
      </c>
      <c r="AM62" s="405" t="str">
        <f t="shared" si="23"/>
        <v>0.07 pts.</v>
      </c>
      <c r="AN62" s="406" t="str">
        <f t="shared" si="24"/>
        <v>-1.95 pts.</v>
      </c>
    </row>
    <row r="63" spans="1:41" x14ac:dyDescent="0.25">
      <c r="A63" s="1" t="s">
        <v>102</v>
      </c>
      <c r="C63" s="25" t="s">
        <v>101</v>
      </c>
      <c r="D63" s="1" t="s">
        <v>106</v>
      </c>
      <c r="F63" s="1" t="s">
        <v>98</v>
      </c>
      <c r="H63" s="189" t="s">
        <v>287</v>
      </c>
      <c r="I63" s="479" t="s">
        <v>1011</v>
      </c>
      <c r="J63" s="479" t="s">
        <v>78</v>
      </c>
      <c r="K63" s="480" t="str">
        <f t="shared" si="16"/>
        <v/>
      </c>
      <c r="L63" s="170"/>
      <c r="M63" s="170"/>
      <c r="N63" s="170" t="s">
        <v>1228</v>
      </c>
      <c r="O63" s="314"/>
      <c r="P63" s="315"/>
      <c r="Q63" s="315"/>
      <c r="R63" s="315"/>
      <c r="S63" s="315"/>
      <c r="T63" s="315"/>
      <c r="U63" s="315"/>
      <c r="V63" s="315"/>
      <c r="W63" s="315"/>
      <c r="X63" s="315"/>
      <c r="Y63" s="315"/>
      <c r="Z63" s="315"/>
      <c r="AA63" s="315" t="str">
        <f t="shared" si="17"/>
        <v/>
      </c>
      <c r="AB63" s="316"/>
      <c r="AC63" s="54"/>
      <c r="AD63" s="315"/>
      <c r="AE63" s="316"/>
      <c r="AF63" s="317" t="str">
        <f t="shared" si="18"/>
        <v/>
      </c>
      <c r="AG63" s="315"/>
      <c r="AH63" s="316"/>
      <c r="AI63" s="318" t="str">
        <f t="shared" si="19"/>
        <v/>
      </c>
      <c r="AJ63" s="353">
        <f t="shared" si="20"/>
        <v>0</v>
      </c>
      <c r="AK63" s="354">
        <f t="shared" si="21"/>
        <v>0</v>
      </c>
      <c r="AL63" s="356">
        <f t="shared" si="22"/>
        <v>0</v>
      </c>
      <c r="AM63" s="390" t="str">
        <f t="shared" si="23"/>
        <v>0 pts.</v>
      </c>
      <c r="AN63" s="404" t="str">
        <f t="shared" si="24"/>
        <v>0 pts.</v>
      </c>
    </row>
    <row r="64" spans="1:41" x14ac:dyDescent="0.25">
      <c r="A64" s="1" t="s">
        <v>102</v>
      </c>
      <c r="C64" s="151" t="s">
        <v>101</v>
      </c>
      <c r="D64" s="1" t="s">
        <v>107</v>
      </c>
      <c r="F64" s="1" t="s">
        <v>99</v>
      </c>
      <c r="H64" s="189" t="s">
        <v>637</v>
      </c>
      <c r="I64" s="161" t="s">
        <v>1009</v>
      </c>
      <c r="J64" s="161" t="s">
        <v>1009</v>
      </c>
      <c r="K64" s="68" t="str">
        <f t="shared" si="16"/>
        <v/>
      </c>
      <c r="L64" s="162">
        <v>568300</v>
      </c>
      <c r="M64" s="162">
        <v>306005</v>
      </c>
      <c r="N64" s="162" t="s">
        <v>1229</v>
      </c>
      <c r="O64" s="309"/>
      <c r="P64" s="310"/>
      <c r="Q64" s="310"/>
      <c r="R64" s="310"/>
      <c r="S64" s="310"/>
      <c r="T64" s="310"/>
      <c r="U64" s="310"/>
      <c r="V64" s="310"/>
      <c r="W64" s="310"/>
      <c r="X64" s="310"/>
      <c r="Y64" s="310"/>
      <c r="Z64" s="310"/>
      <c r="AA64" s="310">
        <f t="shared" si="17"/>
        <v>0</v>
      </c>
      <c r="AB64" s="311"/>
      <c r="AC64" s="290"/>
      <c r="AD64" s="310"/>
      <c r="AE64" s="311"/>
      <c r="AF64" s="312">
        <f t="shared" si="18"/>
        <v>0</v>
      </c>
      <c r="AG64" s="310"/>
      <c r="AH64" s="311"/>
      <c r="AI64" s="313">
        <f t="shared" si="19"/>
        <v>0</v>
      </c>
      <c r="AJ64" s="399">
        <f t="shared" si="20"/>
        <v>0</v>
      </c>
      <c r="AK64" s="400">
        <f t="shared" si="21"/>
        <v>0</v>
      </c>
      <c r="AL64" s="401">
        <f t="shared" si="22"/>
        <v>0</v>
      </c>
      <c r="AM64" s="402" t="str">
        <f t="shared" si="23"/>
        <v>0 pts.</v>
      </c>
      <c r="AN64" s="403" t="str">
        <f t="shared" si="24"/>
        <v>0 pts.</v>
      </c>
    </row>
    <row r="65" spans="1:40" x14ac:dyDescent="0.25">
      <c r="A65" s="1" t="s">
        <v>108</v>
      </c>
      <c r="C65" s="25" t="s">
        <v>101</v>
      </c>
      <c r="D65" s="1" t="s">
        <v>106</v>
      </c>
      <c r="F65" s="1" t="s">
        <v>98</v>
      </c>
      <c r="H65" s="189" t="s">
        <v>638</v>
      </c>
      <c r="I65" s="161" t="s">
        <v>1009</v>
      </c>
      <c r="J65" s="161" t="s">
        <v>1009</v>
      </c>
      <c r="K65" s="68" t="str">
        <f t="shared" si="16"/>
        <v/>
      </c>
      <c r="L65" s="162">
        <v>568350</v>
      </c>
      <c r="M65" s="162">
        <v>306099</v>
      </c>
      <c r="N65" s="162" t="s">
        <v>1217</v>
      </c>
      <c r="O65" s="309"/>
      <c r="P65" s="310"/>
      <c r="Q65" s="310"/>
      <c r="R65" s="310"/>
      <c r="S65" s="310"/>
      <c r="T65" s="310"/>
      <c r="U65" s="310"/>
      <c r="V65" s="310"/>
      <c r="W65" s="310"/>
      <c r="X65" s="310"/>
      <c r="Y65" s="310"/>
      <c r="Z65" s="310"/>
      <c r="AA65" s="310">
        <f t="shared" si="17"/>
        <v>0</v>
      </c>
      <c r="AB65" s="311"/>
      <c r="AC65" s="290"/>
      <c r="AD65" s="310"/>
      <c r="AE65" s="311"/>
      <c r="AF65" s="312">
        <f t="shared" si="18"/>
        <v>0</v>
      </c>
      <c r="AG65" s="310"/>
      <c r="AH65" s="311"/>
      <c r="AI65" s="313">
        <f t="shared" si="19"/>
        <v>0</v>
      </c>
      <c r="AJ65" s="399">
        <f t="shared" si="20"/>
        <v>0</v>
      </c>
      <c r="AK65" s="400">
        <f t="shared" si="21"/>
        <v>0</v>
      </c>
      <c r="AL65" s="401">
        <f t="shared" si="22"/>
        <v>0</v>
      </c>
      <c r="AM65" s="402" t="str">
        <f t="shared" si="23"/>
        <v>0 pts.</v>
      </c>
      <c r="AN65" s="403" t="str">
        <f t="shared" si="24"/>
        <v>0 pts.</v>
      </c>
    </row>
    <row r="66" spans="1:40" x14ac:dyDescent="0.25">
      <c r="A66" s="1" t="s">
        <v>108</v>
      </c>
      <c r="C66" s="151" t="s">
        <v>101</v>
      </c>
      <c r="D66" s="1" t="s">
        <v>107</v>
      </c>
      <c r="F66" s="1" t="s">
        <v>99</v>
      </c>
      <c r="H66" s="189" t="s">
        <v>639</v>
      </c>
      <c r="I66" s="161" t="s">
        <v>1058</v>
      </c>
      <c r="J66" s="161" t="s">
        <v>78</v>
      </c>
      <c r="K66" s="68" t="str">
        <f t="shared" si="16"/>
        <v>&gt;</v>
      </c>
      <c r="L66" s="162"/>
      <c r="M66" s="162"/>
      <c r="N66" s="162" t="s">
        <v>1230</v>
      </c>
      <c r="O66" s="323"/>
      <c r="P66" s="324"/>
      <c r="Q66" s="324"/>
      <c r="R66" s="324"/>
      <c r="S66" s="324"/>
      <c r="T66" s="324">
        <v>112.05</v>
      </c>
      <c r="U66" s="324"/>
      <c r="V66" s="324"/>
      <c r="W66" s="324"/>
      <c r="X66" s="324">
        <v>394</v>
      </c>
      <c r="Y66" s="324"/>
      <c r="Z66" s="324">
        <v>722.15</v>
      </c>
      <c r="AA66" s="324">
        <f t="shared" si="17"/>
        <v>1228.2</v>
      </c>
      <c r="AB66" s="325">
        <v>1.70798016951863E-2</v>
      </c>
      <c r="AC66" s="290"/>
      <c r="AD66" s="324"/>
      <c r="AE66" s="325"/>
      <c r="AF66" s="326">
        <f t="shared" si="18"/>
        <v>1228.2</v>
      </c>
      <c r="AG66" s="324">
        <v>973.01</v>
      </c>
      <c r="AH66" s="325">
        <v>2.7605955561961298E-2</v>
      </c>
      <c r="AI66" s="327">
        <f t="shared" si="19"/>
        <v>255.19000000000005</v>
      </c>
      <c r="AJ66" s="409">
        <f t="shared" si="20"/>
        <v>2.4700842668382843E-2</v>
      </c>
      <c r="AK66" s="410">
        <f t="shared" si="21"/>
        <v>0</v>
      </c>
      <c r="AL66" s="411">
        <f t="shared" si="22"/>
        <v>1.7272469067864307E-2</v>
      </c>
      <c r="AM66" s="412" t="str">
        <f t="shared" si="23"/>
        <v>1.71 pts.</v>
      </c>
      <c r="AN66" s="413" t="str">
        <f t="shared" si="24"/>
        <v>-1.05 pts.</v>
      </c>
    </row>
    <row r="67" spans="1:40" x14ac:dyDescent="0.25">
      <c r="H67" s="189" t="s">
        <v>288</v>
      </c>
      <c r="I67" s="479" t="s">
        <v>1064</v>
      </c>
      <c r="J67" s="479" t="s">
        <v>78</v>
      </c>
      <c r="K67" s="480" t="str">
        <f t="shared" si="16"/>
        <v/>
      </c>
      <c r="L67" s="170"/>
      <c r="M67" s="170"/>
      <c r="N67" s="170" t="s">
        <v>1231</v>
      </c>
      <c r="O67" s="225"/>
      <c r="P67" s="36"/>
      <c r="Q67" s="36"/>
      <c r="R67" s="36"/>
      <c r="S67" s="36"/>
      <c r="T67" s="36">
        <v>112.05</v>
      </c>
      <c r="U67" s="36"/>
      <c r="V67" s="36"/>
      <c r="W67" s="36"/>
      <c r="X67" s="36">
        <v>394</v>
      </c>
      <c r="Y67" s="36"/>
      <c r="Z67" s="36">
        <v>722.15</v>
      </c>
      <c r="AA67" s="36">
        <f t="shared" si="17"/>
        <v>1228.2</v>
      </c>
      <c r="AB67" s="37">
        <v>2.6526241584473201E-3</v>
      </c>
      <c r="AC67" s="35"/>
      <c r="AD67" s="36"/>
      <c r="AE67" s="37"/>
      <c r="AF67" s="58">
        <f t="shared" si="18"/>
        <v>1228.2</v>
      </c>
      <c r="AG67" s="36">
        <v>973.01</v>
      </c>
      <c r="AH67" s="37">
        <v>1.9048188072945901E-3</v>
      </c>
      <c r="AI67" s="292">
        <f t="shared" si="19"/>
        <v>255.19000000000005</v>
      </c>
      <c r="AJ67" s="372">
        <f t="shared" si="20"/>
        <v>2.4700842668382843E-2</v>
      </c>
      <c r="AK67" s="373">
        <f t="shared" si="21"/>
        <v>0</v>
      </c>
      <c r="AL67" s="375">
        <f t="shared" si="22"/>
        <v>1.7272469067864307E-2</v>
      </c>
      <c r="AM67" s="407" t="str">
        <f t="shared" si="23"/>
        <v>0.27 pts.</v>
      </c>
      <c r="AN67" s="408" t="str">
        <f t="shared" si="24"/>
        <v>0.07 pts.</v>
      </c>
    </row>
    <row r="68" spans="1:40" x14ac:dyDescent="0.25">
      <c r="C68" s="32"/>
      <c r="H68" s="189" t="s">
        <v>289</v>
      </c>
      <c r="I68" s="479" t="s">
        <v>1012</v>
      </c>
      <c r="J68" s="479" t="s">
        <v>78</v>
      </c>
      <c r="K68" s="480" t="str">
        <f t="shared" si="16"/>
        <v/>
      </c>
      <c r="L68" s="170">
        <v>500001</v>
      </c>
      <c r="M68" s="170"/>
      <c r="N68" s="170" t="s">
        <v>1232</v>
      </c>
      <c r="O68" s="224">
        <v>49514.94</v>
      </c>
      <c r="P68" s="134">
        <v>50745.57</v>
      </c>
      <c r="Q68" s="134">
        <v>49550.99</v>
      </c>
      <c r="R68" s="134">
        <v>35315.11</v>
      </c>
      <c r="S68" s="134">
        <v>39041.339999999997</v>
      </c>
      <c r="T68" s="134">
        <v>31038.34</v>
      </c>
      <c r="U68" s="134">
        <v>29856.34</v>
      </c>
      <c r="V68" s="134">
        <v>31894.44</v>
      </c>
      <c r="W68" s="134">
        <v>21325.64</v>
      </c>
      <c r="X68" s="134">
        <v>26113.05</v>
      </c>
      <c r="Y68" s="134">
        <v>24521.79</v>
      </c>
      <c r="Z68" s="134">
        <v>42398.36</v>
      </c>
      <c r="AA68" s="134">
        <f t="shared" si="17"/>
        <v>431315.91</v>
      </c>
      <c r="AB68" s="135">
        <v>0.204266429846956</v>
      </c>
      <c r="AC68" s="137"/>
      <c r="AD68" s="134">
        <v>761259.74497500004</v>
      </c>
      <c r="AE68" s="135">
        <v>0.20688143950149199</v>
      </c>
      <c r="AF68" s="136">
        <f t="shared" si="18"/>
        <v>-329943.83497500006</v>
      </c>
      <c r="AG68" s="134">
        <v>547684.07999999996</v>
      </c>
      <c r="AH68" s="135">
        <v>0.22259596381997199</v>
      </c>
      <c r="AI68" s="291">
        <f t="shared" si="19"/>
        <v>-116368.16999999998</v>
      </c>
      <c r="AJ68" s="360">
        <f t="shared" si="20"/>
        <v>8.674374233252216</v>
      </c>
      <c r="AK68" s="361">
        <f t="shared" si="21"/>
        <v>10.735273930716945</v>
      </c>
      <c r="AL68" s="363">
        <f t="shared" si="22"/>
        <v>9.7222601317167552</v>
      </c>
      <c r="AM68" s="405" t="str">
        <f t="shared" si="23"/>
        <v>-0.26 pts.</v>
      </c>
      <c r="AN68" s="406" t="str">
        <f t="shared" si="24"/>
        <v>-1.83 pts.</v>
      </c>
    </row>
    <row r="69" spans="1:40" x14ac:dyDescent="0.25">
      <c r="A69" s="4" t="s">
        <v>988</v>
      </c>
      <c r="H69" s="189" t="s">
        <v>175</v>
      </c>
      <c r="I69" s="28" t="s">
        <v>1011</v>
      </c>
      <c r="J69" s="28" t="s">
        <v>78</v>
      </c>
      <c r="K69" s="69" t="str">
        <f t="shared" si="16"/>
        <v/>
      </c>
      <c r="L69" s="69"/>
      <c r="M69" s="69"/>
      <c r="N69" s="25" t="s">
        <v>175</v>
      </c>
      <c r="O69" s="47"/>
      <c r="P69" s="47"/>
      <c r="Q69" s="47"/>
      <c r="R69" s="47"/>
      <c r="S69" s="47"/>
      <c r="T69" s="47"/>
      <c r="U69" s="47"/>
      <c r="V69" s="47"/>
      <c r="W69" s="47"/>
      <c r="X69" s="47"/>
      <c r="Y69" s="47"/>
      <c r="Z69" s="47"/>
      <c r="AA69" s="47"/>
      <c r="AB69" s="48"/>
      <c r="AD69" s="47"/>
      <c r="AE69" s="48"/>
      <c r="AF69" s="150" t="str">
        <f t="shared" si="18"/>
        <v/>
      </c>
      <c r="AG69" s="47"/>
      <c r="AH69" s="48"/>
      <c r="AI69" s="150" t="str">
        <f t="shared" si="19"/>
        <v/>
      </c>
    </row>
    <row r="70" spans="1:40" x14ac:dyDescent="0.25">
      <c r="H70" s="189" t="s">
        <v>292</v>
      </c>
      <c r="I70" s="28" t="s">
        <v>1012</v>
      </c>
      <c r="J70" s="28" t="s">
        <v>78</v>
      </c>
      <c r="K70" s="69" t="str">
        <f t="shared" si="16"/>
        <v/>
      </c>
      <c r="L70" s="69"/>
      <c r="M70" s="69"/>
      <c r="N70" s="25" t="s">
        <v>1233</v>
      </c>
      <c r="O70" s="164">
        <f t="shared" ref="O70:Z70" si="25">SUMIF($H$35:$H$68,"400000",O35:O68)-SUMIF($H$35:$H$68,"500001",O35:O68)</f>
        <v>222133.22999999998</v>
      </c>
      <c r="P70" s="164">
        <f t="shared" si="25"/>
        <v>192371.09</v>
      </c>
      <c r="Q70" s="164">
        <f t="shared" si="25"/>
        <v>213059.31</v>
      </c>
      <c r="R70" s="164">
        <f t="shared" si="25"/>
        <v>143426.40000000002</v>
      </c>
      <c r="S70" s="164">
        <f t="shared" si="25"/>
        <v>135411.51999999999</v>
      </c>
      <c r="T70" s="164">
        <f t="shared" si="25"/>
        <v>121997</v>
      </c>
      <c r="U70" s="164">
        <f t="shared" si="25"/>
        <v>107284.35</v>
      </c>
      <c r="V70" s="164">
        <f t="shared" si="25"/>
        <v>88091.39</v>
      </c>
      <c r="W70" s="164">
        <f t="shared" si="25"/>
        <v>89695.25</v>
      </c>
      <c r="X70" s="164">
        <f t="shared" si="25"/>
        <v>89205.62</v>
      </c>
      <c r="Y70" s="164">
        <f t="shared" si="25"/>
        <v>100856.72</v>
      </c>
      <c r="Z70" s="164">
        <f t="shared" si="25"/>
        <v>176688.15999999997</v>
      </c>
      <c r="AA70" s="164">
        <f>SUM(O70:Z70)</f>
        <v>1680220.0399999996</v>
      </c>
      <c r="AB70" s="135">
        <f>IF(AA70=0,"",IFERROR(AA70/AA$19,""))</f>
        <v>0.79573357015304413</v>
      </c>
      <c r="AD70" s="164">
        <f>SUMIF($H$35:$H$68,"400000",AD35:AD68)-SUMIF($H$35:$H$68,"500001",AD35:AD68)</f>
        <v>2918431.1292249998</v>
      </c>
      <c r="AE70" s="135">
        <f>IF(AD70=0,"",IFERROR(AD70/AD$19,""))</f>
        <v>0.79311856049850782</v>
      </c>
      <c r="AF70" s="165">
        <f t="shared" si="18"/>
        <v>-1238211.0892250002</v>
      </c>
      <c r="AG70" s="164">
        <f>SUMIF($H$35:$H$68,"400000",AG35:AG68)-SUMIF($H$35:$H$68,"500001",AG35:AG68)</f>
        <v>1912756.2199999997</v>
      </c>
      <c r="AH70" s="135">
        <f>IF(AG70=0,"",IFERROR(AG70/AG$19,""))</f>
        <v>0.7774040361800284</v>
      </c>
      <c r="AI70" s="165">
        <f t="shared" si="19"/>
        <v>-232536.18000000017</v>
      </c>
      <c r="AJ70" s="360">
        <f>IFERROR(AA70/AA$20,0)</f>
        <v>33.791606298895871</v>
      </c>
      <c r="AK70" s="361">
        <f>IFERROR(AD70/AD$20,0)</f>
        <v>41.155673640921137</v>
      </c>
      <c r="AL70" s="363">
        <f>IFERROR(AG70/AG$20,0)</f>
        <v>33.954453339960587</v>
      </c>
      <c r="AM70" s="405" t="str">
        <f>+IFERROR(ROUND(($AB70-AE70)*100,2)&amp;" pts.",0)</f>
        <v>0.26 pts.</v>
      </c>
      <c r="AN70" s="406" t="str">
        <f>+IFERROR(ROUND(($AB70-AH70)*100,2)&amp;" pts.",0)</f>
        <v>1.83 pts.</v>
      </c>
    </row>
    <row r="71" spans="1:40" x14ac:dyDescent="0.25">
      <c r="A71" s="3" t="s">
        <v>0</v>
      </c>
      <c r="B71" s="5" t="s">
        <v>1</v>
      </c>
      <c r="O71" s="163"/>
      <c r="P71" s="287"/>
      <c r="Q71" s="287"/>
      <c r="R71" s="287"/>
      <c r="S71" s="287"/>
      <c r="T71" s="287"/>
      <c r="U71" s="287"/>
      <c r="V71" s="287"/>
      <c r="W71" s="287"/>
      <c r="X71" s="287"/>
      <c r="Y71" s="287"/>
      <c r="Z71" s="287"/>
      <c r="AA71" s="287"/>
      <c r="AB71" s="55"/>
      <c r="AD71" s="163"/>
      <c r="AE71" s="54"/>
      <c r="AF71" s="55"/>
      <c r="AG71" s="163"/>
      <c r="AH71" s="54"/>
      <c r="AI71" s="55"/>
    </row>
    <row r="72" spans="1:40" x14ac:dyDescent="0.25">
      <c r="A72" s="6" t="s">
        <v>2</v>
      </c>
      <c r="B72" s="16" t="s">
        <v>1193</v>
      </c>
      <c r="H72" s="1" t="s">
        <v>73</v>
      </c>
      <c r="I72" s="11" t="s">
        <v>1011</v>
      </c>
      <c r="J72" s="11" t="s">
        <v>78</v>
      </c>
      <c r="N72" s="40" t="s">
        <v>1079</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6" t="s">
        <v>3</v>
      </c>
      <c r="B73" s="16" t="s">
        <v>1194</v>
      </c>
      <c r="H73" s="1" t="s">
        <v>74</v>
      </c>
      <c r="I73" s="11" t="s">
        <v>1011</v>
      </c>
      <c r="J73" s="11" t="s">
        <v>78</v>
      </c>
      <c r="N73" s="8" t="s">
        <v>1080</v>
      </c>
      <c r="O73" s="43"/>
      <c r="P73" s="46"/>
      <c r="Q73" s="46"/>
      <c r="R73" s="46"/>
      <c r="S73" s="46"/>
      <c r="T73" s="46"/>
      <c r="U73" s="46"/>
      <c r="V73" s="46"/>
      <c r="W73" s="46"/>
      <c r="X73" s="46"/>
      <c r="Y73" s="46"/>
      <c r="Z73" s="46"/>
      <c r="AA73" s="46"/>
      <c r="AB73" s="44"/>
      <c r="AD73" s="43"/>
      <c r="AE73" s="46"/>
      <c r="AF73" s="44"/>
      <c r="AG73" s="46"/>
      <c r="AH73" s="46"/>
      <c r="AI73" s="44"/>
    </row>
    <row r="74" spans="1:40" x14ac:dyDescent="0.25">
      <c r="A74" s="6" t="s">
        <v>4</v>
      </c>
      <c r="B74" s="16" t="s">
        <v>1234</v>
      </c>
      <c r="H74" s="189" t="s">
        <v>883</v>
      </c>
      <c r="I74" s="161" t="s">
        <v>1012</v>
      </c>
      <c r="J74" s="161" t="s">
        <v>78</v>
      </c>
      <c r="K74" s="68" t="str">
        <f t="shared" ref="K74:K89" si="26">IF(AND(I74&gt;="T3"),"&gt;","")</f>
        <v>&gt;</v>
      </c>
      <c r="L74" s="162"/>
      <c r="M74" s="162"/>
      <c r="N74" s="162" t="s">
        <v>1235</v>
      </c>
      <c r="O74" s="38">
        <v>11743.97</v>
      </c>
      <c r="P74" s="38">
        <v>10000</v>
      </c>
      <c r="Q74" s="38">
        <v>15087.28</v>
      </c>
      <c r="R74" s="38">
        <v>15793.34</v>
      </c>
      <c r="S74" s="38">
        <v>13797.03</v>
      </c>
      <c r="T74" s="38">
        <v>14842.77</v>
      </c>
      <c r="U74" s="38">
        <v>14589.54</v>
      </c>
      <c r="V74" s="38">
        <v>15539.9</v>
      </c>
      <c r="W74" s="38">
        <v>9439.33</v>
      </c>
      <c r="X74" s="38">
        <v>5493.34</v>
      </c>
      <c r="Y74" s="38">
        <v>5239.8999999999996</v>
      </c>
      <c r="Z74" s="38">
        <v>5239.8999999999996</v>
      </c>
      <c r="AA74" s="310">
        <f t="shared" ref="AA74:AA89" si="27">IF($I74="B1","",SUM(O74:Z74))</f>
        <v>136806.29999999999</v>
      </c>
      <c r="AB74" s="39">
        <f t="shared" ref="AB74:AB89" si="28">IF(AA74=0,"",IFERROR(AA74/AA$19,""))</f>
        <v>6.4789945915910169E-2</v>
      </c>
      <c r="AD74" s="38">
        <v>207274.08396146001</v>
      </c>
      <c r="AE74" s="39">
        <f t="shared" ref="AE74:AE89" si="29">IF(AD74=0,"",IFERROR(AD74/AD$19,""))</f>
        <v>5.632921107986371E-2</v>
      </c>
      <c r="AF74" s="132">
        <f t="shared" ref="AF74:AF89" si="30">IF(AND($AA74="",AD74=""),"",$AA74-AD74)</f>
        <v>-70467.783961460023</v>
      </c>
      <c r="AG74" s="38">
        <v>151855.14000000001</v>
      </c>
      <c r="AH74" s="39">
        <f t="shared" ref="AH74:AH89" si="31">IF(AG74=0,"",IFERROR(AG74/AG$19,""))</f>
        <v>6.171868506624608E-2</v>
      </c>
      <c r="AI74" s="132">
        <f t="shared" ref="AI74:AI89" si="32">IF(AND($AA74="",AG74=""),"",$AA74-AG74)</f>
        <v>-15048.840000000026</v>
      </c>
      <c r="AJ74" s="350">
        <f t="shared" ref="AJ74:AJ89" si="33">IFERROR(AA74/AA$20,0)</f>
        <v>2.7513685819439693</v>
      </c>
      <c r="AK74" s="351">
        <f t="shared" ref="AK74:AK89" si="34">IFERROR(AD74/AD$20,0)</f>
        <v>2.9229761388969431</v>
      </c>
      <c r="AL74" s="352">
        <f t="shared" ref="AL74:AL89" si="35">IFERROR(AG74/AG$20,0)</f>
        <v>2.6956693234871216</v>
      </c>
      <c r="AM74" s="387" t="str">
        <f t="shared" ref="AM74:AM89" si="36">+IFERROR(ROUND(($AB74-AE74)*100,2)&amp;" pts.",0)</f>
        <v>0.85 pts.</v>
      </c>
      <c r="AN74" s="386" t="str">
        <f t="shared" ref="AN74:AN89" si="37">+IFERROR(ROUND(($AB74-AH74)*100,2)&amp;" pts.",0)</f>
        <v>0.31 pts.</v>
      </c>
    </row>
    <row r="75" spans="1:40" x14ac:dyDescent="0.25">
      <c r="A75" s="6" t="s">
        <v>5</v>
      </c>
      <c r="B75" s="7"/>
      <c r="H75" s="189" t="s">
        <v>884</v>
      </c>
      <c r="I75" s="161" t="s">
        <v>1012</v>
      </c>
      <c r="J75" s="161" t="s">
        <v>78</v>
      </c>
      <c r="K75" s="68" t="str">
        <f t="shared" si="26"/>
        <v>&gt;</v>
      </c>
      <c r="L75" s="162"/>
      <c r="M75" s="162"/>
      <c r="N75" s="162" t="s">
        <v>1236</v>
      </c>
      <c r="O75" s="38">
        <v>11603.08</v>
      </c>
      <c r="P75" s="38">
        <v>13333.32</v>
      </c>
      <c r="Q75" s="38">
        <v>13083.43</v>
      </c>
      <c r="R75" s="38">
        <v>13733.32</v>
      </c>
      <c r="S75" s="38">
        <v>13099.75</v>
      </c>
      <c r="T75" s="38">
        <v>10952.23</v>
      </c>
      <c r="U75" s="38">
        <v>6649.1</v>
      </c>
      <c r="V75" s="38">
        <v>6649.1</v>
      </c>
      <c r="W75" s="38">
        <v>7401.63</v>
      </c>
      <c r="X75" s="38">
        <v>8154.48</v>
      </c>
      <c r="Y75" s="38">
        <v>11183</v>
      </c>
      <c r="Z75" s="38">
        <v>11811</v>
      </c>
      <c r="AA75" s="310">
        <f t="shared" si="27"/>
        <v>127653.44000000002</v>
      </c>
      <c r="AB75" s="39">
        <f t="shared" si="28"/>
        <v>6.0455252964080497E-2</v>
      </c>
      <c r="AD75" s="38">
        <v>146001.36230773601</v>
      </c>
      <c r="AE75" s="39">
        <f t="shared" si="29"/>
        <v>3.967761621809552E-2</v>
      </c>
      <c r="AF75" s="132">
        <f t="shared" si="30"/>
        <v>-18347.922307735993</v>
      </c>
      <c r="AG75" s="38">
        <v>130965.18</v>
      </c>
      <c r="AH75" s="39">
        <f t="shared" si="31"/>
        <v>5.3228351039446072E-2</v>
      </c>
      <c r="AI75" s="132">
        <f t="shared" si="32"/>
        <v>-3311.7399999999761</v>
      </c>
      <c r="AJ75" s="350">
        <f t="shared" si="33"/>
        <v>2.5672915954387308</v>
      </c>
      <c r="AK75" s="351">
        <f t="shared" si="34"/>
        <v>2.0589091029407718</v>
      </c>
      <c r="AL75" s="352">
        <f t="shared" si="35"/>
        <v>2.3248394369197452</v>
      </c>
      <c r="AM75" s="387" t="str">
        <f t="shared" si="36"/>
        <v>2.08 pts.</v>
      </c>
      <c r="AN75" s="386" t="str">
        <f t="shared" si="37"/>
        <v>0.72 pts.</v>
      </c>
    </row>
    <row r="76" spans="1:40" x14ac:dyDescent="0.25">
      <c r="A76" s="6" t="s">
        <v>6</v>
      </c>
      <c r="B76" s="7"/>
      <c r="H76" s="189" t="s">
        <v>75</v>
      </c>
      <c r="I76" s="28" t="s">
        <v>1011</v>
      </c>
      <c r="J76" s="28" t="s">
        <v>78</v>
      </c>
      <c r="K76" s="69" t="str">
        <f t="shared" si="26"/>
        <v/>
      </c>
      <c r="L76" s="25"/>
      <c r="M76" s="162"/>
      <c r="N76" s="25" t="s">
        <v>1082</v>
      </c>
      <c r="O76" s="38"/>
      <c r="P76" s="38"/>
      <c r="Q76" s="38"/>
      <c r="R76" s="38"/>
      <c r="S76" s="38"/>
      <c r="T76" s="38"/>
      <c r="U76" s="38"/>
      <c r="V76" s="38"/>
      <c r="W76" s="38"/>
      <c r="X76" s="38"/>
      <c r="Y76" s="38"/>
      <c r="Z76" s="38"/>
      <c r="AA76" s="310" t="str">
        <f t="shared" si="27"/>
        <v/>
      </c>
      <c r="AB76" s="39" t="str">
        <f t="shared" si="28"/>
        <v/>
      </c>
      <c r="AD76" s="38"/>
      <c r="AE76" s="39" t="str">
        <f t="shared" si="29"/>
        <v/>
      </c>
      <c r="AF76" s="132" t="str">
        <f t="shared" si="30"/>
        <v/>
      </c>
      <c r="AG76" s="38"/>
      <c r="AH76" s="39" t="str">
        <f t="shared" si="31"/>
        <v/>
      </c>
      <c r="AI76" s="132" t="str">
        <f t="shared" si="32"/>
        <v/>
      </c>
      <c r="AJ76" s="350">
        <f t="shared" si="33"/>
        <v>0</v>
      </c>
      <c r="AK76" s="351">
        <f t="shared" si="34"/>
        <v>0</v>
      </c>
      <c r="AL76" s="352">
        <f t="shared" si="35"/>
        <v>0</v>
      </c>
      <c r="AM76" s="387">
        <f t="shared" si="36"/>
        <v>0</v>
      </c>
      <c r="AN76" s="386">
        <f t="shared" si="37"/>
        <v>0</v>
      </c>
    </row>
    <row r="77" spans="1:40" x14ac:dyDescent="0.25">
      <c r="A77" s="6" t="s">
        <v>7</v>
      </c>
      <c r="B77" s="16" t="s">
        <v>1239</v>
      </c>
      <c r="H77" s="189" t="s">
        <v>862</v>
      </c>
      <c r="I77" s="161" t="s">
        <v>1012</v>
      </c>
      <c r="J77" s="161" t="s">
        <v>78</v>
      </c>
      <c r="K77" s="68" t="str">
        <f t="shared" si="26"/>
        <v>&gt;</v>
      </c>
      <c r="L77" s="162"/>
      <c r="M77" s="162"/>
      <c r="N77" s="162" t="s">
        <v>1237</v>
      </c>
      <c r="O77" s="47"/>
      <c r="P77" s="47"/>
      <c r="Q77" s="47"/>
      <c r="R77" s="47"/>
      <c r="S77" s="47"/>
      <c r="T77" s="47"/>
      <c r="U77" s="47"/>
      <c r="V77" s="47"/>
      <c r="W77" s="47"/>
      <c r="X77" s="47"/>
      <c r="Y77" s="47"/>
      <c r="Z77" s="47"/>
      <c r="AA77" s="324">
        <f t="shared" si="27"/>
        <v>0</v>
      </c>
      <c r="AB77" s="48" t="str">
        <f t="shared" si="28"/>
        <v/>
      </c>
      <c r="AD77" s="47">
        <v>17207.3</v>
      </c>
      <c r="AE77" s="48">
        <f t="shared" si="29"/>
        <v>4.6762895548232786E-3</v>
      </c>
      <c r="AF77" s="150">
        <f t="shared" si="30"/>
        <v>-17207.3</v>
      </c>
      <c r="AG77" s="47">
        <v>45.23</v>
      </c>
      <c r="AH77" s="48">
        <f t="shared" si="31"/>
        <v>1.8382888623633747E-5</v>
      </c>
      <c r="AI77" s="150">
        <f t="shared" si="32"/>
        <v>-45.23</v>
      </c>
      <c r="AJ77" s="350">
        <f t="shared" si="33"/>
        <v>0</v>
      </c>
      <c r="AK77" s="351">
        <f t="shared" si="34"/>
        <v>0.24265709611913355</v>
      </c>
      <c r="AL77" s="352">
        <f t="shared" si="35"/>
        <v>8.029041591962082E-4</v>
      </c>
      <c r="AM77" s="387">
        <f t="shared" si="36"/>
        <v>0</v>
      </c>
      <c r="AN77" s="386">
        <f t="shared" si="37"/>
        <v>0</v>
      </c>
    </row>
    <row r="78" spans="1:40" x14ac:dyDescent="0.25">
      <c r="A78" s="6" t="s">
        <v>47</v>
      </c>
      <c r="B78" s="16" t="s">
        <v>1197</v>
      </c>
      <c r="H78" s="189" t="s">
        <v>882</v>
      </c>
      <c r="I78" s="161" t="s">
        <v>1012</v>
      </c>
      <c r="J78" s="161" t="s">
        <v>78</v>
      </c>
      <c r="K78" s="68" t="str">
        <f t="shared" si="26"/>
        <v>&gt;</v>
      </c>
      <c r="L78" s="162"/>
      <c r="M78" s="162"/>
      <c r="N78" s="162" t="s">
        <v>335</v>
      </c>
      <c r="O78" s="47">
        <v>2164.02</v>
      </c>
      <c r="P78" s="47">
        <v>2019.7</v>
      </c>
      <c r="Q78" s="47">
        <v>2283.1999999999998</v>
      </c>
      <c r="R78" s="47">
        <v>7178.23</v>
      </c>
      <c r="S78" s="47">
        <v>7149.33</v>
      </c>
      <c r="T78" s="47">
        <v>5078.4799999999996</v>
      </c>
      <c r="U78" s="47">
        <v>5808.76</v>
      </c>
      <c r="V78" s="47">
        <v>5746.26</v>
      </c>
      <c r="W78" s="47">
        <v>242</v>
      </c>
      <c r="X78" s="47">
        <v>6012.01</v>
      </c>
      <c r="Y78" s="47">
        <v>5030.13</v>
      </c>
      <c r="Z78" s="47">
        <v>6873.88</v>
      </c>
      <c r="AA78" s="324">
        <f t="shared" si="27"/>
        <v>55586</v>
      </c>
      <c r="AB78" s="48">
        <f t="shared" si="28"/>
        <v>2.6324912914696057E-2</v>
      </c>
      <c r="AD78" s="47">
        <v>131015.714285715</v>
      </c>
      <c r="AE78" s="48">
        <f t="shared" si="29"/>
        <v>3.5605087156729998E-2</v>
      </c>
      <c r="AF78" s="150">
        <f t="shared" si="30"/>
        <v>-75429.714285715003</v>
      </c>
      <c r="AG78" s="47">
        <v>50685.42</v>
      </c>
      <c r="AH78" s="48">
        <f t="shared" si="31"/>
        <v>2.0600142177804519E-2</v>
      </c>
      <c r="AI78" s="150">
        <f t="shared" si="32"/>
        <v>4900.5800000000017</v>
      </c>
      <c r="AJ78" s="350">
        <f t="shared" si="33"/>
        <v>1.1179132393459768</v>
      </c>
      <c r="AK78" s="351">
        <f t="shared" si="34"/>
        <v>1.8475817109334809</v>
      </c>
      <c r="AL78" s="352">
        <f t="shared" si="35"/>
        <v>0.89974650737578321</v>
      </c>
      <c r="AM78" s="387" t="str">
        <f t="shared" si="36"/>
        <v>-0.93 pts.</v>
      </c>
      <c r="AN78" s="386" t="str">
        <f t="shared" si="37"/>
        <v>0.57 pts.</v>
      </c>
    </row>
    <row r="79" spans="1:40" x14ac:dyDescent="0.25">
      <c r="A79" s="6" t="s">
        <v>8</v>
      </c>
      <c r="B79" s="7"/>
      <c r="H79" s="189" t="s">
        <v>863</v>
      </c>
      <c r="I79" s="161" t="s">
        <v>1012</v>
      </c>
      <c r="J79" s="161" t="s">
        <v>78</v>
      </c>
      <c r="K79" s="68" t="str">
        <f t="shared" si="26"/>
        <v>&gt;</v>
      </c>
      <c r="L79" s="162"/>
      <c r="M79" s="162"/>
      <c r="N79" s="162" t="s">
        <v>336</v>
      </c>
      <c r="O79" s="47">
        <v>9206.81</v>
      </c>
      <c r="P79" s="47">
        <v>13859.71</v>
      </c>
      <c r="Q79" s="47">
        <v>16806.3</v>
      </c>
      <c r="R79" s="47">
        <v>15173.98</v>
      </c>
      <c r="S79" s="47">
        <v>12142.27</v>
      </c>
      <c r="T79" s="47">
        <v>10217.01</v>
      </c>
      <c r="U79" s="47">
        <v>10301.08</v>
      </c>
      <c r="V79" s="47">
        <v>8755.01</v>
      </c>
      <c r="W79" s="47">
        <v>9563.82</v>
      </c>
      <c r="X79" s="47">
        <v>10776.03</v>
      </c>
      <c r="Y79" s="47">
        <v>9728.1</v>
      </c>
      <c r="Z79" s="47">
        <v>13159.57</v>
      </c>
      <c r="AA79" s="324">
        <f t="shared" si="27"/>
        <v>139689.69</v>
      </c>
      <c r="AB79" s="48">
        <f t="shared" si="28"/>
        <v>6.6155487430843887E-2</v>
      </c>
      <c r="AD79" s="47">
        <v>306250.17142857099</v>
      </c>
      <c r="AE79" s="48">
        <f t="shared" si="29"/>
        <v>8.3227146490981452E-2</v>
      </c>
      <c r="AF79" s="150">
        <f t="shared" si="30"/>
        <v>-166560.48142857099</v>
      </c>
      <c r="AG79" s="47">
        <v>125627.83</v>
      </c>
      <c r="AH79" s="48">
        <f t="shared" si="31"/>
        <v>5.1059084831280001E-2</v>
      </c>
      <c r="AI79" s="150">
        <f t="shared" si="32"/>
        <v>14061.86</v>
      </c>
      <c r="AJ79" s="357">
        <f t="shared" si="33"/>
        <v>2.8093576413329848</v>
      </c>
      <c r="AK79" s="358">
        <f t="shared" si="34"/>
        <v>4.3187354951005608</v>
      </c>
      <c r="AL79" s="359">
        <f t="shared" si="35"/>
        <v>2.2300930183018837</v>
      </c>
      <c r="AM79" s="388" t="str">
        <f t="shared" si="36"/>
        <v>-1.71 pts.</v>
      </c>
      <c r="AN79" s="389" t="str">
        <f t="shared" si="37"/>
        <v>1.51 pts.</v>
      </c>
    </row>
    <row r="80" spans="1:40" x14ac:dyDescent="0.25">
      <c r="H80" s="189" t="s">
        <v>848</v>
      </c>
      <c r="I80" s="479" t="s">
        <v>1010</v>
      </c>
      <c r="J80" s="479" t="s">
        <v>78</v>
      </c>
      <c r="K80" s="480" t="str">
        <f t="shared" si="26"/>
        <v/>
      </c>
      <c r="L80" s="170"/>
      <c r="M80" s="170"/>
      <c r="N80" s="170" t="s">
        <v>1085</v>
      </c>
      <c r="O80" s="134">
        <v>34717.879999999997</v>
      </c>
      <c r="P80" s="134">
        <v>39212.730000000003</v>
      </c>
      <c r="Q80" s="134">
        <v>47260.21</v>
      </c>
      <c r="R80" s="134">
        <v>51878.87</v>
      </c>
      <c r="S80" s="134">
        <v>46188.38</v>
      </c>
      <c r="T80" s="134">
        <v>41090.49</v>
      </c>
      <c r="U80" s="134">
        <v>37348.480000000003</v>
      </c>
      <c r="V80" s="134">
        <v>36690.269999999997</v>
      </c>
      <c r="W80" s="134">
        <v>26646.78</v>
      </c>
      <c r="X80" s="134">
        <v>30435.86</v>
      </c>
      <c r="Y80" s="134">
        <v>31181.13</v>
      </c>
      <c r="Z80" s="134">
        <v>37084.35</v>
      </c>
      <c r="AA80" s="134">
        <f t="shared" si="27"/>
        <v>459735.42999999993</v>
      </c>
      <c r="AB80" s="135">
        <f t="shared" si="28"/>
        <v>0.21772559922553059</v>
      </c>
      <c r="AC80" s="137"/>
      <c r="AD80" s="134">
        <v>807748.63198348205</v>
      </c>
      <c r="AE80" s="135">
        <f t="shared" si="29"/>
        <v>0.21951535050049398</v>
      </c>
      <c r="AF80" s="136">
        <f t="shared" si="30"/>
        <v>-348013.20198348211</v>
      </c>
      <c r="AG80" s="134">
        <v>459178.8</v>
      </c>
      <c r="AH80" s="135">
        <f t="shared" si="31"/>
        <v>0.18662464600340029</v>
      </c>
      <c r="AI80" s="136">
        <f t="shared" si="32"/>
        <v>556.62999999994645</v>
      </c>
      <c r="AJ80" s="360">
        <f t="shared" si="33"/>
        <v>9.2459310580616609</v>
      </c>
      <c r="AK80" s="361">
        <f t="shared" si="34"/>
        <v>11.39085954399089</v>
      </c>
      <c r="AL80" s="363">
        <f t="shared" si="35"/>
        <v>8.1511511902437288</v>
      </c>
      <c r="AM80" s="405" t="str">
        <f t="shared" si="36"/>
        <v>-0.18 pts.</v>
      </c>
      <c r="AN80" s="522" t="str">
        <f t="shared" si="37"/>
        <v>3.11 pts.</v>
      </c>
    </row>
    <row r="81" spans="1:40" x14ac:dyDescent="0.25">
      <c r="A81" s="3" t="s">
        <v>9</v>
      </c>
      <c r="B81" s="5" t="s">
        <v>10</v>
      </c>
      <c r="H81" s="189" t="s">
        <v>864</v>
      </c>
      <c r="I81" s="161" t="s">
        <v>1012</v>
      </c>
      <c r="J81" s="161" t="s">
        <v>78</v>
      </c>
      <c r="K81" s="68" t="str">
        <f t="shared" si="26"/>
        <v>&gt;</v>
      </c>
      <c r="L81" s="162"/>
      <c r="M81" s="162"/>
      <c r="N81" s="162" t="s">
        <v>1238</v>
      </c>
      <c r="O81" s="47">
        <v>35582.17</v>
      </c>
      <c r="P81" s="47">
        <v>31152.76</v>
      </c>
      <c r="Q81" s="47">
        <v>37826.910000000003</v>
      </c>
      <c r="R81" s="47">
        <v>25458.35</v>
      </c>
      <c r="S81" s="47">
        <v>25816.66</v>
      </c>
      <c r="T81" s="47">
        <v>22441.96</v>
      </c>
      <c r="U81" s="47">
        <v>20132.8</v>
      </c>
      <c r="V81" s="47">
        <v>18891.400000000001</v>
      </c>
      <c r="W81" s="47">
        <v>16169.1</v>
      </c>
      <c r="X81" s="47">
        <v>17701.28</v>
      </c>
      <c r="Y81" s="47">
        <v>17860.73</v>
      </c>
      <c r="Z81" s="47">
        <v>31088.32</v>
      </c>
      <c r="AA81" s="47">
        <f t="shared" si="27"/>
        <v>300122.44</v>
      </c>
      <c r="AB81" s="48">
        <f t="shared" si="28"/>
        <v>0.14213465794887367</v>
      </c>
      <c r="AD81" s="47">
        <v>508668.53909999999</v>
      </c>
      <c r="AE81" s="48">
        <f t="shared" si="29"/>
        <v>0.13823675860016077</v>
      </c>
      <c r="AF81" s="150">
        <f t="shared" si="30"/>
        <v>-208546.09909999999</v>
      </c>
      <c r="AG81" s="47">
        <v>346984.12</v>
      </c>
      <c r="AH81" s="48">
        <f t="shared" si="31"/>
        <v>0.14102521406432825</v>
      </c>
      <c r="AI81" s="150">
        <f t="shared" si="32"/>
        <v>-46861.679999999993</v>
      </c>
      <c r="AJ81" s="353">
        <f t="shared" si="33"/>
        <v>6.0358876174003981</v>
      </c>
      <c r="AK81" s="354">
        <f t="shared" si="34"/>
        <v>7.1732363929941334</v>
      </c>
      <c r="AL81" s="356">
        <f t="shared" si="35"/>
        <v>6.1595178669696269</v>
      </c>
      <c r="AM81" s="390" t="str">
        <f t="shared" si="36"/>
        <v>0.39 pts.</v>
      </c>
      <c r="AN81" s="391" t="str">
        <f t="shared" si="37"/>
        <v>0.11 pts.</v>
      </c>
    </row>
    <row r="82" spans="1:40" x14ac:dyDescent="0.25">
      <c r="A82" s="6" t="s">
        <v>11</v>
      </c>
      <c r="B82" s="7" t="s">
        <v>21</v>
      </c>
      <c r="H82" s="189" t="s">
        <v>865</v>
      </c>
      <c r="I82" s="161" t="s">
        <v>1012</v>
      </c>
      <c r="J82" s="161" t="s">
        <v>78</v>
      </c>
      <c r="K82" s="68" t="str">
        <f t="shared" si="26"/>
        <v>&gt;</v>
      </c>
      <c r="L82" s="162"/>
      <c r="M82" s="162"/>
      <c r="N82" s="162" t="s">
        <v>1086</v>
      </c>
      <c r="O82" s="47">
        <v>42282.89</v>
      </c>
      <c r="P82" s="47">
        <v>34473.019999999997</v>
      </c>
      <c r="Q82" s="47">
        <v>32843.03</v>
      </c>
      <c r="R82" s="47">
        <v>29928.13</v>
      </c>
      <c r="S82" s="47">
        <v>34257.519999999997</v>
      </c>
      <c r="T82" s="47">
        <v>23055.43</v>
      </c>
      <c r="U82" s="47">
        <v>34526.58</v>
      </c>
      <c r="V82" s="47">
        <v>43155.74</v>
      </c>
      <c r="W82" s="47">
        <v>31883.72</v>
      </c>
      <c r="X82" s="47">
        <v>28312.720000000001</v>
      </c>
      <c r="Y82" s="47">
        <v>34620.81</v>
      </c>
      <c r="Z82" s="47">
        <v>40482.050000000003</v>
      </c>
      <c r="AA82" s="324">
        <f t="shared" si="27"/>
        <v>409821.6399999999</v>
      </c>
      <c r="AB82" s="48">
        <f t="shared" si="28"/>
        <v>0.19408698203788571</v>
      </c>
      <c r="AD82" s="47">
        <v>332553.41342526599</v>
      </c>
      <c r="AE82" s="48">
        <f t="shared" si="29"/>
        <v>9.0375367060573072E-2</v>
      </c>
      <c r="AF82" s="150">
        <f t="shared" si="30"/>
        <v>77268.226574733912</v>
      </c>
      <c r="AG82" s="47">
        <v>645010.69999999995</v>
      </c>
      <c r="AH82" s="48">
        <f t="shared" si="31"/>
        <v>0.26215255050081893</v>
      </c>
      <c r="AI82" s="150">
        <f t="shared" si="32"/>
        <v>-235189.06000000006</v>
      </c>
      <c r="AJ82" s="350">
        <f t="shared" si="33"/>
        <v>8.2420940007642312</v>
      </c>
      <c r="AK82" s="351">
        <f t="shared" si="34"/>
        <v>4.6896634339077448</v>
      </c>
      <c r="AL82" s="352">
        <f t="shared" si="35"/>
        <v>11.449961834093692</v>
      </c>
      <c r="AM82" s="387" t="str">
        <f t="shared" si="36"/>
        <v>10.37 pts.</v>
      </c>
      <c r="AN82" s="386" t="str">
        <f t="shared" si="37"/>
        <v>-6.81 pts.</v>
      </c>
    </row>
    <row r="83" spans="1:40" x14ac:dyDescent="0.25">
      <c r="A83" s="6" t="s">
        <v>12</v>
      </c>
      <c r="B83" s="7" t="s">
        <v>22</v>
      </c>
      <c r="H83" s="189" t="s">
        <v>849</v>
      </c>
      <c r="I83" s="161" t="s">
        <v>1012</v>
      </c>
      <c r="J83" s="161" t="s">
        <v>78</v>
      </c>
      <c r="K83" s="68" t="str">
        <f t="shared" si="26"/>
        <v>&gt;</v>
      </c>
      <c r="L83" s="162"/>
      <c r="M83" s="162"/>
      <c r="N83" s="162" t="s">
        <v>1087</v>
      </c>
      <c r="O83" s="47">
        <v>3354.17</v>
      </c>
      <c r="P83" s="47">
        <v>1754.52</v>
      </c>
      <c r="Q83" s="47">
        <v>3148.39</v>
      </c>
      <c r="R83" s="47">
        <v>8516.2900000000009</v>
      </c>
      <c r="S83" s="47">
        <v>-5000</v>
      </c>
      <c r="T83" s="47"/>
      <c r="U83" s="47"/>
      <c r="V83" s="47"/>
      <c r="W83" s="47"/>
      <c r="X83" s="47"/>
      <c r="Y83" s="47"/>
      <c r="Z83" s="47"/>
      <c r="AA83" s="324">
        <f t="shared" si="27"/>
        <v>11773.370000000003</v>
      </c>
      <c r="AB83" s="48">
        <f t="shared" si="28"/>
        <v>5.5757374152213719E-3</v>
      </c>
      <c r="AD83" s="47">
        <v>74462.131813831307</v>
      </c>
      <c r="AE83" s="48">
        <f t="shared" si="29"/>
        <v>2.0235974803187805E-2</v>
      </c>
      <c r="AF83" s="150">
        <f t="shared" si="30"/>
        <v>-62688.761813831305</v>
      </c>
      <c r="AG83" s="47">
        <v>47122.77</v>
      </c>
      <c r="AH83" s="48">
        <f t="shared" si="31"/>
        <v>1.915216963402851E-2</v>
      </c>
      <c r="AI83" s="150">
        <f t="shared" si="32"/>
        <v>-35349.399999999994</v>
      </c>
      <c r="AJ83" s="357">
        <f t="shared" si="33"/>
        <v>0.23677915652716053</v>
      </c>
      <c r="AK83" s="358">
        <f t="shared" si="34"/>
        <v>1.0500639075732077</v>
      </c>
      <c r="AL83" s="359">
        <f t="shared" si="35"/>
        <v>0.83650382546642277</v>
      </c>
      <c r="AM83" s="388" t="str">
        <f t="shared" si="36"/>
        <v>-1.47 pts.</v>
      </c>
      <c r="AN83" s="389" t="str">
        <f t="shared" si="37"/>
        <v>-1.36 pts.</v>
      </c>
    </row>
    <row r="84" spans="1:40" x14ac:dyDescent="0.25">
      <c r="A84" s="6" t="s">
        <v>13</v>
      </c>
      <c r="B84" s="7" t="s">
        <v>737</v>
      </c>
      <c r="H84" s="189" t="s">
        <v>850</v>
      </c>
      <c r="I84" s="479" t="s">
        <v>1010</v>
      </c>
      <c r="J84" s="479" t="s">
        <v>78</v>
      </c>
      <c r="K84" s="480" t="str">
        <f t="shared" si="26"/>
        <v/>
      </c>
      <c r="L84" s="170"/>
      <c r="M84" s="170"/>
      <c r="N84" s="170" t="s">
        <v>1088</v>
      </c>
      <c r="O84" s="134">
        <v>115937.11</v>
      </c>
      <c r="P84" s="134">
        <v>106593.03</v>
      </c>
      <c r="Q84" s="134">
        <v>121078.54</v>
      </c>
      <c r="R84" s="134">
        <v>115781.64</v>
      </c>
      <c r="S84" s="134">
        <v>101262.56</v>
      </c>
      <c r="T84" s="134">
        <v>86587.88</v>
      </c>
      <c r="U84" s="134">
        <v>92007.86</v>
      </c>
      <c r="V84" s="134">
        <v>98737.41</v>
      </c>
      <c r="W84" s="134">
        <v>74699.600000000006</v>
      </c>
      <c r="X84" s="134">
        <v>76449.86</v>
      </c>
      <c r="Y84" s="134">
        <v>83662.67</v>
      </c>
      <c r="Z84" s="134">
        <v>108654.72</v>
      </c>
      <c r="AA84" s="134">
        <f t="shared" si="27"/>
        <v>1181452.8799999999</v>
      </c>
      <c r="AB84" s="135">
        <f t="shared" si="28"/>
        <v>0.55952297662751138</v>
      </c>
      <c r="AC84" s="137"/>
      <c r="AD84" s="134">
        <v>1723432.7163225799</v>
      </c>
      <c r="AE84" s="135">
        <f t="shared" si="29"/>
        <v>0.46836345096441578</v>
      </c>
      <c r="AF84" s="136">
        <f t="shared" si="30"/>
        <v>-541979.83632258</v>
      </c>
      <c r="AG84" s="134">
        <v>1498296.39</v>
      </c>
      <c r="AH84" s="135">
        <f t="shared" si="31"/>
        <v>0.60895458020257598</v>
      </c>
      <c r="AI84" s="136">
        <f t="shared" si="32"/>
        <v>-316843.51</v>
      </c>
      <c r="AJ84" s="360">
        <f t="shared" si="33"/>
        <v>23.760691832753452</v>
      </c>
      <c r="AK84" s="361">
        <f t="shared" si="34"/>
        <v>24.303823278465984</v>
      </c>
      <c r="AL84" s="363">
        <f t="shared" si="35"/>
        <v>26.597134716773471</v>
      </c>
      <c r="AM84" s="405" t="str">
        <f t="shared" si="36"/>
        <v>9.12 pts.</v>
      </c>
      <c r="AN84" s="522" t="str">
        <f t="shared" si="37"/>
        <v>-4.94 pts.</v>
      </c>
    </row>
    <row r="85" spans="1:40" x14ac:dyDescent="0.25">
      <c r="A85" s="6" t="s">
        <v>14</v>
      </c>
      <c r="B85" s="7"/>
      <c r="H85" s="189" t="s">
        <v>851</v>
      </c>
      <c r="I85" s="161" t="s">
        <v>1012</v>
      </c>
      <c r="J85" s="161" t="s">
        <v>78</v>
      </c>
      <c r="K85" s="68" t="str">
        <f t="shared" si="26"/>
        <v>&gt;</v>
      </c>
      <c r="L85" s="162"/>
      <c r="M85" s="162"/>
      <c r="N85" s="162" t="s">
        <v>561</v>
      </c>
      <c r="O85" s="47">
        <v>5449.45</v>
      </c>
      <c r="P85" s="47">
        <v>5311.38</v>
      </c>
      <c r="Q85" s="47">
        <v>5713.56</v>
      </c>
      <c r="R85" s="47">
        <v>5706.99</v>
      </c>
      <c r="S85" s="47">
        <v>4325.55</v>
      </c>
      <c r="T85" s="47">
        <v>4193.41</v>
      </c>
      <c r="U85" s="47">
        <v>3715.62</v>
      </c>
      <c r="V85" s="47">
        <v>3435.74</v>
      </c>
      <c r="W85" s="47">
        <v>2800.99</v>
      </c>
      <c r="X85" s="47">
        <v>2698.93</v>
      </c>
      <c r="Y85" s="47">
        <v>2008.88</v>
      </c>
      <c r="Z85" s="47">
        <v>2733.89</v>
      </c>
      <c r="AA85" s="47">
        <f t="shared" si="27"/>
        <v>48094.389999999992</v>
      </c>
      <c r="AB85" s="48">
        <f t="shared" si="28"/>
        <v>2.2776969532533886E-2</v>
      </c>
      <c r="AD85" s="47">
        <v>68745.849662972803</v>
      </c>
      <c r="AE85" s="48">
        <f t="shared" si="29"/>
        <v>1.8682506768430328E-2</v>
      </c>
      <c r="AF85" s="150">
        <f t="shared" si="30"/>
        <v>-20651.459662972811</v>
      </c>
      <c r="AG85" s="47">
        <v>60892.32</v>
      </c>
      <c r="AH85" s="48">
        <f t="shared" si="31"/>
        <v>2.4748546022433465E-2</v>
      </c>
      <c r="AI85" s="150">
        <f t="shared" si="32"/>
        <v>-12797.930000000008</v>
      </c>
      <c r="AJ85" s="353">
        <f t="shared" si="33"/>
        <v>0.96724634474991433</v>
      </c>
      <c r="AK85" s="354">
        <f t="shared" si="34"/>
        <v>0.96945297922739171</v>
      </c>
      <c r="AL85" s="356">
        <f t="shared" si="35"/>
        <v>1.0809351534624465</v>
      </c>
      <c r="AM85" s="390" t="str">
        <f t="shared" si="36"/>
        <v>0.41 pts.</v>
      </c>
      <c r="AN85" s="391" t="str">
        <f t="shared" si="37"/>
        <v>-0.2 pts.</v>
      </c>
    </row>
    <row r="86" spans="1:40" x14ac:dyDescent="0.25">
      <c r="A86" s="6" t="s">
        <v>15</v>
      </c>
      <c r="B86" s="7"/>
      <c r="H86" s="189" t="s">
        <v>852</v>
      </c>
      <c r="I86" s="161" t="s">
        <v>1012</v>
      </c>
      <c r="J86" s="161" t="s">
        <v>78</v>
      </c>
      <c r="K86" s="68" t="str">
        <f t="shared" si="26"/>
        <v>&gt;</v>
      </c>
      <c r="L86" s="162"/>
      <c r="M86" s="162"/>
      <c r="N86" s="162" t="s">
        <v>560</v>
      </c>
      <c r="O86" s="47">
        <v>5946.28</v>
      </c>
      <c r="P86" s="47">
        <v>2205.88</v>
      </c>
      <c r="Q86" s="47">
        <v>3990.8</v>
      </c>
      <c r="R86" s="47">
        <v>2493.33</v>
      </c>
      <c r="S86" s="47">
        <v>4452.0200000000004</v>
      </c>
      <c r="T86" s="47">
        <v>2260.6799999999998</v>
      </c>
      <c r="U86" s="47">
        <v>4188.87</v>
      </c>
      <c r="V86" s="47">
        <v>2535.46</v>
      </c>
      <c r="W86" s="47">
        <v>-607.4</v>
      </c>
      <c r="X86" s="47">
        <v>5168.32</v>
      </c>
      <c r="Y86" s="47">
        <v>2944.38</v>
      </c>
      <c r="Z86" s="47">
        <v>1241.44</v>
      </c>
      <c r="AA86" s="324">
        <f t="shared" si="27"/>
        <v>36820.06</v>
      </c>
      <c r="AB86" s="48">
        <f t="shared" si="28"/>
        <v>1.7437571924835096E-2</v>
      </c>
      <c r="AD86" s="47">
        <v>41700.4799446861</v>
      </c>
      <c r="AE86" s="48">
        <f t="shared" si="29"/>
        <v>1.1332604115488963E-2</v>
      </c>
      <c r="AF86" s="150">
        <f t="shared" si="30"/>
        <v>-4880.4199446861021</v>
      </c>
      <c r="AG86" s="47">
        <v>29025.82</v>
      </c>
      <c r="AH86" s="48">
        <f t="shared" si="31"/>
        <v>1.1797002349538821E-2</v>
      </c>
      <c r="AI86" s="150">
        <f t="shared" si="32"/>
        <v>7794.239999999998</v>
      </c>
      <c r="AJ86" s="350">
        <f t="shared" si="33"/>
        <v>0.74050358988797937</v>
      </c>
      <c r="AK86" s="351">
        <f t="shared" si="34"/>
        <v>0.58805956600696774</v>
      </c>
      <c r="AL86" s="352">
        <f t="shared" si="35"/>
        <v>0.51525429144551149</v>
      </c>
      <c r="AM86" s="387" t="str">
        <f t="shared" si="36"/>
        <v>0.61 pts.</v>
      </c>
      <c r="AN86" s="386" t="str">
        <f t="shared" si="37"/>
        <v>0.56 pts.</v>
      </c>
    </row>
    <row r="87" spans="1:40" x14ac:dyDescent="0.25">
      <c r="A87" s="6" t="s">
        <v>16</v>
      </c>
      <c r="B87" s="7" t="s">
        <v>78</v>
      </c>
      <c r="H87" s="189" t="s">
        <v>853</v>
      </c>
      <c r="I87" s="161" t="s">
        <v>1012</v>
      </c>
      <c r="J87" s="161" t="s">
        <v>78</v>
      </c>
      <c r="K87" s="68" t="str">
        <f t="shared" si="26"/>
        <v>&gt;</v>
      </c>
      <c r="L87" s="162"/>
      <c r="M87" s="162"/>
      <c r="N87" s="162" t="s">
        <v>562</v>
      </c>
      <c r="O87" s="47">
        <v>12447.8</v>
      </c>
      <c r="P87" s="47">
        <v>11784.82</v>
      </c>
      <c r="Q87" s="47">
        <v>11438.43</v>
      </c>
      <c r="R87" s="47">
        <v>12965.89</v>
      </c>
      <c r="S87" s="47">
        <v>14611.11</v>
      </c>
      <c r="T87" s="47">
        <v>9954.2800000000007</v>
      </c>
      <c r="U87" s="47">
        <v>12082.84</v>
      </c>
      <c r="V87" s="47">
        <v>12311.35</v>
      </c>
      <c r="W87" s="47">
        <v>9147.2000000000007</v>
      </c>
      <c r="X87" s="47">
        <v>8348.9</v>
      </c>
      <c r="Y87" s="47">
        <v>6994.77</v>
      </c>
      <c r="Z87" s="47">
        <v>4059.74</v>
      </c>
      <c r="AA87" s="324">
        <f t="shared" si="27"/>
        <v>126147.13</v>
      </c>
      <c r="AB87" s="48">
        <f t="shared" si="28"/>
        <v>5.9741881259468978E-2</v>
      </c>
      <c r="AD87" s="47">
        <v>66284.606759963397</v>
      </c>
      <c r="AE87" s="48">
        <f t="shared" si="29"/>
        <v>1.8013634575859392E-2</v>
      </c>
      <c r="AF87" s="150">
        <f t="shared" si="30"/>
        <v>59862.523240036608</v>
      </c>
      <c r="AG87" s="47">
        <v>55504.89</v>
      </c>
      <c r="AH87" s="48">
        <f t="shared" si="31"/>
        <v>2.2558925733739608E-2</v>
      </c>
      <c r="AI87" s="150">
        <f t="shared" si="32"/>
        <v>70642.240000000005</v>
      </c>
      <c r="AJ87" s="357">
        <f t="shared" si="33"/>
        <v>2.5369975665185125</v>
      </c>
      <c r="AK87" s="358">
        <f t="shared" si="34"/>
        <v>0.93474456735056688</v>
      </c>
      <c r="AL87" s="359">
        <f t="shared" si="35"/>
        <v>0.98529973550139349</v>
      </c>
      <c r="AM87" s="388" t="str">
        <f t="shared" si="36"/>
        <v>4.17 pts.</v>
      </c>
      <c r="AN87" s="389" t="str">
        <f t="shared" si="37"/>
        <v>3.72 pts.</v>
      </c>
    </row>
    <row r="88" spans="1:40" x14ac:dyDescent="0.25">
      <c r="A88" s="6" t="s">
        <v>17</v>
      </c>
      <c r="B88" s="7"/>
      <c r="H88" s="189" t="s">
        <v>854</v>
      </c>
      <c r="I88" s="479" t="s">
        <v>1010</v>
      </c>
      <c r="J88" s="479" t="s">
        <v>78</v>
      </c>
      <c r="K88" s="480" t="str">
        <f t="shared" si="26"/>
        <v/>
      </c>
      <c r="L88" s="170"/>
      <c r="M88" s="170"/>
      <c r="N88" s="170" t="s">
        <v>1089</v>
      </c>
      <c r="O88" s="36">
        <v>23843.53</v>
      </c>
      <c r="P88" s="36">
        <v>19302.080000000002</v>
      </c>
      <c r="Q88" s="36">
        <v>21142.79</v>
      </c>
      <c r="R88" s="36">
        <v>21166.21</v>
      </c>
      <c r="S88" s="36">
        <v>23388.68</v>
      </c>
      <c r="T88" s="36">
        <v>16408.37</v>
      </c>
      <c r="U88" s="36">
        <v>19987.330000000002</v>
      </c>
      <c r="V88" s="36">
        <v>18282.55</v>
      </c>
      <c r="W88" s="36">
        <v>11340.79</v>
      </c>
      <c r="X88" s="36">
        <v>16216.15</v>
      </c>
      <c r="Y88" s="36">
        <v>11948.03</v>
      </c>
      <c r="Z88" s="36">
        <v>8035.07</v>
      </c>
      <c r="AA88" s="36">
        <f t="shared" si="27"/>
        <v>211061.58</v>
      </c>
      <c r="AB88" s="37">
        <f t="shared" si="28"/>
        <v>9.9956422716837953E-2</v>
      </c>
      <c r="AC88" s="35"/>
      <c r="AD88" s="36">
        <v>176730.93636762199</v>
      </c>
      <c r="AE88" s="37">
        <f t="shared" si="29"/>
        <v>4.8028745459778602E-2</v>
      </c>
      <c r="AF88" s="58">
        <f t="shared" si="30"/>
        <v>34330.643632377993</v>
      </c>
      <c r="AG88" s="36">
        <v>145423.03</v>
      </c>
      <c r="AH88" s="37">
        <f t="shared" si="31"/>
        <v>5.9104474105711895E-2</v>
      </c>
      <c r="AI88" s="58">
        <f t="shared" si="32"/>
        <v>65638.549999999988</v>
      </c>
      <c r="AJ88" s="372">
        <f t="shared" si="33"/>
        <v>4.2447475011564064</v>
      </c>
      <c r="AK88" s="373">
        <f t="shared" si="34"/>
        <v>2.4922571125849222</v>
      </c>
      <c r="AL88" s="375">
        <f t="shared" si="35"/>
        <v>2.5814891804093514</v>
      </c>
      <c r="AM88" s="407" t="str">
        <f t="shared" si="36"/>
        <v>5.19 pts.</v>
      </c>
      <c r="AN88" s="524" t="str">
        <f t="shared" si="37"/>
        <v>4.09 pts.</v>
      </c>
    </row>
    <row r="89" spans="1:40" x14ac:dyDescent="0.25">
      <c r="H89" s="189" t="s">
        <v>76</v>
      </c>
      <c r="I89" s="479" t="s">
        <v>1046</v>
      </c>
      <c r="J89" s="479" t="s">
        <v>78</v>
      </c>
      <c r="K89" s="480" t="str">
        <f t="shared" si="26"/>
        <v/>
      </c>
      <c r="L89" s="170">
        <v>600000</v>
      </c>
      <c r="M89" s="170"/>
      <c r="N89" s="170" t="s">
        <v>1090</v>
      </c>
      <c r="O89" s="36">
        <v>139780.64000000001</v>
      </c>
      <c r="P89" s="36">
        <v>125895.11</v>
      </c>
      <c r="Q89" s="36">
        <v>142221.32999999999</v>
      </c>
      <c r="R89" s="36">
        <v>136947.85</v>
      </c>
      <c r="S89" s="36">
        <v>124651.24</v>
      </c>
      <c r="T89" s="36">
        <v>102996.25</v>
      </c>
      <c r="U89" s="36">
        <v>111995.19</v>
      </c>
      <c r="V89" s="36">
        <v>117019.96</v>
      </c>
      <c r="W89" s="36">
        <v>86040.39</v>
      </c>
      <c r="X89" s="36">
        <v>92666.01</v>
      </c>
      <c r="Y89" s="36">
        <v>95610.7</v>
      </c>
      <c r="Z89" s="36">
        <v>116689.79</v>
      </c>
      <c r="AA89" s="36">
        <f t="shared" si="27"/>
        <v>1392514.4599999997</v>
      </c>
      <c r="AB89" s="37">
        <f t="shared" si="28"/>
        <v>0.65947939934434929</v>
      </c>
      <c r="AC89" s="35"/>
      <c r="AD89" s="36">
        <v>1900163.6526901999</v>
      </c>
      <c r="AE89" s="37">
        <f t="shared" si="29"/>
        <v>0.51639219642419387</v>
      </c>
      <c r="AF89" s="58">
        <f t="shared" si="30"/>
        <v>-507649.19269020017</v>
      </c>
      <c r="AG89" s="36">
        <v>1643719.42</v>
      </c>
      <c r="AH89" s="37">
        <f t="shared" si="31"/>
        <v>0.66805905430828783</v>
      </c>
      <c r="AI89" s="58">
        <f t="shared" si="32"/>
        <v>-251204.9600000002</v>
      </c>
      <c r="AJ89" s="364">
        <f t="shared" si="33"/>
        <v>28.005439333909855</v>
      </c>
      <c r="AK89" s="365">
        <f t="shared" si="34"/>
        <v>26.796080391050879</v>
      </c>
      <c r="AL89" s="367">
        <f t="shared" si="35"/>
        <v>29.178623897182824</v>
      </c>
      <c r="AM89" s="414" t="str">
        <f t="shared" si="36"/>
        <v>14.31 pts.</v>
      </c>
      <c r="AN89" s="523" t="str">
        <f t="shared" si="37"/>
        <v>-0.86 pts.</v>
      </c>
    </row>
    <row r="90" spans="1:40" x14ac:dyDescent="0.25">
      <c r="A90" s="22" t="s">
        <v>92</v>
      </c>
      <c r="B90" s="23" t="s">
        <v>93</v>
      </c>
      <c r="C90" s="23" t="s">
        <v>94</v>
      </c>
      <c r="D90" s="23" t="s">
        <v>95</v>
      </c>
      <c r="E90" s="23" t="s">
        <v>96</v>
      </c>
      <c r="F90" s="24" t="s">
        <v>97</v>
      </c>
      <c r="O90" s="194"/>
      <c r="P90" s="289"/>
      <c r="Q90" s="289"/>
      <c r="R90" s="289"/>
      <c r="S90" s="289"/>
      <c r="T90" s="289"/>
      <c r="U90" s="289"/>
      <c r="V90" s="289"/>
      <c r="W90" s="289"/>
      <c r="X90" s="289"/>
      <c r="Y90" s="289"/>
      <c r="Z90" s="289"/>
      <c r="AA90" s="289"/>
      <c r="AB90" s="42"/>
      <c r="AD90" s="194"/>
      <c r="AE90" s="45"/>
      <c r="AF90" s="42"/>
      <c r="AG90" s="194"/>
      <c r="AH90" s="45"/>
      <c r="AI90" s="42"/>
    </row>
    <row r="91" spans="1:40" x14ac:dyDescent="0.25">
      <c r="H91" s="1" t="s">
        <v>82</v>
      </c>
      <c r="I91" s="11" t="s">
        <v>1011</v>
      </c>
      <c r="J91" s="11" t="s">
        <v>78</v>
      </c>
      <c r="N91" s="40" t="s">
        <v>1092</v>
      </c>
      <c r="O91" s="43"/>
      <c r="P91" s="46"/>
      <c r="Q91" s="46"/>
      <c r="R91" s="46"/>
      <c r="S91" s="46"/>
      <c r="T91" s="46"/>
      <c r="U91" s="46"/>
      <c r="V91" s="46"/>
      <c r="W91" s="46"/>
      <c r="X91" s="46"/>
      <c r="Y91" s="46"/>
      <c r="Z91" s="46"/>
      <c r="AA91" s="46"/>
      <c r="AB91" s="44"/>
      <c r="AD91" s="43"/>
      <c r="AE91" s="46"/>
      <c r="AF91" s="44"/>
      <c r="AG91" s="43"/>
      <c r="AH91" s="46"/>
      <c r="AI91" s="44"/>
    </row>
    <row r="92" spans="1:40" x14ac:dyDescent="0.25">
      <c r="A92" s="1" t="s">
        <v>108</v>
      </c>
      <c r="C92" s="26" t="s">
        <v>101</v>
      </c>
      <c r="D92" s="1" t="s">
        <v>106</v>
      </c>
      <c r="F92" s="1" t="s">
        <v>98</v>
      </c>
      <c r="H92" s="189" t="s">
        <v>829</v>
      </c>
      <c r="I92" s="161" t="s">
        <v>1009</v>
      </c>
      <c r="J92" s="161" t="s">
        <v>1009</v>
      </c>
      <c r="K92" s="68" t="str">
        <f t="shared" ref="K92:K118" si="38">IF(AND(I92&lt;&gt;"B1",J92="Y"),"&gt;","")</f>
        <v/>
      </c>
      <c r="L92" s="162">
        <v>701100</v>
      </c>
      <c r="M92" s="162">
        <v>690015</v>
      </c>
      <c r="N92" s="162" t="s">
        <v>1241</v>
      </c>
      <c r="O92" s="38"/>
      <c r="P92" s="38"/>
      <c r="Q92" s="38">
        <v>35</v>
      </c>
      <c r="R92" s="38"/>
      <c r="S92" s="38"/>
      <c r="T92" s="38"/>
      <c r="U92" s="38"/>
      <c r="V92" s="38"/>
      <c r="W92" s="38"/>
      <c r="X92" s="38">
        <v>1081.5</v>
      </c>
      <c r="Y92" s="38"/>
      <c r="Z92" s="38"/>
      <c r="AA92" s="310">
        <f t="shared" ref="AA92:AA119" si="39">IF($I92="B1","",SUM(O92:Z92))</f>
        <v>1116.5</v>
      </c>
      <c r="AB92" s="39">
        <f t="shared" ref="AB92:AB119" si="40">IF(AA92=0,"",IFERROR(AA92/AA$19,""))</f>
        <v>5.2876201326337836E-4</v>
      </c>
      <c r="AD92" s="38"/>
      <c r="AE92" s="39" t="str">
        <f t="shared" ref="AE92:AE119" si="41">IF(AD92=0,"",IFERROR(AD92/AD$19,""))</f>
        <v/>
      </c>
      <c r="AF92" s="132">
        <f t="shared" ref="AF92:AF119" si="42">IF(AND($AA92="",AD92=""),"",$AA92-AD92)</f>
        <v>1116.5</v>
      </c>
      <c r="AG92" s="38">
        <v>5385.3</v>
      </c>
      <c r="AH92" s="39">
        <f t="shared" ref="AH92:AH119" si="43">IF(AG92=0,"",IFERROR(AG92/AG$19,""))</f>
        <v>2.1887545899813136E-3</v>
      </c>
      <c r="AI92" s="132">
        <f t="shared" ref="AI92:AI119" si="44">IF(AND($AA92="",AG92=""),"",$AA92-AG92)</f>
        <v>-4268.8</v>
      </c>
      <c r="AJ92" s="350">
        <f t="shared" ref="AJ92:AJ119" si="45">IFERROR(AA92/AA$20,0)</f>
        <v>2.2454397361382057E-2</v>
      </c>
      <c r="AK92" s="351">
        <f t="shared" ref="AK92:AK119" si="46">IFERROR(AD92/AD$20,0)</f>
        <v>0</v>
      </c>
      <c r="AL92" s="352">
        <f t="shared" ref="AL92:AL119" si="47">IFERROR(AG92/AG$20,0)</f>
        <v>9.5597607086432473E-2</v>
      </c>
      <c r="AM92" s="387">
        <f t="shared" ref="AM92:AM119" si="48">+IFERROR(ROUND(($AB92-AE92)*100,2)&amp;" pts.",0)</f>
        <v>0</v>
      </c>
      <c r="AN92" s="386" t="str">
        <f t="shared" ref="AN92:AN119" si="49">+IFERROR(ROUND(($AB92-AH92)*100,2)&amp;" pts.",0)</f>
        <v>-0.17 pts.</v>
      </c>
    </row>
    <row r="93" spans="1:40" x14ac:dyDescent="0.25">
      <c r="A93" s="1" t="s">
        <v>100</v>
      </c>
      <c r="C93" s="8" t="s">
        <v>101</v>
      </c>
      <c r="D93" s="1" t="s">
        <v>106</v>
      </c>
      <c r="F93" s="1" t="s">
        <v>98</v>
      </c>
      <c r="G93" s="14"/>
      <c r="H93" s="189" t="s">
        <v>830</v>
      </c>
      <c r="I93" s="161" t="s">
        <v>1009</v>
      </c>
      <c r="J93" s="161" t="s">
        <v>1009</v>
      </c>
      <c r="K93" s="68" t="str">
        <f t="shared" si="38"/>
        <v/>
      </c>
      <c r="L93" s="162">
        <v>701200</v>
      </c>
      <c r="M93" s="162">
        <v>690010</v>
      </c>
      <c r="N93" s="162" t="s">
        <v>1242</v>
      </c>
      <c r="O93" s="38"/>
      <c r="P93" s="38"/>
      <c r="Q93" s="38"/>
      <c r="R93" s="38"/>
      <c r="S93" s="38"/>
      <c r="T93" s="38">
        <v>34.299999999999997</v>
      </c>
      <c r="U93" s="38"/>
      <c r="V93" s="38"/>
      <c r="W93" s="38"/>
      <c r="X93" s="38"/>
      <c r="Y93" s="38"/>
      <c r="Z93" s="38"/>
      <c r="AA93" s="310">
        <f t="shared" si="39"/>
        <v>34.299999999999997</v>
      </c>
      <c r="AB93" s="39">
        <f t="shared" si="40"/>
        <v>1.6244099467025415E-5</v>
      </c>
      <c r="AD93" s="38"/>
      <c r="AE93" s="39" t="str">
        <f t="shared" si="41"/>
        <v/>
      </c>
      <c r="AF93" s="132">
        <f t="shared" si="42"/>
        <v>34.299999999999997</v>
      </c>
      <c r="AG93" s="38"/>
      <c r="AH93" s="39" t="str">
        <f t="shared" si="43"/>
        <v/>
      </c>
      <c r="AI93" s="132">
        <f t="shared" si="44"/>
        <v>34.299999999999997</v>
      </c>
      <c r="AJ93" s="350">
        <f t="shared" si="45"/>
        <v>6.8982161172897853E-4</v>
      </c>
      <c r="AK93" s="351">
        <f t="shared" si="46"/>
        <v>0</v>
      </c>
      <c r="AL93" s="352">
        <f t="shared" si="47"/>
        <v>0</v>
      </c>
      <c r="AM93" s="387">
        <f t="shared" si="48"/>
        <v>0</v>
      </c>
      <c r="AN93" s="386">
        <f t="shared" si="49"/>
        <v>0</v>
      </c>
    </row>
    <row r="94" spans="1:40" x14ac:dyDescent="0.25">
      <c r="A94" s="1" t="s">
        <v>109</v>
      </c>
      <c r="C94" s="25" t="s">
        <v>101</v>
      </c>
      <c r="D94" s="1" t="s">
        <v>106</v>
      </c>
      <c r="F94" s="1" t="s">
        <v>98</v>
      </c>
      <c r="H94" s="189" t="s">
        <v>869</v>
      </c>
      <c r="I94" s="161" t="s">
        <v>1009</v>
      </c>
      <c r="J94" s="161" t="s">
        <v>1009</v>
      </c>
      <c r="K94" s="68" t="str">
        <f t="shared" si="38"/>
        <v/>
      </c>
      <c r="L94" s="162">
        <v>701300</v>
      </c>
      <c r="M94" s="162">
        <v>690205</v>
      </c>
      <c r="N94" s="162" t="s">
        <v>1093</v>
      </c>
      <c r="O94" s="38"/>
      <c r="P94" s="38"/>
      <c r="Q94" s="38">
        <v>455</v>
      </c>
      <c r="R94" s="38">
        <v>546</v>
      </c>
      <c r="S94" s="38">
        <v>-308.45999999999998</v>
      </c>
      <c r="T94" s="38"/>
      <c r="U94" s="38">
        <v>498</v>
      </c>
      <c r="V94" s="38">
        <v>-238</v>
      </c>
      <c r="W94" s="38">
        <v>239.23</v>
      </c>
      <c r="X94" s="38">
        <v>492</v>
      </c>
      <c r="Y94" s="38">
        <v>-896.75</v>
      </c>
      <c r="Z94" s="38"/>
      <c r="AA94" s="310">
        <f t="shared" si="39"/>
        <v>787.02</v>
      </c>
      <c r="AB94" s="39">
        <f t="shared" si="40"/>
        <v>3.7272394059878548E-4</v>
      </c>
      <c r="AD94" s="38">
        <v>6292.9894549999999</v>
      </c>
      <c r="AE94" s="39">
        <f t="shared" si="41"/>
        <v>1.7101951414242524E-3</v>
      </c>
      <c r="AF94" s="132">
        <f t="shared" si="42"/>
        <v>-5505.9694550000004</v>
      </c>
      <c r="AG94" s="38">
        <v>4717.66</v>
      </c>
      <c r="AH94" s="39">
        <f t="shared" si="43"/>
        <v>1.9174047832007954E-3</v>
      </c>
      <c r="AI94" s="132">
        <f t="shared" si="44"/>
        <v>-3930.64</v>
      </c>
      <c r="AJ94" s="350">
        <f t="shared" si="45"/>
        <v>1.5828087605333548E-2</v>
      </c>
      <c r="AK94" s="351">
        <f t="shared" si="46"/>
        <v>8.8743646420916061E-2</v>
      </c>
      <c r="AL94" s="352">
        <f t="shared" si="47"/>
        <v>8.3745939325084756E-2</v>
      </c>
      <c r="AM94" s="387" t="str">
        <f t="shared" si="48"/>
        <v>-0.13 pts.</v>
      </c>
      <c r="AN94" s="386" t="str">
        <f t="shared" si="49"/>
        <v>-0.15 pts.</v>
      </c>
    </row>
    <row r="95" spans="1:40" x14ac:dyDescent="0.25">
      <c r="A95" s="1" t="s">
        <v>109</v>
      </c>
      <c r="C95" s="151" t="s">
        <v>101</v>
      </c>
      <c r="D95" s="1" t="s">
        <v>107</v>
      </c>
      <c r="F95" s="1" t="s">
        <v>99</v>
      </c>
      <c r="H95" s="189" t="s">
        <v>832</v>
      </c>
      <c r="I95" s="161" t="s">
        <v>1064</v>
      </c>
      <c r="J95" s="161" t="s">
        <v>78</v>
      </c>
      <c r="K95" s="68" t="str">
        <f t="shared" si="38"/>
        <v>&gt;</v>
      </c>
      <c r="L95" s="162">
        <v>701500</v>
      </c>
      <c r="M95" s="162"/>
      <c r="N95" s="162" t="s">
        <v>1094</v>
      </c>
      <c r="O95" s="38">
        <v>2889.37</v>
      </c>
      <c r="P95" s="38">
        <v>1734.99</v>
      </c>
      <c r="Q95" s="38">
        <v>3483.46</v>
      </c>
      <c r="R95" s="38">
        <v>3372.2</v>
      </c>
      <c r="S95" s="38">
        <v>3176.72</v>
      </c>
      <c r="T95" s="38">
        <v>2972.65</v>
      </c>
      <c r="U95" s="38">
        <v>2199.4499999999998</v>
      </c>
      <c r="V95" s="38">
        <v>1303.6199999999999</v>
      </c>
      <c r="W95" s="38">
        <v>2408.16</v>
      </c>
      <c r="X95" s="38">
        <v>2956.46</v>
      </c>
      <c r="Y95" s="38">
        <v>1868.91</v>
      </c>
      <c r="Z95" s="38">
        <v>4003.61</v>
      </c>
      <c r="AA95" s="310">
        <f t="shared" si="39"/>
        <v>32369.599999999999</v>
      </c>
      <c r="AB95" s="39">
        <f t="shared" si="40"/>
        <v>1.5329883443376848E-2</v>
      </c>
      <c r="AD95" s="38">
        <v>34707.519999999997</v>
      </c>
      <c r="AE95" s="39">
        <f t="shared" si="41"/>
        <v>9.4321836226380681E-3</v>
      </c>
      <c r="AF95" s="132">
        <f t="shared" si="42"/>
        <v>-2337.9199999999983</v>
      </c>
      <c r="AG95" s="38">
        <v>37661.699999999997</v>
      </c>
      <c r="AH95" s="39">
        <f t="shared" si="43"/>
        <v>1.5306894461125514E-2</v>
      </c>
      <c r="AI95" s="132">
        <f t="shared" si="44"/>
        <v>-5292.0999999999985</v>
      </c>
      <c r="AJ95" s="350">
        <f t="shared" si="45"/>
        <v>0.65099853186654055</v>
      </c>
      <c r="AK95" s="351">
        <f t="shared" si="46"/>
        <v>0.48944494584837539</v>
      </c>
      <c r="AL95" s="352">
        <f t="shared" si="47"/>
        <v>0.66855484351978411</v>
      </c>
      <c r="AM95" s="387" t="str">
        <f t="shared" si="48"/>
        <v>0.59 pts.</v>
      </c>
      <c r="AN95" s="386" t="str">
        <f t="shared" si="49"/>
        <v>0 pts.</v>
      </c>
    </row>
    <row r="96" spans="1:40" x14ac:dyDescent="0.25">
      <c r="A96" s="1" t="s">
        <v>110</v>
      </c>
      <c r="C96" s="25" t="s">
        <v>101</v>
      </c>
      <c r="D96" s="1" t="s">
        <v>106</v>
      </c>
      <c r="F96" s="1" t="s">
        <v>98</v>
      </c>
      <c r="H96" s="189" t="s">
        <v>856</v>
      </c>
      <c r="I96" s="161" t="s">
        <v>1009</v>
      </c>
      <c r="J96" s="161" t="s">
        <v>1009</v>
      </c>
      <c r="K96" s="68" t="str">
        <f t="shared" si="38"/>
        <v/>
      </c>
      <c r="L96" s="162">
        <v>701600</v>
      </c>
      <c r="M96" s="162">
        <v>590015</v>
      </c>
      <c r="N96" s="162" t="s">
        <v>1095</v>
      </c>
      <c r="O96" s="38">
        <v>794.25</v>
      </c>
      <c r="P96" s="38">
        <v>167.05</v>
      </c>
      <c r="Q96" s="38">
        <v>1099.97</v>
      </c>
      <c r="R96" s="38">
        <v>452.89</v>
      </c>
      <c r="S96" s="38">
        <v>843.8</v>
      </c>
      <c r="T96" s="38">
        <v>368.56</v>
      </c>
      <c r="U96" s="38">
        <v>1003</v>
      </c>
      <c r="V96" s="38">
        <v>508.3</v>
      </c>
      <c r="W96" s="38">
        <v>255.04</v>
      </c>
      <c r="X96" s="38">
        <v>1024.93</v>
      </c>
      <c r="Y96" s="38">
        <v>-311.33999999999997</v>
      </c>
      <c r="Z96" s="38">
        <v>1382.66</v>
      </c>
      <c r="AA96" s="310">
        <f t="shared" si="39"/>
        <v>7589.1100000000006</v>
      </c>
      <c r="AB96" s="39">
        <f t="shared" si="40"/>
        <v>3.5941183004722234E-3</v>
      </c>
      <c r="AD96" s="38">
        <v>13534.53</v>
      </c>
      <c r="AE96" s="39">
        <f t="shared" si="41"/>
        <v>3.6781703851529479E-3</v>
      </c>
      <c r="AF96" s="132">
        <f t="shared" si="42"/>
        <v>-5945.42</v>
      </c>
      <c r="AG96" s="38">
        <v>11720.79</v>
      </c>
      <c r="AH96" s="39">
        <f t="shared" si="43"/>
        <v>4.7636961563342958E-3</v>
      </c>
      <c r="AI96" s="132">
        <f t="shared" si="44"/>
        <v>-4131.68</v>
      </c>
      <c r="AJ96" s="350">
        <f t="shared" si="45"/>
        <v>0.15262775777809062</v>
      </c>
      <c r="AK96" s="351">
        <f t="shared" si="46"/>
        <v>0.19086374661552347</v>
      </c>
      <c r="AL96" s="352">
        <f t="shared" si="47"/>
        <v>0.20806259208634373</v>
      </c>
      <c r="AM96" s="387" t="str">
        <f t="shared" si="48"/>
        <v>-0.01 pts.</v>
      </c>
      <c r="AN96" s="386" t="str">
        <f t="shared" si="49"/>
        <v>-0.12 pts.</v>
      </c>
    </row>
    <row r="97" spans="1:40" x14ac:dyDescent="0.25">
      <c r="A97" s="1" t="s">
        <v>110</v>
      </c>
      <c r="C97" s="29" t="s">
        <v>101</v>
      </c>
      <c r="D97" s="1" t="s">
        <v>107</v>
      </c>
      <c r="F97" s="1" t="s">
        <v>99</v>
      </c>
      <c r="H97" s="189" t="s">
        <v>870</v>
      </c>
      <c r="I97" s="161" t="s">
        <v>1009</v>
      </c>
      <c r="J97" s="161" t="s">
        <v>1009</v>
      </c>
      <c r="K97" s="68" t="str">
        <f t="shared" si="38"/>
        <v/>
      </c>
      <c r="L97" s="162">
        <v>701700</v>
      </c>
      <c r="M97" s="162">
        <v>590026</v>
      </c>
      <c r="N97" s="162" t="s">
        <v>1243</v>
      </c>
      <c r="O97" s="38">
        <v>632.76</v>
      </c>
      <c r="P97" s="38">
        <v>591.13</v>
      </c>
      <c r="Q97" s="38">
        <v>1253.08</v>
      </c>
      <c r="R97" s="38">
        <v>777.73</v>
      </c>
      <c r="S97" s="38">
        <v>458.59</v>
      </c>
      <c r="T97" s="38">
        <v>351.79</v>
      </c>
      <c r="U97" s="38">
        <v>825.32</v>
      </c>
      <c r="V97" s="38">
        <v>272.99</v>
      </c>
      <c r="W97" s="38">
        <v>1038.27</v>
      </c>
      <c r="X97" s="38">
        <v>861.1</v>
      </c>
      <c r="Y97" s="38">
        <v>360.87</v>
      </c>
      <c r="Z97" s="38">
        <v>988.39</v>
      </c>
      <c r="AA97" s="310">
        <f t="shared" si="39"/>
        <v>8412.02</v>
      </c>
      <c r="AB97" s="39">
        <f t="shared" si="40"/>
        <v>3.9838393468981676E-3</v>
      </c>
      <c r="AD97" s="38">
        <v>11032.232092164</v>
      </c>
      <c r="AE97" s="39">
        <f t="shared" si="41"/>
        <v>2.9981410040490191E-3</v>
      </c>
      <c r="AF97" s="132">
        <f t="shared" si="42"/>
        <v>-2620.2120921639998</v>
      </c>
      <c r="AG97" s="38">
        <v>9448.4699999999993</v>
      </c>
      <c r="AH97" s="39">
        <f t="shared" si="43"/>
        <v>3.8401541382654153E-3</v>
      </c>
      <c r="AI97" s="132">
        <f t="shared" si="44"/>
        <v>-1036.4499999999989</v>
      </c>
      <c r="AJ97" s="350">
        <f t="shared" si="45"/>
        <v>0.16917764414858316</v>
      </c>
      <c r="AK97" s="351">
        <f t="shared" si="46"/>
        <v>0.155576377653486</v>
      </c>
      <c r="AL97" s="352">
        <f t="shared" si="47"/>
        <v>0.16772531198409457</v>
      </c>
      <c r="AM97" s="387" t="str">
        <f t="shared" si="48"/>
        <v>0.1 pts.</v>
      </c>
      <c r="AN97" s="386" t="str">
        <f t="shared" si="49"/>
        <v>0.01 pts.</v>
      </c>
    </row>
    <row r="98" spans="1:40" x14ac:dyDescent="0.25">
      <c r="C98" s="32"/>
      <c r="H98" s="189" t="s">
        <v>871</v>
      </c>
      <c r="I98" s="161" t="s">
        <v>1009</v>
      </c>
      <c r="J98" s="161" t="s">
        <v>1009</v>
      </c>
      <c r="K98" s="68" t="str">
        <f t="shared" si="38"/>
        <v/>
      </c>
      <c r="L98" s="162">
        <v>701780</v>
      </c>
      <c r="M98" s="162">
        <v>691070</v>
      </c>
      <c r="N98" s="162" t="s">
        <v>1244</v>
      </c>
      <c r="O98" s="38"/>
      <c r="P98" s="38"/>
      <c r="Q98" s="38">
        <v>279.85000000000002</v>
      </c>
      <c r="R98" s="38"/>
      <c r="S98" s="38"/>
      <c r="T98" s="38"/>
      <c r="U98" s="38"/>
      <c r="V98" s="38"/>
      <c r="W98" s="38"/>
      <c r="X98" s="38"/>
      <c r="Y98" s="38"/>
      <c r="Z98" s="38"/>
      <c r="AA98" s="310">
        <f t="shared" si="39"/>
        <v>279.85000000000002</v>
      </c>
      <c r="AB98" s="39">
        <f t="shared" si="40"/>
        <v>1.3253385527250912E-4</v>
      </c>
      <c r="AD98" s="38"/>
      <c r="AE98" s="39" t="str">
        <f t="shared" si="41"/>
        <v/>
      </c>
      <c r="AF98" s="132">
        <f t="shared" si="42"/>
        <v>279.85000000000002</v>
      </c>
      <c r="AG98" s="38">
        <v>73.790000000000006</v>
      </c>
      <c r="AH98" s="39">
        <f t="shared" si="43"/>
        <v>2.9990567135483845E-5</v>
      </c>
      <c r="AI98" s="132">
        <f t="shared" si="44"/>
        <v>206.06</v>
      </c>
      <c r="AJ98" s="350">
        <f t="shared" si="45"/>
        <v>5.6281801178529054E-3</v>
      </c>
      <c r="AK98" s="351">
        <f t="shared" si="46"/>
        <v>0</v>
      </c>
      <c r="AL98" s="352">
        <f t="shared" si="47"/>
        <v>1.3098894076296311E-3</v>
      </c>
      <c r="AM98" s="387">
        <f t="shared" si="48"/>
        <v>0</v>
      </c>
      <c r="AN98" s="386" t="str">
        <f t="shared" si="49"/>
        <v>0.01 pts.</v>
      </c>
    </row>
    <row r="99" spans="1:40" x14ac:dyDescent="0.25">
      <c r="C99" s="32"/>
      <c r="H99" s="189" t="s">
        <v>857</v>
      </c>
      <c r="I99" s="161" t="s">
        <v>1009</v>
      </c>
      <c r="J99" s="161" t="s">
        <v>1009</v>
      </c>
      <c r="K99" s="68" t="str">
        <f t="shared" si="38"/>
        <v/>
      </c>
      <c r="L99" s="162">
        <v>701900</v>
      </c>
      <c r="M99" s="162">
        <v>590047</v>
      </c>
      <c r="N99" s="162" t="s">
        <v>1245</v>
      </c>
      <c r="O99" s="38"/>
      <c r="P99" s="38"/>
      <c r="Q99" s="38"/>
      <c r="R99" s="38"/>
      <c r="S99" s="38"/>
      <c r="T99" s="38"/>
      <c r="U99" s="38"/>
      <c r="V99" s="38"/>
      <c r="W99" s="38">
        <v>73.599999999999994</v>
      </c>
      <c r="X99" s="38"/>
      <c r="Y99" s="38"/>
      <c r="Z99" s="38"/>
      <c r="AA99" s="310">
        <f t="shared" si="39"/>
        <v>73.599999999999994</v>
      </c>
      <c r="AB99" s="39">
        <f t="shared" si="40"/>
        <v>3.4856143462771732E-5</v>
      </c>
      <c r="AD99" s="38"/>
      <c r="AE99" s="39" t="str">
        <f t="shared" si="41"/>
        <v/>
      </c>
      <c r="AF99" s="132">
        <f t="shared" si="42"/>
        <v>73.599999999999994</v>
      </c>
      <c r="AG99" s="38"/>
      <c r="AH99" s="39" t="str">
        <f t="shared" si="43"/>
        <v/>
      </c>
      <c r="AI99" s="132">
        <f t="shared" si="44"/>
        <v>73.599999999999994</v>
      </c>
      <c r="AJ99" s="350">
        <f t="shared" si="45"/>
        <v>1.4802003097158256E-3</v>
      </c>
      <c r="AK99" s="351">
        <f t="shared" si="46"/>
        <v>0</v>
      </c>
      <c r="AL99" s="352">
        <f t="shared" si="47"/>
        <v>0</v>
      </c>
      <c r="AM99" s="387">
        <f t="shared" si="48"/>
        <v>0</v>
      </c>
      <c r="AN99" s="386">
        <f t="shared" si="49"/>
        <v>0</v>
      </c>
    </row>
    <row r="100" spans="1:40" x14ac:dyDescent="0.25">
      <c r="A100" s="4" t="s">
        <v>988</v>
      </c>
      <c r="B100" s="1" t="s">
        <v>736</v>
      </c>
      <c r="H100" s="189" t="s">
        <v>872</v>
      </c>
      <c r="I100" s="161" t="s">
        <v>1009</v>
      </c>
      <c r="J100" s="161" t="s">
        <v>1009</v>
      </c>
      <c r="K100" s="68" t="str">
        <f t="shared" si="38"/>
        <v/>
      </c>
      <c r="L100" s="162">
        <v>702000</v>
      </c>
      <c r="M100" s="162">
        <v>590031</v>
      </c>
      <c r="N100" s="162" t="s">
        <v>1246</v>
      </c>
      <c r="O100" s="38">
        <v>2200.15</v>
      </c>
      <c r="P100" s="38">
        <v>1502.49</v>
      </c>
      <c r="Q100" s="38">
        <v>2003.17</v>
      </c>
      <c r="R100" s="38">
        <v>2231.15</v>
      </c>
      <c r="S100" s="38">
        <v>1281.19</v>
      </c>
      <c r="T100" s="38">
        <v>1463.09</v>
      </c>
      <c r="U100" s="38">
        <v>1282.99</v>
      </c>
      <c r="V100" s="38">
        <v>1635.17</v>
      </c>
      <c r="W100" s="38">
        <v>825.98</v>
      </c>
      <c r="X100" s="38">
        <v>1375.73</v>
      </c>
      <c r="Y100" s="38">
        <v>700.35</v>
      </c>
      <c r="Z100" s="38">
        <v>2172.4699999999998</v>
      </c>
      <c r="AA100" s="310">
        <f t="shared" si="39"/>
        <v>18673.93</v>
      </c>
      <c r="AB100" s="39">
        <f t="shared" si="40"/>
        <v>8.8437660746434384E-3</v>
      </c>
      <c r="AD100" s="38">
        <v>17100.919999999998</v>
      </c>
      <c r="AE100" s="39">
        <f t="shared" si="41"/>
        <v>4.6473795176389379E-3</v>
      </c>
      <c r="AF100" s="132">
        <f t="shared" si="42"/>
        <v>1573.010000000002</v>
      </c>
      <c r="AG100" s="38">
        <v>30474.87</v>
      </c>
      <c r="AH100" s="39">
        <f t="shared" si="43"/>
        <v>1.2385941654426649E-2</v>
      </c>
      <c r="AI100" s="132">
        <f t="shared" si="44"/>
        <v>-11800.939999999999</v>
      </c>
      <c r="AJ100" s="350">
        <f t="shared" si="45"/>
        <v>0.37555919795668002</v>
      </c>
      <c r="AK100" s="351">
        <f t="shared" si="46"/>
        <v>0.24115692689530682</v>
      </c>
      <c r="AL100" s="352">
        <f t="shared" si="47"/>
        <v>0.54097722471730603</v>
      </c>
      <c r="AM100" s="387" t="str">
        <f t="shared" si="48"/>
        <v>0.42 pts.</v>
      </c>
      <c r="AN100" s="386" t="str">
        <f t="shared" si="49"/>
        <v>-0.35 pts.</v>
      </c>
    </row>
    <row r="101" spans="1:40" x14ac:dyDescent="0.25">
      <c r="H101" s="189" t="s">
        <v>858</v>
      </c>
      <c r="I101" s="161" t="s">
        <v>1009</v>
      </c>
      <c r="J101" s="161" t="s">
        <v>1009</v>
      </c>
      <c r="K101" s="68" t="str">
        <f t="shared" si="38"/>
        <v/>
      </c>
      <c r="L101" s="162">
        <v>702300</v>
      </c>
      <c r="M101" s="162">
        <v>590040</v>
      </c>
      <c r="N101" s="162" t="s">
        <v>1097</v>
      </c>
      <c r="O101" s="38">
        <v>221.32</v>
      </c>
      <c r="P101" s="38">
        <v>500</v>
      </c>
      <c r="Q101" s="38">
        <v>200</v>
      </c>
      <c r="R101" s="38">
        <v>200</v>
      </c>
      <c r="S101" s="38"/>
      <c r="T101" s="38">
        <v>-59.06</v>
      </c>
      <c r="U101" s="38">
        <v>190.09</v>
      </c>
      <c r="V101" s="38"/>
      <c r="W101" s="38"/>
      <c r="X101" s="38">
        <v>207.46</v>
      </c>
      <c r="Y101" s="38">
        <v>-207.46</v>
      </c>
      <c r="Z101" s="38">
        <v>30.18</v>
      </c>
      <c r="AA101" s="310">
        <f t="shared" si="39"/>
        <v>1282.53</v>
      </c>
      <c r="AB101" s="39">
        <f t="shared" si="40"/>
        <v>6.0739197928408469E-4</v>
      </c>
      <c r="AD101" s="38">
        <v>2335</v>
      </c>
      <c r="AE101" s="39">
        <f t="shared" si="41"/>
        <v>6.3456417395595804E-4</v>
      </c>
      <c r="AF101" s="132">
        <f t="shared" si="42"/>
        <v>-1052.47</v>
      </c>
      <c r="AG101" s="38">
        <v>2358.75</v>
      </c>
      <c r="AH101" s="39">
        <f t="shared" si="43"/>
        <v>9.5866987709476237E-4</v>
      </c>
      <c r="AI101" s="132">
        <f t="shared" si="44"/>
        <v>-1076.22</v>
      </c>
      <c r="AJ101" s="350">
        <f t="shared" si="45"/>
        <v>2.579349596766084E-2</v>
      </c>
      <c r="AK101" s="351">
        <f t="shared" si="46"/>
        <v>3.2928136281588451E-2</v>
      </c>
      <c r="AL101" s="352">
        <f t="shared" si="47"/>
        <v>4.1871549535796068E-2</v>
      </c>
      <c r="AM101" s="387" t="str">
        <f t="shared" si="48"/>
        <v>0 pts.</v>
      </c>
      <c r="AN101" s="386" t="str">
        <f t="shared" si="49"/>
        <v>-0.04 pts.</v>
      </c>
    </row>
    <row r="102" spans="1:40" x14ac:dyDescent="0.25">
      <c r="A102" s="3" t="s">
        <v>0</v>
      </c>
      <c r="B102" s="5" t="s">
        <v>1</v>
      </c>
      <c r="H102" s="189" t="s">
        <v>873</v>
      </c>
      <c r="I102" s="161" t="s">
        <v>1009</v>
      </c>
      <c r="J102" s="161" t="s">
        <v>1009</v>
      </c>
      <c r="K102" s="68" t="str">
        <f t="shared" si="38"/>
        <v/>
      </c>
      <c r="L102" s="162">
        <v>702580</v>
      </c>
      <c r="M102" s="162">
        <v>590166</v>
      </c>
      <c r="N102" s="162" t="s">
        <v>1160</v>
      </c>
      <c r="O102" s="38">
        <v>315.66000000000003</v>
      </c>
      <c r="P102" s="38">
        <v>-57.06</v>
      </c>
      <c r="Q102" s="38">
        <v>444</v>
      </c>
      <c r="R102" s="38">
        <v>189</v>
      </c>
      <c r="S102" s="38">
        <v>182</v>
      </c>
      <c r="T102" s="38">
        <v>410</v>
      </c>
      <c r="U102" s="38">
        <v>-2</v>
      </c>
      <c r="V102" s="38">
        <v>122</v>
      </c>
      <c r="W102" s="38">
        <v>399.42</v>
      </c>
      <c r="X102" s="38">
        <v>-67</v>
      </c>
      <c r="Y102" s="38">
        <v>-148</v>
      </c>
      <c r="Z102" s="38">
        <v>74</v>
      </c>
      <c r="AA102" s="310">
        <f t="shared" si="39"/>
        <v>1862.02</v>
      </c>
      <c r="AB102" s="39">
        <f t="shared" si="40"/>
        <v>8.8183201427378033E-4</v>
      </c>
      <c r="AD102" s="38">
        <v>5559.96</v>
      </c>
      <c r="AE102" s="39">
        <f t="shared" si="41"/>
        <v>1.510985620825768E-3</v>
      </c>
      <c r="AF102" s="132">
        <f t="shared" si="42"/>
        <v>-3697.94</v>
      </c>
      <c r="AG102" s="38">
        <v>4861.8</v>
      </c>
      <c r="AH102" s="39">
        <f t="shared" si="43"/>
        <v>1.9759877937294396E-3</v>
      </c>
      <c r="AI102" s="132">
        <f t="shared" si="44"/>
        <v>-2999.78</v>
      </c>
      <c r="AJ102" s="350">
        <f t="shared" si="45"/>
        <v>3.7447861150775294E-2</v>
      </c>
      <c r="AK102" s="351">
        <f t="shared" si="46"/>
        <v>7.840647563176896E-2</v>
      </c>
      <c r="AL102" s="352">
        <f t="shared" si="47"/>
        <v>8.6304652690252615E-2</v>
      </c>
      <c r="AM102" s="387" t="str">
        <f t="shared" si="48"/>
        <v>-0.06 pts.</v>
      </c>
      <c r="AN102" s="386" t="str">
        <f t="shared" si="49"/>
        <v>-0.11 pts.</v>
      </c>
    </row>
    <row r="103" spans="1:40" x14ac:dyDescent="0.25">
      <c r="A103" s="6" t="s">
        <v>2</v>
      </c>
      <c r="B103" s="16" t="s">
        <v>1193</v>
      </c>
      <c r="H103" s="189" t="s">
        <v>833</v>
      </c>
      <c r="I103" s="161" t="s">
        <v>1064</v>
      </c>
      <c r="J103" s="161" t="s">
        <v>78</v>
      </c>
      <c r="K103" s="68" t="str">
        <f t="shared" si="38"/>
        <v>&gt;</v>
      </c>
      <c r="L103" s="162"/>
      <c r="M103" s="162"/>
      <c r="N103" s="162" t="s">
        <v>1099</v>
      </c>
      <c r="O103" s="38">
        <v>4815</v>
      </c>
      <c r="P103" s="38">
        <v>5250</v>
      </c>
      <c r="Q103" s="38">
        <v>6101.58</v>
      </c>
      <c r="R103" s="38">
        <v>5285.47</v>
      </c>
      <c r="S103" s="38">
        <v>5094</v>
      </c>
      <c r="T103" s="38">
        <v>6356</v>
      </c>
      <c r="U103" s="38">
        <v>4794</v>
      </c>
      <c r="V103" s="38">
        <v>6374.2</v>
      </c>
      <c r="W103" s="38">
        <v>6514.38</v>
      </c>
      <c r="X103" s="38">
        <v>4906.49</v>
      </c>
      <c r="Y103" s="38">
        <v>4794</v>
      </c>
      <c r="Z103" s="38">
        <v>5714</v>
      </c>
      <c r="AA103" s="310">
        <f t="shared" si="39"/>
        <v>65999.12</v>
      </c>
      <c r="AB103" s="39">
        <f t="shared" si="40"/>
        <v>3.12564510208789E-2</v>
      </c>
      <c r="AD103" s="38">
        <v>65460</v>
      </c>
      <c r="AE103" s="39">
        <f t="shared" si="41"/>
        <v>1.7789537827476238E-2</v>
      </c>
      <c r="AF103" s="132">
        <f t="shared" si="42"/>
        <v>539.11999999999534</v>
      </c>
      <c r="AG103" s="38">
        <v>74074</v>
      </c>
      <c r="AH103" s="39">
        <f t="shared" si="43"/>
        <v>3.0105993630489634E-2</v>
      </c>
      <c r="AI103" s="132">
        <f t="shared" si="44"/>
        <v>-8074.8800000000047</v>
      </c>
      <c r="AJ103" s="350">
        <f t="shared" si="45"/>
        <v>1.327335840556684</v>
      </c>
      <c r="AK103" s="351">
        <f t="shared" si="46"/>
        <v>0.92311597472924189</v>
      </c>
      <c r="AL103" s="352">
        <f t="shared" si="47"/>
        <v>1.3149308575790388</v>
      </c>
      <c r="AM103" s="387" t="str">
        <f t="shared" si="48"/>
        <v>1.35 pts.</v>
      </c>
      <c r="AN103" s="386" t="str">
        <f t="shared" si="49"/>
        <v>0.12 pts.</v>
      </c>
    </row>
    <row r="104" spans="1:40" x14ac:dyDescent="0.25">
      <c r="A104" s="6" t="s">
        <v>3</v>
      </c>
      <c r="B104" s="16" t="s">
        <v>1194</v>
      </c>
      <c r="H104" s="189" t="s">
        <v>834</v>
      </c>
      <c r="I104" s="161" t="s">
        <v>1064</v>
      </c>
      <c r="J104" s="161" t="s">
        <v>78</v>
      </c>
      <c r="K104" s="68" t="str">
        <f t="shared" si="38"/>
        <v>&gt;</v>
      </c>
      <c r="L104" s="162"/>
      <c r="M104" s="162"/>
      <c r="N104" s="162" t="s">
        <v>1100</v>
      </c>
      <c r="O104" s="38">
        <v>60.01</v>
      </c>
      <c r="P104" s="38">
        <v>95.21</v>
      </c>
      <c r="Q104" s="38">
        <v>19.57</v>
      </c>
      <c r="R104" s="38"/>
      <c r="S104" s="38">
        <v>1874.74</v>
      </c>
      <c r="T104" s="38">
        <v>243.55</v>
      </c>
      <c r="U104" s="38"/>
      <c r="V104" s="38"/>
      <c r="W104" s="38">
        <v>1119.24</v>
      </c>
      <c r="X104" s="38">
        <v>31.71</v>
      </c>
      <c r="Y104" s="38">
        <v>179.52</v>
      </c>
      <c r="Z104" s="38"/>
      <c r="AA104" s="310">
        <f t="shared" si="39"/>
        <v>3623.5500000000006</v>
      </c>
      <c r="AB104" s="39">
        <f t="shared" si="40"/>
        <v>1.7160730794093281E-3</v>
      </c>
      <c r="AD104" s="38">
        <v>4250</v>
      </c>
      <c r="AE104" s="39">
        <f t="shared" si="41"/>
        <v>1.1549883251875039E-3</v>
      </c>
      <c r="AF104" s="132">
        <f t="shared" si="42"/>
        <v>-626.44999999999936</v>
      </c>
      <c r="AG104" s="38">
        <v>13298.15</v>
      </c>
      <c r="AH104" s="39">
        <f t="shared" si="43"/>
        <v>5.4047846639481562E-3</v>
      </c>
      <c r="AI104" s="132">
        <f t="shared" si="44"/>
        <v>-9674.5999999999985</v>
      </c>
      <c r="AJ104" s="350">
        <f t="shared" si="45"/>
        <v>7.2874725981939961E-2</v>
      </c>
      <c r="AK104" s="351">
        <f t="shared" si="46"/>
        <v>5.9933438628158843E-2</v>
      </c>
      <c r="AL104" s="352">
        <f t="shared" si="47"/>
        <v>0.23606323114337954</v>
      </c>
      <c r="AM104" s="387" t="str">
        <f t="shared" si="48"/>
        <v>0.06 pts.</v>
      </c>
      <c r="AN104" s="386" t="str">
        <f t="shared" si="49"/>
        <v>-0.37 pts.</v>
      </c>
    </row>
    <row r="105" spans="1:40" x14ac:dyDescent="0.25">
      <c r="A105" s="6" t="s">
        <v>4</v>
      </c>
      <c r="B105" s="16" t="s">
        <v>1240</v>
      </c>
      <c r="H105" s="189" t="s">
        <v>835</v>
      </c>
      <c r="I105" s="161" t="s">
        <v>1064</v>
      </c>
      <c r="J105" s="161" t="s">
        <v>78</v>
      </c>
      <c r="K105" s="68" t="str">
        <f t="shared" si="38"/>
        <v>&gt;</v>
      </c>
      <c r="L105" s="162">
        <v>702900</v>
      </c>
      <c r="M105" s="162"/>
      <c r="N105" s="162" t="s">
        <v>1101</v>
      </c>
      <c r="O105" s="38"/>
      <c r="P105" s="38"/>
      <c r="Q105" s="38"/>
      <c r="R105" s="38"/>
      <c r="S105" s="38"/>
      <c r="T105" s="38"/>
      <c r="U105" s="38"/>
      <c r="V105" s="38"/>
      <c r="W105" s="38"/>
      <c r="X105" s="38"/>
      <c r="Y105" s="38"/>
      <c r="Z105" s="38"/>
      <c r="AA105" s="310">
        <f t="shared" si="39"/>
        <v>0</v>
      </c>
      <c r="AB105" s="39" t="str">
        <f t="shared" si="40"/>
        <v/>
      </c>
      <c r="AD105" s="38">
        <v>2200</v>
      </c>
      <c r="AE105" s="39">
        <f t="shared" si="41"/>
        <v>5.9787630950882558E-4</v>
      </c>
      <c r="AF105" s="132">
        <f t="shared" si="42"/>
        <v>-2200</v>
      </c>
      <c r="AG105" s="38">
        <v>4303.71</v>
      </c>
      <c r="AH105" s="39">
        <f t="shared" si="43"/>
        <v>1.7491625381034445E-3</v>
      </c>
      <c r="AI105" s="132">
        <f t="shared" si="44"/>
        <v>-4303.71</v>
      </c>
      <c r="AJ105" s="350">
        <f t="shared" si="45"/>
        <v>0</v>
      </c>
      <c r="AK105" s="351">
        <f t="shared" si="46"/>
        <v>3.1024368231046932E-2</v>
      </c>
      <c r="AL105" s="352">
        <f t="shared" si="47"/>
        <v>7.6397670992136055E-2</v>
      </c>
      <c r="AM105" s="387">
        <f t="shared" si="48"/>
        <v>0</v>
      </c>
      <c r="AN105" s="386">
        <f t="shared" si="49"/>
        <v>0</v>
      </c>
    </row>
    <row r="106" spans="1:40" x14ac:dyDescent="0.25">
      <c r="A106" s="6" t="s">
        <v>5</v>
      </c>
      <c r="B106" s="7"/>
      <c r="H106" s="189" t="s">
        <v>874</v>
      </c>
      <c r="I106" s="161" t="s">
        <v>1064</v>
      </c>
      <c r="J106" s="161" t="s">
        <v>78</v>
      </c>
      <c r="K106" s="68" t="str">
        <f t="shared" si="38"/>
        <v>&gt;</v>
      </c>
      <c r="L106" s="162">
        <v>703000</v>
      </c>
      <c r="M106" s="162"/>
      <c r="N106" s="162" t="s">
        <v>1103</v>
      </c>
      <c r="O106" s="38"/>
      <c r="P106" s="38"/>
      <c r="Q106" s="38"/>
      <c r="R106" s="38"/>
      <c r="S106" s="38"/>
      <c r="T106" s="38"/>
      <c r="U106" s="38"/>
      <c r="V106" s="38">
        <v>139.12</v>
      </c>
      <c r="W106" s="38"/>
      <c r="X106" s="38">
        <v>55.98</v>
      </c>
      <c r="Y106" s="38"/>
      <c r="Z106" s="38"/>
      <c r="AA106" s="310">
        <f t="shared" si="39"/>
        <v>195.1</v>
      </c>
      <c r="AB106" s="39">
        <f t="shared" si="40"/>
        <v>9.2397195510689754E-5</v>
      </c>
      <c r="AD106" s="38">
        <v>1060.73</v>
      </c>
      <c r="AE106" s="39">
        <f t="shared" si="41"/>
        <v>2.8826606262968022E-4</v>
      </c>
      <c r="AF106" s="132">
        <f t="shared" si="42"/>
        <v>-865.63</v>
      </c>
      <c r="AG106" s="38">
        <v>1989.84</v>
      </c>
      <c r="AH106" s="39">
        <f t="shared" si="43"/>
        <v>8.0873329867016083E-4</v>
      </c>
      <c r="AI106" s="132">
        <f t="shared" si="44"/>
        <v>-1794.74</v>
      </c>
      <c r="AJ106" s="350">
        <f t="shared" si="45"/>
        <v>3.9237375057820326E-3</v>
      </c>
      <c r="AK106" s="351">
        <f t="shared" si="46"/>
        <v>1.4958399142599279E-2</v>
      </c>
      <c r="AL106" s="352">
        <f t="shared" si="47"/>
        <v>3.5322812561021072E-2</v>
      </c>
      <c r="AM106" s="387" t="str">
        <f t="shared" si="48"/>
        <v>-0.02 pts.</v>
      </c>
      <c r="AN106" s="386" t="str">
        <f t="shared" si="49"/>
        <v>-0.07 pts.</v>
      </c>
    </row>
    <row r="107" spans="1:40" x14ac:dyDescent="0.25">
      <c r="A107" s="6" t="s">
        <v>6</v>
      </c>
      <c r="B107" s="7"/>
      <c r="H107" s="189" t="s">
        <v>875</v>
      </c>
      <c r="I107" s="161" t="s">
        <v>1009</v>
      </c>
      <c r="J107" s="161" t="s">
        <v>1009</v>
      </c>
      <c r="K107" s="68" t="str">
        <f t="shared" si="38"/>
        <v/>
      </c>
      <c r="L107" s="162">
        <v>703100</v>
      </c>
      <c r="M107" s="162">
        <v>690035</v>
      </c>
      <c r="N107" s="162" t="s">
        <v>1104</v>
      </c>
      <c r="O107" s="38"/>
      <c r="P107" s="38"/>
      <c r="Q107" s="38">
        <v>352</v>
      </c>
      <c r="R107" s="38"/>
      <c r="S107" s="38">
        <v>-72</v>
      </c>
      <c r="T107" s="38"/>
      <c r="U107" s="38"/>
      <c r="V107" s="38"/>
      <c r="W107" s="38"/>
      <c r="X107" s="38"/>
      <c r="Y107" s="38"/>
      <c r="Z107" s="38"/>
      <c r="AA107" s="310">
        <f t="shared" si="39"/>
        <v>280</v>
      </c>
      <c r="AB107" s="39">
        <f t="shared" si="40"/>
        <v>1.3260489360837074E-4</v>
      </c>
      <c r="AD107" s="38">
        <v>704</v>
      </c>
      <c r="AE107" s="39">
        <f t="shared" si="41"/>
        <v>1.9132041904282418E-4</v>
      </c>
      <c r="AF107" s="132">
        <f t="shared" si="42"/>
        <v>-424</v>
      </c>
      <c r="AG107" s="38"/>
      <c r="AH107" s="39" t="str">
        <f t="shared" si="43"/>
        <v/>
      </c>
      <c r="AI107" s="132">
        <f t="shared" si="44"/>
        <v>280</v>
      </c>
      <c r="AJ107" s="350">
        <f t="shared" si="45"/>
        <v>5.6311968304406414E-3</v>
      </c>
      <c r="AK107" s="351">
        <f t="shared" si="46"/>
        <v>9.9277978339350186E-3</v>
      </c>
      <c r="AL107" s="352">
        <f t="shared" si="47"/>
        <v>0</v>
      </c>
      <c r="AM107" s="387" t="str">
        <f t="shared" si="48"/>
        <v>-0.01 pts.</v>
      </c>
      <c r="AN107" s="386">
        <f t="shared" si="49"/>
        <v>0</v>
      </c>
    </row>
    <row r="108" spans="1:40" x14ac:dyDescent="0.25">
      <c r="A108" s="6" t="s">
        <v>7</v>
      </c>
      <c r="B108" s="7"/>
      <c r="G108" s="14"/>
      <c r="H108" s="189" t="s">
        <v>859</v>
      </c>
      <c r="I108" s="161" t="s">
        <v>1009</v>
      </c>
      <c r="J108" s="161" t="s">
        <v>1009</v>
      </c>
      <c r="K108" s="68" t="str">
        <f t="shared" si="38"/>
        <v/>
      </c>
      <c r="L108" s="162">
        <v>703200</v>
      </c>
      <c r="M108" s="162">
        <v>590035</v>
      </c>
      <c r="N108" s="162" t="s">
        <v>1105</v>
      </c>
      <c r="O108" s="38"/>
      <c r="P108" s="38"/>
      <c r="Q108" s="38">
        <v>97.2</v>
      </c>
      <c r="R108" s="38">
        <v>90.4</v>
      </c>
      <c r="S108" s="38">
        <v>-819.85</v>
      </c>
      <c r="T108" s="38">
        <v>367.11</v>
      </c>
      <c r="U108" s="38">
        <v>868.54</v>
      </c>
      <c r="V108" s="38">
        <v>184.03</v>
      </c>
      <c r="W108" s="38"/>
      <c r="X108" s="38">
        <v>603.72</v>
      </c>
      <c r="Y108" s="38"/>
      <c r="Z108" s="38">
        <v>448.13</v>
      </c>
      <c r="AA108" s="310">
        <f t="shared" si="39"/>
        <v>1839.2800000000002</v>
      </c>
      <c r="AB108" s="39">
        <f t="shared" si="40"/>
        <v>8.7106260255715774E-4</v>
      </c>
      <c r="AD108" s="38">
        <v>3800</v>
      </c>
      <c r="AE108" s="39">
        <f t="shared" si="41"/>
        <v>1.0326954436970623E-3</v>
      </c>
      <c r="AF108" s="132">
        <f t="shared" si="42"/>
        <v>-1960.7199999999998</v>
      </c>
      <c r="AG108" s="38">
        <v>1903.2</v>
      </c>
      <c r="AH108" s="39">
        <f t="shared" si="43"/>
        <v>7.7352008906698532E-4</v>
      </c>
      <c r="AI108" s="132">
        <f t="shared" si="44"/>
        <v>-63.919999999999845</v>
      </c>
      <c r="AJ108" s="350">
        <f t="shared" si="45"/>
        <v>3.699052752247451E-2</v>
      </c>
      <c r="AK108" s="351">
        <f t="shared" si="46"/>
        <v>5.3587545126353789E-2</v>
      </c>
      <c r="AL108" s="352">
        <f t="shared" si="47"/>
        <v>3.3784815294765055E-2</v>
      </c>
      <c r="AM108" s="387" t="str">
        <f t="shared" si="48"/>
        <v>-0.02 pts.</v>
      </c>
      <c r="AN108" s="386" t="str">
        <f t="shared" si="49"/>
        <v>0.01 pts.</v>
      </c>
    </row>
    <row r="109" spans="1:40" x14ac:dyDescent="0.25">
      <c r="A109" s="6" t="s">
        <v>47</v>
      </c>
      <c r="B109" s="16" t="s">
        <v>1197</v>
      </c>
      <c r="H109" s="189" t="s">
        <v>876</v>
      </c>
      <c r="I109" s="161" t="s">
        <v>1009</v>
      </c>
      <c r="J109" s="161" t="s">
        <v>1009</v>
      </c>
      <c r="K109" s="68" t="str">
        <f t="shared" si="38"/>
        <v/>
      </c>
      <c r="L109" s="162">
        <v>703300</v>
      </c>
      <c r="M109" s="162">
        <v>590115</v>
      </c>
      <c r="N109" s="162" t="s">
        <v>1106</v>
      </c>
      <c r="O109" s="38">
        <v>144.26</v>
      </c>
      <c r="P109" s="38">
        <v>185.42</v>
      </c>
      <c r="Q109" s="38">
        <v>268.73</v>
      </c>
      <c r="R109" s="38">
        <v>220.08</v>
      </c>
      <c r="S109" s="38">
        <v>146.63999999999999</v>
      </c>
      <c r="T109" s="38">
        <v>235.62</v>
      </c>
      <c r="U109" s="38">
        <v>120.49</v>
      </c>
      <c r="V109" s="38">
        <v>93.88</v>
      </c>
      <c r="W109" s="38">
        <v>128.74</v>
      </c>
      <c r="X109" s="38">
        <v>73.510000000000005</v>
      </c>
      <c r="Y109" s="38">
        <v>146.29</v>
      </c>
      <c r="Z109" s="38">
        <v>28.56</v>
      </c>
      <c r="AA109" s="310">
        <f t="shared" si="39"/>
        <v>1792.2199999999998</v>
      </c>
      <c r="AB109" s="39">
        <f t="shared" si="40"/>
        <v>8.4877550865283639E-4</v>
      </c>
      <c r="AD109" s="38">
        <v>2406.08</v>
      </c>
      <c r="AE109" s="39">
        <f t="shared" si="41"/>
        <v>6.5388101399227038E-4</v>
      </c>
      <c r="AF109" s="132">
        <f t="shared" si="42"/>
        <v>-613.86000000000013</v>
      </c>
      <c r="AG109" s="38">
        <v>2532.52</v>
      </c>
      <c r="AH109" s="39">
        <f t="shared" si="43"/>
        <v>1.0292954476481303E-3</v>
      </c>
      <c r="AI109" s="132">
        <f t="shared" si="44"/>
        <v>-740.30000000000018</v>
      </c>
      <c r="AJ109" s="350">
        <f t="shared" si="45"/>
        <v>3.6044084226615446E-2</v>
      </c>
      <c r="AK109" s="351">
        <f t="shared" si="46"/>
        <v>3.3930505415162453E-2</v>
      </c>
      <c r="AL109" s="352">
        <f t="shared" si="47"/>
        <v>4.4956242344629256E-2</v>
      </c>
      <c r="AM109" s="387" t="str">
        <f t="shared" si="48"/>
        <v>0.02 pts.</v>
      </c>
      <c r="AN109" s="386" t="str">
        <f t="shared" si="49"/>
        <v>-0.02 pts.</v>
      </c>
    </row>
    <row r="110" spans="1:40" x14ac:dyDescent="0.25">
      <c r="A110" s="6" t="s">
        <v>8</v>
      </c>
      <c r="B110" s="7"/>
      <c r="H110" s="189" t="s">
        <v>860</v>
      </c>
      <c r="I110" s="161" t="s">
        <v>1009</v>
      </c>
      <c r="J110" s="161" t="s">
        <v>1009</v>
      </c>
      <c r="K110" s="68" t="str">
        <f t="shared" si="38"/>
        <v/>
      </c>
      <c r="L110" s="162">
        <v>703400</v>
      </c>
      <c r="M110" s="162">
        <v>590010</v>
      </c>
      <c r="N110" s="162" t="s">
        <v>1107</v>
      </c>
      <c r="O110" s="38">
        <v>2020.74</v>
      </c>
      <c r="P110" s="38">
        <v>1614.51</v>
      </c>
      <c r="Q110" s="38">
        <v>2436.87</v>
      </c>
      <c r="R110" s="38">
        <v>2064.29</v>
      </c>
      <c r="S110" s="38">
        <v>1988.21</v>
      </c>
      <c r="T110" s="38">
        <v>2005.84</v>
      </c>
      <c r="U110" s="38">
        <v>1783.06</v>
      </c>
      <c r="V110" s="38">
        <v>1834.25</v>
      </c>
      <c r="W110" s="38">
        <v>1199.49</v>
      </c>
      <c r="X110" s="38">
        <v>2008.57</v>
      </c>
      <c r="Y110" s="38">
        <v>1896.07</v>
      </c>
      <c r="Z110" s="38">
        <v>2299.0500000000002</v>
      </c>
      <c r="AA110" s="310">
        <f t="shared" si="39"/>
        <v>23150.949999999997</v>
      </c>
      <c r="AB110" s="39">
        <f t="shared" si="40"/>
        <v>1.096403307743825E-2</v>
      </c>
      <c r="AD110" s="38">
        <v>20730.72</v>
      </c>
      <c r="AE110" s="39">
        <f t="shared" si="41"/>
        <v>5.6338210759367272E-3</v>
      </c>
      <c r="AF110" s="132">
        <f t="shared" si="42"/>
        <v>2420.2299999999959</v>
      </c>
      <c r="AG110" s="38">
        <v>19774.46</v>
      </c>
      <c r="AH110" s="39">
        <f t="shared" si="43"/>
        <v>8.0369598888459116E-3</v>
      </c>
      <c r="AI110" s="132">
        <f t="shared" si="44"/>
        <v>3376.489999999998</v>
      </c>
      <c r="AJ110" s="350">
        <f t="shared" si="45"/>
        <v>0.46559841522032053</v>
      </c>
      <c r="AK110" s="351">
        <f t="shared" si="46"/>
        <v>0.29234431407942241</v>
      </c>
      <c r="AL110" s="352">
        <f t="shared" si="47"/>
        <v>0.35102799424848669</v>
      </c>
      <c r="AM110" s="387" t="str">
        <f t="shared" si="48"/>
        <v>0.53 pts.</v>
      </c>
      <c r="AN110" s="386" t="str">
        <f t="shared" si="49"/>
        <v>0.29 pts.</v>
      </c>
    </row>
    <row r="111" spans="1:40" x14ac:dyDescent="0.25">
      <c r="H111" s="189" t="s">
        <v>877</v>
      </c>
      <c r="I111" s="161" t="s">
        <v>1009</v>
      </c>
      <c r="J111" s="161" t="s">
        <v>1009</v>
      </c>
      <c r="K111" s="68" t="str">
        <f t="shared" si="38"/>
        <v/>
      </c>
      <c r="L111" s="162">
        <v>703500</v>
      </c>
      <c r="M111" s="162">
        <v>590004</v>
      </c>
      <c r="N111" s="162" t="s">
        <v>1247</v>
      </c>
      <c r="O111" s="38"/>
      <c r="P111" s="38">
        <v>396.94</v>
      </c>
      <c r="Q111" s="38">
        <v>255.73</v>
      </c>
      <c r="R111" s="38">
        <v>340.28</v>
      </c>
      <c r="S111" s="38"/>
      <c r="T111" s="38"/>
      <c r="U111" s="38"/>
      <c r="V111" s="38">
        <v>-797.94</v>
      </c>
      <c r="W111" s="38"/>
      <c r="X111" s="38">
        <v>8.35</v>
      </c>
      <c r="Y111" s="38">
        <v>681.74</v>
      </c>
      <c r="Z111" s="38">
        <v>-288.45999999999998</v>
      </c>
      <c r="AA111" s="310">
        <f t="shared" si="39"/>
        <v>596.63999999999987</v>
      </c>
      <c r="AB111" s="39">
        <f t="shared" si="40"/>
        <v>2.8256208472320819E-4</v>
      </c>
      <c r="AD111" s="38">
        <v>500</v>
      </c>
      <c r="AE111" s="39">
        <f t="shared" si="41"/>
        <v>1.3588097943382398E-4</v>
      </c>
      <c r="AF111" s="132">
        <f t="shared" si="42"/>
        <v>96.639999999999873</v>
      </c>
      <c r="AG111" s="38">
        <v>1098.68</v>
      </c>
      <c r="AH111" s="39">
        <f t="shared" si="43"/>
        <v>4.4653796314423889E-4</v>
      </c>
      <c r="AI111" s="132">
        <f t="shared" si="44"/>
        <v>-502.04000000000019</v>
      </c>
      <c r="AJ111" s="350">
        <f t="shared" si="45"/>
        <v>1.1999275988978941E-2</v>
      </c>
      <c r="AK111" s="351">
        <f t="shared" si="46"/>
        <v>7.0509927797833931E-3</v>
      </c>
      <c r="AL111" s="352">
        <f t="shared" si="47"/>
        <v>1.950331067047734E-2</v>
      </c>
      <c r="AM111" s="387" t="str">
        <f t="shared" si="48"/>
        <v>0.01 pts.</v>
      </c>
      <c r="AN111" s="386" t="str">
        <f t="shared" si="49"/>
        <v>-0.02 pts.</v>
      </c>
    </row>
    <row r="112" spans="1:40" x14ac:dyDescent="0.25">
      <c r="H112" s="189" t="s">
        <v>878</v>
      </c>
      <c r="I112" s="161" t="s">
        <v>1009</v>
      </c>
      <c r="J112" s="161" t="s">
        <v>1009</v>
      </c>
      <c r="K112" s="68" t="str">
        <f t="shared" si="38"/>
        <v/>
      </c>
      <c r="L112" s="162">
        <v>703510</v>
      </c>
      <c r="M112" s="162">
        <v>590003</v>
      </c>
      <c r="N112" s="162" t="s">
        <v>1248</v>
      </c>
      <c r="O112" s="38">
        <v>1163.71</v>
      </c>
      <c r="P112" s="38">
        <v>340.26</v>
      </c>
      <c r="Q112" s="38">
        <v>220.96</v>
      </c>
      <c r="R112" s="38">
        <v>253.35</v>
      </c>
      <c r="S112" s="38">
        <v>641.96</v>
      </c>
      <c r="T112" s="38">
        <v>376.75</v>
      </c>
      <c r="U112" s="38"/>
      <c r="V112" s="38"/>
      <c r="W112" s="38"/>
      <c r="X112" s="38"/>
      <c r="Y112" s="38">
        <v>641.79</v>
      </c>
      <c r="Z112" s="38">
        <v>-199.05</v>
      </c>
      <c r="AA112" s="310">
        <f t="shared" si="39"/>
        <v>3439.7299999999996</v>
      </c>
      <c r="AB112" s="39">
        <f t="shared" si="40"/>
        <v>1.6290179667554322E-3</v>
      </c>
      <c r="AD112" s="38">
        <v>400</v>
      </c>
      <c r="AE112" s="39">
        <f t="shared" si="41"/>
        <v>1.0870478354705919E-4</v>
      </c>
      <c r="AF112" s="132">
        <f t="shared" si="42"/>
        <v>3039.7299999999996</v>
      </c>
      <c r="AG112" s="38">
        <v>4856.28</v>
      </c>
      <c r="AH112" s="39">
        <f t="shared" si="43"/>
        <v>1.9737442928405946E-3</v>
      </c>
      <c r="AI112" s="132">
        <f t="shared" si="44"/>
        <v>-1416.5500000000002</v>
      </c>
      <c r="AJ112" s="350">
        <f t="shared" si="45"/>
        <v>6.9177845262755652E-2</v>
      </c>
      <c r="AK112" s="351">
        <f t="shared" si="46"/>
        <v>5.6407942238267152E-3</v>
      </c>
      <c r="AL112" s="352">
        <f t="shared" si="47"/>
        <v>8.6206663944757067E-2</v>
      </c>
      <c r="AM112" s="387" t="str">
        <f t="shared" si="48"/>
        <v>0.15 pts.</v>
      </c>
      <c r="AN112" s="386" t="str">
        <f t="shared" si="49"/>
        <v>-0.03 pts.</v>
      </c>
    </row>
    <row r="113" spans="1:40" x14ac:dyDescent="0.25">
      <c r="A113" s="3" t="s">
        <v>23</v>
      </c>
      <c r="B113" s="5" t="s">
        <v>24</v>
      </c>
      <c r="G113" s="14"/>
      <c r="H113" s="189" t="s">
        <v>879</v>
      </c>
      <c r="I113" s="161" t="s">
        <v>1009</v>
      </c>
      <c r="J113" s="161" t="s">
        <v>1009</v>
      </c>
      <c r="K113" s="68" t="str">
        <f t="shared" si="38"/>
        <v/>
      </c>
      <c r="L113" s="162">
        <v>703600</v>
      </c>
      <c r="M113" s="162">
        <v>590045</v>
      </c>
      <c r="N113" s="162" t="s">
        <v>1249</v>
      </c>
      <c r="O113" s="38"/>
      <c r="P113" s="38"/>
      <c r="Q113" s="38">
        <v>279.8</v>
      </c>
      <c r="R113" s="38"/>
      <c r="S113" s="38"/>
      <c r="T113" s="38"/>
      <c r="U113" s="38"/>
      <c r="V113" s="38"/>
      <c r="W113" s="38"/>
      <c r="X113" s="38"/>
      <c r="Y113" s="38"/>
      <c r="Z113" s="38"/>
      <c r="AA113" s="310">
        <f t="shared" si="39"/>
        <v>279.8</v>
      </c>
      <c r="AB113" s="39">
        <f t="shared" si="40"/>
        <v>1.3251017582722191E-4</v>
      </c>
      <c r="AD113" s="38">
        <v>800</v>
      </c>
      <c r="AE113" s="39">
        <f t="shared" si="41"/>
        <v>2.1740956709411839E-4</v>
      </c>
      <c r="AF113" s="132">
        <f t="shared" si="42"/>
        <v>-520.20000000000005</v>
      </c>
      <c r="AG113" s="38">
        <v>1583.86</v>
      </c>
      <c r="AH113" s="39">
        <f t="shared" si="43"/>
        <v>6.4373031119673984E-4</v>
      </c>
      <c r="AI113" s="132">
        <f t="shared" si="44"/>
        <v>-1304.06</v>
      </c>
      <c r="AJ113" s="350">
        <f t="shared" si="45"/>
        <v>5.6271745469903267E-3</v>
      </c>
      <c r="AK113" s="351">
        <f t="shared" si="46"/>
        <v>1.128158844765343E-2</v>
      </c>
      <c r="AL113" s="352">
        <f t="shared" si="47"/>
        <v>2.8116024355173696E-2</v>
      </c>
      <c r="AM113" s="387" t="str">
        <f t="shared" si="48"/>
        <v>-0.01 pts.</v>
      </c>
      <c r="AN113" s="386" t="str">
        <f t="shared" si="49"/>
        <v>-0.05 pts.</v>
      </c>
    </row>
    <row r="114" spans="1:40" x14ac:dyDescent="0.25">
      <c r="A114" s="6" t="s">
        <v>25</v>
      </c>
      <c r="B114" s="7"/>
      <c r="H114" s="189" t="s">
        <v>880</v>
      </c>
      <c r="I114" s="161" t="s">
        <v>1009</v>
      </c>
      <c r="J114" s="161" t="s">
        <v>1009</v>
      </c>
      <c r="K114" s="68" t="str">
        <f t="shared" si="38"/>
        <v/>
      </c>
      <c r="L114" s="162">
        <v>703700</v>
      </c>
      <c r="M114" s="162">
        <v>590046</v>
      </c>
      <c r="N114" s="162" t="s">
        <v>1250</v>
      </c>
      <c r="O114" s="38"/>
      <c r="P114" s="38"/>
      <c r="Q114" s="38"/>
      <c r="R114" s="38">
        <v>500</v>
      </c>
      <c r="S114" s="38">
        <v>-500</v>
      </c>
      <c r="T114" s="38">
        <v>115.55</v>
      </c>
      <c r="U114" s="38"/>
      <c r="V114" s="38"/>
      <c r="W114" s="38"/>
      <c r="X114" s="38">
        <v>251.76</v>
      </c>
      <c r="Y114" s="38"/>
      <c r="Z114" s="38"/>
      <c r="AA114" s="310">
        <f t="shared" si="39"/>
        <v>367.31</v>
      </c>
      <c r="AB114" s="39">
        <f t="shared" si="40"/>
        <v>1.7395394096889519E-4</v>
      </c>
      <c r="AD114" s="38">
        <v>1000</v>
      </c>
      <c r="AE114" s="39">
        <f t="shared" si="41"/>
        <v>2.7176195886764796E-4</v>
      </c>
      <c r="AF114" s="132">
        <f t="shared" si="42"/>
        <v>-632.69000000000005</v>
      </c>
      <c r="AG114" s="38">
        <v>302.8</v>
      </c>
      <c r="AH114" s="39">
        <f t="shared" si="43"/>
        <v>1.2306740383011936E-4</v>
      </c>
      <c r="AI114" s="132">
        <f t="shared" si="44"/>
        <v>64.509999999999991</v>
      </c>
      <c r="AJ114" s="350">
        <f t="shared" si="45"/>
        <v>7.3871246706755421E-3</v>
      </c>
      <c r="AK114" s="351">
        <f t="shared" si="46"/>
        <v>1.4101985559566786E-2</v>
      </c>
      <c r="AL114" s="352">
        <f t="shared" si="47"/>
        <v>5.3751797347913301E-3</v>
      </c>
      <c r="AM114" s="387" t="str">
        <f t="shared" si="48"/>
        <v>-0.01 pts.</v>
      </c>
      <c r="AN114" s="386" t="str">
        <f t="shared" si="49"/>
        <v>0.01 pts.</v>
      </c>
    </row>
    <row r="115" spans="1:40" x14ac:dyDescent="0.25">
      <c r="A115" s="6" t="s">
        <v>26</v>
      </c>
      <c r="B115" s="7"/>
      <c r="H115" s="189" t="s">
        <v>861</v>
      </c>
      <c r="I115" s="161" t="s">
        <v>1009</v>
      </c>
      <c r="J115" s="161" t="s">
        <v>1009</v>
      </c>
      <c r="K115" s="68" t="str">
        <f t="shared" si="38"/>
        <v/>
      </c>
      <c r="L115" s="162">
        <v>703800</v>
      </c>
      <c r="M115" s="162">
        <v>690065</v>
      </c>
      <c r="N115" s="162" t="s">
        <v>1251</v>
      </c>
      <c r="O115" s="38">
        <v>586</v>
      </c>
      <c r="P115" s="38">
        <v>2711.66</v>
      </c>
      <c r="Q115" s="38">
        <v>882.85</v>
      </c>
      <c r="R115" s="38"/>
      <c r="S115" s="38">
        <v>-237.5</v>
      </c>
      <c r="T115" s="38">
        <v>471.75</v>
      </c>
      <c r="U115" s="38">
        <v>85.6</v>
      </c>
      <c r="V115" s="38">
        <v>271.35000000000002</v>
      </c>
      <c r="W115" s="38">
        <v>3104.1</v>
      </c>
      <c r="X115" s="38">
        <v>1879</v>
      </c>
      <c r="Y115" s="38">
        <v>1504.63</v>
      </c>
      <c r="Z115" s="38">
        <v>22137.29</v>
      </c>
      <c r="AA115" s="310">
        <f t="shared" si="39"/>
        <v>33396.730000000003</v>
      </c>
      <c r="AB115" s="39">
        <f t="shared" si="40"/>
        <v>1.5816320816133871E-2</v>
      </c>
      <c r="AD115" s="38">
        <v>4067</v>
      </c>
      <c r="AE115" s="39">
        <f t="shared" si="41"/>
        <v>1.1052558867147243E-3</v>
      </c>
      <c r="AF115" s="132">
        <f t="shared" si="42"/>
        <v>29329.730000000003</v>
      </c>
      <c r="AG115" s="38">
        <v>9637.9</v>
      </c>
      <c r="AH115" s="39">
        <f t="shared" si="43"/>
        <v>3.9171444232969201E-3</v>
      </c>
      <c r="AI115" s="132">
        <f t="shared" si="44"/>
        <v>23758.83</v>
      </c>
      <c r="AJ115" s="350">
        <f t="shared" si="45"/>
        <v>0.67165557186814961</v>
      </c>
      <c r="AK115" s="351">
        <f t="shared" si="46"/>
        <v>5.7352775270758126E-2</v>
      </c>
      <c r="AL115" s="352">
        <f t="shared" si="47"/>
        <v>0.17108799460351837</v>
      </c>
      <c r="AM115" s="387" t="str">
        <f t="shared" si="48"/>
        <v>1.47 pts.</v>
      </c>
      <c r="AN115" s="386" t="str">
        <f t="shared" si="49"/>
        <v>1.19 pts.</v>
      </c>
    </row>
    <row r="116" spans="1:40" x14ac:dyDescent="0.25">
      <c r="A116" s="6" t="s">
        <v>27</v>
      </c>
      <c r="B116" s="7"/>
      <c r="H116" s="189" t="s">
        <v>881</v>
      </c>
      <c r="I116" s="161" t="s">
        <v>1009</v>
      </c>
      <c r="J116" s="161" t="s">
        <v>1009</v>
      </c>
      <c r="K116" s="68" t="str">
        <f t="shared" si="38"/>
        <v/>
      </c>
      <c r="L116" s="162">
        <v>704100</v>
      </c>
      <c r="M116" s="162">
        <v>690241</v>
      </c>
      <c r="N116" s="162" t="s">
        <v>1252</v>
      </c>
      <c r="O116" s="38"/>
      <c r="P116" s="38">
        <v>1700</v>
      </c>
      <c r="Q116" s="38">
        <v>400</v>
      </c>
      <c r="R116" s="38"/>
      <c r="S116" s="38"/>
      <c r="T116" s="38">
        <v>717</v>
      </c>
      <c r="U116" s="38">
        <v>283</v>
      </c>
      <c r="V116" s="38">
        <v>400</v>
      </c>
      <c r="W116" s="38">
        <v>900</v>
      </c>
      <c r="X116" s="38">
        <v>-650</v>
      </c>
      <c r="Y116" s="38"/>
      <c r="Z116" s="38">
        <v>983</v>
      </c>
      <c r="AA116" s="310">
        <f t="shared" si="39"/>
        <v>4733</v>
      </c>
      <c r="AB116" s="39">
        <f t="shared" si="40"/>
        <v>2.2414962908872097E-3</v>
      </c>
      <c r="AD116" s="38">
        <v>21100.000000000298</v>
      </c>
      <c r="AE116" s="39">
        <f t="shared" si="41"/>
        <v>5.7341773321074535E-3</v>
      </c>
      <c r="AF116" s="132">
        <f t="shared" si="42"/>
        <v>-16367.000000000298</v>
      </c>
      <c r="AG116" s="38">
        <v>10748.63</v>
      </c>
      <c r="AH116" s="39">
        <f t="shared" si="43"/>
        <v>4.3685798838524956E-3</v>
      </c>
      <c r="AI116" s="132">
        <f t="shared" si="44"/>
        <v>-6015.6299999999992</v>
      </c>
      <c r="AJ116" s="350">
        <f t="shared" si="45"/>
        <v>9.5187337851698403E-2</v>
      </c>
      <c r="AK116" s="351">
        <f t="shared" si="46"/>
        <v>0.29755189530686343</v>
      </c>
      <c r="AL116" s="352">
        <f t="shared" si="47"/>
        <v>0.19080521186515895</v>
      </c>
      <c r="AM116" s="387" t="str">
        <f t="shared" si="48"/>
        <v>-0.35 pts.</v>
      </c>
      <c r="AN116" s="386" t="str">
        <f t="shared" si="49"/>
        <v>-0.21 pts.</v>
      </c>
    </row>
    <row r="117" spans="1:40" x14ac:dyDescent="0.25">
      <c r="A117" s="6" t="s">
        <v>28</v>
      </c>
      <c r="B117" s="7"/>
      <c r="H117" s="189" t="s">
        <v>841</v>
      </c>
      <c r="I117" s="161" t="s">
        <v>1009</v>
      </c>
      <c r="J117" s="161" t="s">
        <v>1009</v>
      </c>
      <c r="K117" s="68" t="str">
        <f t="shared" si="38"/>
        <v/>
      </c>
      <c r="L117" s="162">
        <v>705500</v>
      </c>
      <c r="M117" s="162">
        <v>690105</v>
      </c>
      <c r="N117" s="162" t="s">
        <v>1113</v>
      </c>
      <c r="O117" s="38"/>
      <c r="P117" s="38"/>
      <c r="Q117" s="38">
        <v>2404</v>
      </c>
      <c r="R117" s="38">
        <v>96</v>
      </c>
      <c r="S117" s="38"/>
      <c r="T117" s="38"/>
      <c r="U117" s="38"/>
      <c r="V117" s="38"/>
      <c r="W117" s="38"/>
      <c r="X117" s="38"/>
      <c r="Y117" s="38">
        <v>646</v>
      </c>
      <c r="Z117" s="38"/>
      <c r="AA117" s="310">
        <f t="shared" si="39"/>
        <v>3146</v>
      </c>
      <c r="AB117" s="39">
        <f t="shared" si="40"/>
        <v>1.4899106974711942E-3</v>
      </c>
      <c r="AD117" s="38">
        <v>2193</v>
      </c>
      <c r="AE117" s="39">
        <f t="shared" si="41"/>
        <v>5.9597397579675196E-4</v>
      </c>
      <c r="AF117" s="132">
        <f t="shared" si="42"/>
        <v>953</v>
      </c>
      <c r="AG117" s="38">
        <v>2143</v>
      </c>
      <c r="AH117" s="39">
        <f t="shared" si="43"/>
        <v>8.7098231970920005E-4</v>
      </c>
      <c r="AI117" s="132">
        <f t="shared" si="44"/>
        <v>1003</v>
      </c>
      <c r="AJ117" s="350">
        <f t="shared" si="45"/>
        <v>6.3270518673450918E-2</v>
      </c>
      <c r="AK117" s="351">
        <f t="shared" si="46"/>
        <v>3.0925654332129963E-2</v>
      </c>
      <c r="AL117" s="352">
        <f t="shared" si="47"/>
        <v>3.8041645216835604E-2</v>
      </c>
      <c r="AM117" s="387" t="str">
        <f t="shared" si="48"/>
        <v>0.09 pts.</v>
      </c>
      <c r="AN117" s="386" t="str">
        <f t="shared" si="49"/>
        <v>0.06 pts.</v>
      </c>
    </row>
    <row r="118" spans="1:40" x14ac:dyDescent="0.25">
      <c r="A118" s="6" t="s">
        <v>29</v>
      </c>
      <c r="B118" s="7"/>
      <c r="H118" s="189" t="s">
        <v>844</v>
      </c>
      <c r="I118" s="161" t="s">
        <v>1064</v>
      </c>
      <c r="J118" s="161" t="s">
        <v>78</v>
      </c>
      <c r="K118" s="68" t="str">
        <f t="shared" si="38"/>
        <v>&gt;</v>
      </c>
      <c r="L118" s="162">
        <v>706100</v>
      </c>
      <c r="M118" s="162"/>
      <c r="N118" s="162" t="s">
        <v>1253</v>
      </c>
      <c r="O118" s="38"/>
      <c r="P118" s="38"/>
      <c r="Q118" s="38"/>
      <c r="R118" s="38">
        <v>52.11</v>
      </c>
      <c r="S118" s="38">
        <v>667.91</v>
      </c>
      <c r="T118" s="38"/>
      <c r="U118" s="38"/>
      <c r="V118" s="38">
        <v>423.66</v>
      </c>
      <c r="W118" s="38">
        <v>51.08</v>
      </c>
      <c r="X118" s="38"/>
      <c r="Y118" s="38"/>
      <c r="Z118" s="38"/>
      <c r="AA118" s="310">
        <f t="shared" si="39"/>
        <v>1194.76</v>
      </c>
      <c r="AB118" s="39">
        <f t="shared" si="40"/>
        <v>5.6582508102691797E-4</v>
      </c>
      <c r="AD118" s="38"/>
      <c r="AE118" s="39" t="str">
        <f t="shared" si="41"/>
        <v/>
      </c>
      <c r="AF118" s="132">
        <f t="shared" si="42"/>
        <v>1194.76</v>
      </c>
      <c r="AG118" s="38">
        <v>152.38999999999999</v>
      </c>
      <c r="AH118" s="39">
        <f t="shared" si="43"/>
        <v>6.1936068922298178E-5</v>
      </c>
      <c r="AI118" s="132">
        <f t="shared" si="44"/>
        <v>1042.3699999999999</v>
      </c>
      <c r="AJ118" s="350">
        <f t="shared" si="45"/>
        <v>2.4028316875490216E-2</v>
      </c>
      <c r="AK118" s="351">
        <f t="shared" si="46"/>
        <v>0</v>
      </c>
      <c r="AL118" s="352">
        <f t="shared" si="47"/>
        <v>2.705163935881277E-3</v>
      </c>
      <c r="AM118" s="387">
        <f t="shared" si="48"/>
        <v>0</v>
      </c>
      <c r="AN118" s="386" t="str">
        <f t="shared" si="49"/>
        <v>0.05 pts.</v>
      </c>
    </row>
    <row r="119" spans="1:40" x14ac:dyDescent="0.25">
      <c r="A119" s="6" t="s">
        <v>30</v>
      </c>
      <c r="B119" s="7" t="s">
        <v>78</v>
      </c>
      <c r="H119" s="15" t="s">
        <v>79</v>
      </c>
      <c r="I119" s="27" t="s">
        <v>1012</v>
      </c>
      <c r="J119" s="27" t="s">
        <v>78</v>
      </c>
      <c r="K119" s="26"/>
      <c r="L119" s="26"/>
      <c r="M119" s="26"/>
      <c r="N119" s="25" t="s">
        <v>1116</v>
      </c>
      <c r="O119" s="33">
        <v>15843.23</v>
      </c>
      <c r="P119" s="33">
        <v>16732.599999999999</v>
      </c>
      <c r="Q119" s="33">
        <v>22972.82</v>
      </c>
      <c r="R119" s="33">
        <v>16670.95</v>
      </c>
      <c r="S119" s="33">
        <v>14417.95</v>
      </c>
      <c r="T119" s="33">
        <v>16430.5</v>
      </c>
      <c r="U119" s="33">
        <v>13931.54</v>
      </c>
      <c r="V119" s="33">
        <v>12526.63</v>
      </c>
      <c r="W119" s="33">
        <v>18256.73</v>
      </c>
      <c r="X119" s="33">
        <v>17101.27</v>
      </c>
      <c r="Y119" s="33">
        <v>11856.62</v>
      </c>
      <c r="Z119" s="33">
        <v>39773.83</v>
      </c>
      <c r="AA119" s="33">
        <f t="shared" si="39"/>
        <v>216514.66999999998</v>
      </c>
      <c r="AB119" s="34">
        <f t="shared" si="40"/>
        <v>0.10253894564286249</v>
      </c>
      <c r="AD119" s="33">
        <v>221234.68154716399</v>
      </c>
      <c r="AE119" s="34">
        <f t="shared" si="41"/>
        <v>6.0123170426717575E-2</v>
      </c>
      <c r="AF119" s="52">
        <f t="shared" si="42"/>
        <v>-4720.011547164002</v>
      </c>
      <c r="AG119" s="33">
        <v>255102.55</v>
      </c>
      <c r="AH119" s="34">
        <f t="shared" si="43"/>
        <v>0.10368166624485869</v>
      </c>
      <c r="AI119" s="52">
        <f t="shared" si="44"/>
        <v>-38587.880000000005</v>
      </c>
      <c r="AJ119" s="415">
        <f t="shared" si="45"/>
        <v>4.3544168694567906</v>
      </c>
      <c r="AK119" s="416">
        <f t="shared" si="46"/>
        <v>3.1198482844534632</v>
      </c>
      <c r="AL119" s="417">
        <f t="shared" si="47"/>
        <v>4.5284744288427738</v>
      </c>
      <c r="AM119" s="418" t="str">
        <f t="shared" si="48"/>
        <v>4.24 pts.</v>
      </c>
      <c r="AN119" s="419" t="str">
        <f t="shared" si="49"/>
        <v>-0.11 pts.</v>
      </c>
    </row>
    <row r="120" spans="1:40" x14ac:dyDescent="0.25">
      <c r="A120" s="6" t="s">
        <v>31</v>
      </c>
      <c r="B120" s="7" t="s">
        <v>78</v>
      </c>
      <c r="O120" s="166"/>
      <c r="P120" s="166"/>
      <c r="Q120" s="166"/>
      <c r="R120" s="166"/>
      <c r="S120" s="166"/>
      <c r="T120" s="166"/>
      <c r="U120" s="166"/>
      <c r="V120" s="166"/>
      <c r="W120" s="166"/>
      <c r="X120" s="166"/>
      <c r="Y120" s="166"/>
      <c r="Z120" s="166"/>
      <c r="AA120" s="166"/>
      <c r="AD120" s="166"/>
      <c r="AG120" s="166"/>
    </row>
    <row r="121" spans="1:40" x14ac:dyDescent="0.25">
      <c r="A121" s="6" t="s">
        <v>32</v>
      </c>
      <c r="B121" s="7"/>
      <c r="H121" s="15" t="s">
        <v>80</v>
      </c>
      <c r="I121" s="27" t="s">
        <v>1012</v>
      </c>
      <c r="J121" s="27" t="s">
        <v>78</v>
      </c>
      <c r="K121" s="25"/>
      <c r="L121" s="25"/>
      <c r="M121" s="25"/>
      <c r="N121" s="25" t="s">
        <v>1117</v>
      </c>
      <c r="O121" s="36">
        <v>155623.87</v>
      </c>
      <c r="P121" s="36">
        <v>142627.71</v>
      </c>
      <c r="Q121" s="36">
        <v>165194.15</v>
      </c>
      <c r="R121" s="36">
        <v>153618.79999999999</v>
      </c>
      <c r="S121" s="36">
        <v>139069.19</v>
      </c>
      <c r="T121" s="36">
        <v>119426.75</v>
      </c>
      <c r="U121" s="36">
        <v>125926.73</v>
      </c>
      <c r="V121" s="36">
        <v>129546.59</v>
      </c>
      <c r="W121" s="36">
        <v>104297.12</v>
      </c>
      <c r="X121" s="36">
        <v>109767.28</v>
      </c>
      <c r="Y121" s="36">
        <v>107467.32</v>
      </c>
      <c r="Z121" s="36">
        <v>156463.62</v>
      </c>
      <c r="AA121" s="36">
        <f>IF($I121="B1","",SUM(O121:Z121))</f>
        <v>1609029.1300000004</v>
      </c>
      <c r="AB121" s="37">
        <f>IF(AA121=0,"",IFERROR(AA121/AA$19,""))</f>
        <v>0.7620183449872121</v>
      </c>
      <c r="AD121" s="36">
        <v>2121398.3342373702</v>
      </c>
      <c r="AE121" s="37">
        <f>IF(AD121=0,"",IFERROR(AD121/AD$19,""))</f>
        <v>0.57651536685091309</v>
      </c>
      <c r="AF121" s="59">
        <f>IF(AND($AA121="",AD121=""),"",$AA121-AD121)</f>
        <v>-512369.20423736982</v>
      </c>
      <c r="AG121" s="60">
        <v>1898821.97</v>
      </c>
      <c r="AH121" s="61">
        <f>IF(AG121=0,"",IFERROR(AG121/AG$19,""))</f>
        <v>0.77174072055314658</v>
      </c>
      <c r="AI121" s="59">
        <f>IF(AND($AA121="",AG121=""),"",$AA121-AG121)</f>
        <v>-289792.83999999962</v>
      </c>
      <c r="AJ121" s="392">
        <f>IFERROR(AA121/AA$20,0)</f>
        <v>32.359856203366661</v>
      </c>
      <c r="AK121" s="393">
        <f>IFERROR(AD121/AD$20,0)</f>
        <v>29.915928675504432</v>
      </c>
      <c r="AL121" s="394">
        <f>IFERROR(AG121/AG$20,0)</f>
        <v>33.707098326025594</v>
      </c>
      <c r="AM121" s="395" t="str">
        <f>+IFERROR(ROUND(($AB121-AE121)*100,2)&amp;" pts.",0)</f>
        <v>18.55 pts.</v>
      </c>
      <c r="AN121" s="396" t="str">
        <f>+IFERROR(ROUND(($AB121-AH121)*100,2)&amp;" pts.",0)</f>
        <v>-0.97 pts.</v>
      </c>
    </row>
    <row r="122" spans="1:40" ht="15.75" thickBot="1" x14ac:dyDescent="0.3">
      <c r="A122" s="6" t="s">
        <v>33</v>
      </c>
      <c r="B122" s="7"/>
      <c r="H122" s="15" t="s">
        <v>81</v>
      </c>
      <c r="I122" s="27" t="s">
        <v>1012</v>
      </c>
      <c r="J122" s="27" t="s">
        <v>78</v>
      </c>
      <c r="K122" s="25"/>
      <c r="L122" s="25"/>
      <c r="M122" s="25"/>
      <c r="N122" s="25" t="s">
        <v>1118</v>
      </c>
      <c r="O122" s="62">
        <v>66509.36</v>
      </c>
      <c r="P122" s="62">
        <v>49743.38</v>
      </c>
      <c r="Q122" s="62">
        <v>47865.16</v>
      </c>
      <c r="R122" s="62">
        <v>-10192.4</v>
      </c>
      <c r="S122" s="62">
        <v>-3657.6699999999801</v>
      </c>
      <c r="T122" s="62">
        <v>2570.25000000003</v>
      </c>
      <c r="U122" s="62">
        <v>-18642.38</v>
      </c>
      <c r="V122" s="62">
        <v>-41455.199999999997</v>
      </c>
      <c r="W122" s="62">
        <v>-14601.87</v>
      </c>
      <c r="X122" s="62">
        <v>-20561.66</v>
      </c>
      <c r="Y122" s="62">
        <v>-6610.6000000000104</v>
      </c>
      <c r="Z122" s="62">
        <v>20224.54</v>
      </c>
      <c r="AA122" s="62">
        <f>IF($I122="B1","",SUM(O122:Z122))</f>
        <v>71190.910000000033</v>
      </c>
      <c r="AB122" s="63">
        <f>IF(AA122=0,"",IFERROR(AA122/AA$19,""))</f>
        <v>3.3715225165832502E-2</v>
      </c>
      <c r="AD122" s="62">
        <v>797032.79498763499</v>
      </c>
      <c r="AE122" s="63">
        <f>IF(AD122=0,"",IFERROR(AD122/AD$19,""))</f>
        <v>0.21660319364759617</v>
      </c>
      <c r="AF122" s="64">
        <f>IF(AND($AA122="",AD122=""),"",$AA122-AD122)</f>
        <v>-725841.88498763496</v>
      </c>
      <c r="AG122" s="62">
        <v>13934.2500000003</v>
      </c>
      <c r="AH122" s="63">
        <f>IF(AG122=0,"",IFERROR(AG122/AG$19,""))</f>
        <v>5.6633156268820267E-3</v>
      </c>
      <c r="AI122" s="64">
        <f>IF(AND($AA122="",AG122=""),"",$AA122-AG122)</f>
        <v>57256.659999999734</v>
      </c>
      <c r="AJ122" s="430">
        <f>IFERROR(AA122/AA$20,0)</f>
        <v>1.4317500955292326</v>
      </c>
      <c r="AK122" s="431">
        <f>IFERROR(AD122/AD$20,0)</f>
        <v>11.239744965416785</v>
      </c>
      <c r="AL122" s="432">
        <f>IFERROR(AG122/AG$20,0)</f>
        <v>0.24735501393499904</v>
      </c>
      <c r="AM122" s="433" t="str">
        <f>+IFERROR(ROUND(($AB122-AE122)*100,2)&amp;" pts.",0)</f>
        <v>-18.29 pts.</v>
      </c>
      <c r="AN122" s="434" t="str">
        <f>+IFERROR(ROUND(($AB122-AH122)*100,2)&amp;" pts.",0)</f>
        <v>2.81 pts.</v>
      </c>
    </row>
    <row r="123" spans="1:40" ht="15.75" thickTop="1" x14ac:dyDescent="0.25">
      <c r="A123" s="6" t="s">
        <v>34</v>
      </c>
      <c r="B123" s="7"/>
    </row>
    <row r="124" spans="1:40" x14ac:dyDescent="0.25">
      <c r="A124" s="6" t="s">
        <v>35</v>
      </c>
      <c r="B124" s="7"/>
      <c r="N124" s="26" t="str">
        <f>N121&amp;" - Check"</f>
        <v>Total Expenses - Check</v>
      </c>
      <c r="O124" s="139">
        <f t="shared" ref="O124:AA124" si="50">SUMIF($H$35:$H$122,"600000",O$35:O$122)+SUMIF($H$35:$H$122,"700000",O$35:O$122)-SUMIF($H$35:$H$122,"TOTDEPTEXP",O$35:O$122)</f>
        <v>0</v>
      </c>
      <c r="P124" s="139">
        <f t="shared" si="50"/>
        <v>0</v>
      </c>
      <c r="Q124" s="139">
        <f t="shared" si="50"/>
        <v>0</v>
      </c>
      <c r="R124" s="139">
        <f t="shared" si="50"/>
        <v>0</v>
      </c>
      <c r="S124" s="139">
        <f t="shared" si="50"/>
        <v>0</v>
      </c>
      <c r="T124" s="139">
        <f t="shared" si="50"/>
        <v>0</v>
      </c>
      <c r="U124" s="139">
        <f t="shared" si="50"/>
        <v>0</v>
      </c>
      <c r="V124" s="139">
        <f t="shared" si="50"/>
        <v>0</v>
      </c>
      <c r="W124" s="139">
        <f t="shared" si="50"/>
        <v>0</v>
      </c>
      <c r="X124" s="139">
        <f t="shared" si="50"/>
        <v>0</v>
      </c>
      <c r="Y124" s="139">
        <f t="shared" si="50"/>
        <v>0</v>
      </c>
      <c r="Z124" s="139">
        <f t="shared" si="50"/>
        <v>0</v>
      </c>
      <c r="AA124" s="139">
        <f t="shared" si="50"/>
        <v>0</v>
      </c>
      <c r="AB124" s="17"/>
      <c r="AD124" s="139">
        <f>SUMIF($H$35:$H$122,"600000",AD$35:AD$122)+SUMIF($H$35:$H$122,"700000",AD$35:AD$122)-SUMIF($H$35:$H$122,"TOTDEPTEXP",AD$35:AD$122)</f>
        <v>-6.0535967350006104E-9</v>
      </c>
      <c r="AE124" s="17"/>
      <c r="AF124" s="21"/>
      <c r="AG124" s="139">
        <f>SUMIF($H$35:$H$122,"600000",AG$35:AG$122)+SUMIF($H$35:$H$122,"700000",AG$35:AG$122)-SUMIF($H$35:$H$122,"TOTDEPTEXP",AG$35:AG$122)</f>
        <v>0</v>
      </c>
      <c r="AH124" s="17"/>
      <c r="AI124" s="21"/>
    </row>
    <row r="125" spans="1:40" x14ac:dyDescent="0.25">
      <c r="A125" s="6" t="s">
        <v>36</v>
      </c>
      <c r="B125" s="7"/>
      <c r="N125" s="26" t="str">
        <f>N122&amp;" - Check"</f>
        <v>Department Profit (Loss) - Check</v>
      </c>
      <c r="O125" s="139">
        <f t="shared" ref="O125:AA125" si="51">SUMIF($H$35:$H$122,"KPI_GP",O$35:O$122)-SUMIF($H$35:$H$122,"TOTDEPTEXP",O$35:O$122)-SUMIF($H$35:$H$122,"TOTDEPTPL",O$35:O$122)</f>
        <v>0</v>
      </c>
      <c r="P125" s="139">
        <f t="shared" si="51"/>
        <v>0</v>
      </c>
      <c r="Q125" s="139">
        <f t="shared" si="51"/>
        <v>0</v>
      </c>
      <c r="R125" s="139">
        <f t="shared" si="51"/>
        <v>3.4560798667371273E-11</v>
      </c>
      <c r="S125" s="139">
        <f t="shared" si="51"/>
        <v>-3.2741809263825417E-11</v>
      </c>
      <c r="T125" s="139">
        <f t="shared" si="51"/>
        <v>-3.0013325158506632E-11</v>
      </c>
      <c r="U125" s="139">
        <f t="shared" si="51"/>
        <v>0</v>
      </c>
      <c r="V125" s="139">
        <f t="shared" si="51"/>
        <v>0</v>
      </c>
      <c r="W125" s="139">
        <f t="shared" si="51"/>
        <v>0</v>
      </c>
      <c r="X125" s="139">
        <f t="shared" si="51"/>
        <v>0</v>
      </c>
      <c r="Y125" s="139">
        <f t="shared" si="51"/>
        <v>0</v>
      </c>
      <c r="Z125" s="139">
        <f t="shared" si="51"/>
        <v>0</v>
      </c>
      <c r="AA125" s="139">
        <f t="shared" si="51"/>
        <v>-8.149072527885437E-10</v>
      </c>
      <c r="AB125" s="17"/>
      <c r="AD125" s="139">
        <f>SUMIF($H$35:$H$122,"KPI_GP",AD$35:AD$122)-SUMIF($H$35:$H$122,"TOTDEPTEXP",AD$35:AD$122)-SUMIF($H$35:$H$122,"TOTDEPTPL",AD$35:AD$122)</f>
        <v>-5.3551048040390015E-9</v>
      </c>
      <c r="AE125" s="17"/>
      <c r="AF125" s="21"/>
      <c r="AG125" s="139">
        <f>SUMIF($H$35:$H$122,"KPI_GP",AG$35:AG$122)-SUMIF($H$35:$H$122,"TOTDEPTEXP",AG$35:AG$122)-SUMIF($H$35:$H$122,"TOTDEPTPL",AG$35:AG$122)</f>
        <v>-5.3296389523893595E-10</v>
      </c>
      <c r="AH125" s="17"/>
      <c r="AI125" s="21"/>
    </row>
    <row r="126" spans="1:40" x14ac:dyDescent="0.25">
      <c r="A126" s="6" t="s">
        <v>37</v>
      </c>
      <c r="B126" s="7"/>
    </row>
    <row r="127" spans="1:40" x14ac:dyDescent="0.25">
      <c r="A127" s="6" t="s">
        <v>38</v>
      </c>
      <c r="B127" s="7"/>
      <c r="O127" s="166"/>
      <c r="P127" s="166"/>
      <c r="Q127" s="166"/>
      <c r="R127" s="166"/>
      <c r="S127" s="166"/>
      <c r="T127" s="166"/>
      <c r="U127" s="166"/>
      <c r="V127" s="166"/>
      <c r="W127" s="166"/>
      <c r="X127" s="166"/>
      <c r="Y127" s="166"/>
      <c r="Z127" s="166"/>
      <c r="AA127" s="166"/>
      <c r="AD127" s="166"/>
      <c r="AF127" s="166"/>
      <c r="AG127" s="166"/>
    </row>
    <row r="128" spans="1:40" x14ac:dyDescent="0.25">
      <c r="A128" s="6" t="s">
        <v>39</v>
      </c>
      <c r="B128" s="7"/>
      <c r="O128" s="166"/>
      <c r="P128" s="166"/>
      <c r="Q128" s="166"/>
      <c r="R128" s="166"/>
      <c r="S128" s="166"/>
      <c r="T128" s="166"/>
      <c r="U128" s="166"/>
      <c r="V128" s="166"/>
      <c r="W128" s="166"/>
      <c r="X128" s="166"/>
      <c r="Y128" s="166"/>
      <c r="Z128" s="166"/>
      <c r="AA128" s="166"/>
      <c r="AD128" s="166"/>
      <c r="AF128" s="166"/>
      <c r="AG128" s="166"/>
    </row>
    <row r="129" spans="1:33" x14ac:dyDescent="0.25">
      <c r="A129" s="6" t="s">
        <v>40</v>
      </c>
      <c r="B129" s="7"/>
      <c r="O129" s="166"/>
      <c r="P129" s="166"/>
      <c r="Q129" s="166"/>
      <c r="R129" s="166"/>
      <c r="S129" s="166"/>
      <c r="T129" s="166"/>
      <c r="U129" s="166"/>
      <c r="V129" s="166"/>
      <c r="W129" s="166"/>
      <c r="X129" s="166"/>
      <c r="Y129" s="166"/>
      <c r="Z129" s="166"/>
      <c r="AA129" s="166"/>
      <c r="AD129" s="166"/>
      <c r="AG129" s="166"/>
    </row>
    <row r="130" spans="1:33" x14ac:dyDescent="0.25">
      <c r="A130" s="6" t="s">
        <v>41</v>
      </c>
      <c r="B130" s="7"/>
    </row>
    <row r="131" spans="1:33" x14ac:dyDescent="0.25">
      <c r="A131" s="6" t="s">
        <v>42</v>
      </c>
      <c r="B131" s="7"/>
    </row>
    <row r="132" spans="1:33" x14ac:dyDescent="0.25">
      <c r="A132" s="6" t="s">
        <v>43</v>
      </c>
      <c r="B132" s="7"/>
      <c r="H132" s="11"/>
      <c r="J132" s="1"/>
    </row>
    <row r="133" spans="1:33" x14ac:dyDescent="0.25">
      <c r="A133" s="6" t="s">
        <v>44</v>
      </c>
      <c r="B133" s="7"/>
      <c r="H133" s="11"/>
      <c r="J133" s="1"/>
    </row>
    <row r="134" spans="1:33" x14ac:dyDescent="0.25">
      <c r="A134" s="6" t="s">
        <v>45</v>
      </c>
      <c r="B134" s="7"/>
      <c r="H134" s="11"/>
      <c r="J134" s="1"/>
    </row>
    <row r="135" spans="1:33" x14ac:dyDescent="0.25">
      <c r="A135" s="6" t="s">
        <v>46</v>
      </c>
      <c r="B135" s="7"/>
      <c r="H135" s="11"/>
      <c r="J135" s="1"/>
    </row>
    <row r="136" spans="1:33" x14ac:dyDescent="0.25">
      <c r="H136" s="11"/>
      <c r="J136" s="1"/>
    </row>
    <row r="137" spans="1:33" x14ac:dyDescent="0.25">
      <c r="H137" s="11"/>
      <c r="J137" s="1"/>
    </row>
    <row r="138" spans="1:33" x14ac:dyDescent="0.25">
      <c r="H138" s="11"/>
      <c r="J138" s="1"/>
    </row>
    <row r="139" spans="1:33" x14ac:dyDescent="0.25">
      <c r="H139" s="11"/>
      <c r="J139" s="1"/>
    </row>
    <row r="140" spans="1:33" x14ac:dyDescent="0.25">
      <c r="H140" s="11"/>
      <c r="J140" s="1"/>
    </row>
    <row r="141" spans="1:33" x14ac:dyDescent="0.25">
      <c r="H141" s="11"/>
      <c r="J141" s="1"/>
    </row>
    <row r="142" spans="1:33" x14ac:dyDescent="0.25">
      <c r="H142" s="11"/>
      <c r="J142" s="1"/>
    </row>
    <row r="143" spans="1:33" x14ac:dyDescent="0.25">
      <c r="H143" s="11"/>
      <c r="J143" s="1"/>
    </row>
    <row r="144" spans="1:33" x14ac:dyDescent="0.25">
      <c r="H144" s="11"/>
      <c r="J144" s="1"/>
    </row>
    <row r="145" spans="5:10" x14ac:dyDescent="0.25">
      <c r="H145" s="11"/>
      <c r="J145" s="1"/>
    </row>
    <row r="146" spans="5:10" x14ac:dyDescent="0.25">
      <c r="H146" s="11"/>
      <c r="J146" s="1"/>
    </row>
    <row r="147" spans="5:10" x14ac:dyDescent="0.25">
      <c r="H147" s="11"/>
      <c r="J147" s="1"/>
    </row>
    <row r="148" spans="5:10" x14ac:dyDescent="0.25">
      <c r="H148" s="11"/>
      <c r="J148" s="1"/>
    </row>
    <row r="149" spans="5:10" x14ac:dyDescent="0.25">
      <c r="H149" s="11"/>
      <c r="J149" s="1"/>
    </row>
    <row r="150" spans="5:10" x14ac:dyDescent="0.25">
      <c r="H150" s="11"/>
      <c r="J150" s="1"/>
    </row>
    <row r="151" spans="5:10" x14ac:dyDescent="0.25">
      <c r="H151" s="11"/>
      <c r="J151" s="1"/>
    </row>
    <row r="152" spans="5:10" x14ac:dyDescent="0.25">
      <c r="E152" s="76"/>
      <c r="H152" s="11"/>
      <c r="J152" s="1"/>
    </row>
    <row r="153" spans="5:10" x14ac:dyDescent="0.25">
      <c r="H153" s="11"/>
      <c r="J153" s="1"/>
    </row>
    <row r="154" spans="5:10" x14ac:dyDescent="0.25">
      <c r="H154" s="11"/>
      <c r="J154" s="1"/>
    </row>
    <row r="156" spans="5:10" x14ac:dyDescent="0.25">
      <c r="E156" s="76"/>
    </row>
    <row r="192" spans="7:7" x14ac:dyDescent="0.25">
      <c r="G192" s="76"/>
    </row>
    <row r="195" spans="7:34" x14ac:dyDescent="0.25">
      <c r="I195" s="76"/>
      <c r="J195" s="1"/>
      <c r="K195" s="76"/>
      <c r="L195" s="76"/>
      <c r="M195" s="76"/>
      <c r="O195" s="76"/>
      <c r="P195" s="76"/>
      <c r="Q195" s="76"/>
      <c r="R195" s="76"/>
      <c r="S195" s="76"/>
      <c r="T195" s="76"/>
      <c r="U195" s="76"/>
      <c r="V195" s="76"/>
      <c r="W195" s="76"/>
      <c r="X195" s="76"/>
      <c r="Y195" s="76"/>
      <c r="Z195" s="76"/>
      <c r="AA195" s="76"/>
      <c r="AD195" s="76"/>
      <c r="AF195" s="76"/>
      <c r="AH195" s="76"/>
    </row>
    <row r="196" spans="7:34" x14ac:dyDescent="0.25">
      <c r="G196" s="76"/>
    </row>
    <row r="199" spans="7:34" x14ac:dyDescent="0.25">
      <c r="I199" s="76"/>
      <c r="J199" s="1"/>
      <c r="K199" s="76"/>
      <c r="L199" s="76"/>
      <c r="M199" s="76"/>
      <c r="O199" s="76"/>
      <c r="P199" s="76"/>
      <c r="Q199" s="76"/>
      <c r="R199" s="76"/>
      <c r="S199" s="76"/>
      <c r="T199" s="76"/>
      <c r="U199" s="76"/>
      <c r="V199" s="76"/>
      <c r="W199" s="76"/>
      <c r="X199" s="76"/>
      <c r="Y199" s="76"/>
      <c r="Z199" s="76"/>
      <c r="AA199" s="76"/>
      <c r="AD199" s="76"/>
      <c r="AF199" s="76"/>
      <c r="AH199" s="76"/>
    </row>
  </sheetData>
  <mergeCells count="2">
    <mergeCell ref="AD31:AE31"/>
    <mergeCell ref="AG31:AH31"/>
  </mergeCells>
  <dataValidations count="2">
    <dataValidation type="list" allowBlank="1" sqref="B83 B50 B28:C28" xr:uid="{00000000-0002-0000-0B00-000000000000}">
      <formula1>"ACCOUNT,BUSINESSUNIT,CATEGORY,DATASRC,DEPARTMENT,INTCO,MEASURES,RPTCURRENCY,TIME"</formula1>
    </dataValidation>
    <dataValidation type="list" allowBlank="1" sqref="B84 B51 B29:C29" xr:uid="{00000000-0002-0000-0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5880"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5880" r:id="rId5" name="FPMExcelClientSheetOptionstb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358</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'LDXz8fdsAE2Ug4AWCUzTAA=='!$D$10</f>
        <v>#NAME?</v>
      </c>
      <c r="C9" s="1" t="e">
        <f ca="1">_xll.EVDES(B9,$B$1)</f>
        <v>#NAME?</v>
      </c>
      <c r="L9" s="11"/>
      <c r="M9" s="11"/>
    </row>
    <row r="10" spans="1:35" hidden="1" outlineLevel="1" x14ac:dyDescent="0.25">
      <c r="A10" s="8" t="s">
        <v>18</v>
      </c>
      <c r="B10" s="9" t="e">
        <f ca="1">'LDXz8fdsAE2Ug4AWCUzTAA=='!$D$7</f>
        <v>#NAME?</v>
      </c>
      <c r="C10" s="1" t="e">
        <f ca="1">_xll.EVDES(B10,$B$1)</f>
        <v>#NAME?</v>
      </c>
      <c r="D10" s="234" t="e">
        <f ca="1">_xll.EVPRO($B$1,$B$10,"Group")</f>
        <v>#NAME?</v>
      </c>
      <c r="L10" s="11"/>
      <c r="M10" s="11"/>
    </row>
    <row r="11" spans="1:35" hidden="1" outlineLevel="1" x14ac:dyDescent="0.25">
      <c r="B11" s="8"/>
      <c r="L11" s="11"/>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_xll.EVRNG(H35:H175)</f>
        <v>#NAME?</v>
      </c>
      <c r="G19" s="18" t="str">
        <f>$B$6</f>
        <v>D_REST_CON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D_REST_CON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IF(_xll.EVDES(B6,$B$1)="#NODATA","",_xll.EVDES(B6,$B$1)&amp;" Department")</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43266.04</v>
      </c>
      <c r="P35" s="21">
        <v>35494.949999999997</v>
      </c>
      <c r="Q35" s="21">
        <v>47115.22</v>
      </c>
      <c r="R35" s="21">
        <v>40771.199999999997</v>
      </c>
      <c r="S35" s="21">
        <v>32403.279999999999</v>
      </c>
      <c r="T35" s="21">
        <v>34241.33</v>
      </c>
      <c r="U35" s="21">
        <v>31944.02</v>
      </c>
      <c r="V35" s="21">
        <v>34866.230000000003</v>
      </c>
      <c r="W35" s="21">
        <v>23047.200000000001</v>
      </c>
      <c r="X35" s="21">
        <v>22337.919999999998</v>
      </c>
      <c r="Y35" s="21">
        <v>30965.37</v>
      </c>
      <c r="Z35" s="21">
        <v>43811.62</v>
      </c>
      <c r="AA35" s="21">
        <f t="shared" ref="AA35:AA40" si="0">SUM(O35:Z35)</f>
        <v>420264.37999999995</v>
      </c>
      <c r="AB35" s="17" t="str">
        <f ca="1">IF(AA35=0,"",IFERROR(AA35/AA$19,""))</f>
        <v/>
      </c>
      <c r="AD35" s="21">
        <v>711349.28649299999</v>
      </c>
      <c r="AE35" s="17" t="str">
        <f ca="1">IF(AD35=0,"",IFERROR(AD35/AD$19,""))</f>
        <v/>
      </c>
      <c r="AF35" s="50">
        <f t="shared" ref="AF35:AF41" si="1">IF(AND($AA35="",AD35=""),"",$AA35-AD35)</f>
        <v>-291084.90649300005</v>
      </c>
      <c r="AG35" s="21">
        <v>502842.08</v>
      </c>
      <c r="AH35" s="17" t="str">
        <f ca="1">IF(AG35=0,"",IFERROR(AG35/AG$19,""))</f>
        <v/>
      </c>
      <c r="AI35" s="50">
        <f t="shared" ref="AI35:AI41" si="2">IF(AND($AA35="",AG35=""),"",$AA35-AG35)</f>
        <v>-82577.70000000007</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v>2143.88</v>
      </c>
      <c r="P36" s="21">
        <v>2474</v>
      </c>
      <c r="Q36" s="21">
        <v>3458</v>
      </c>
      <c r="R36" s="21">
        <v>3306.5</v>
      </c>
      <c r="S36" s="21">
        <v>1845</v>
      </c>
      <c r="T36" s="21">
        <v>1616.5</v>
      </c>
      <c r="U36" s="21">
        <v>1381</v>
      </c>
      <c r="V36" s="21">
        <v>2614</v>
      </c>
      <c r="W36" s="21">
        <v>1978</v>
      </c>
      <c r="X36" s="21">
        <v>1242</v>
      </c>
      <c r="Y36" s="21">
        <v>1849</v>
      </c>
      <c r="Z36" s="21">
        <v>3242</v>
      </c>
      <c r="AA36" s="21">
        <f t="shared" si="0"/>
        <v>27149.88</v>
      </c>
      <c r="AB36" s="17" t="str">
        <f ca="1">IF(AA36=0,"",IFERROR(AA36/AA$19,""))</f>
        <v/>
      </c>
      <c r="AD36" s="21">
        <v>30485.187150000002</v>
      </c>
      <c r="AE36" s="17" t="str">
        <f ca="1">IF(AD36=0,"",IFERROR(AD36/AD$19,""))</f>
        <v/>
      </c>
      <c r="AF36" s="50">
        <f t="shared" si="1"/>
        <v>-3335.3071500000005</v>
      </c>
      <c r="AG36" s="21">
        <v>23091.18</v>
      </c>
      <c r="AH36" s="17" t="str">
        <f t="shared" ref="AH36:AH75" ca="1" si="3">IF(AG36=0,"",IFERROR(AG36/AG$19,""))</f>
        <v/>
      </c>
      <c r="AI36" s="50">
        <f t="shared" si="2"/>
        <v>4058.7000000000007</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v>183</v>
      </c>
      <c r="P37" s="21">
        <v>120</v>
      </c>
      <c r="Q37" s="21">
        <v>510</v>
      </c>
      <c r="R37" s="21">
        <v>280</v>
      </c>
      <c r="S37" s="21">
        <v>269</v>
      </c>
      <c r="T37" s="21">
        <v>270</v>
      </c>
      <c r="U37" s="21">
        <v>214</v>
      </c>
      <c r="V37" s="21">
        <v>376</v>
      </c>
      <c r="W37" s="21">
        <v>160.80000000000001</v>
      </c>
      <c r="X37" s="21">
        <v>162</v>
      </c>
      <c r="Y37" s="21">
        <v>312</v>
      </c>
      <c r="Z37" s="21">
        <v>140</v>
      </c>
      <c r="AA37" s="21">
        <f t="shared" si="0"/>
        <v>2996.8</v>
      </c>
      <c r="AB37" s="17" t="str">
        <f ca="1">IF(AA37=0,"",IFERROR(AA37/AA$19,""))</f>
        <v/>
      </c>
      <c r="AD37" s="21">
        <v>5312.8874130000004</v>
      </c>
      <c r="AE37" s="17" t="str">
        <f ca="1">IF(AD37=0,"",IFERROR(AD37/AD$19,""))</f>
        <v/>
      </c>
      <c r="AF37" s="50">
        <f t="shared" si="1"/>
        <v>-2316.0874130000002</v>
      </c>
      <c r="AG37" s="21">
        <v>3568.5</v>
      </c>
      <c r="AH37" s="17" t="str">
        <f t="shared" ca="1" si="3"/>
        <v/>
      </c>
      <c r="AI37" s="50">
        <f t="shared" si="2"/>
        <v>-571.69999999999982</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v>2188</v>
      </c>
      <c r="P38" s="30">
        <v>1106</v>
      </c>
      <c r="Q38" s="30">
        <v>2226.34</v>
      </c>
      <c r="R38" s="30">
        <v>1352</v>
      </c>
      <c r="S38" s="30">
        <v>2240</v>
      </c>
      <c r="T38" s="30">
        <v>1634</v>
      </c>
      <c r="U38" s="30">
        <v>1769</v>
      </c>
      <c r="V38" s="30">
        <v>1447</v>
      </c>
      <c r="W38" s="30">
        <v>633</v>
      </c>
      <c r="X38" s="30">
        <v>1004</v>
      </c>
      <c r="Y38" s="30">
        <v>1569</v>
      </c>
      <c r="Z38" s="30">
        <v>1314</v>
      </c>
      <c r="AA38" s="30">
        <f t="shared" si="0"/>
        <v>18482.34</v>
      </c>
      <c r="AB38" s="31" t="str">
        <f ca="1">IF(AA38=0,"",IFERROR(AA38/AA$19,""))</f>
        <v/>
      </c>
      <c r="AD38" s="30">
        <v>61904.928943999999</v>
      </c>
      <c r="AE38" s="31" t="str">
        <f ca="1">IF(AD38=0,"",IFERROR(AD38/AD$19,""))</f>
        <v/>
      </c>
      <c r="AF38" s="51">
        <f t="shared" si="1"/>
        <v>-43422.588944000003</v>
      </c>
      <c r="AG38" s="30">
        <v>43238.2</v>
      </c>
      <c r="AH38" s="31" t="str">
        <f t="shared" ca="1" si="3"/>
        <v/>
      </c>
      <c r="AI38" s="51">
        <f t="shared" si="2"/>
        <v>-24755.859999999997</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47780.92</v>
      </c>
      <c r="P39" s="164">
        <v>39194.949999999997</v>
      </c>
      <c r="Q39" s="164">
        <v>53309.56</v>
      </c>
      <c r="R39" s="164">
        <v>45709.7</v>
      </c>
      <c r="S39" s="164">
        <v>36757.279999999999</v>
      </c>
      <c r="T39" s="164">
        <v>37761.83</v>
      </c>
      <c r="U39" s="164">
        <v>35308.019999999997</v>
      </c>
      <c r="V39" s="164">
        <v>39303.230000000003</v>
      </c>
      <c r="W39" s="164">
        <v>25819</v>
      </c>
      <c r="X39" s="164">
        <v>24745.919999999998</v>
      </c>
      <c r="Y39" s="164">
        <v>34695.370000000003</v>
      </c>
      <c r="Z39" s="164">
        <v>48507.62</v>
      </c>
      <c r="AA39" s="164">
        <f t="shared" si="0"/>
        <v>468893.39999999997</v>
      </c>
      <c r="AB39" s="175" t="str">
        <f ca="1">IF(AA39=0,"",IFERROR(AA39/AA$19,""))</f>
        <v/>
      </c>
      <c r="AD39" s="164">
        <v>809052.29</v>
      </c>
      <c r="AE39" s="175" t="str">
        <f ca="1">IF(AD39=0,"",IFERROR(AD39/AD$19,""))</f>
        <v/>
      </c>
      <c r="AF39" s="165">
        <f t="shared" si="1"/>
        <v>-340158.89000000007</v>
      </c>
      <c r="AG39" s="164">
        <v>572739.96</v>
      </c>
      <c r="AH39" s="175" t="str">
        <f t="shared" ca="1" si="3"/>
        <v/>
      </c>
      <c r="AI39" s="165">
        <f t="shared" si="2"/>
        <v>-103846.56</v>
      </c>
    </row>
    <row r="40" spans="1:35" x14ac:dyDescent="0.25">
      <c r="A40" s="6" t="s">
        <v>28</v>
      </c>
      <c r="B40" s="7"/>
      <c r="H40" s="15" t="s">
        <v>297</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1895</v>
      </c>
      <c r="P40" s="38">
        <v>1706</v>
      </c>
      <c r="Q40" s="38">
        <v>1887</v>
      </c>
      <c r="R40" s="38">
        <v>1771</v>
      </c>
      <c r="S40" s="38">
        <v>1338</v>
      </c>
      <c r="T40" s="38">
        <v>1462</v>
      </c>
      <c r="U40" s="38">
        <v>1496</v>
      </c>
      <c r="V40" s="38">
        <v>1350</v>
      </c>
      <c r="W40" s="38">
        <v>1036</v>
      </c>
      <c r="X40" s="38">
        <v>1161</v>
      </c>
      <c r="Y40" s="38">
        <v>1263</v>
      </c>
      <c r="Z40" s="38">
        <v>1794</v>
      </c>
      <c r="AA40" s="38">
        <f t="shared" si="0"/>
        <v>18159</v>
      </c>
      <c r="AB40" s="39">
        <f>IF(AA40=0,"",IFERROR(AA40/AA$104,""))</f>
        <v>0.36520322587132714</v>
      </c>
      <c r="AD40" s="38">
        <v>23027</v>
      </c>
      <c r="AE40" s="39">
        <f>IF(AD40=0,"",IFERROR(AD40/AD$104,""))</f>
        <v>0.32472642148014441</v>
      </c>
      <c r="AF40" s="132">
        <f t="shared" si="1"/>
        <v>-4868</v>
      </c>
      <c r="AG40" s="38">
        <v>20500</v>
      </c>
      <c r="AH40" s="39">
        <f>IF(AG40=0,"",IFERROR(AG40/AG$104,""))</f>
        <v>0.36390747874247775</v>
      </c>
      <c r="AI40" s="132">
        <f t="shared" si="2"/>
        <v>-2341</v>
      </c>
    </row>
    <row r="41" spans="1:35" x14ac:dyDescent="0.25">
      <c r="A41" s="6" t="s">
        <v>29</v>
      </c>
      <c r="B41" s="7"/>
      <c r="H41" s="15" t="s">
        <v>313</v>
      </c>
      <c r="I41" s="161" t="e">
        <f ca="1">_xll.EVPRO($B$1,$H41,"STYLE")</f>
        <v>#NAME?</v>
      </c>
      <c r="J41" s="161" t="e">
        <f ca="1">_xll.EVPRO($B$1,$H41,"CALC")</f>
        <v>#NAME?</v>
      </c>
      <c r="K41" s="162"/>
      <c r="L41" s="162" t="e">
        <f ca="1">_xll.EVPRO($B$1,H41,"JDEID")</f>
        <v>#NAME?</v>
      </c>
      <c r="M41" s="162" t="e">
        <f ca="1">IF(AND(I41="N",J41="N"),_xll.EVPRO($B$1,H41,"PSFTID"),"")</f>
        <v>#NAME?</v>
      </c>
      <c r="N41" s="170" t="e">
        <f ca="1">IF(_xll.EVDES(H41,$B$1)="#NODATA","",_xll.EVDES(H41,$B$1))</f>
        <v>#NAME?</v>
      </c>
      <c r="O41" s="176">
        <v>25.214205804749302</v>
      </c>
      <c r="P41" s="176">
        <v>22.9747655334115</v>
      </c>
      <c r="Q41" s="176">
        <v>28.250959194488601</v>
      </c>
      <c r="R41" s="176">
        <v>25.810107284020301</v>
      </c>
      <c r="S41" s="176">
        <v>27.471808669656198</v>
      </c>
      <c r="T41" s="176">
        <v>25.8288850889193</v>
      </c>
      <c r="U41" s="176">
        <v>23.601617647058799</v>
      </c>
      <c r="V41" s="176">
        <v>29.113503703703699</v>
      </c>
      <c r="W41" s="176">
        <v>24.921814671814701</v>
      </c>
      <c r="X41" s="176">
        <v>21.314315245477999</v>
      </c>
      <c r="Y41" s="176">
        <v>27.470601741884401</v>
      </c>
      <c r="Z41" s="176">
        <v>27.0388071348941</v>
      </c>
      <c r="AA41" s="176">
        <f>IFERROR(AA39/AA40,"")</f>
        <v>25.821543036510818</v>
      </c>
      <c r="AB41" s="176"/>
      <c r="AD41" s="176">
        <v>35.134941156034202</v>
      </c>
      <c r="AE41" s="176"/>
      <c r="AF41" s="177">
        <f t="shared" si="1"/>
        <v>-9.3133981195233844</v>
      </c>
      <c r="AG41" s="176">
        <v>27.938534634146301</v>
      </c>
      <c r="AH41" s="176"/>
      <c r="AI41" s="177">
        <f t="shared" si="2"/>
        <v>-2.1169915976354829</v>
      </c>
    </row>
    <row r="42" spans="1:35" x14ac:dyDescent="0.25">
      <c r="A42" s="6" t="s">
        <v>30</v>
      </c>
      <c r="B42" s="7" t="s">
        <v>78</v>
      </c>
      <c r="G42" s="181">
        <f>COUNTIF(O43:AI43,FALSE)</f>
        <v>0</v>
      </c>
      <c r="H42" s="15"/>
      <c r="I42" s="161"/>
      <c r="J42" s="161"/>
      <c r="K42" s="162"/>
      <c r="L42" s="162"/>
      <c r="M42" s="162"/>
      <c r="N42" s="182" t="s">
        <v>345</v>
      </c>
      <c r="O42" s="179">
        <f t="shared" ref="O42:AA42" si="4">ROUND(IFERROR(O39/O40,0),2)</f>
        <v>25.21</v>
      </c>
      <c r="P42" s="184">
        <f t="shared" si="4"/>
        <v>22.97</v>
      </c>
      <c r="Q42" s="184">
        <f t="shared" si="4"/>
        <v>28.25</v>
      </c>
      <c r="R42" s="184">
        <f t="shared" si="4"/>
        <v>25.81</v>
      </c>
      <c r="S42" s="184">
        <f t="shared" si="4"/>
        <v>27.47</v>
      </c>
      <c r="T42" s="184">
        <f t="shared" si="4"/>
        <v>25.83</v>
      </c>
      <c r="U42" s="184">
        <f t="shared" si="4"/>
        <v>23.6</v>
      </c>
      <c r="V42" s="184">
        <f t="shared" si="4"/>
        <v>29.11</v>
      </c>
      <c r="W42" s="184">
        <f t="shared" si="4"/>
        <v>24.92</v>
      </c>
      <c r="X42" s="184">
        <f t="shared" si="4"/>
        <v>21.31</v>
      </c>
      <c r="Y42" s="184">
        <f t="shared" si="4"/>
        <v>27.47</v>
      </c>
      <c r="Z42" s="184">
        <f t="shared" si="4"/>
        <v>27.04</v>
      </c>
      <c r="AA42" s="184">
        <f t="shared" si="4"/>
        <v>25.82</v>
      </c>
      <c r="AB42" s="183"/>
      <c r="AD42" s="179">
        <f>ROUND(IFERROR(AD39/AD40,0),2)</f>
        <v>35.130000000000003</v>
      </c>
      <c r="AE42" s="184"/>
      <c r="AF42" s="180"/>
      <c r="AG42" s="179">
        <f>ROUND(IFERROR(AG39/AG40,0),2)</f>
        <v>27.94</v>
      </c>
      <c r="AH42" s="184"/>
      <c r="AI42" s="180"/>
    </row>
    <row r="43" spans="1:35" x14ac:dyDescent="0.25">
      <c r="A43" s="6" t="s">
        <v>31</v>
      </c>
      <c r="B43" s="7" t="s">
        <v>78</v>
      </c>
      <c r="H43" s="15"/>
      <c r="I43" s="161"/>
      <c r="J43" s="161"/>
      <c r="K43" s="162"/>
      <c r="L43" s="162"/>
      <c r="M43" s="162"/>
      <c r="N43" s="8" t="s">
        <v>314</v>
      </c>
      <c r="O43" s="319" t="b">
        <f t="shared" ref="O43:AA43" si="5">ROUND(O41,2)=ROUND(O42,2)</f>
        <v>1</v>
      </c>
      <c r="P43" s="320" t="b">
        <f t="shared" si="5"/>
        <v>1</v>
      </c>
      <c r="Q43" s="320" t="b">
        <f t="shared" si="5"/>
        <v>1</v>
      </c>
      <c r="R43" s="320" t="b">
        <f t="shared" si="5"/>
        <v>1</v>
      </c>
      <c r="S43" s="320" t="b">
        <f t="shared" si="5"/>
        <v>1</v>
      </c>
      <c r="T43" s="320" t="b">
        <f t="shared" si="5"/>
        <v>1</v>
      </c>
      <c r="U43" s="320" t="b">
        <f t="shared" si="5"/>
        <v>1</v>
      </c>
      <c r="V43" s="320" t="b">
        <f t="shared" si="5"/>
        <v>1</v>
      </c>
      <c r="W43" s="320" t="b">
        <f t="shared" si="5"/>
        <v>1</v>
      </c>
      <c r="X43" s="320" t="b">
        <f t="shared" si="5"/>
        <v>1</v>
      </c>
      <c r="Y43" s="320" t="b">
        <f t="shared" si="5"/>
        <v>1</v>
      </c>
      <c r="Z43" s="320" t="b">
        <f t="shared" si="5"/>
        <v>1</v>
      </c>
      <c r="AA43" s="320" t="b">
        <f t="shared" si="5"/>
        <v>1</v>
      </c>
      <c r="AB43" s="321"/>
      <c r="AC43" s="322"/>
      <c r="AD43" s="319"/>
      <c r="AE43" s="320" t="b">
        <f>ROUND(AD41,2)=ROUND(AD42,2)</f>
        <v>1</v>
      </c>
      <c r="AF43" s="321"/>
      <c r="AG43" s="319"/>
      <c r="AH43" s="320" t="b">
        <f>ROUND(AG41,2)=ROUND(AG42,2)</f>
        <v>1</v>
      </c>
      <c r="AI43" s="321"/>
    </row>
    <row r="44" spans="1:35" x14ac:dyDescent="0.25">
      <c r="A44" s="6" t="s">
        <v>32</v>
      </c>
      <c r="B44" s="7"/>
      <c r="H44" s="15" t="s">
        <v>261</v>
      </c>
      <c r="I44" s="161" t="e">
        <f ca="1">_xll.EVPRO($B$1,$H44,"STYLE")</f>
        <v>#NAME?</v>
      </c>
      <c r="J44" s="161" t="e">
        <f ca="1">_xll.EVPRO($B$1,$H44,"CALC")</f>
        <v>#NAME?</v>
      </c>
      <c r="K44" s="162"/>
      <c r="L44" s="162" t="e">
        <f ca="1">_xll.EVPRO($B$1,H44,"JDEID")</f>
        <v>#NAME?</v>
      </c>
      <c r="M44" s="162" t="e">
        <f ca="1">IF(AND(I44="N",J44="N"),_xll.EVPRO($B$1,H44,"PSFTID"),"")</f>
        <v>#NAME?</v>
      </c>
      <c r="N44" s="162" t="e">
        <f ca="1">IF(_xll.EVDES(H44,$B$1)="#NODATA","",_xll.EVDES(H44,$B$1))</f>
        <v>#NAME?</v>
      </c>
      <c r="O44" s="21">
        <v>25471.4</v>
      </c>
      <c r="P44" s="21">
        <v>37706.81</v>
      </c>
      <c r="Q44" s="21">
        <v>13564.93</v>
      </c>
      <c r="R44" s="21">
        <v>10820.77</v>
      </c>
      <c r="S44" s="21">
        <v>13832.1</v>
      </c>
      <c r="T44" s="21">
        <v>5901.5</v>
      </c>
      <c r="U44" s="21">
        <v>8485.2000000000007</v>
      </c>
      <c r="V44" s="21">
        <v>6607.81</v>
      </c>
      <c r="W44" s="21">
        <v>9670.81</v>
      </c>
      <c r="X44" s="21">
        <v>19131.599999999999</v>
      </c>
      <c r="Y44" s="21">
        <v>5995.3</v>
      </c>
      <c r="Z44" s="21">
        <v>31315.599999999999</v>
      </c>
      <c r="AA44" s="21">
        <f t="shared" ref="AA44:AA49" si="6">SUM(O44:Z44)</f>
        <v>188503.83000000002</v>
      </c>
      <c r="AB44" s="17" t="str">
        <f ca="1">IF(AA44=0,"",IFERROR(AA44/AA$19,""))</f>
        <v/>
      </c>
      <c r="AD44" s="21">
        <v>294012.48746500001</v>
      </c>
      <c r="AE44" s="17" t="str">
        <f ca="1">IF(AD44=0,"",IFERROR(AD44/AD$19,""))</f>
        <v/>
      </c>
      <c r="AF44" s="50">
        <f t="shared" ref="AF44:AF50" si="7">IF(AND($AA44="",AD44=""),"",$AA44-AD44)</f>
        <v>-105508.657465</v>
      </c>
      <c r="AG44" s="21">
        <v>288092</v>
      </c>
      <c r="AH44" s="17" t="str">
        <f t="shared" ca="1" si="3"/>
        <v/>
      </c>
      <c r="AI44" s="50">
        <f t="shared" ref="AI44:AI50" si="8">IF(AND($AA44="",AG44=""),"",$AA44-AG44)</f>
        <v>-99588.169999999984</v>
      </c>
    </row>
    <row r="45" spans="1:35" x14ac:dyDescent="0.25">
      <c r="A45" s="6" t="s">
        <v>33</v>
      </c>
      <c r="B45" s="7"/>
      <c r="H45" s="149" t="s">
        <v>301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13736.8</v>
      </c>
      <c r="P45" s="21">
        <v>20086.02</v>
      </c>
      <c r="Q45" s="21">
        <v>20892.54</v>
      </c>
      <c r="R45" s="21">
        <v>16418.78</v>
      </c>
      <c r="S45" s="21">
        <v>14877.4</v>
      </c>
      <c r="T45" s="21">
        <v>13741</v>
      </c>
      <c r="U45" s="21">
        <v>13117.5</v>
      </c>
      <c r="V45" s="21">
        <v>8754.59</v>
      </c>
      <c r="W45" s="21">
        <v>8562</v>
      </c>
      <c r="X45" s="21">
        <v>9753.4</v>
      </c>
      <c r="Y45" s="21">
        <v>6623.2</v>
      </c>
      <c r="Z45" s="21">
        <v>4170.49</v>
      </c>
      <c r="AA45" s="21">
        <f t="shared" si="6"/>
        <v>150733.72</v>
      </c>
      <c r="AB45" s="17" t="str">
        <f ca="1">IF(AA45=0,"",IFERROR(AA45/AA$19,""))</f>
        <v/>
      </c>
      <c r="AD45" s="21">
        <v>272772.03578999999</v>
      </c>
      <c r="AE45" s="17" t="str">
        <f ca="1">IF(AD45=0,"",IFERROR(AD45/AD$19,""))</f>
        <v/>
      </c>
      <c r="AF45" s="50">
        <f t="shared" si="7"/>
        <v>-122038.31578999999</v>
      </c>
      <c r="AG45" s="21">
        <v>192993.57</v>
      </c>
      <c r="AH45" s="17" t="str">
        <f t="shared" ca="1" si="3"/>
        <v/>
      </c>
      <c r="AI45" s="50">
        <f t="shared" si="8"/>
        <v>-42259.850000000006</v>
      </c>
    </row>
    <row r="46" spans="1:35" x14ac:dyDescent="0.25">
      <c r="A46" s="6" t="s">
        <v>34</v>
      </c>
      <c r="B46" s="7"/>
      <c r="H46" s="149" t="s">
        <v>305</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v>3690.2</v>
      </c>
      <c r="P46" s="21">
        <v>5207.6000000000004</v>
      </c>
      <c r="Q46" s="21">
        <v>3476</v>
      </c>
      <c r="R46" s="21">
        <v>3603.6</v>
      </c>
      <c r="S46" s="21">
        <v>3709.6</v>
      </c>
      <c r="T46" s="21">
        <v>2024</v>
      </c>
      <c r="U46" s="21">
        <v>2505</v>
      </c>
      <c r="V46" s="21">
        <v>2225.1999999999998</v>
      </c>
      <c r="W46" s="21">
        <v>1469</v>
      </c>
      <c r="X46" s="21">
        <v>2080.5</v>
      </c>
      <c r="Y46" s="21">
        <v>2786</v>
      </c>
      <c r="Z46" s="21">
        <v>1654.6</v>
      </c>
      <c r="AA46" s="21">
        <f t="shared" si="6"/>
        <v>34431.299999999996</v>
      </c>
      <c r="AB46" s="17" t="str">
        <f ca="1">IF(AA46=0,"",IFERROR(AA46/AA$19,""))</f>
        <v/>
      </c>
      <c r="AD46" s="21">
        <v>46768.518104000002</v>
      </c>
      <c r="AE46" s="17" t="str">
        <f ca="1">IF(AD46=0,"",IFERROR(AD46/AD$19,""))</f>
        <v/>
      </c>
      <c r="AF46" s="50">
        <f t="shared" si="7"/>
        <v>-12337.218104000007</v>
      </c>
      <c r="AG46" s="21">
        <v>35017.199999999997</v>
      </c>
      <c r="AH46" s="17" t="str">
        <f t="shared" ca="1" si="3"/>
        <v/>
      </c>
      <c r="AI46" s="50">
        <f t="shared" si="8"/>
        <v>-585.90000000000146</v>
      </c>
    </row>
    <row r="47" spans="1:35" x14ac:dyDescent="0.25">
      <c r="A47" s="6" t="s">
        <v>35</v>
      </c>
      <c r="B47" s="7"/>
      <c r="H47" s="149" t="s">
        <v>303</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30">
        <v>2512</v>
      </c>
      <c r="P47" s="30">
        <v>3080</v>
      </c>
      <c r="Q47" s="30">
        <v>1788.4</v>
      </c>
      <c r="R47" s="30">
        <v>1765</v>
      </c>
      <c r="S47" s="30">
        <v>1696.6</v>
      </c>
      <c r="T47" s="30">
        <v>736</v>
      </c>
      <c r="U47" s="30">
        <v>1032.8</v>
      </c>
      <c r="V47" s="30">
        <v>1021.2</v>
      </c>
      <c r="W47" s="30">
        <v>297</v>
      </c>
      <c r="X47" s="30">
        <v>1233.4000000000001</v>
      </c>
      <c r="Y47" s="30">
        <v>1296</v>
      </c>
      <c r="Z47" s="30">
        <v>1252.8</v>
      </c>
      <c r="AA47" s="30">
        <f t="shared" si="6"/>
        <v>17711.2</v>
      </c>
      <c r="AB47" s="31" t="str">
        <f ca="1">IF(AA47=0,"",IFERROR(AA47/AA$19,""))</f>
        <v/>
      </c>
      <c r="AD47" s="30">
        <v>25045.878640999999</v>
      </c>
      <c r="AE47" s="31" t="str">
        <f ca="1">IF(AD47=0,"",IFERROR(AD47/AD$19,""))</f>
        <v/>
      </c>
      <c r="AF47" s="51">
        <f t="shared" si="7"/>
        <v>-7334.6786409999986</v>
      </c>
      <c r="AG47" s="30">
        <v>16776.419999999998</v>
      </c>
      <c r="AH47" s="31" t="str">
        <f t="shared" ca="1" si="3"/>
        <v/>
      </c>
      <c r="AI47" s="51">
        <f t="shared" si="8"/>
        <v>934.78000000000247</v>
      </c>
    </row>
    <row r="48" spans="1:35" x14ac:dyDescent="0.25">
      <c r="A48" s="6" t="s">
        <v>36</v>
      </c>
      <c r="B48" s="7"/>
      <c r="H48" s="15" t="s">
        <v>319</v>
      </c>
      <c r="I48" s="161" t="e">
        <f ca="1">_xll.EVPRO($B$1,$H48,"STYLE")</f>
        <v>#NAME?</v>
      </c>
      <c r="J48" s="161" t="e">
        <f ca="1">_xll.EVPRO($B$1,$H48,"CALC")</f>
        <v>#NAME?</v>
      </c>
      <c r="K48" s="162"/>
      <c r="L48" s="162" t="e">
        <f ca="1">_xll.EVPRO($B$1,H48,"JDEID")</f>
        <v>#NAME?</v>
      </c>
      <c r="M48" s="162" t="e">
        <f ca="1">IF(AND(I48="N",J48="N"),_xll.EVPRO($B$1,H48,"PSFTID"),"")</f>
        <v>#NAME?</v>
      </c>
      <c r="N48" s="25" t="e">
        <f ca="1">IF(_xll.EVDES(H48,$B$1)="#NODATA","",_xll.EVDES(H48,$B$1))</f>
        <v>#NAME?</v>
      </c>
      <c r="O48" s="164">
        <v>45410.400000000001</v>
      </c>
      <c r="P48" s="164">
        <v>66080.429999999993</v>
      </c>
      <c r="Q48" s="164">
        <v>39721.870000000003</v>
      </c>
      <c r="R48" s="164">
        <v>32608.15</v>
      </c>
      <c r="S48" s="164">
        <v>34115.699999999997</v>
      </c>
      <c r="T48" s="164">
        <v>22402.5</v>
      </c>
      <c r="U48" s="164">
        <v>25140.5</v>
      </c>
      <c r="V48" s="164">
        <v>18608.8</v>
      </c>
      <c r="W48" s="164">
        <v>19998.810000000001</v>
      </c>
      <c r="X48" s="164">
        <v>32198.9</v>
      </c>
      <c r="Y48" s="164">
        <v>16700.5</v>
      </c>
      <c r="Z48" s="164">
        <v>38393.49</v>
      </c>
      <c r="AA48" s="164">
        <f t="shared" si="6"/>
        <v>391380.05</v>
      </c>
      <c r="AB48" s="175" t="str">
        <f ca="1">IF(AA48=0,"",IFERROR(AA48/AA$19,""))</f>
        <v/>
      </c>
      <c r="AD48" s="164">
        <v>638598.92000000004</v>
      </c>
      <c r="AE48" s="175" t="str">
        <f ca="1">IF(AD48=0,"",IFERROR(AD48/AD$19,""))</f>
        <v/>
      </c>
      <c r="AF48" s="165">
        <f t="shared" si="7"/>
        <v>-247218.87000000005</v>
      </c>
      <c r="AG48" s="164">
        <v>532879.18999999994</v>
      </c>
      <c r="AH48" s="175" t="str">
        <f t="shared" ca="1" si="3"/>
        <v/>
      </c>
      <c r="AI48" s="165">
        <f t="shared" si="8"/>
        <v>-141499.13999999996</v>
      </c>
    </row>
    <row r="49" spans="1:35" x14ac:dyDescent="0.25">
      <c r="A49" s="6" t="s">
        <v>37</v>
      </c>
      <c r="B49" s="7"/>
      <c r="H49" s="15" t="s">
        <v>298</v>
      </c>
      <c r="I49" s="161" t="e">
        <f ca="1">_xll.EVPRO($B$1,$H49,"STYLE")</f>
        <v>#NAME?</v>
      </c>
      <c r="J49" s="161" t="e">
        <f ca="1">_xll.EVPRO($B$1,$H49,"CALC")</f>
        <v>#NAME?</v>
      </c>
      <c r="K49" s="162"/>
      <c r="L49" s="162" t="e">
        <f ca="1">_xll.EVPRO($B$1,H49,"JDEID")</f>
        <v>#NAME?</v>
      </c>
      <c r="M49" s="162" t="e">
        <f ca="1">IF(AND(I49="N",J49="N"),_xll.EVPRO($B$1,H49,"PSFTID"),"")</f>
        <v>#NAME?</v>
      </c>
      <c r="N49" s="162" t="e">
        <f ca="1">IF(_xll.EVDES(H49,$B$1)="#NODATA","",_xll.EVDES(H49,$B$1))</f>
        <v>#NAME?</v>
      </c>
      <c r="O49" s="38">
        <v>1027</v>
      </c>
      <c r="P49" s="38">
        <v>1243</v>
      </c>
      <c r="Q49" s="38">
        <v>1564</v>
      </c>
      <c r="R49" s="38">
        <v>913</v>
      </c>
      <c r="S49" s="38">
        <v>1000</v>
      </c>
      <c r="T49" s="38">
        <v>1012</v>
      </c>
      <c r="U49" s="38">
        <v>784</v>
      </c>
      <c r="V49" s="38">
        <v>650</v>
      </c>
      <c r="W49" s="38">
        <v>618</v>
      </c>
      <c r="X49" s="38">
        <v>688</v>
      </c>
      <c r="Y49" s="38">
        <v>493</v>
      </c>
      <c r="Z49" s="38">
        <v>641</v>
      </c>
      <c r="AA49" s="38">
        <f t="shared" si="6"/>
        <v>10633</v>
      </c>
      <c r="AB49" s="39">
        <f>IF(AA49=0,"",IFERROR(AA49/AA$104,""))</f>
        <v>0.21384469963598335</v>
      </c>
      <c r="AD49" s="38">
        <v>15902</v>
      </c>
      <c r="AE49" s="39">
        <f>IF(AD49=0,"",IFERROR(AD49/AD$104,""))</f>
        <v>0.22424977436823104</v>
      </c>
      <c r="AF49" s="132">
        <f t="shared" si="7"/>
        <v>-5269</v>
      </c>
      <c r="AG49" s="38">
        <v>14889</v>
      </c>
      <c r="AH49" s="39">
        <f>IF(AG49=0,"",IFERROR(AG49/AG$104,""))</f>
        <v>0.26430333907301229</v>
      </c>
      <c r="AI49" s="132">
        <f t="shared" si="8"/>
        <v>-4256</v>
      </c>
    </row>
    <row r="50" spans="1:35" x14ac:dyDescent="0.25">
      <c r="A50" s="6" t="s">
        <v>38</v>
      </c>
      <c r="B50" s="7"/>
      <c r="H50" s="15" t="s">
        <v>315</v>
      </c>
      <c r="I50" s="161" t="e">
        <f ca="1">_xll.EVPRO($B$1,$H50,"STYLE")</f>
        <v>#NAME?</v>
      </c>
      <c r="J50" s="161" t="e">
        <f ca="1">_xll.EVPRO($B$1,$H50,"CALC")</f>
        <v>#NAME?</v>
      </c>
      <c r="K50" s="162"/>
      <c r="L50" s="162" t="e">
        <f ca="1">_xll.EVPRO($B$1,H50,"JDEID")</f>
        <v>#NAME?</v>
      </c>
      <c r="M50" s="162" t="e">
        <f ca="1">IF(AND(I50="N",J50="N"),_xll.EVPRO($B$1,H50,"PSFTID"),"")</f>
        <v>#NAME?</v>
      </c>
      <c r="N50" s="170" t="e">
        <f ca="1">IF(_xll.EVDES(H50,$B$1)="#NODATA","",_xll.EVDES(H50,$B$1))</f>
        <v>#NAME?</v>
      </c>
      <c r="O50" s="176">
        <v>44.216553067185998</v>
      </c>
      <c r="P50" s="176">
        <v>53.162051488334697</v>
      </c>
      <c r="Q50" s="176">
        <v>25.397615089514101</v>
      </c>
      <c r="R50" s="176">
        <v>35.715388828039401</v>
      </c>
      <c r="S50" s="176">
        <v>34.115699999999997</v>
      </c>
      <c r="T50" s="176">
        <v>22.1368577075099</v>
      </c>
      <c r="U50" s="176">
        <v>32.066964285714299</v>
      </c>
      <c r="V50" s="176">
        <v>28.628923076923101</v>
      </c>
      <c r="W50" s="176">
        <v>32.360533980582503</v>
      </c>
      <c r="X50" s="176">
        <v>46.8007267441861</v>
      </c>
      <c r="Y50" s="176">
        <v>33.875253549695699</v>
      </c>
      <c r="Z50" s="176">
        <v>59.896240249610003</v>
      </c>
      <c r="AA50" s="176">
        <f>IFERROR(AA48/AA49,"")</f>
        <v>36.808055111445498</v>
      </c>
      <c r="AB50" s="176"/>
      <c r="AD50" s="176">
        <v>40.158402716639401</v>
      </c>
      <c r="AE50" s="176"/>
      <c r="AF50" s="177">
        <f t="shared" si="7"/>
        <v>-3.3503476051939032</v>
      </c>
      <c r="AG50" s="176">
        <v>35.790126267714399</v>
      </c>
      <c r="AH50" s="176"/>
      <c r="AI50" s="177">
        <f t="shared" si="8"/>
        <v>1.0179288437310987</v>
      </c>
    </row>
    <row r="51" spans="1:35" x14ac:dyDescent="0.25">
      <c r="A51" s="6" t="s">
        <v>39</v>
      </c>
      <c r="B51" s="7"/>
      <c r="G51" s="181">
        <f>COUNTIF(O52:AI52,FALSE)</f>
        <v>0</v>
      </c>
      <c r="H51" s="15"/>
      <c r="I51" s="161"/>
      <c r="J51" s="161"/>
      <c r="K51" s="162"/>
      <c r="L51" s="162"/>
      <c r="M51" s="162"/>
      <c r="N51" s="182" t="s">
        <v>345</v>
      </c>
      <c r="O51" s="179">
        <f t="shared" ref="O51:AA51" si="9">ROUND(IFERROR(O48/O49,0),2)</f>
        <v>44.22</v>
      </c>
      <c r="P51" s="184">
        <f t="shared" si="9"/>
        <v>53.16</v>
      </c>
      <c r="Q51" s="184">
        <f t="shared" si="9"/>
        <v>25.4</v>
      </c>
      <c r="R51" s="184">
        <f t="shared" si="9"/>
        <v>35.72</v>
      </c>
      <c r="S51" s="184">
        <f t="shared" si="9"/>
        <v>34.119999999999997</v>
      </c>
      <c r="T51" s="184">
        <f t="shared" si="9"/>
        <v>22.14</v>
      </c>
      <c r="U51" s="184">
        <f t="shared" si="9"/>
        <v>32.07</v>
      </c>
      <c r="V51" s="184">
        <f t="shared" si="9"/>
        <v>28.63</v>
      </c>
      <c r="W51" s="184">
        <f t="shared" si="9"/>
        <v>32.36</v>
      </c>
      <c r="X51" s="184">
        <f t="shared" si="9"/>
        <v>46.8</v>
      </c>
      <c r="Y51" s="184">
        <f t="shared" si="9"/>
        <v>33.880000000000003</v>
      </c>
      <c r="Z51" s="184">
        <f t="shared" si="9"/>
        <v>59.9</v>
      </c>
      <c r="AA51" s="184">
        <f t="shared" si="9"/>
        <v>36.81</v>
      </c>
      <c r="AB51" s="183"/>
      <c r="AD51" s="179">
        <f>ROUND(IFERROR(AD48/AD49,0),2)</f>
        <v>40.159999999999997</v>
      </c>
      <c r="AE51" s="184"/>
      <c r="AF51" s="180"/>
      <c r="AG51" s="179">
        <f>ROUND(IFERROR(AG48/AG49,0),2)</f>
        <v>35.79</v>
      </c>
      <c r="AH51" s="184"/>
      <c r="AI51" s="180"/>
    </row>
    <row r="52" spans="1:35" x14ac:dyDescent="0.25">
      <c r="A52" s="6" t="s">
        <v>40</v>
      </c>
      <c r="B52" s="7"/>
      <c r="H52" s="15"/>
      <c r="I52" s="161"/>
      <c r="J52" s="161"/>
      <c r="K52" s="162"/>
      <c r="L52" s="162"/>
      <c r="M52" s="162"/>
      <c r="N52" s="8" t="s">
        <v>316</v>
      </c>
      <c r="O52" s="319" t="b">
        <f t="shared" ref="O52:AA52" si="10">ROUND(O50,2)=ROUND(O51,2)</f>
        <v>1</v>
      </c>
      <c r="P52" s="320" t="b">
        <f t="shared" si="10"/>
        <v>1</v>
      </c>
      <c r="Q52" s="320" t="b">
        <f t="shared" si="10"/>
        <v>1</v>
      </c>
      <c r="R52" s="320" t="b">
        <f t="shared" si="10"/>
        <v>1</v>
      </c>
      <c r="S52" s="320" t="b">
        <f t="shared" si="10"/>
        <v>1</v>
      </c>
      <c r="T52" s="320" t="b">
        <f t="shared" si="10"/>
        <v>1</v>
      </c>
      <c r="U52" s="320" t="b">
        <f t="shared" si="10"/>
        <v>1</v>
      </c>
      <c r="V52" s="320" t="b">
        <f t="shared" si="10"/>
        <v>1</v>
      </c>
      <c r="W52" s="320" t="b">
        <f t="shared" si="10"/>
        <v>1</v>
      </c>
      <c r="X52" s="320" t="b">
        <f t="shared" si="10"/>
        <v>1</v>
      </c>
      <c r="Y52" s="320" t="b">
        <f t="shared" si="10"/>
        <v>1</v>
      </c>
      <c r="Z52" s="320" t="b">
        <f t="shared" si="10"/>
        <v>1</v>
      </c>
      <c r="AA52" s="320" t="b">
        <f t="shared" si="10"/>
        <v>1</v>
      </c>
      <c r="AB52" s="321"/>
      <c r="AC52" s="322"/>
      <c r="AD52" s="319"/>
      <c r="AE52" s="320" t="b">
        <f>ROUND(AD50,2)=ROUND(AD51,2)</f>
        <v>1</v>
      </c>
      <c r="AF52" s="321"/>
      <c r="AG52" s="319"/>
      <c r="AH52" s="320" t="b">
        <f>ROUND(AG50,2)=ROUND(AG51,2)</f>
        <v>1</v>
      </c>
      <c r="AI52" s="321"/>
    </row>
    <row r="53" spans="1:35" x14ac:dyDescent="0.25">
      <c r="A53" s="6" t="s">
        <v>41</v>
      </c>
      <c r="B53" s="7"/>
      <c r="H53" s="15" t="s">
        <v>262</v>
      </c>
      <c r="I53" s="161" t="e">
        <f ca="1">_xll.EVPRO($B$1,$H53,"STYLE")</f>
        <v>#NAME?</v>
      </c>
      <c r="J53" s="161" t="e">
        <f ca="1">_xll.EVPRO($B$1,$H53,"CALC")</f>
        <v>#NAME?</v>
      </c>
      <c r="K53" s="162"/>
      <c r="L53" s="162" t="e">
        <f ca="1">_xll.EVPRO($B$1,H53,"JDEID")</f>
        <v>#NAME?</v>
      </c>
      <c r="M53" s="162" t="e">
        <f ca="1">IF(AND(I53="N",J53="N"),_xll.EVPRO($B$1,H53,"PSFTID"),"")</f>
        <v>#NAME?</v>
      </c>
      <c r="N53" s="162" t="e">
        <f ca="1">IF(_xll.EVDES(H53,$B$1)="#NODATA","",_xll.EVDES(H53,$B$1))</f>
        <v>#NAME?</v>
      </c>
      <c r="O53" s="21">
        <v>59055.9</v>
      </c>
      <c r="P53" s="21">
        <v>26334</v>
      </c>
      <c r="Q53" s="21">
        <v>33220</v>
      </c>
      <c r="R53" s="21">
        <v>17118.990000000002</v>
      </c>
      <c r="S53" s="21">
        <v>18291.64</v>
      </c>
      <c r="T53" s="21">
        <v>19041.080000000002</v>
      </c>
      <c r="U53" s="21">
        <v>10042.02</v>
      </c>
      <c r="V53" s="21">
        <v>8974</v>
      </c>
      <c r="W53" s="21">
        <v>1004.58</v>
      </c>
      <c r="X53" s="21">
        <v>-212.96</v>
      </c>
      <c r="Y53" s="21">
        <v>-59.77</v>
      </c>
      <c r="Z53" s="21">
        <v>1528.38</v>
      </c>
      <c r="AA53" s="21">
        <f t="shared" ref="AA53:AA58" si="11">SUM(O53:Z53)</f>
        <v>194337.86</v>
      </c>
      <c r="AB53" s="17" t="str">
        <f ca="1">IF(AA53=0,"",IFERROR(AA53/AA$19,""))</f>
        <v/>
      </c>
      <c r="AD53" s="21">
        <v>480626.41112900001</v>
      </c>
      <c r="AE53" s="17" t="str">
        <f ca="1">IF(AD53=0,"",IFERROR(AD53/AD$19,""))</f>
        <v/>
      </c>
      <c r="AF53" s="50">
        <f t="shared" ref="AF53:AF59" si="12">IF(AND($AA53="",AD53=""),"",$AA53-AD53)</f>
        <v>-286288.55112900003</v>
      </c>
      <c r="AG53" s="21">
        <v>262084.67</v>
      </c>
      <c r="AH53" s="17" t="str">
        <f t="shared" ca="1" si="3"/>
        <v/>
      </c>
      <c r="AI53" s="50">
        <f t="shared" ref="AI53:AI59" si="13">IF(AND($AA53="",AG53=""),"",$AA53-AG53)</f>
        <v>-67746.810000000027</v>
      </c>
    </row>
    <row r="54" spans="1:35" x14ac:dyDescent="0.25">
      <c r="A54" s="6" t="s">
        <v>42</v>
      </c>
      <c r="B54" s="7"/>
      <c r="H54" s="15" t="s">
        <v>302</v>
      </c>
      <c r="I54" s="161" t="e">
        <f ca="1">_xll.EVPRO($B$1,$H54,"STYLE")</f>
        <v>#NAME?</v>
      </c>
      <c r="J54" s="161" t="e">
        <f ca="1">_xll.EVPRO($B$1,$H54,"CALC")</f>
        <v>#NAME?</v>
      </c>
      <c r="K54" s="162"/>
      <c r="L54" s="162" t="e">
        <f ca="1">_xll.EVPRO($B$1,H54,"JDEID")</f>
        <v>#NAME?</v>
      </c>
      <c r="M54" s="162" t="e">
        <f ca="1">IF(AND(I54="N",J54="N"),_xll.EVPRO($B$1,H54,"PSFTID"),"")</f>
        <v>#NAME?</v>
      </c>
      <c r="N54" s="162" t="e">
        <f ca="1">IF(_xll.EVDES(H54,$B$1)="#NODATA","",_xll.EVDES(H54,$B$1))</f>
        <v>#NAME?</v>
      </c>
      <c r="O54" s="21">
        <v>3313</v>
      </c>
      <c r="P54" s="21">
        <v>2456.1999999999998</v>
      </c>
      <c r="Q54" s="21">
        <v>5981</v>
      </c>
      <c r="R54" s="21">
        <v>2071</v>
      </c>
      <c r="S54" s="21">
        <v>9381</v>
      </c>
      <c r="T54" s="21">
        <v>2057</v>
      </c>
      <c r="U54" s="21">
        <v>1466</v>
      </c>
      <c r="V54" s="21">
        <v>1490</v>
      </c>
      <c r="W54" s="21">
        <v>56</v>
      </c>
      <c r="X54" s="21"/>
      <c r="Y54" s="21"/>
      <c r="Z54" s="21">
        <v>455</v>
      </c>
      <c r="AA54" s="21">
        <f t="shared" si="11"/>
        <v>28726.2</v>
      </c>
      <c r="AB54" s="17" t="str">
        <f ca="1">IF(AA54=0,"",IFERROR(AA54/AA$19,""))</f>
        <v/>
      </c>
      <c r="AD54" s="21">
        <v>162324.08305399999</v>
      </c>
      <c r="AE54" s="17" t="str">
        <f ca="1">IF(AD54=0,"",IFERROR(AD54/AD$19,""))</f>
        <v/>
      </c>
      <c r="AF54" s="50">
        <f t="shared" si="12"/>
        <v>-133597.88305399998</v>
      </c>
      <c r="AG54" s="21">
        <v>58986.41</v>
      </c>
      <c r="AH54" s="17" t="str">
        <f t="shared" ca="1" si="3"/>
        <v/>
      </c>
      <c r="AI54" s="50">
        <f t="shared" si="13"/>
        <v>-30260.210000000003</v>
      </c>
    </row>
    <row r="55" spans="1:35" x14ac:dyDescent="0.25">
      <c r="A55" s="6" t="s">
        <v>43</v>
      </c>
      <c r="B55" s="7"/>
      <c r="H55" s="15" t="s">
        <v>306</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2479</v>
      </c>
      <c r="P55" s="21">
        <v>407</v>
      </c>
      <c r="Q55" s="21">
        <v>1122</v>
      </c>
      <c r="R55" s="21">
        <v>469.12</v>
      </c>
      <c r="S55" s="21">
        <v>849</v>
      </c>
      <c r="T55" s="21">
        <v>340</v>
      </c>
      <c r="U55" s="21">
        <v>314</v>
      </c>
      <c r="V55" s="21">
        <v>178</v>
      </c>
      <c r="W55" s="21"/>
      <c r="X55" s="21"/>
      <c r="Y55" s="21"/>
      <c r="Z55" s="21"/>
      <c r="AA55" s="21">
        <f t="shared" si="11"/>
        <v>6158.12</v>
      </c>
      <c r="AB55" s="17" t="str">
        <f ca="1">IF(AA55=0,"",IFERROR(AA55/AA$19,""))</f>
        <v/>
      </c>
      <c r="AD55" s="21">
        <v>26061.770873000001</v>
      </c>
      <c r="AE55" s="17" t="str">
        <f ca="1">IF(AD55=0,"",IFERROR(AD55/AD$19,""))</f>
        <v/>
      </c>
      <c r="AF55" s="50">
        <f t="shared" si="12"/>
        <v>-19903.650873000002</v>
      </c>
      <c r="AG55" s="21">
        <v>7182.1</v>
      </c>
      <c r="AH55" s="17" t="str">
        <f t="shared" ca="1" si="3"/>
        <v/>
      </c>
      <c r="AI55" s="50">
        <f t="shared" si="13"/>
        <v>-1023.9800000000005</v>
      </c>
    </row>
    <row r="56" spans="1:35" x14ac:dyDescent="0.25">
      <c r="A56" s="6" t="s">
        <v>44</v>
      </c>
      <c r="B56" s="7"/>
      <c r="H56" s="15" t="s">
        <v>304</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30">
        <v>4697</v>
      </c>
      <c r="P56" s="30">
        <v>2078</v>
      </c>
      <c r="Q56" s="30">
        <v>1384</v>
      </c>
      <c r="R56" s="30">
        <v>2149.89</v>
      </c>
      <c r="S56" s="30">
        <v>3134</v>
      </c>
      <c r="T56" s="30">
        <v>1145</v>
      </c>
      <c r="U56" s="30">
        <v>714.22</v>
      </c>
      <c r="V56" s="30">
        <v>1067</v>
      </c>
      <c r="W56" s="30"/>
      <c r="X56" s="30"/>
      <c r="Y56" s="30"/>
      <c r="Z56" s="30">
        <v>314.79000000000002</v>
      </c>
      <c r="AA56" s="30">
        <f t="shared" si="11"/>
        <v>16683.899999999998</v>
      </c>
      <c r="AB56" s="31" t="str">
        <f ca="1">IF(AA56=0,"",IFERROR(AA56/AA$19,""))</f>
        <v/>
      </c>
      <c r="AD56" s="30">
        <v>62868.584944000002</v>
      </c>
      <c r="AE56" s="31" t="str">
        <f ca="1">IF(AD56=0,"",IFERROR(AD56/AD$19,""))</f>
        <v/>
      </c>
      <c r="AF56" s="51">
        <f t="shared" si="12"/>
        <v>-46184.684944000008</v>
      </c>
      <c r="AG56" s="30">
        <v>34709.06</v>
      </c>
      <c r="AH56" s="31" t="str">
        <f t="shared" ca="1" si="3"/>
        <v/>
      </c>
      <c r="AI56" s="51">
        <f t="shared" si="13"/>
        <v>-18025.16</v>
      </c>
    </row>
    <row r="57" spans="1:35" x14ac:dyDescent="0.25">
      <c r="A57" s="6" t="s">
        <v>45</v>
      </c>
      <c r="B57" s="7"/>
      <c r="H57" s="15" t="s">
        <v>320</v>
      </c>
      <c r="I57" s="161" t="e">
        <f ca="1">_xll.EVPRO($B$1,$H57,"STYLE")</f>
        <v>#NAME?</v>
      </c>
      <c r="J57" s="161" t="e">
        <f ca="1">_xll.EVPRO($B$1,$H57,"CALC")</f>
        <v>#NAME?</v>
      </c>
      <c r="K57" s="162"/>
      <c r="L57" s="162" t="e">
        <f ca="1">_xll.EVPRO($B$1,H57,"JDEID")</f>
        <v>#NAME?</v>
      </c>
      <c r="M57" s="162" t="e">
        <f ca="1">IF(AND(I57="N",J57="N"),_xll.EVPRO($B$1,H57,"PSFTID"),"")</f>
        <v>#NAME?</v>
      </c>
      <c r="N57" s="25" t="e">
        <f ca="1">IF(_xll.EVDES(H57,$B$1)="#NODATA","",_xll.EVDES(H57,$B$1))</f>
        <v>#NAME?</v>
      </c>
      <c r="O57" s="164">
        <v>69544.899999999994</v>
      </c>
      <c r="P57" s="164">
        <v>31275.200000000001</v>
      </c>
      <c r="Q57" s="164">
        <v>41707</v>
      </c>
      <c r="R57" s="164">
        <v>21809</v>
      </c>
      <c r="S57" s="164">
        <v>31655.64</v>
      </c>
      <c r="T57" s="164">
        <v>22583.08</v>
      </c>
      <c r="U57" s="164">
        <v>12536.24</v>
      </c>
      <c r="V57" s="164">
        <v>11709</v>
      </c>
      <c r="W57" s="164">
        <v>1060.58</v>
      </c>
      <c r="X57" s="164">
        <v>-212.96</v>
      </c>
      <c r="Y57" s="164">
        <v>-59.77</v>
      </c>
      <c r="Z57" s="164">
        <v>2298.17</v>
      </c>
      <c r="AA57" s="164">
        <f t="shared" si="11"/>
        <v>245906.08000000002</v>
      </c>
      <c r="AB57" s="175" t="str">
        <f ca="1">IF(AA57=0,"",IFERROR(AA57/AA$19,""))</f>
        <v/>
      </c>
      <c r="AD57" s="164">
        <v>731880.85</v>
      </c>
      <c r="AE57" s="175" t="str">
        <f ca="1">IF(AD57=0,"",IFERROR(AD57/AD$19,""))</f>
        <v/>
      </c>
      <c r="AF57" s="165">
        <f t="shared" si="12"/>
        <v>-485974.76999999996</v>
      </c>
      <c r="AG57" s="164">
        <v>362962.24</v>
      </c>
      <c r="AH57" s="175" t="str">
        <f t="shared" ca="1" si="3"/>
        <v/>
      </c>
      <c r="AI57" s="165">
        <f t="shared" si="13"/>
        <v>-117056.15999999997</v>
      </c>
    </row>
    <row r="58" spans="1:35" x14ac:dyDescent="0.25">
      <c r="A58" s="6" t="s">
        <v>46</v>
      </c>
      <c r="B58" s="7"/>
      <c r="H58" s="15" t="s">
        <v>299</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8">
        <v>1154</v>
      </c>
      <c r="P58" s="38">
        <v>500</v>
      </c>
      <c r="Q58" s="38">
        <v>689</v>
      </c>
      <c r="R58" s="38">
        <v>440</v>
      </c>
      <c r="S58" s="38">
        <v>624</v>
      </c>
      <c r="T58" s="38">
        <v>482</v>
      </c>
      <c r="U58" s="38">
        <v>312</v>
      </c>
      <c r="V58" s="38">
        <v>274</v>
      </c>
      <c r="W58" s="38">
        <v>20</v>
      </c>
      <c r="X58" s="38"/>
      <c r="Y58" s="38"/>
      <c r="Z58" s="38">
        <v>28</v>
      </c>
      <c r="AA58" s="38">
        <f t="shared" si="11"/>
        <v>4523</v>
      </c>
      <c r="AB58" s="39">
        <f>IF(AA58=0,"",IFERROR(AA58/AA$104,""))</f>
        <v>9.0963940228867932E-2</v>
      </c>
      <c r="AD58" s="38">
        <v>14279</v>
      </c>
      <c r="AE58" s="39">
        <f>IF(AD58=0,"",IFERROR(AD58/AD$104,""))</f>
        <v>0.20136225180505415</v>
      </c>
      <c r="AF58" s="132">
        <f t="shared" si="12"/>
        <v>-9756</v>
      </c>
      <c r="AG58" s="38">
        <v>7414</v>
      </c>
      <c r="AH58" s="39">
        <f>IF(AG58=0,"",IFERROR(AG58/AG$104,""))</f>
        <v>0.13161024621447465</v>
      </c>
      <c r="AI58" s="132">
        <f t="shared" si="13"/>
        <v>-2891</v>
      </c>
    </row>
    <row r="59" spans="1:35" x14ac:dyDescent="0.25">
      <c r="H59" s="149" t="s">
        <v>317</v>
      </c>
      <c r="I59" s="161" t="e">
        <f ca="1">_xll.EVPRO($B$1,$H59,"STYLE")</f>
        <v>#NAME?</v>
      </c>
      <c r="J59" s="161" t="e">
        <f ca="1">_xll.EVPRO($B$1,$H59,"CALC")</f>
        <v>#NAME?</v>
      </c>
      <c r="K59" s="162"/>
      <c r="L59" s="162" t="e">
        <f ca="1">_xll.EVPRO($B$1,H59,"JDEID")</f>
        <v>#NAME?</v>
      </c>
      <c r="M59" s="162" t="e">
        <f ca="1">IF(AND(I59="N",J59="N"),_xll.EVPRO($B$1,H59,"PSFTID"),"")</f>
        <v>#NAME?</v>
      </c>
      <c r="N59" s="170" t="e">
        <f ca="1">IF(_xll.EVDES(H59,$B$1)="#NODATA","",_xll.EVDES(H59,$B$1))</f>
        <v>#NAME?</v>
      </c>
      <c r="O59" s="176">
        <v>60.264211438474902</v>
      </c>
      <c r="P59" s="176">
        <v>62.550400000000003</v>
      </c>
      <c r="Q59" s="176">
        <v>60.532656023222103</v>
      </c>
      <c r="R59" s="176">
        <v>49.565909090909102</v>
      </c>
      <c r="S59" s="176">
        <v>50.730192307692299</v>
      </c>
      <c r="T59" s="176">
        <v>46.852863070539399</v>
      </c>
      <c r="U59" s="176">
        <v>40.180256410256398</v>
      </c>
      <c r="V59" s="176">
        <v>42.733576642335798</v>
      </c>
      <c r="W59" s="176">
        <v>53.029000000000003</v>
      </c>
      <c r="X59" s="176"/>
      <c r="Y59" s="176"/>
      <c r="Z59" s="176">
        <v>82.077500000000001</v>
      </c>
      <c r="AA59" s="176">
        <f>IFERROR(AA57/AA58,"")</f>
        <v>54.367915100596953</v>
      </c>
      <c r="AB59" s="176"/>
      <c r="AD59" s="176">
        <v>51.255749702360099</v>
      </c>
      <c r="AE59" s="176"/>
      <c r="AF59" s="177">
        <f t="shared" si="12"/>
        <v>3.1121653982368542</v>
      </c>
      <c r="AG59" s="176">
        <v>48.956331265174001</v>
      </c>
      <c r="AH59" s="176"/>
      <c r="AI59" s="177">
        <f t="shared" si="13"/>
        <v>5.4115838354229524</v>
      </c>
    </row>
    <row r="60" spans="1:35" x14ac:dyDescent="0.25">
      <c r="G60" s="181">
        <f>COUNTIF(O61:AI61,FALSE)</f>
        <v>0</v>
      </c>
      <c r="H60" s="15"/>
      <c r="I60" s="161"/>
      <c r="J60" s="161"/>
      <c r="K60" s="162"/>
      <c r="L60" s="162"/>
      <c r="M60" s="162"/>
      <c r="N60" s="182" t="s">
        <v>345</v>
      </c>
      <c r="O60" s="179">
        <f t="shared" ref="O60:AA60" si="14">ROUND(IFERROR(O57/O58,0),2)</f>
        <v>60.26</v>
      </c>
      <c r="P60" s="184">
        <f t="shared" si="14"/>
        <v>62.55</v>
      </c>
      <c r="Q60" s="184">
        <f t="shared" si="14"/>
        <v>60.53</v>
      </c>
      <c r="R60" s="184">
        <f t="shared" si="14"/>
        <v>49.57</v>
      </c>
      <c r="S60" s="184">
        <f t="shared" si="14"/>
        <v>50.73</v>
      </c>
      <c r="T60" s="184">
        <f t="shared" si="14"/>
        <v>46.85</v>
      </c>
      <c r="U60" s="184">
        <f t="shared" si="14"/>
        <v>40.18</v>
      </c>
      <c r="V60" s="184">
        <f t="shared" si="14"/>
        <v>42.73</v>
      </c>
      <c r="W60" s="184">
        <f t="shared" si="14"/>
        <v>53.03</v>
      </c>
      <c r="X60" s="184">
        <f t="shared" si="14"/>
        <v>0</v>
      </c>
      <c r="Y60" s="184">
        <f t="shared" si="14"/>
        <v>0</v>
      </c>
      <c r="Z60" s="184">
        <f t="shared" si="14"/>
        <v>82.08</v>
      </c>
      <c r="AA60" s="184">
        <f t="shared" si="14"/>
        <v>54.37</v>
      </c>
      <c r="AB60" s="183"/>
      <c r="AD60" s="179">
        <f>ROUND(IFERROR(AD57/AD58,0),2)</f>
        <v>51.26</v>
      </c>
      <c r="AE60" s="184"/>
      <c r="AF60" s="180"/>
      <c r="AG60" s="179">
        <f>ROUND(IFERROR(AG57/AG58,0),2)</f>
        <v>48.96</v>
      </c>
      <c r="AH60" s="184"/>
      <c r="AI60" s="180"/>
    </row>
    <row r="61" spans="1:35" x14ac:dyDescent="0.25">
      <c r="H61" s="149"/>
      <c r="I61" s="161"/>
      <c r="J61" s="161"/>
      <c r="K61" s="162"/>
      <c r="L61" s="162"/>
      <c r="M61" s="162"/>
      <c r="N61" s="8" t="s">
        <v>307</v>
      </c>
      <c r="O61" s="319" t="b">
        <f t="shared" ref="O61:AA61" si="15">ROUND(O59,2)=ROUND(O60,2)</f>
        <v>1</v>
      </c>
      <c r="P61" s="320" t="b">
        <f t="shared" si="15"/>
        <v>1</v>
      </c>
      <c r="Q61" s="320" t="b">
        <f t="shared" si="15"/>
        <v>1</v>
      </c>
      <c r="R61" s="320" t="b">
        <f t="shared" si="15"/>
        <v>1</v>
      </c>
      <c r="S61" s="320" t="b">
        <f t="shared" si="15"/>
        <v>1</v>
      </c>
      <c r="T61" s="320" t="b">
        <f t="shared" si="15"/>
        <v>1</v>
      </c>
      <c r="U61" s="320" t="b">
        <f t="shared" si="15"/>
        <v>1</v>
      </c>
      <c r="V61" s="320" t="b">
        <f t="shared" si="15"/>
        <v>1</v>
      </c>
      <c r="W61" s="320" t="b">
        <f t="shared" si="15"/>
        <v>1</v>
      </c>
      <c r="X61" s="320" t="b">
        <f t="shared" si="15"/>
        <v>1</v>
      </c>
      <c r="Y61" s="320" t="b">
        <f t="shared" si="15"/>
        <v>1</v>
      </c>
      <c r="Z61" s="320" t="b">
        <f t="shared" si="15"/>
        <v>1</v>
      </c>
      <c r="AA61" s="320" t="b">
        <f t="shared" si="15"/>
        <v>1</v>
      </c>
      <c r="AB61" s="321"/>
      <c r="AC61" s="322"/>
      <c r="AD61" s="319"/>
      <c r="AE61" s="320" t="b">
        <f>ROUND(AD59,2)=ROUND(AD60,2)</f>
        <v>1</v>
      </c>
      <c r="AF61" s="321"/>
      <c r="AG61" s="319"/>
      <c r="AH61" s="320" t="b">
        <f>ROUND(AG59,2)=ROUND(AG60,2)</f>
        <v>1</v>
      </c>
      <c r="AI61" s="321"/>
    </row>
    <row r="62" spans="1:35" x14ac:dyDescent="0.25">
      <c r="H62" s="149" t="s">
        <v>263</v>
      </c>
      <c r="I62" s="161" t="e">
        <f ca="1">_xll.EVPRO($B$1,$H62,"STYLE")</f>
        <v>#NAME?</v>
      </c>
      <c r="J62" s="161" t="e">
        <f ca="1">_xll.EVPRO($B$1,$H62,"CALC")</f>
        <v>#NAME?</v>
      </c>
      <c r="K62" s="162"/>
      <c r="L62" s="162" t="e">
        <f ca="1">_xll.EVPRO($B$1,H62,"JDEID")</f>
        <v>#NAME?</v>
      </c>
      <c r="M62" s="162" t="e">
        <f ca="1">IF(AND(I62="N",J62="N"),_xll.EVPRO($B$1,H62,"PSFTID"),"")</f>
        <v>#NAME?</v>
      </c>
      <c r="N62" s="162" t="e">
        <f ca="1">IF(_xll.EVDES(H62,$B$1)="#NODATA","",_xll.EVDES(H62,$B$1))</f>
        <v>#NAME?</v>
      </c>
      <c r="O62" s="21">
        <v>9178.5</v>
      </c>
      <c r="P62" s="21">
        <v>13570</v>
      </c>
      <c r="Q62" s="21">
        <v>10503.8</v>
      </c>
      <c r="R62" s="21">
        <v>9350.4</v>
      </c>
      <c r="S62" s="21">
        <v>14245.5</v>
      </c>
      <c r="T62" s="21">
        <v>11915.5</v>
      </c>
      <c r="U62" s="21">
        <v>11762.81</v>
      </c>
      <c r="V62" s="21">
        <v>7958.11</v>
      </c>
      <c r="W62" s="21">
        <v>13464.5</v>
      </c>
      <c r="X62" s="21">
        <v>14619.4</v>
      </c>
      <c r="Y62" s="21">
        <v>9453.2000000000007</v>
      </c>
      <c r="Z62" s="21">
        <v>16635.27</v>
      </c>
      <c r="AA62" s="21">
        <f t="shared" ref="AA62:AA67" si="16">SUM(O62:Z62)</f>
        <v>142656.99</v>
      </c>
      <c r="AB62" s="17" t="str">
        <f ca="1">IF(AA62=0,"",IFERROR(AA62/AA$19,""))</f>
        <v/>
      </c>
      <c r="AD62" s="21">
        <v>160846.484643</v>
      </c>
      <c r="AE62" s="17" t="str">
        <f ca="1">IF(AD62=0,"",IFERROR(AD62/AD$19,""))</f>
        <v/>
      </c>
      <c r="AF62" s="50">
        <f t="shared" ref="AF62:AF68" si="17">IF(AND($AA62="",AD62=""),"",$AA62-AD62)</f>
        <v>-18189.494643000013</v>
      </c>
      <c r="AG62" s="21">
        <v>111349.46</v>
      </c>
      <c r="AH62" s="17" t="str">
        <f t="shared" ca="1" si="3"/>
        <v/>
      </c>
      <c r="AI62" s="50">
        <f t="shared" ref="AI62:AI68" si="18">IF(AND($AA62="",AG62=""),"",$AA62-AG62)</f>
        <v>31307.529999999984</v>
      </c>
    </row>
    <row r="63" spans="1:35" x14ac:dyDescent="0.25">
      <c r="H63" s="149" t="s">
        <v>308</v>
      </c>
      <c r="I63" s="161" t="e">
        <f ca="1">_xll.EVPRO($B$1,$H63,"STYLE")</f>
        <v>#NAME?</v>
      </c>
      <c r="J63" s="161" t="e">
        <f ca="1">_xll.EVPRO($B$1,$H63,"CALC")</f>
        <v>#NAME?</v>
      </c>
      <c r="K63" s="162"/>
      <c r="L63" s="162" t="e">
        <f ca="1">_xll.EVPRO($B$1,H63,"JDEID")</f>
        <v>#NAME?</v>
      </c>
      <c r="M63" s="162" t="e">
        <f ca="1">IF(AND(I63="N",J63="N"),_xll.EVPRO($B$1,H63,"PSFTID"),"")</f>
        <v>#NAME?</v>
      </c>
      <c r="N63" s="162" t="e">
        <f ca="1">IF(_xll.EVDES(H63,$B$1)="#NODATA","",_xll.EVDES(H63,$B$1))</f>
        <v>#NAME?</v>
      </c>
      <c r="O63" s="21">
        <v>19181</v>
      </c>
      <c r="P63" s="21">
        <v>23332</v>
      </c>
      <c r="Q63" s="21">
        <v>21510</v>
      </c>
      <c r="R63" s="21">
        <v>15487.91</v>
      </c>
      <c r="S63" s="21">
        <v>13547</v>
      </c>
      <c r="T63" s="21">
        <v>17682.400000000001</v>
      </c>
      <c r="U63" s="21">
        <v>15298.1</v>
      </c>
      <c r="V63" s="21">
        <v>11900.8</v>
      </c>
      <c r="W63" s="21">
        <v>19621</v>
      </c>
      <c r="X63" s="21">
        <v>10427.200000000001</v>
      </c>
      <c r="Y63" s="21">
        <v>14523.5</v>
      </c>
      <c r="Z63" s="21">
        <v>23854.6</v>
      </c>
      <c r="AA63" s="21">
        <f t="shared" si="16"/>
        <v>206365.51</v>
      </c>
      <c r="AB63" s="17" t="str">
        <f ca="1">IF(AA63=0,"",IFERROR(AA63/AA$19,""))</f>
        <v/>
      </c>
      <c r="AD63" s="21">
        <v>320695.60435500002</v>
      </c>
      <c r="AE63" s="17" t="str">
        <f ca="1">IF(AD63=0,"",IFERROR(AD63/AD$19,""))</f>
        <v/>
      </c>
      <c r="AF63" s="50">
        <f t="shared" si="17"/>
        <v>-114330.09435500001</v>
      </c>
      <c r="AG63" s="21">
        <v>218812.91</v>
      </c>
      <c r="AH63" s="17" t="str">
        <f t="shared" ca="1" si="3"/>
        <v/>
      </c>
      <c r="AI63" s="50">
        <f t="shared" si="18"/>
        <v>-12447.399999999994</v>
      </c>
    </row>
    <row r="64" spans="1:35" x14ac:dyDescent="0.25">
      <c r="H64" s="149" t="s">
        <v>310</v>
      </c>
      <c r="I64" s="161" t="e">
        <f ca="1">_xll.EVPRO($B$1,$H64,"STYLE")</f>
        <v>#NAME?</v>
      </c>
      <c r="J64" s="161" t="e">
        <f ca="1">_xll.EVPRO($B$1,$H64,"CALC")</f>
        <v>#NAME?</v>
      </c>
      <c r="K64" s="162"/>
      <c r="L64" s="162" t="e">
        <f ca="1">_xll.EVPRO($B$1,H64,"JDEID")</f>
        <v>#NAME?</v>
      </c>
      <c r="M64" s="162" t="e">
        <f ca="1">IF(AND(I64="N",J64="N"),_xll.EVPRO($B$1,H64,"PSFTID"),"")</f>
        <v>#NAME?</v>
      </c>
      <c r="N64" s="162" t="e">
        <f ca="1">IF(_xll.EVDES(H64,$B$1)="#NODATA","",_xll.EVDES(H64,$B$1))</f>
        <v>#NAME?</v>
      </c>
      <c r="O64" s="21">
        <v>3922</v>
      </c>
      <c r="P64" s="21">
        <v>3050</v>
      </c>
      <c r="Q64" s="21">
        <v>3205</v>
      </c>
      <c r="R64" s="21">
        <v>2985</v>
      </c>
      <c r="S64" s="21">
        <v>2280</v>
      </c>
      <c r="T64" s="21">
        <v>3308.9</v>
      </c>
      <c r="U64" s="21">
        <v>1881</v>
      </c>
      <c r="V64" s="21">
        <v>2042</v>
      </c>
      <c r="W64" s="21">
        <v>2245</v>
      </c>
      <c r="X64" s="21">
        <v>2610</v>
      </c>
      <c r="Y64" s="21">
        <v>3308.5</v>
      </c>
      <c r="Z64" s="21">
        <v>3644.8</v>
      </c>
      <c r="AA64" s="21">
        <f t="shared" si="16"/>
        <v>34482.200000000004</v>
      </c>
      <c r="AB64" s="17" t="str">
        <f ca="1">IF(AA64=0,"",IFERROR(AA64/AA$19,""))</f>
        <v/>
      </c>
      <c r="AD64" s="21">
        <v>51328.051586000001</v>
      </c>
      <c r="AE64" s="17" t="str">
        <f ca="1">IF(AD64=0,"",IFERROR(AD64/AD$19,""))</f>
        <v/>
      </c>
      <c r="AF64" s="50">
        <f t="shared" si="17"/>
        <v>-16845.851585999997</v>
      </c>
      <c r="AG64" s="21">
        <v>37750.5</v>
      </c>
      <c r="AH64" s="17" t="str">
        <f t="shared" ca="1" si="3"/>
        <v/>
      </c>
      <c r="AI64" s="50">
        <f t="shared" si="18"/>
        <v>-3268.2999999999956</v>
      </c>
    </row>
    <row r="65" spans="7:35" x14ac:dyDescent="0.25">
      <c r="H65" s="149" t="s">
        <v>309</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30">
        <v>5217</v>
      </c>
      <c r="P65" s="30">
        <v>5026</v>
      </c>
      <c r="Q65" s="30">
        <v>3810</v>
      </c>
      <c r="R65" s="30">
        <v>2764</v>
      </c>
      <c r="S65" s="30">
        <v>4365</v>
      </c>
      <c r="T65" s="30">
        <v>3798</v>
      </c>
      <c r="U65" s="30">
        <v>2320</v>
      </c>
      <c r="V65" s="30">
        <v>2094</v>
      </c>
      <c r="W65" s="30">
        <v>2630</v>
      </c>
      <c r="X65" s="30">
        <v>2081</v>
      </c>
      <c r="Y65" s="30">
        <v>3838.6</v>
      </c>
      <c r="Z65" s="30">
        <v>5614.43</v>
      </c>
      <c r="AA65" s="30">
        <f t="shared" si="16"/>
        <v>43558.03</v>
      </c>
      <c r="AB65" s="31" t="str">
        <f ca="1">IF(AA65=0,"",IFERROR(AA65/AA$19,""))</f>
        <v/>
      </c>
      <c r="AD65" s="30">
        <v>71344.989415999997</v>
      </c>
      <c r="AE65" s="31" t="str">
        <f ca="1">IF(AD65=0,"",IFERROR(AD65/AD$19,""))</f>
        <v/>
      </c>
      <c r="AF65" s="51">
        <f t="shared" si="17"/>
        <v>-27786.959415999998</v>
      </c>
      <c r="AG65" s="30">
        <v>47578.9</v>
      </c>
      <c r="AH65" s="31" t="str">
        <f t="shared" ca="1" si="3"/>
        <v/>
      </c>
      <c r="AI65" s="51">
        <f t="shared" si="18"/>
        <v>-4020.8700000000026</v>
      </c>
    </row>
    <row r="66" spans="7:35" x14ac:dyDescent="0.25">
      <c r="H66" s="149" t="s">
        <v>327</v>
      </c>
      <c r="I66" s="161" t="e">
        <f ca="1">_xll.EVPRO($B$1,$H66,"STYLE")</f>
        <v>#NAME?</v>
      </c>
      <c r="J66" s="161" t="e">
        <f ca="1">_xll.EVPRO($B$1,$H66,"CALC")</f>
        <v>#NAME?</v>
      </c>
      <c r="K66" s="162"/>
      <c r="L66" s="162" t="e">
        <f ca="1">_xll.EVPRO($B$1,H66,"JDEID")</f>
        <v>#NAME?</v>
      </c>
      <c r="M66" s="162" t="e">
        <f ca="1">IF(AND(I66="N",J66="N"),_xll.EVPRO($B$1,H66,"PSFTID"),"")</f>
        <v>#NAME?</v>
      </c>
      <c r="N66" s="25" t="e">
        <f ca="1">IF(_xll.EVDES(H66,$B$1)="#NODATA","",_xll.EVDES(H66,$B$1))</f>
        <v>#NAME?</v>
      </c>
      <c r="O66" s="164">
        <v>37498.5</v>
      </c>
      <c r="P66" s="164">
        <v>44978</v>
      </c>
      <c r="Q66" s="164">
        <v>39028.800000000003</v>
      </c>
      <c r="R66" s="164">
        <v>30587.31</v>
      </c>
      <c r="S66" s="164">
        <v>34437.5</v>
      </c>
      <c r="T66" s="164">
        <v>36704.800000000003</v>
      </c>
      <c r="U66" s="164">
        <v>31261.91</v>
      </c>
      <c r="V66" s="164">
        <v>23994.91</v>
      </c>
      <c r="W66" s="164">
        <v>37960.5</v>
      </c>
      <c r="X66" s="164">
        <v>29737.599999999999</v>
      </c>
      <c r="Y66" s="164">
        <v>31123.8</v>
      </c>
      <c r="Z66" s="164">
        <v>49749.1</v>
      </c>
      <c r="AA66" s="164">
        <f t="shared" si="16"/>
        <v>427062.73</v>
      </c>
      <c r="AB66" s="175" t="str">
        <f ca="1">IF(AA66=0,"",IFERROR(AA66/AA$19,""))</f>
        <v/>
      </c>
      <c r="AD66" s="164">
        <v>604215.13</v>
      </c>
      <c r="AE66" s="175" t="str">
        <f ca="1">IF(AD66=0,"",IFERROR(AD66/AD$19,""))</f>
        <v/>
      </c>
      <c r="AF66" s="165">
        <f t="shared" si="17"/>
        <v>-177152.40000000002</v>
      </c>
      <c r="AG66" s="164">
        <v>415491.77</v>
      </c>
      <c r="AH66" s="175" t="str">
        <f t="shared" ca="1" si="3"/>
        <v/>
      </c>
      <c r="AI66" s="165">
        <f t="shared" si="18"/>
        <v>11570.959999999963</v>
      </c>
    </row>
    <row r="67" spans="7:35" x14ac:dyDescent="0.25">
      <c r="H67" s="149" t="s">
        <v>326</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38">
        <v>1237</v>
      </c>
      <c r="P67" s="38">
        <v>1625</v>
      </c>
      <c r="Q67" s="38">
        <v>1332</v>
      </c>
      <c r="R67" s="38">
        <v>1175</v>
      </c>
      <c r="S67" s="38">
        <v>1295</v>
      </c>
      <c r="T67" s="38">
        <v>1491</v>
      </c>
      <c r="U67" s="38">
        <v>1297</v>
      </c>
      <c r="V67" s="38">
        <v>1068</v>
      </c>
      <c r="W67" s="38">
        <v>1206</v>
      </c>
      <c r="X67" s="38">
        <v>1240</v>
      </c>
      <c r="Y67" s="38">
        <v>1281</v>
      </c>
      <c r="Z67" s="38">
        <v>1582</v>
      </c>
      <c r="AA67" s="38">
        <f t="shared" si="16"/>
        <v>15829</v>
      </c>
      <c r="AB67" s="39">
        <f>IF(AA67=0,"",IFERROR(AA67/AA$104,""))</f>
        <v>0.31834362367516039</v>
      </c>
      <c r="AD67" s="38">
        <v>17191</v>
      </c>
      <c r="AE67" s="39">
        <f>IF(AD67=0,"",IFERROR(AD67/AD$104,""))</f>
        <v>0.24242723375451264</v>
      </c>
      <c r="AF67" s="132">
        <f t="shared" si="17"/>
        <v>-1362</v>
      </c>
      <c r="AG67" s="38">
        <v>13344</v>
      </c>
      <c r="AH67" s="39">
        <f>IF(AG67=0,"",IFERROR(AG67/AG$104,""))</f>
        <v>0.23687714128485968</v>
      </c>
      <c r="AI67" s="132">
        <f t="shared" si="18"/>
        <v>2485</v>
      </c>
    </row>
    <row r="68" spans="7:35" x14ac:dyDescent="0.25">
      <c r="H68" s="149" t="s">
        <v>328</v>
      </c>
      <c r="I68" s="161" t="e">
        <f ca="1">_xll.EVPRO($B$1,$H68,"STYLE")</f>
        <v>#NAME?</v>
      </c>
      <c r="J68" s="161" t="e">
        <f ca="1">_xll.EVPRO($B$1,$H68,"CALC")</f>
        <v>#NAME?</v>
      </c>
      <c r="K68" s="162"/>
      <c r="L68" s="162" t="e">
        <f ca="1">_xll.EVPRO($B$1,H68,"JDEID")</f>
        <v>#NAME?</v>
      </c>
      <c r="M68" s="162" t="e">
        <f ca="1">IF(AND(I68="N",J68="N"),_xll.EVPRO($B$1,H68,"PSFTID"),"")</f>
        <v>#NAME?</v>
      </c>
      <c r="N68" s="170" t="e">
        <f ca="1">IF(_xll.EVDES(H68,$B$1)="#NODATA","",_xll.EVDES(H68,$B$1))</f>
        <v>#NAME?</v>
      </c>
      <c r="O68" s="176">
        <v>30.314066289409901</v>
      </c>
      <c r="P68" s="176">
        <v>27.678769230769198</v>
      </c>
      <c r="Q68" s="176">
        <v>29.300900900900899</v>
      </c>
      <c r="R68" s="176">
        <v>26.0317531914894</v>
      </c>
      <c r="S68" s="176">
        <v>26.592664092664101</v>
      </c>
      <c r="T68" s="176">
        <v>24.617572099262201</v>
      </c>
      <c r="U68" s="176">
        <v>24.103245952197401</v>
      </c>
      <c r="V68" s="176">
        <v>22.4671441947566</v>
      </c>
      <c r="W68" s="176">
        <v>31.476368159204</v>
      </c>
      <c r="X68" s="176">
        <v>23.981935483870998</v>
      </c>
      <c r="Y68" s="176">
        <v>24.296487119437899</v>
      </c>
      <c r="Z68" s="176">
        <v>31.4469658659924</v>
      </c>
      <c r="AA68" s="176">
        <f>IFERROR(AA66/AA67,"")</f>
        <v>26.979766883568132</v>
      </c>
      <c r="AB68" s="176"/>
      <c r="AD68" s="176">
        <v>35.147177592926496</v>
      </c>
      <c r="AE68" s="176"/>
      <c r="AF68" s="177">
        <f t="shared" si="17"/>
        <v>-8.1674107093583643</v>
      </c>
      <c r="AG68" s="176">
        <v>31.136973171462799</v>
      </c>
      <c r="AH68" s="176"/>
      <c r="AI68" s="177">
        <f t="shared" si="18"/>
        <v>-4.1572062878946667</v>
      </c>
    </row>
    <row r="69" spans="7:35" x14ac:dyDescent="0.25">
      <c r="G69" s="181">
        <f>COUNTIF(O70:AI70,FALSE)</f>
        <v>0</v>
      </c>
      <c r="H69" s="15"/>
      <c r="I69" s="161"/>
      <c r="J69" s="161"/>
      <c r="K69" s="162"/>
      <c r="L69" s="162"/>
      <c r="M69" s="162"/>
      <c r="N69" s="182" t="s">
        <v>345</v>
      </c>
      <c r="O69" s="179">
        <f t="shared" ref="O69:AA69" si="19">ROUND(IFERROR(O66/O67,0),2)</f>
        <v>30.31</v>
      </c>
      <c r="P69" s="184">
        <f t="shared" si="19"/>
        <v>27.68</v>
      </c>
      <c r="Q69" s="184">
        <f t="shared" si="19"/>
        <v>29.3</v>
      </c>
      <c r="R69" s="184">
        <f t="shared" si="19"/>
        <v>26.03</v>
      </c>
      <c r="S69" s="184">
        <f t="shared" si="19"/>
        <v>26.59</v>
      </c>
      <c r="T69" s="184">
        <f t="shared" si="19"/>
        <v>24.62</v>
      </c>
      <c r="U69" s="184">
        <f t="shared" si="19"/>
        <v>24.1</v>
      </c>
      <c r="V69" s="184">
        <f t="shared" si="19"/>
        <v>22.47</v>
      </c>
      <c r="W69" s="184">
        <f t="shared" si="19"/>
        <v>31.48</v>
      </c>
      <c r="X69" s="184">
        <f t="shared" si="19"/>
        <v>23.98</v>
      </c>
      <c r="Y69" s="184">
        <f t="shared" si="19"/>
        <v>24.3</v>
      </c>
      <c r="Z69" s="184">
        <f t="shared" si="19"/>
        <v>31.45</v>
      </c>
      <c r="AA69" s="184">
        <f t="shared" si="19"/>
        <v>26.98</v>
      </c>
      <c r="AB69" s="183"/>
      <c r="AD69" s="179">
        <f>ROUND(IFERROR(AD66/AD67,0),2)</f>
        <v>35.15</v>
      </c>
      <c r="AE69" s="184"/>
      <c r="AF69" s="180"/>
      <c r="AG69" s="179">
        <f>ROUND(IFERROR(AG66/AG67,0),2)</f>
        <v>31.14</v>
      </c>
      <c r="AH69" s="184"/>
      <c r="AI69" s="180"/>
    </row>
    <row r="70" spans="7:35" x14ac:dyDescent="0.25">
      <c r="H70" s="149"/>
      <c r="I70" s="161"/>
      <c r="J70" s="161"/>
      <c r="K70" s="162"/>
      <c r="L70" s="162"/>
      <c r="M70" s="162"/>
      <c r="N70" s="8" t="s">
        <v>324</v>
      </c>
      <c r="O70" s="319" t="b">
        <f t="shared" ref="O70:AA70" si="20">ROUND(O68,2)=ROUND(O69,2)</f>
        <v>1</v>
      </c>
      <c r="P70" s="320" t="b">
        <f t="shared" si="20"/>
        <v>1</v>
      </c>
      <c r="Q70" s="320" t="b">
        <f t="shared" si="20"/>
        <v>1</v>
      </c>
      <c r="R70" s="320" t="b">
        <f t="shared" si="20"/>
        <v>1</v>
      </c>
      <c r="S70" s="320" t="b">
        <f t="shared" si="20"/>
        <v>1</v>
      </c>
      <c r="T70" s="320" t="b">
        <f t="shared" si="20"/>
        <v>1</v>
      </c>
      <c r="U70" s="320" t="b">
        <f t="shared" si="20"/>
        <v>1</v>
      </c>
      <c r="V70" s="320" t="b">
        <f t="shared" si="20"/>
        <v>1</v>
      </c>
      <c r="W70" s="320" t="b">
        <f t="shared" si="20"/>
        <v>1</v>
      </c>
      <c r="X70" s="320" t="b">
        <f t="shared" si="20"/>
        <v>1</v>
      </c>
      <c r="Y70" s="320" t="b">
        <f t="shared" si="20"/>
        <v>1</v>
      </c>
      <c r="Z70" s="320" t="b">
        <f t="shared" si="20"/>
        <v>1</v>
      </c>
      <c r="AA70" s="320" t="b">
        <f t="shared" si="20"/>
        <v>1</v>
      </c>
      <c r="AB70" s="321"/>
      <c r="AC70" s="322"/>
      <c r="AD70" s="319"/>
      <c r="AE70" s="320" t="b">
        <f>ROUND(AD68,2)=ROUND(AD69,2)</f>
        <v>1</v>
      </c>
      <c r="AF70" s="321"/>
      <c r="AG70" s="319"/>
      <c r="AH70" s="320" t="b">
        <f>ROUND(AG68,2)=ROUND(AG69,2)</f>
        <v>1</v>
      </c>
      <c r="AI70" s="321"/>
    </row>
    <row r="71" spans="7:35" x14ac:dyDescent="0.25">
      <c r="H71" s="149" t="s">
        <v>264</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21"/>
      <c r="P71" s="21"/>
      <c r="Q71" s="21"/>
      <c r="R71" s="21"/>
      <c r="S71" s="21"/>
      <c r="T71" s="21"/>
      <c r="U71" s="21"/>
      <c r="V71" s="21"/>
      <c r="W71" s="21"/>
      <c r="X71" s="21"/>
      <c r="Y71" s="21"/>
      <c r="Z71" s="21"/>
      <c r="AA71" s="21">
        <f t="shared" ref="AA71:AA76" si="21">SUM(O71:Z71)</f>
        <v>0</v>
      </c>
      <c r="AB71" s="17" t="str">
        <f>IF(AA71=0,"",IFERROR(AA71/AA$19,""))</f>
        <v/>
      </c>
      <c r="AD71" s="21"/>
      <c r="AE71" s="17" t="str">
        <f>IF(AD71=0,"",IFERROR(AD71/AD$19,""))</f>
        <v/>
      </c>
      <c r="AF71" s="50">
        <f t="shared" ref="AF71:AF77" si="22">IF(AND($AA71="",AD71=""),"",$AA71-AD71)</f>
        <v>0</v>
      </c>
      <c r="AG71" s="21"/>
      <c r="AH71" s="17" t="str">
        <f t="shared" si="3"/>
        <v/>
      </c>
      <c r="AI71" s="50">
        <f t="shared" ref="AI71:AI77" si="23">IF(AND($AA71="",AG71=""),"",$AA71-AG71)</f>
        <v>0</v>
      </c>
    </row>
    <row r="72" spans="7:35" x14ac:dyDescent="0.25">
      <c r="H72" s="149" t="s">
        <v>321</v>
      </c>
      <c r="I72" s="161" t="e">
        <f ca="1">_xll.EVPRO($B$1,$H72,"STYLE")</f>
        <v>#NAME?</v>
      </c>
      <c r="J72" s="161" t="e">
        <f ca="1">_xll.EVPRO($B$1,$H72,"CALC")</f>
        <v>#NAME?</v>
      </c>
      <c r="K72" s="162"/>
      <c r="L72" s="162" t="e">
        <f ca="1">_xll.EVPRO($B$1,H72,"JDEID")</f>
        <v>#NAME?</v>
      </c>
      <c r="M72" s="162" t="e">
        <f ca="1">IF(AND(I72="N",J72="N"),_xll.EVPRO($B$1,H72,"PSFTID"),"")</f>
        <v>#NAME?</v>
      </c>
      <c r="N72" s="162" t="e">
        <f ca="1">IF(_xll.EVDES(H72,$B$1)="#NODATA","",_xll.EVDES(H72,$B$1))</f>
        <v>#NAME?</v>
      </c>
      <c r="O72" s="21"/>
      <c r="P72" s="21"/>
      <c r="Q72" s="21"/>
      <c r="R72" s="21"/>
      <c r="S72" s="21"/>
      <c r="T72" s="21"/>
      <c r="U72" s="21"/>
      <c r="V72" s="21"/>
      <c r="W72" s="21"/>
      <c r="X72" s="21"/>
      <c r="Y72" s="21"/>
      <c r="Z72" s="21"/>
      <c r="AA72" s="21">
        <f t="shared" si="21"/>
        <v>0</v>
      </c>
      <c r="AB72" s="17" t="str">
        <f>IF(AA72=0,"",IFERROR(AA72/AA$19,""))</f>
        <v/>
      </c>
      <c r="AD72" s="21"/>
      <c r="AE72" s="17" t="str">
        <f>IF(AD72=0,"",IFERROR(AD72/AD$19,""))</f>
        <v/>
      </c>
      <c r="AF72" s="50">
        <f t="shared" si="22"/>
        <v>0</v>
      </c>
      <c r="AG72" s="21"/>
      <c r="AH72" s="17" t="str">
        <f t="shared" si="3"/>
        <v/>
      </c>
      <c r="AI72" s="50">
        <f t="shared" si="23"/>
        <v>0</v>
      </c>
    </row>
    <row r="73" spans="7:35" x14ac:dyDescent="0.25">
      <c r="H73" s="149" t="s">
        <v>323</v>
      </c>
      <c r="I73" s="161" t="e">
        <f ca="1">_xll.EVPRO($B$1,$H73,"STYLE")</f>
        <v>#NAME?</v>
      </c>
      <c r="J73" s="161" t="e">
        <f ca="1">_xll.EVPRO($B$1,$H73,"CALC")</f>
        <v>#NAME?</v>
      </c>
      <c r="K73" s="162"/>
      <c r="L73" s="162" t="e">
        <f ca="1">_xll.EVPRO($B$1,H73,"JDEID")</f>
        <v>#NAME?</v>
      </c>
      <c r="M73" s="162" t="e">
        <f ca="1">IF(AND(I73="N",J73="N"),_xll.EVPRO($B$1,H73,"PSFTID"),"")</f>
        <v>#NAME?</v>
      </c>
      <c r="N73" s="162" t="e">
        <f ca="1">IF(_xll.EVDES(H73,$B$1)="#NODATA","",_xll.EVDES(H73,$B$1))</f>
        <v>#NAME?</v>
      </c>
      <c r="O73" s="21"/>
      <c r="P73" s="21"/>
      <c r="Q73" s="21"/>
      <c r="R73" s="21"/>
      <c r="S73" s="21"/>
      <c r="T73" s="21"/>
      <c r="U73" s="21"/>
      <c r="V73" s="21"/>
      <c r="W73" s="21"/>
      <c r="X73" s="21"/>
      <c r="Y73" s="21"/>
      <c r="Z73" s="21"/>
      <c r="AA73" s="21">
        <f t="shared" si="21"/>
        <v>0</v>
      </c>
      <c r="AB73" s="17" t="str">
        <f>IF(AA73=0,"",IFERROR(AA73/AA$19,""))</f>
        <v/>
      </c>
      <c r="AD73" s="21"/>
      <c r="AE73" s="17" t="str">
        <f>IF(AD73=0,"",IFERROR(AD73/AD$19,""))</f>
        <v/>
      </c>
      <c r="AF73" s="50">
        <f t="shared" si="22"/>
        <v>0</v>
      </c>
      <c r="AG73" s="21"/>
      <c r="AH73" s="17" t="str">
        <f t="shared" si="3"/>
        <v/>
      </c>
      <c r="AI73" s="50">
        <f t="shared" si="23"/>
        <v>0</v>
      </c>
    </row>
    <row r="74" spans="7:35" x14ac:dyDescent="0.25">
      <c r="H74" s="149" t="s">
        <v>322</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30"/>
      <c r="P74" s="30"/>
      <c r="Q74" s="30"/>
      <c r="R74" s="30"/>
      <c r="S74" s="30"/>
      <c r="T74" s="30"/>
      <c r="U74" s="30"/>
      <c r="V74" s="30"/>
      <c r="W74" s="30"/>
      <c r="X74" s="30"/>
      <c r="Y74" s="30"/>
      <c r="Z74" s="30"/>
      <c r="AA74" s="30">
        <f t="shared" si="21"/>
        <v>0</v>
      </c>
      <c r="AB74" s="31" t="str">
        <f>IF(AA74=0,"",IFERROR(AA74/AA$19,""))</f>
        <v/>
      </c>
      <c r="AD74" s="30"/>
      <c r="AE74" s="31" t="str">
        <f>IF(AD74=0,"",IFERROR(AD74/AD$19,""))</f>
        <v/>
      </c>
      <c r="AF74" s="51">
        <f t="shared" si="22"/>
        <v>0</v>
      </c>
      <c r="AG74" s="30"/>
      <c r="AH74" s="31" t="str">
        <f t="shared" si="3"/>
        <v/>
      </c>
      <c r="AI74" s="51">
        <f t="shared" si="23"/>
        <v>0</v>
      </c>
    </row>
    <row r="75" spans="7:35" x14ac:dyDescent="0.25">
      <c r="H75" s="149" t="s">
        <v>329</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c r="AA75" s="164">
        <f t="shared" si="21"/>
        <v>0</v>
      </c>
      <c r="AB75" s="175" t="str">
        <f>IF(AA75=0,"",IFERROR(AA75/AA$19,""))</f>
        <v/>
      </c>
      <c r="AD75" s="164"/>
      <c r="AE75" s="175" t="str">
        <f>IF(AD75=0,"",IFERROR(AD75/AD$19,""))</f>
        <v/>
      </c>
      <c r="AF75" s="165">
        <f t="shared" si="22"/>
        <v>0</v>
      </c>
      <c r="AG75" s="164"/>
      <c r="AH75" s="175" t="str">
        <f t="shared" si="3"/>
        <v/>
      </c>
      <c r="AI75" s="165">
        <f t="shared" si="23"/>
        <v>0</v>
      </c>
    </row>
    <row r="76" spans="7:35" x14ac:dyDescent="0.25">
      <c r="H76" s="149" t="s">
        <v>300</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8">
        <f t="shared" si="21"/>
        <v>0</v>
      </c>
      <c r="AB76" s="39" t="str">
        <f>IF(AA76=0,"",IFERROR(AA76/AA$104,""))</f>
        <v/>
      </c>
      <c r="AD76" s="38"/>
      <c r="AE76" s="39" t="str">
        <f>IF(AD76=0,"",IFERROR(AD76/AD$104,""))</f>
        <v/>
      </c>
      <c r="AF76" s="132">
        <f t="shared" si="22"/>
        <v>0</v>
      </c>
      <c r="AG76" s="38"/>
      <c r="AH76" s="39" t="str">
        <f>IF(AG76=0,"",IFERROR(AG76/AG$104,""))</f>
        <v/>
      </c>
      <c r="AI76" s="132">
        <f t="shared" si="23"/>
        <v>0</v>
      </c>
    </row>
    <row r="77" spans="7:35" x14ac:dyDescent="0.25">
      <c r="H77" s="149" t="s">
        <v>325</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c r="AA77" s="176" t="str">
        <f>IFERROR(AA75/AA76,"")</f>
        <v/>
      </c>
      <c r="AB77" s="176"/>
      <c r="AD77" s="176"/>
      <c r="AE77" s="176"/>
      <c r="AF77" s="177" t="str">
        <f t="shared" si="22"/>
        <v/>
      </c>
      <c r="AG77" s="176"/>
      <c r="AH77" s="176"/>
      <c r="AI77" s="177" t="str">
        <f t="shared" si="23"/>
        <v/>
      </c>
    </row>
    <row r="78" spans="7:35" x14ac:dyDescent="0.25">
      <c r="G78" s="181">
        <f>COUNTIF(O79:AI79,FALSE)</f>
        <v>0</v>
      </c>
      <c r="H78" s="15"/>
      <c r="I78" s="161"/>
      <c r="J78" s="161"/>
      <c r="K78" s="162"/>
      <c r="L78" s="162"/>
      <c r="M78" s="162"/>
      <c r="N78" s="182" t="s">
        <v>345</v>
      </c>
      <c r="O78" s="179">
        <f t="shared" ref="O78:AA78" si="24">ROUND(IFERROR(O75/O76,0),2)</f>
        <v>0</v>
      </c>
      <c r="P78" s="184">
        <f t="shared" si="24"/>
        <v>0</v>
      </c>
      <c r="Q78" s="184">
        <f t="shared" si="24"/>
        <v>0</v>
      </c>
      <c r="R78" s="184">
        <f t="shared" si="24"/>
        <v>0</v>
      </c>
      <c r="S78" s="184">
        <f t="shared" si="24"/>
        <v>0</v>
      </c>
      <c r="T78" s="184">
        <f t="shared" si="24"/>
        <v>0</v>
      </c>
      <c r="U78" s="184">
        <f t="shared" si="24"/>
        <v>0</v>
      </c>
      <c r="V78" s="184">
        <f t="shared" si="24"/>
        <v>0</v>
      </c>
      <c r="W78" s="184">
        <f t="shared" si="24"/>
        <v>0</v>
      </c>
      <c r="X78" s="184">
        <f t="shared" si="24"/>
        <v>0</v>
      </c>
      <c r="Y78" s="184">
        <f t="shared" si="24"/>
        <v>0</v>
      </c>
      <c r="Z78" s="184">
        <f t="shared" si="24"/>
        <v>0</v>
      </c>
      <c r="AA78" s="184">
        <f t="shared" si="24"/>
        <v>0</v>
      </c>
      <c r="AB78" s="183"/>
      <c r="AD78" s="179">
        <f>ROUND(IFERROR(AD75/AD76,0),2)</f>
        <v>0</v>
      </c>
      <c r="AE78" s="184"/>
      <c r="AF78" s="180"/>
      <c r="AG78" s="179">
        <f>ROUND(IFERROR(AG75/AG76,0),2)</f>
        <v>0</v>
      </c>
      <c r="AH78" s="184"/>
      <c r="AI78" s="180"/>
    </row>
    <row r="79" spans="7:35" x14ac:dyDescent="0.25">
      <c r="H79" s="149"/>
      <c r="I79" s="161"/>
      <c r="J79" s="161"/>
      <c r="K79" s="162"/>
      <c r="L79" s="162"/>
      <c r="M79" s="162"/>
      <c r="N79" s="8" t="s">
        <v>807</v>
      </c>
      <c r="O79" s="319" t="b">
        <f t="shared" ref="O79:AA79" si="25">ROUND(O77,2)=ROUND(O78,2)</f>
        <v>1</v>
      </c>
      <c r="P79" s="320" t="b">
        <f t="shared" si="25"/>
        <v>1</v>
      </c>
      <c r="Q79" s="320" t="b">
        <f t="shared" si="25"/>
        <v>1</v>
      </c>
      <c r="R79" s="320" t="b">
        <f t="shared" si="25"/>
        <v>1</v>
      </c>
      <c r="S79" s="320" t="b">
        <f t="shared" si="25"/>
        <v>1</v>
      </c>
      <c r="T79" s="320" t="b">
        <f t="shared" si="25"/>
        <v>1</v>
      </c>
      <c r="U79" s="320" t="b">
        <f t="shared" si="25"/>
        <v>1</v>
      </c>
      <c r="V79" s="320" t="b">
        <f t="shared" si="25"/>
        <v>1</v>
      </c>
      <c r="W79" s="320" t="b">
        <f t="shared" si="25"/>
        <v>1</v>
      </c>
      <c r="X79" s="320" t="b">
        <f t="shared" si="25"/>
        <v>1</v>
      </c>
      <c r="Y79" s="320" t="b">
        <f t="shared" si="25"/>
        <v>1</v>
      </c>
      <c r="Z79" s="320" t="b">
        <f t="shared" si="25"/>
        <v>1</v>
      </c>
      <c r="AA79" s="320" t="e">
        <f t="shared" si="25"/>
        <v>#VALUE!</v>
      </c>
      <c r="AB79" s="321"/>
      <c r="AC79" s="322"/>
      <c r="AD79" s="319"/>
      <c r="AE79" s="320" t="b">
        <f>ROUND(AD77,2)=ROUND(AD78,2)</f>
        <v>1</v>
      </c>
      <c r="AF79" s="321"/>
      <c r="AG79" s="319"/>
      <c r="AH79" s="320" t="b">
        <f>ROUND(AG77,2)=ROUND(AG78,2)</f>
        <v>1</v>
      </c>
      <c r="AI79" s="321"/>
    </row>
    <row r="80" spans="7:35" x14ac:dyDescent="0.25">
      <c r="H80" s="149" t="s">
        <v>790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v>6795</v>
      </c>
      <c r="R80" s="21">
        <v>5630</v>
      </c>
      <c r="S80" s="21"/>
      <c r="T80" s="21"/>
      <c r="U80" s="21"/>
      <c r="V80" s="21"/>
      <c r="W80" s="21">
        <v>1730</v>
      </c>
      <c r="X80" s="21"/>
      <c r="Y80" s="21">
        <v>8273.1</v>
      </c>
      <c r="Z80" s="21">
        <v>7377.3</v>
      </c>
      <c r="AA80" s="21">
        <f t="shared" ref="AA80:AA85" si="26">SUM(O80:Z80)</f>
        <v>29805.399999999998</v>
      </c>
      <c r="AB80" s="17" t="str">
        <f ca="1">IF(AA80=0,"",IFERROR(AA80/AA$19,""))</f>
        <v/>
      </c>
      <c r="AD80" s="21">
        <v>39561.650999999998</v>
      </c>
      <c r="AE80" s="17" t="str">
        <f ca="1">IF(AD80=0,"",IFERROR(AD80/AD$19,""))</f>
        <v/>
      </c>
      <c r="AF80" s="50">
        <f t="shared" ref="AF80:AF86" si="27">IF(AND($AA80="",AD80=""),"",$AA80-AD80)</f>
        <v>-9756.2510000000002</v>
      </c>
      <c r="AG80" s="21">
        <v>1535</v>
      </c>
      <c r="AH80" s="17" t="str">
        <f t="shared" ref="AH80:AH90" ca="1" si="28">IF(AG80=0,"",IFERROR(AG80/AG$19,""))</f>
        <v/>
      </c>
      <c r="AI80" s="50">
        <f t="shared" ref="AI80:AI86" si="29">IF(AND($AA80="",AG80=""),"",$AA80-AG80)</f>
        <v>28270.399999999998</v>
      </c>
    </row>
    <row r="81" spans="3:35" x14ac:dyDescent="0.25">
      <c r="H81" s="149" t="s">
        <v>808</v>
      </c>
      <c r="I81" s="161" t="e">
        <f ca="1">_xll.EVPRO($B$1,$H81,"STYLE")</f>
        <v>#NAME?</v>
      </c>
      <c r="J81" s="161" t="e">
        <f ca="1">_xll.EVPRO($B$1,$H81,"CALC")</f>
        <v>#NAME?</v>
      </c>
      <c r="K81" s="162"/>
      <c r="L81" s="162" t="e">
        <f ca="1">_xll.EVPRO($B$1,H81,"JDEID")</f>
        <v>#NAME?</v>
      </c>
      <c r="M81" s="162" t="e">
        <f ca="1">IF(AND(I81="N",J81="N"),_xll.EVPRO($B$1,H81,"PSFTID"),"")</f>
        <v>#NAME?</v>
      </c>
      <c r="N81" s="162" t="e">
        <f ca="1">IF(_xll.EVDES(H81,$B$1)="#NODATA","",_xll.EVDES(H81,$B$1))</f>
        <v>#NAME?</v>
      </c>
      <c r="O81" s="21"/>
      <c r="P81" s="21"/>
      <c r="Q81" s="21"/>
      <c r="R81" s="21">
        <v>850</v>
      </c>
      <c r="S81" s="21"/>
      <c r="T81" s="21"/>
      <c r="U81" s="21"/>
      <c r="V81" s="21"/>
      <c r="W81" s="21"/>
      <c r="X81" s="21"/>
      <c r="Y81" s="21">
        <v>4948</v>
      </c>
      <c r="Z81" s="21">
        <v>3694.96</v>
      </c>
      <c r="AA81" s="21">
        <f t="shared" si="26"/>
        <v>9492.9599999999991</v>
      </c>
      <c r="AB81" s="17" t="str">
        <f ca="1">IF(AA81=0,"",IFERROR(AA81/AA$19,""))</f>
        <v/>
      </c>
      <c r="AD81" s="21">
        <v>1058.9045000000001</v>
      </c>
      <c r="AE81" s="17" t="str">
        <f ca="1">IF(AD81=0,"",IFERROR(AD81/AD$19,""))</f>
        <v/>
      </c>
      <c r="AF81" s="50">
        <f t="shared" si="27"/>
        <v>8434.0554999999986</v>
      </c>
      <c r="AG81" s="21">
        <v>615</v>
      </c>
      <c r="AH81" s="17" t="str">
        <f t="shared" ca="1" si="28"/>
        <v/>
      </c>
      <c r="AI81" s="50">
        <f t="shared" si="29"/>
        <v>8877.9599999999991</v>
      </c>
    </row>
    <row r="82" spans="3:35" x14ac:dyDescent="0.25">
      <c r="H82" s="149" t="s">
        <v>809</v>
      </c>
      <c r="I82" s="161" t="e">
        <f ca="1">_xll.EVPRO($B$1,$H82,"STYLE")</f>
        <v>#NAME?</v>
      </c>
      <c r="J82" s="161" t="e">
        <f ca="1">_xll.EVPRO($B$1,$H82,"CALC")</f>
        <v>#NAME?</v>
      </c>
      <c r="K82" s="162"/>
      <c r="L82" s="162" t="e">
        <f ca="1">_xll.EVPRO($B$1,H82,"JDEID")</f>
        <v>#NAME?</v>
      </c>
      <c r="M82" s="162" t="e">
        <f ca="1">IF(AND(I82="N",J82="N"),_xll.EVPRO($B$1,H82,"PSFTID"),"")</f>
        <v>#NAME?</v>
      </c>
      <c r="N82" s="162" t="e">
        <f ca="1">IF(_xll.EVDES(H82,$B$1)="#NODATA","",_xll.EVDES(H82,$B$1))</f>
        <v>#NAME?</v>
      </c>
      <c r="O82" s="21"/>
      <c r="P82" s="21"/>
      <c r="Q82" s="21"/>
      <c r="R82" s="21"/>
      <c r="S82" s="21"/>
      <c r="T82" s="21"/>
      <c r="U82" s="21"/>
      <c r="V82" s="21"/>
      <c r="W82" s="21"/>
      <c r="X82" s="21"/>
      <c r="Y82" s="21">
        <v>20</v>
      </c>
      <c r="Z82" s="21">
        <v>510</v>
      </c>
      <c r="AA82" s="21">
        <f t="shared" si="26"/>
        <v>530</v>
      </c>
      <c r="AB82" s="17" t="str">
        <f ca="1">IF(AA82=0,"",IFERROR(AA82/AA$19,""))</f>
        <v/>
      </c>
      <c r="AD82" s="21">
        <v>814.44449999999995</v>
      </c>
      <c r="AE82" s="17" t="str">
        <f ca="1">IF(AD82=0,"",IFERROR(AD82/AD$19,""))</f>
        <v/>
      </c>
      <c r="AF82" s="50">
        <f t="shared" si="27"/>
        <v>-284.44449999999995</v>
      </c>
      <c r="AG82" s="21">
        <v>127</v>
      </c>
      <c r="AH82" s="17" t="str">
        <f t="shared" ca="1" si="28"/>
        <v/>
      </c>
      <c r="AI82" s="50">
        <f t="shared" si="29"/>
        <v>403</v>
      </c>
    </row>
    <row r="83" spans="3:35" x14ac:dyDescent="0.25">
      <c r="H83" s="149" t="s">
        <v>810</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30"/>
      <c r="P83" s="30"/>
      <c r="Q83" s="30">
        <v>2338</v>
      </c>
      <c r="R83" s="30"/>
      <c r="S83" s="30"/>
      <c r="T83" s="30"/>
      <c r="U83" s="30"/>
      <c r="V83" s="30"/>
      <c r="W83" s="30">
        <v>144</v>
      </c>
      <c r="X83" s="30"/>
      <c r="Y83" s="30"/>
      <c r="Z83" s="30">
        <v>72</v>
      </c>
      <c r="AA83" s="30">
        <f t="shared" si="26"/>
        <v>2554</v>
      </c>
      <c r="AB83" s="31" t="str">
        <f ca="1">IF(AA83=0,"",IFERROR(AA83/AA$19,""))</f>
        <v/>
      </c>
      <c r="AD83" s="30"/>
      <c r="AE83" s="31" t="str">
        <f>IF(AD83=0,"",IFERROR(AD83/AD$19,""))</f>
        <v/>
      </c>
      <c r="AF83" s="51">
        <f t="shared" si="27"/>
        <v>2554</v>
      </c>
      <c r="AG83" s="30">
        <v>52</v>
      </c>
      <c r="AH83" s="31" t="str">
        <f t="shared" ca="1" si="28"/>
        <v/>
      </c>
      <c r="AI83" s="51">
        <f t="shared" si="29"/>
        <v>2502</v>
      </c>
    </row>
    <row r="84" spans="3:35" x14ac:dyDescent="0.25">
      <c r="H84" s="149" t="s">
        <v>811</v>
      </c>
      <c r="I84" s="161" t="e">
        <f ca="1">_xll.EVPRO($B$1,$H84,"STYLE")</f>
        <v>#NAME?</v>
      </c>
      <c r="J84" s="161" t="e">
        <f ca="1">_xll.EVPRO($B$1,$H84,"CALC")</f>
        <v>#NAME?</v>
      </c>
      <c r="K84" s="162"/>
      <c r="L84" s="162" t="e">
        <f ca="1">_xll.EVPRO($B$1,H84,"JDEID")</f>
        <v>#NAME?</v>
      </c>
      <c r="M84" s="162" t="e">
        <f ca="1">IF(AND(I84="N",J84="N"),_xll.EVPRO($B$1,H84,"PSFTID"),"")</f>
        <v>#NAME?</v>
      </c>
      <c r="N84" s="25" t="e">
        <f ca="1">IF(_xll.EVDES(H84,$B$1)="#NODATA","",_xll.EVDES(H84,$B$1))</f>
        <v>#NAME?</v>
      </c>
      <c r="O84" s="164"/>
      <c r="P84" s="164"/>
      <c r="Q84" s="164">
        <v>9133</v>
      </c>
      <c r="R84" s="164">
        <v>6480</v>
      </c>
      <c r="S84" s="164"/>
      <c r="T84" s="164"/>
      <c r="U84" s="164"/>
      <c r="V84" s="164"/>
      <c r="W84" s="164">
        <v>1874</v>
      </c>
      <c r="X84" s="164"/>
      <c r="Y84" s="164">
        <v>13241.1</v>
      </c>
      <c r="Z84" s="164">
        <v>11654.26</v>
      </c>
      <c r="AA84" s="164">
        <f t="shared" si="26"/>
        <v>42382.36</v>
      </c>
      <c r="AB84" s="175" t="str">
        <f ca="1">IF(AA84=0,"",IFERROR(AA84/AA$19,""))</f>
        <v/>
      </c>
      <c r="AD84" s="164">
        <v>41435</v>
      </c>
      <c r="AE84" s="175" t="str">
        <f ca="1">IF(AD84=0,"",IFERROR(AD84/AD$19,""))</f>
        <v/>
      </c>
      <c r="AF84" s="165">
        <f t="shared" si="27"/>
        <v>947.36000000000058</v>
      </c>
      <c r="AG84" s="164">
        <v>2329</v>
      </c>
      <c r="AH84" s="175" t="str">
        <f t="shared" ca="1" si="28"/>
        <v/>
      </c>
      <c r="AI84" s="165">
        <f t="shared" si="29"/>
        <v>40053.360000000001</v>
      </c>
    </row>
    <row r="85" spans="3:35" x14ac:dyDescent="0.25">
      <c r="H85" s="149" t="s">
        <v>812</v>
      </c>
      <c r="I85" s="161" t="e">
        <f ca="1">_xll.EVPRO($B$1,$H85,"STYLE")</f>
        <v>#NAME?</v>
      </c>
      <c r="J85" s="161" t="e">
        <f ca="1">_xll.EVPRO($B$1,$H85,"CALC")</f>
        <v>#NAME?</v>
      </c>
      <c r="K85" s="162"/>
      <c r="L85" s="162" t="e">
        <f ca="1">_xll.EVPRO($B$1,H85,"JDEID")</f>
        <v>#NAME?</v>
      </c>
      <c r="M85" s="162" t="e">
        <f ca="1">IF(AND(I85="N",J85="N"),_xll.EVPRO($B$1,H85,"PSFTID"),"")</f>
        <v>#NAME?</v>
      </c>
      <c r="N85" s="162" t="e">
        <f ca="1">IF(_xll.EVDES(H85,$B$1)="#NODATA","",_xll.EVDES(H85,$B$1))</f>
        <v>#NAME?</v>
      </c>
      <c r="O85" s="38"/>
      <c r="P85" s="38"/>
      <c r="Q85" s="38">
        <v>45</v>
      </c>
      <c r="R85" s="38">
        <v>65</v>
      </c>
      <c r="S85" s="38"/>
      <c r="T85" s="38"/>
      <c r="U85" s="38"/>
      <c r="V85" s="38">
        <v>18</v>
      </c>
      <c r="W85" s="38">
        <v>105</v>
      </c>
      <c r="X85" s="38"/>
      <c r="Y85" s="38">
        <v>75</v>
      </c>
      <c r="Z85" s="38">
        <v>81</v>
      </c>
      <c r="AA85" s="38">
        <f t="shared" si="26"/>
        <v>389</v>
      </c>
      <c r="AB85" s="39">
        <f>IF(AA85=0,"",IFERROR(AA85/AA$84,""))</f>
        <v>9.178346840525162E-3</v>
      </c>
      <c r="AD85" s="38">
        <v>513</v>
      </c>
      <c r="AE85" s="39">
        <f>IF(AD85=0,"",IFERROR(AD85/AD$84,""))</f>
        <v>1.2380837456256788E-2</v>
      </c>
      <c r="AF85" s="132">
        <f t="shared" si="27"/>
        <v>-124</v>
      </c>
      <c r="AG85" s="38">
        <v>186</v>
      </c>
      <c r="AH85" s="39">
        <f>IF(AG85=0,"",IFERROR(AG85/AG$84,""))</f>
        <v>7.9862601975096606E-2</v>
      </c>
      <c r="AI85" s="132">
        <f t="shared" si="29"/>
        <v>203</v>
      </c>
    </row>
    <row r="86" spans="3:35" x14ac:dyDescent="0.25">
      <c r="H86" s="149" t="s">
        <v>813</v>
      </c>
      <c r="I86" s="161" t="e">
        <f ca="1">_xll.EVPRO($B$1,$H86,"STYLE")</f>
        <v>#NAME?</v>
      </c>
      <c r="J86" s="161" t="e">
        <f ca="1">_xll.EVPRO($B$1,$H86,"CALC")</f>
        <v>#NAME?</v>
      </c>
      <c r="K86" s="162"/>
      <c r="L86" s="162" t="e">
        <f ca="1">_xll.EVPRO($B$1,H86,"JDEID")</f>
        <v>#NAME?</v>
      </c>
      <c r="M86" s="162" t="e">
        <f ca="1">IF(AND(I86="N",J86="N"),_xll.EVPRO($B$1,H86,"PSFTID"),"")</f>
        <v>#NAME?</v>
      </c>
      <c r="N86" s="170" t="e">
        <f ca="1">IF(_xll.EVDES(H86,$B$1)="#NODATA","",_xll.EVDES(H86,$B$1))</f>
        <v>#NAME?</v>
      </c>
      <c r="O86" s="176"/>
      <c r="P86" s="176"/>
      <c r="Q86" s="176">
        <v>202.955555555556</v>
      </c>
      <c r="R86" s="176">
        <v>99.692307692307693</v>
      </c>
      <c r="S86" s="176"/>
      <c r="T86" s="176"/>
      <c r="U86" s="176"/>
      <c r="V86" s="176"/>
      <c r="W86" s="176">
        <v>17.847619047618998</v>
      </c>
      <c r="X86" s="176"/>
      <c r="Y86" s="176">
        <v>176.548</v>
      </c>
      <c r="Z86" s="176">
        <v>143.87975308642001</v>
      </c>
      <c r="AA86" s="176">
        <f>IFERROR(AA84/AA85,"")</f>
        <v>108.95208226221079</v>
      </c>
      <c r="AB86" s="176"/>
      <c r="AD86" s="176">
        <v>80.769980506822606</v>
      </c>
      <c r="AE86" s="176"/>
      <c r="AF86" s="177">
        <f t="shared" si="27"/>
        <v>28.182101755388189</v>
      </c>
      <c r="AG86" s="176">
        <v>12.5215053763441</v>
      </c>
      <c r="AH86" s="176"/>
      <c r="AI86" s="177">
        <f t="shared" si="29"/>
        <v>96.430576885866699</v>
      </c>
    </row>
    <row r="87" spans="3:35" x14ac:dyDescent="0.25">
      <c r="G87" s="181">
        <f>COUNTIF(O88:AI88,FALSE)</f>
        <v>0</v>
      </c>
      <c r="H87" s="15"/>
      <c r="I87" s="161"/>
      <c r="J87" s="161"/>
      <c r="K87" s="162"/>
      <c r="L87" s="162"/>
      <c r="M87" s="162"/>
      <c r="N87" s="182" t="s">
        <v>345</v>
      </c>
      <c r="O87" s="179">
        <f t="shared" ref="O87:AA87" si="30">ROUND(IFERROR(O84/O85,0),2)</f>
        <v>0</v>
      </c>
      <c r="P87" s="184">
        <f t="shared" si="30"/>
        <v>0</v>
      </c>
      <c r="Q87" s="184">
        <f t="shared" si="30"/>
        <v>202.96</v>
      </c>
      <c r="R87" s="184">
        <f t="shared" si="30"/>
        <v>99.69</v>
      </c>
      <c r="S87" s="184">
        <f t="shared" si="30"/>
        <v>0</v>
      </c>
      <c r="T87" s="184">
        <f t="shared" si="30"/>
        <v>0</v>
      </c>
      <c r="U87" s="184">
        <f t="shared" si="30"/>
        <v>0</v>
      </c>
      <c r="V87" s="184">
        <f t="shared" si="30"/>
        <v>0</v>
      </c>
      <c r="W87" s="184">
        <f t="shared" si="30"/>
        <v>17.850000000000001</v>
      </c>
      <c r="X87" s="184">
        <f t="shared" si="30"/>
        <v>0</v>
      </c>
      <c r="Y87" s="184">
        <f t="shared" si="30"/>
        <v>176.55</v>
      </c>
      <c r="Z87" s="184">
        <f t="shared" si="30"/>
        <v>143.88</v>
      </c>
      <c r="AA87" s="184">
        <f t="shared" si="30"/>
        <v>108.95</v>
      </c>
      <c r="AB87" s="183"/>
      <c r="AD87" s="179">
        <f>ROUND(IFERROR(AD84/AD85,0),2)</f>
        <v>80.77</v>
      </c>
      <c r="AE87" s="184"/>
      <c r="AF87" s="180"/>
      <c r="AG87" s="179">
        <f>ROUND(IFERROR(AG84/AG85,0),2)</f>
        <v>12.52</v>
      </c>
      <c r="AH87" s="184"/>
      <c r="AI87" s="180"/>
    </row>
    <row r="88" spans="3:35" x14ac:dyDescent="0.25">
      <c r="H88" s="149"/>
      <c r="I88" s="161"/>
      <c r="J88" s="161"/>
      <c r="K88" s="162"/>
      <c r="L88" s="162"/>
      <c r="M88" s="162"/>
      <c r="N88" s="8" t="s">
        <v>814</v>
      </c>
      <c r="O88" s="319" t="b">
        <f t="shared" ref="O88:AA88" si="31">ROUND(O86,2)=ROUND(O87,2)</f>
        <v>1</v>
      </c>
      <c r="P88" s="320" t="b">
        <f t="shared" si="31"/>
        <v>1</v>
      </c>
      <c r="Q88" s="320" t="b">
        <f t="shared" si="31"/>
        <v>1</v>
      </c>
      <c r="R88" s="320" t="b">
        <f t="shared" si="31"/>
        <v>1</v>
      </c>
      <c r="S88" s="320" t="b">
        <f t="shared" si="31"/>
        <v>1</v>
      </c>
      <c r="T88" s="320" t="b">
        <f t="shared" si="31"/>
        <v>1</v>
      </c>
      <c r="U88" s="320" t="b">
        <f t="shared" si="31"/>
        <v>1</v>
      </c>
      <c r="V88" s="320" t="b">
        <f t="shared" si="31"/>
        <v>1</v>
      </c>
      <c r="W88" s="320" t="b">
        <f t="shared" si="31"/>
        <v>1</v>
      </c>
      <c r="X88" s="320" t="b">
        <f t="shared" si="31"/>
        <v>1</v>
      </c>
      <c r="Y88" s="320" t="b">
        <f t="shared" si="31"/>
        <v>1</v>
      </c>
      <c r="Z88" s="320" t="b">
        <f t="shared" si="31"/>
        <v>1</v>
      </c>
      <c r="AA88" s="320" t="b">
        <f t="shared" si="31"/>
        <v>1</v>
      </c>
      <c r="AB88" s="321"/>
      <c r="AC88" s="322"/>
      <c r="AD88" s="319"/>
      <c r="AE88" s="320" t="b">
        <f>ROUND(AD86,2)=ROUND(AD87,2)</f>
        <v>1</v>
      </c>
      <c r="AF88" s="321"/>
      <c r="AG88" s="319"/>
      <c r="AH88" s="320" t="b">
        <f>ROUND(AG86,2)=ROUND(AG87,2)</f>
        <v>1</v>
      </c>
      <c r="AI88" s="321"/>
    </row>
    <row r="89" spans="3:35" x14ac:dyDescent="0.25">
      <c r="H89" s="149" t="s">
        <v>789</v>
      </c>
      <c r="I89" s="161" t="e">
        <f ca="1">_xll.EVPRO($B$1,$H89,"STYLE")</f>
        <v>#NAME?</v>
      </c>
      <c r="J89" s="161" t="e">
        <f ca="1">_xll.EVPRO($B$1,$H89,"CALC")</f>
        <v>#NAME?</v>
      </c>
      <c r="K89" s="162"/>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c r="Y89" s="21"/>
      <c r="Z89" s="21">
        <v>8454</v>
      </c>
      <c r="AA89" s="21">
        <f>SUM(O89:Z89)</f>
        <v>8454</v>
      </c>
      <c r="AB89" s="17" t="str">
        <f ca="1">IF(AA89=0,"",IFERROR(AA89/AA$19,""))</f>
        <v/>
      </c>
      <c r="AD89" s="21"/>
      <c r="AE89" s="17" t="str">
        <f>IF(AD89=0,"",IFERROR(AD89/AD$19,""))</f>
        <v/>
      </c>
      <c r="AF89" s="50">
        <f>IF(AND($AA89="",AD89=""),"",$AA89-AD89)</f>
        <v>8454</v>
      </c>
      <c r="AG89" s="21"/>
      <c r="AH89" s="17" t="str">
        <f t="shared" si="28"/>
        <v/>
      </c>
      <c r="AI89" s="50">
        <f>IF(AND($AA89="",AG89=""),"",$AA89-AG89)</f>
        <v>8454</v>
      </c>
    </row>
    <row r="90" spans="3:35" x14ac:dyDescent="0.25">
      <c r="H90" s="149" t="s">
        <v>815</v>
      </c>
      <c r="I90" s="161" t="e">
        <f ca="1">_xll.EVPRO($B$1,$H90,"STYLE")</f>
        <v>#NAME?</v>
      </c>
      <c r="J90" s="161" t="e">
        <f ca="1">_xll.EVPRO($B$1,$H90,"CALC")</f>
        <v>#NAME?</v>
      </c>
      <c r="K90" s="162"/>
      <c r="L90" s="162" t="e">
        <f ca="1">_xll.EVPRO($B$1,H90,"JDEID")</f>
        <v>#NAME?</v>
      </c>
      <c r="M90" s="162" t="e">
        <f ca="1">IF(AND(I90="N",J90="N"),_xll.EVPRO($B$1,H90,"PSFTID"),"")</f>
        <v>#NAME?</v>
      </c>
      <c r="N90" s="25" t="e">
        <f ca="1">IF(_xll.EVDES(H90,$B$1)="#NODATA","",_xll.EVDES(H90,$B$1))</f>
        <v>#NAME?</v>
      </c>
      <c r="O90" s="164"/>
      <c r="P90" s="164"/>
      <c r="Q90" s="164"/>
      <c r="R90" s="164"/>
      <c r="S90" s="164"/>
      <c r="T90" s="164"/>
      <c r="U90" s="164"/>
      <c r="V90" s="164"/>
      <c r="W90" s="164"/>
      <c r="X90" s="164"/>
      <c r="Y90" s="164"/>
      <c r="Z90" s="164">
        <v>8454</v>
      </c>
      <c r="AA90" s="164">
        <f>SUM(O90:Z90)</f>
        <v>8454</v>
      </c>
      <c r="AB90" s="175" t="str">
        <f ca="1">IF(AA90=0,"",IFERROR(AA90/AA$19,""))</f>
        <v/>
      </c>
      <c r="AD90" s="164"/>
      <c r="AE90" s="175" t="str">
        <f>IF(AD90=0,"",IFERROR(AD90/AD$19,""))</f>
        <v/>
      </c>
      <c r="AF90" s="165">
        <f>IF(AND($AA90="",AD90=""),"",$AA90-AD90)</f>
        <v>8454</v>
      </c>
      <c r="AG90" s="164"/>
      <c r="AH90" s="175" t="str">
        <f t="shared" si="28"/>
        <v/>
      </c>
      <c r="AI90" s="165">
        <f>IF(AND($AA90="",AG90=""),"",$AA90-AG90)</f>
        <v>8454</v>
      </c>
    </row>
    <row r="91" spans="3:35" x14ac:dyDescent="0.25">
      <c r="H91" s="149" t="s">
        <v>816</v>
      </c>
      <c r="I91" s="161" t="e">
        <f ca="1">_xll.EVPRO($B$1,$H91,"STYLE")</f>
        <v>#NAME?</v>
      </c>
      <c r="J91" s="161" t="e">
        <f ca="1">_xll.EVPRO($B$1,$H91,"CALC")</f>
        <v>#NAME?</v>
      </c>
      <c r="K91" s="162"/>
      <c r="L91" s="162" t="e">
        <f ca="1">_xll.EVPRO($B$1,H91,"JDEID")</f>
        <v>#NAME?</v>
      </c>
      <c r="M91" s="162" t="e">
        <f ca="1">IF(AND(I91="N",J91="N"),_xll.EVPRO($B$1,H91,"PSFTID"),"")</f>
        <v>#NAME?</v>
      </c>
      <c r="N91" s="162" t="e">
        <f ca="1">IF(_xll.EVDES(H91,$B$1)="#NODATA","",_xll.EVDES(H91,$B$1))</f>
        <v>#NAME?</v>
      </c>
      <c r="O91" s="38"/>
      <c r="P91" s="38"/>
      <c r="Q91" s="38"/>
      <c r="R91" s="38"/>
      <c r="S91" s="38"/>
      <c r="T91" s="38"/>
      <c r="U91" s="38"/>
      <c r="V91" s="38"/>
      <c r="W91" s="38"/>
      <c r="X91" s="38"/>
      <c r="Y91" s="38"/>
      <c r="Z91" s="38">
        <v>190</v>
      </c>
      <c r="AA91" s="38">
        <f>SUM(O91:Z91)</f>
        <v>190</v>
      </c>
      <c r="AB91" s="39">
        <f>IF(AA91=0,"",IFERROR(AA91/AA$84,""))</f>
        <v>4.482997171464732E-3</v>
      </c>
      <c r="AD91" s="38"/>
      <c r="AE91" s="39" t="str">
        <f>IF(AD91=0,"",IFERROR(AD91/AD$84,""))</f>
        <v/>
      </c>
      <c r="AF91" s="132">
        <f>IF(AND($AA91="",AD91=""),"",$AA91-AD91)</f>
        <v>190</v>
      </c>
      <c r="AG91" s="38"/>
      <c r="AH91" s="39" t="str">
        <f>IF(AG91=0,"",IFERROR(AG91/AG$84,""))</f>
        <v/>
      </c>
      <c r="AI91" s="132">
        <f>IF(AND($AA91="",AG91=""),"",$AA91-AG91)</f>
        <v>190</v>
      </c>
    </row>
    <row r="92" spans="3:35" x14ac:dyDescent="0.25">
      <c r="H92" s="149" t="s">
        <v>817</v>
      </c>
      <c r="I92" s="161" t="e">
        <f ca="1">_xll.EVPRO($B$1,$H92,"STYLE")</f>
        <v>#NAME?</v>
      </c>
      <c r="J92" s="161" t="e">
        <f ca="1">_xll.EVPRO($B$1,$H92,"CALC")</f>
        <v>#NAME?</v>
      </c>
      <c r="K92" s="162"/>
      <c r="L92" s="162" t="e">
        <f ca="1">_xll.EVPRO($B$1,H92,"JDEID")</f>
        <v>#NAME?</v>
      </c>
      <c r="M92" s="162" t="e">
        <f ca="1">IF(AND(I92="N",J92="N"),_xll.EVPRO($B$1,H92,"PSFTID"),"")</f>
        <v>#NAME?</v>
      </c>
      <c r="N92" s="170" t="e">
        <f ca="1">IF(_xll.EVDES(H92,$B$1)="#NODATA","",_xll.EVDES(H92,$B$1))</f>
        <v>#NAME?</v>
      </c>
      <c r="O92" s="176"/>
      <c r="P92" s="176"/>
      <c r="Q92" s="176"/>
      <c r="R92" s="176"/>
      <c r="S92" s="176"/>
      <c r="T92" s="176"/>
      <c r="U92" s="176"/>
      <c r="V92" s="176"/>
      <c r="W92" s="176"/>
      <c r="X92" s="176"/>
      <c r="Y92" s="176"/>
      <c r="Z92" s="176">
        <v>44.494736842105297</v>
      </c>
      <c r="AA92" s="176">
        <f>IFERROR(AA90/AA91,"")</f>
        <v>44.494736842105262</v>
      </c>
      <c r="AB92" s="176"/>
      <c r="AD92" s="176"/>
      <c r="AE92" s="176"/>
      <c r="AF92" s="177">
        <f>IF(AND($AA92="",AD92=""),"",$AA92-AD92)</f>
        <v>44.494736842105262</v>
      </c>
      <c r="AG92" s="176"/>
      <c r="AH92" s="176"/>
      <c r="AI92" s="177">
        <f>IF(AND($AA92="",AG92=""),"",$AA92-AG92)</f>
        <v>44.494736842105262</v>
      </c>
    </row>
    <row r="93" spans="3:35" x14ac:dyDescent="0.25">
      <c r="C93" s="32"/>
      <c r="G93" s="181">
        <f>COUNTIF(O94:AI94,FALSE)</f>
        <v>0</v>
      </c>
      <c r="H93" s="15"/>
      <c r="I93" s="161"/>
      <c r="J93" s="161"/>
      <c r="K93" s="162"/>
      <c r="L93" s="162"/>
      <c r="M93" s="162"/>
      <c r="N93" s="182" t="s">
        <v>345</v>
      </c>
      <c r="O93" s="179">
        <f t="shared" ref="O93:AA93" si="32">ROUND(IFERROR(O75/O76,0),2)</f>
        <v>0</v>
      </c>
      <c r="P93" s="184">
        <f t="shared" si="32"/>
        <v>0</v>
      </c>
      <c r="Q93" s="184">
        <f t="shared" si="32"/>
        <v>0</v>
      </c>
      <c r="R93" s="184">
        <f t="shared" si="32"/>
        <v>0</v>
      </c>
      <c r="S93" s="184">
        <f t="shared" si="32"/>
        <v>0</v>
      </c>
      <c r="T93" s="184">
        <f t="shared" si="32"/>
        <v>0</v>
      </c>
      <c r="U93" s="184">
        <f t="shared" si="32"/>
        <v>0</v>
      </c>
      <c r="V93" s="184">
        <f t="shared" si="32"/>
        <v>0</v>
      </c>
      <c r="W93" s="184">
        <f t="shared" si="32"/>
        <v>0</v>
      </c>
      <c r="X93" s="184">
        <f t="shared" si="32"/>
        <v>0</v>
      </c>
      <c r="Y93" s="184">
        <f t="shared" si="32"/>
        <v>0</v>
      </c>
      <c r="Z93" s="184">
        <f t="shared" si="32"/>
        <v>0</v>
      </c>
      <c r="AA93" s="184">
        <f t="shared" si="32"/>
        <v>0</v>
      </c>
      <c r="AB93" s="183"/>
      <c r="AD93" s="179">
        <f>ROUND(IFERROR(AD75/AD76,0),2)</f>
        <v>0</v>
      </c>
      <c r="AE93" s="184"/>
      <c r="AF93" s="180"/>
      <c r="AG93" s="179">
        <f>ROUND(IFERROR(AG75/AG76,0),2)</f>
        <v>0</v>
      </c>
      <c r="AH93" s="184"/>
      <c r="AI93" s="180"/>
    </row>
    <row r="94" spans="3:35" x14ac:dyDescent="0.25">
      <c r="C94" s="32"/>
      <c r="H94" s="15"/>
      <c r="I94" s="161"/>
      <c r="J94" s="161"/>
      <c r="K94" s="162"/>
      <c r="L94" s="162"/>
      <c r="M94" s="162"/>
      <c r="N94" s="8" t="s">
        <v>362</v>
      </c>
      <c r="O94" s="319" t="b">
        <f t="shared" ref="O94:AA94" si="33">ROUND(O77,2)=ROUND(O93,2)</f>
        <v>1</v>
      </c>
      <c r="P94" s="320" t="b">
        <f t="shared" si="33"/>
        <v>1</v>
      </c>
      <c r="Q94" s="320" t="b">
        <f t="shared" si="33"/>
        <v>1</v>
      </c>
      <c r="R94" s="320" t="b">
        <f t="shared" si="33"/>
        <v>1</v>
      </c>
      <c r="S94" s="320" t="b">
        <f t="shared" si="33"/>
        <v>1</v>
      </c>
      <c r="T94" s="320" t="b">
        <f t="shared" si="33"/>
        <v>1</v>
      </c>
      <c r="U94" s="320" t="b">
        <f t="shared" si="33"/>
        <v>1</v>
      </c>
      <c r="V94" s="320" t="b">
        <f t="shared" si="33"/>
        <v>1</v>
      </c>
      <c r="W94" s="320" t="b">
        <f t="shared" si="33"/>
        <v>1</v>
      </c>
      <c r="X94" s="320" t="b">
        <f t="shared" si="33"/>
        <v>1</v>
      </c>
      <c r="Y94" s="320" t="b">
        <f t="shared" si="33"/>
        <v>1</v>
      </c>
      <c r="Z94" s="320" t="b">
        <f t="shared" si="33"/>
        <v>1</v>
      </c>
      <c r="AA94" s="320" t="e">
        <f t="shared" si="33"/>
        <v>#VALUE!</v>
      </c>
      <c r="AB94" s="321"/>
      <c r="AC94" s="322"/>
      <c r="AD94" s="319"/>
      <c r="AE94" s="320" t="b">
        <f>ROUND(AD77,2)=ROUND(AD93,2)</f>
        <v>1</v>
      </c>
      <c r="AF94" s="321"/>
      <c r="AG94" s="319"/>
      <c r="AH94" s="320" t="b">
        <f>ROUND(AG77,2)=ROUND(AG93,2)</f>
        <v>1</v>
      </c>
      <c r="AI94" s="321"/>
    </row>
    <row r="95" spans="3:35" x14ac:dyDescent="0.25">
      <c r="C95" s="32"/>
      <c r="H95" s="15" t="s">
        <v>350</v>
      </c>
      <c r="I95" s="161" t="e">
        <f ca="1">_xll.EVPRO($B$1,$H95,"STYLE")</f>
        <v>#NAME?</v>
      </c>
      <c r="J95" s="161" t="e">
        <f ca="1">_xll.EVPRO($B$1,$H95,"CALC")</f>
        <v>#NAME?</v>
      </c>
      <c r="K95" s="162"/>
      <c r="L95" s="162" t="e">
        <f ca="1">_xll.EVPRO($B$1,H95,"JDEID")</f>
        <v>#NAME?</v>
      </c>
      <c r="M95" s="162" t="e">
        <f ca="1">IF(AND(I95="N",J95="N"),_xll.EVPRO($B$1,H95,"PSFTID"),"")</f>
        <v>#NAME?</v>
      </c>
      <c r="N95" s="162" t="e">
        <f ca="1">IF(_xll.EVDES(H95,$B$1)="#NODATA","",_xll.EVDES(H95,$B$1))</f>
        <v>#NAME?</v>
      </c>
      <c r="O95" s="21">
        <v>2891</v>
      </c>
      <c r="P95" s="21">
        <v>2684</v>
      </c>
      <c r="Q95" s="21">
        <v>3121</v>
      </c>
      <c r="R95" s="21">
        <v>1855.55</v>
      </c>
      <c r="S95" s="21">
        <v>2588.5500000000002</v>
      </c>
      <c r="T95" s="21">
        <v>3167</v>
      </c>
      <c r="U95" s="21">
        <v>3980.01</v>
      </c>
      <c r="V95" s="21">
        <v>2569</v>
      </c>
      <c r="W95" s="21">
        <v>2175</v>
      </c>
      <c r="X95" s="21">
        <v>2440.4899999999998</v>
      </c>
      <c r="Y95" s="21">
        <v>2356</v>
      </c>
      <c r="Z95" s="21">
        <v>1058</v>
      </c>
      <c r="AA95" s="21">
        <f>SUM(O95:Z95)</f>
        <v>30885.599999999999</v>
      </c>
      <c r="AB95" s="17" t="str">
        <f ca="1">IF(AA95=0,"",IFERROR(AA95/AA$19,""))</f>
        <v/>
      </c>
      <c r="AD95" s="21">
        <v>67573.5</v>
      </c>
      <c r="AE95" s="17" t="str">
        <f ca="1">IF(AD95=0,"",IFERROR(AD95/AD$19,""))</f>
        <v/>
      </c>
      <c r="AF95" s="50">
        <f>IF(AND($AA95="",AD95=""),"",$AA95-AD95)</f>
        <v>-36687.9</v>
      </c>
      <c r="AG95" s="21">
        <v>53085.5</v>
      </c>
      <c r="AH95" s="17" t="str">
        <f ca="1">IF(AG95=0,"",IFERROR(AG95/AG$19,""))</f>
        <v/>
      </c>
      <c r="AI95" s="50">
        <f>IF(AND($AA95="",AG95=""),"",$AA95-AG95)</f>
        <v>-22199.9</v>
      </c>
    </row>
    <row r="96" spans="3:35" x14ac:dyDescent="0.25">
      <c r="C96" s="32"/>
      <c r="H96" s="15" t="s">
        <v>351</v>
      </c>
      <c r="I96" s="161" t="e">
        <f ca="1">_xll.EVPRO($B$1,$H96,"STYLE")</f>
        <v>#NAME?</v>
      </c>
      <c r="J96" s="161" t="e">
        <f ca="1">_xll.EVPRO($B$1,$H96,"CALC")</f>
        <v>#NAME?</v>
      </c>
      <c r="K96" s="162"/>
      <c r="L96" s="162" t="e">
        <f ca="1">_xll.EVPRO($B$1,H96,"JDEID")</f>
        <v>#NAME?</v>
      </c>
      <c r="M96" s="162" t="e">
        <f ca="1">IF(AND(I96="N",J96="N"),_xll.EVPRO($B$1,H96,"PSFTID"),"")</f>
        <v>#NAME?</v>
      </c>
      <c r="N96" s="162" t="e">
        <f ca="1">IF(_xll.EVDES(H96,$B$1)="#NODATA","",_xll.EVDES(H96,$B$1))</f>
        <v>#NAME?</v>
      </c>
      <c r="O96" s="21">
        <v>2412.34</v>
      </c>
      <c r="P96" s="21">
        <v>2979.96</v>
      </c>
      <c r="Q96" s="21">
        <v>4543</v>
      </c>
      <c r="R96" s="21">
        <v>2210.63</v>
      </c>
      <c r="S96" s="21">
        <v>2956</v>
      </c>
      <c r="T96" s="21">
        <v>2486</v>
      </c>
      <c r="U96" s="21">
        <v>2531.31</v>
      </c>
      <c r="V96" s="21">
        <v>2954.78</v>
      </c>
      <c r="W96" s="21">
        <v>2044.38</v>
      </c>
      <c r="X96" s="21">
        <v>2888</v>
      </c>
      <c r="Y96" s="21">
        <v>2261.89</v>
      </c>
      <c r="Z96" s="21">
        <v>5406</v>
      </c>
      <c r="AA96" s="21">
        <f>SUM(O96:Z96)</f>
        <v>35674.29</v>
      </c>
      <c r="AB96" s="17" t="str">
        <f ca="1">IF(AA96=0,"",IFERROR(AA96/AA$19,""))</f>
        <v/>
      </c>
      <c r="AD96" s="21">
        <v>33002.400000000001</v>
      </c>
      <c r="AE96" s="17" t="str">
        <f ca="1">IF(AD96=0,"",IFERROR(AD96/AD$19,""))</f>
        <v/>
      </c>
      <c r="AF96" s="50">
        <f>IF(AND($AA96="",AD96=""),"",$AA96-AD96)</f>
        <v>2671.8899999999994</v>
      </c>
      <c r="AG96" s="21">
        <v>12618.35</v>
      </c>
      <c r="AH96" s="17" t="str">
        <f ca="1">IF(AG96=0,"",IFERROR(AG96/AG$19,""))</f>
        <v/>
      </c>
      <c r="AI96" s="50">
        <f>IF(AND($AA96="",AG96=""),"",$AA96-AG96)</f>
        <v>23055.940000000002</v>
      </c>
    </row>
    <row r="97" spans="3:35" x14ac:dyDescent="0.25">
      <c r="C97" s="32"/>
      <c r="H97" s="15" t="s">
        <v>363</v>
      </c>
      <c r="I97" s="161" t="e">
        <f ca="1">_xll.EVPRO($B$1,$H97,"STYLE")</f>
        <v>#NAME?</v>
      </c>
      <c r="J97" s="161" t="e">
        <f ca="1">_xll.EVPRO($B$1,$H97,"CALC")</f>
        <v>#NAME?</v>
      </c>
      <c r="K97" s="162"/>
      <c r="L97" s="162" t="e">
        <f ca="1">_xll.EVPRO($B$1,H97,"JDEID")</f>
        <v>#NAME?</v>
      </c>
      <c r="M97" s="162" t="e">
        <f ca="1">IF(AND(I97="N",J97="N"),_xll.EVPRO($B$1,H97,"PSFTID"),"")</f>
        <v>#NAME?</v>
      </c>
      <c r="N97" s="25" t="e">
        <f ca="1">IF(_xll.EVDES(H97,$B$1)="#NODATA","",_xll.EVDES(H97,$B$1))</f>
        <v>#NAME?</v>
      </c>
      <c r="O97" s="164">
        <v>5303.34</v>
      </c>
      <c r="P97" s="164">
        <v>5663.96</v>
      </c>
      <c r="Q97" s="164">
        <v>7664</v>
      </c>
      <c r="R97" s="164">
        <v>4066.18</v>
      </c>
      <c r="S97" s="164">
        <v>5544.55</v>
      </c>
      <c r="T97" s="164">
        <v>5653</v>
      </c>
      <c r="U97" s="164">
        <v>6511.32</v>
      </c>
      <c r="V97" s="164">
        <v>5523.78</v>
      </c>
      <c r="W97" s="164">
        <v>4219.38</v>
      </c>
      <c r="X97" s="164">
        <v>5328.49</v>
      </c>
      <c r="Y97" s="164">
        <v>4617.8900000000003</v>
      </c>
      <c r="Z97" s="164">
        <v>6464</v>
      </c>
      <c r="AA97" s="164">
        <f>SUM(O97:Z97)</f>
        <v>66559.889999999985</v>
      </c>
      <c r="AB97" s="175" t="str">
        <f ca="1">IF(AA97=0,"",IFERROR(AA97/AA$19,""))</f>
        <v/>
      </c>
      <c r="AD97" s="164">
        <v>100575.9</v>
      </c>
      <c r="AE97" s="175" t="str">
        <f ca="1">IF(AD97=0,"",IFERROR(AD97/AD$19,""))</f>
        <v/>
      </c>
      <c r="AF97" s="165">
        <f>IF(AND($AA97="",AD97=""),"",$AA97-AD97)</f>
        <v>-34016.010000000009</v>
      </c>
      <c r="AG97" s="164">
        <v>65703.850000000006</v>
      </c>
      <c r="AH97" s="175" t="str">
        <f ca="1">IF(AG97=0,"",IFERROR(AG97/AG$19,""))</f>
        <v/>
      </c>
      <c r="AI97" s="165">
        <f>IF(AND($AA97="",AG97=""),"",$AA97-AG97)</f>
        <v>856.03999999997905</v>
      </c>
    </row>
    <row r="98" spans="3:35" x14ac:dyDescent="0.25">
      <c r="C98" s="32"/>
      <c r="H98" s="15"/>
      <c r="I98" s="161"/>
      <c r="J98" s="161"/>
      <c r="K98" s="162"/>
      <c r="L98" s="162"/>
      <c r="M98" s="162"/>
      <c r="N98" s="182"/>
      <c r="O98" s="190"/>
      <c r="P98" s="192"/>
      <c r="Q98" s="192"/>
      <c r="R98" s="192"/>
      <c r="S98" s="192"/>
      <c r="T98" s="192"/>
      <c r="U98" s="192"/>
      <c r="V98" s="192"/>
      <c r="W98" s="192"/>
      <c r="X98" s="192"/>
      <c r="Y98" s="192"/>
      <c r="Z98" s="192"/>
      <c r="AA98" s="192"/>
      <c r="AB98" s="191"/>
      <c r="AD98" s="190"/>
      <c r="AE98" s="192"/>
      <c r="AF98" s="193"/>
      <c r="AG98" s="190"/>
      <c r="AH98" s="192"/>
      <c r="AI98" s="193"/>
    </row>
    <row r="99" spans="3:35" x14ac:dyDescent="0.25">
      <c r="C99" s="32"/>
      <c r="H99" s="15" t="s">
        <v>486</v>
      </c>
      <c r="I99" s="161" t="e">
        <f ca="1">_xll.EVPRO($B$1,$H99,"STYLE")</f>
        <v>#NAME?</v>
      </c>
      <c r="J99" s="161" t="e">
        <f ca="1">_xll.EVPRO($B$1,$H99,"CALC")</f>
        <v>#NAME?</v>
      </c>
      <c r="K99" s="162"/>
      <c r="L99" s="162" t="e">
        <f ca="1">_xll.EVPRO($B$1,H99,"JDEID")</f>
        <v>#NAME?</v>
      </c>
      <c r="M99" s="162" t="e">
        <f ca="1">IF(AND(I99="N",J99="N"),_xll.EVPRO($B$1,H99,"PSFTID"),"")</f>
        <v>#NAME?</v>
      </c>
      <c r="N99" s="162" t="e">
        <f ca="1">IF(_xll.EVDES(H99,$B$1)="#NODATA","",_xll.EVDES(H99,$B$1))</f>
        <v>#NAME?</v>
      </c>
      <c r="O99" s="21">
        <v>-238.62</v>
      </c>
      <c r="P99" s="21">
        <v>-342.8</v>
      </c>
      <c r="Q99" s="21"/>
      <c r="R99" s="21">
        <v>-133.71</v>
      </c>
      <c r="S99" s="21">
        <v>-527.83000000000004</v>
      </c>
      <c r="T99" s="21"/>
      <c r="U99" s="21">
        <v>-0.49</v>
      </c>
      <c r="V99" s="21">
        <v>-359.79</v>
      </c>
      <c r="W99" s="21"/>
      <c r="X99" s="21">
        <v>-122.28</v>
      </c>
      <c r="Y99" s="21">
        <v>-390.24</v>
      </c>
      <c r="Z99" s="21"/>
      <c r="AA99" s="21">
        <f>SUM(O99:Z99)</f>
        <v>-2115.7600000000002</v>
      </c>
      <c r="AB99" s="17" t="str">
        <f ca="1">IF(AA99=0,"",IFERROR(AA99/AA$19,""))</f>
        <v/>
      </c>
      <c r="AD99" s="21"/>
      <c r="AE99" s="17" t="str">
        <f>IF(AD99=0,"",IFERROR(AD99/AD$19,""))</f>
        <v/>
      </c>
      <c r="AF99" s="50">
        <f>IF(AND($AA99="",AD99=""),"",$AA99-AD99)</f>
        <v>-2115.7600000000002</v>
      </c>
      <c r="AG99" s="21">
        <v>-2480.6999999999998</v>
      </c>
      <c r="AH99" s="17" t="str">
        <f ca="1">IF(AG99=0,"",IFERROR(AG99/AG$19,""))</f>
        <v/>
      </c>
      <c r="AI99" s="50">
        <f>IF(AND($AA99="",AG99=""),"",$AA99-AG99)</f>
        <v>364.9399999999996</v>
      </c>
    </row>
    <row r="100" spans="3:35" x14ac:dyDescent="0.25">
      <c r="C100" s="32"/>
      <c r="H100" s="149"/>
      <c r="I100" s="161"/>
      <c r="J100" s="161"/>
      <c r="L100" s="162"/>
      <c r="M100" s="162"/>
      <c r="N100" s="8" t="s">
        <v>348</v>
      </c>
      <c r="O100" s="43"/>
      <c r="P100" s="46"/>
      <c r="Q100" s="46"/>
      <c r="R100" s="46"/>
      <c r="S100" s="46"/>
      <c r="T100" s="46"/>
      <c r="U100" s="46"/>
      <c r="V100" s="46"/>
      <c r="W100" s="46"/>
      <c r="X100" s="46"/>
      <c r="Y100" s="46"/>
      <c r="Z100" s="46"/>
      <c r="AA100" s="46"/>
      <c r="AB100" s="44"/>
      <c r="AD100" s="43"/>
      <c r="AE100" s="46"/>
      <c r="AF100" s="44"/>
      <c r="AG100" s="43"/>
      <c r="AH100" s="46"/>
      <c r="AI100" s="44"/>
    </row>
    <row r="101" spans="3:35" x14ac:dyDescent="0.25">
      <c r="C101" s="32"/>
      <c r="H101" s="149"/>
      <c r="I101" s="161"/>
      <c r="J101" s="161"/>
      <c r="L101" s="162"/>
      <c r="M101" s="162"/>
      <c r="N101" s="8"/>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273</v>
      </c>
      <c r="I102" s="161" t="e">
        <f ca="1">_xll.EVPRO($B$1,$H102,"STYLE")</f>
        <v>#NAME?</v>
      </c>
      <c r="J102" s="161" t="e">
        <f ca="1">_xll.EVPRO($B$1,$H102,"CALC")</f>
        <v>#NAME?</v>
      </c>
      <c r="L102" s="162" t="e">
        <f ca="1">_xll.EVPRO($B$1,H102,"JDEID")</f>
        <v>#NAME?</v>
      </c>
      <c r="M102" s="162" t="e">
        <f ca="1">IF(AND(I102="N",J102="N"),_xll.EVPRO($B$1,H102,"PSFTID"),"")</f>
        <v>#NAME?</v>
      </c>
      <c r="N102" s="162" t="e">
        <f ca="1">IF(_xll.EVDES(H102,$B$1)="#NODATA","",_xll.EVDES(H102,$B$1))</f>
        <v>#NAME?</v>
      </c>
      <c r="O102" s="171">
        <v>205299.44</v>
      </c>
      <c r="P102" s="171">
        <v>186849.74</v>
      </c>
      <c r="Q102" s="171">
        <v>190564.23</v>
      </c>
      <c r="R102" s="171">
        <v>141126.63</v>
      </c>
      <c r="S102" s="171">
        <v>141982.84</v>
      </c>
      <c r="T102" s="171">
        <v>125105.21</v>
      </c>
      <c r="U102" s="171">
        <v>110757.5</v>
      </c>
      <c r="V102" s="171">
        <v>98779.93</v>
      </c>
      <c r="W102" s="171">
        <v>90932.27</v>
      </c>
      <c r="X102" s="171">
        <v>91675.67</v>
      </c>
      <c r="Y102" s="171">
        <v>99928.65</v>
      </c>
      <c r="Z102" s="171">
        <v>165520.64000000001</v>
      </c>
      <c r="AA102" s="171">
        <f>SUM(O102:Z102)</f>
        <v>1648522.7499999995</v>
      </c>
      <c r="AB102" s="172" t="str">
        <f ca="1">IF(AA102=0,"",IFERROR(AA102/AA$19,""))</f>
        <v/>
      </c>
      <c r="AD102" s="171">
        <v>2925758.09</v>
      </c>
      <c r="AE102" s="172" t="str">
        <f ca="1">IF(AD102=0,"",IFERROR(AD102/AD$19,""))</f>
        <v/>
      </c>
      <c r="AF102" s="173">
        <f>IF(AND($AA102="",AD102=""),"",$AA102-AD102)</f>
        <v>-1277235.3400000003</v>
      </c>
      <c r="AG102" s="171">
        <v>1949625.31</v>
      </c>
      <c r="AH102" s="172" t="str">
        <f ca="1">IF(AG102=0,"",IFERROR(AG102/AG$19,""))</f>
        <v/>
      </c>
      <c r="AI102" s="173">
        <f>IF(AND($AA102="",AG102=""),"",$AA102-AG102)</f>
        <v>-301102.56000000052</v>
      </c>
    </row>
    <row r="103" spans="3:35" x14ac:dyDescent="0.25">
      <c r="C103" s="32"/>
      <c r="H103" s="149" t="s">
        <v>767</v>
      </c>
      <c r="I103" s="161" t="e">
        <f ca="1">_xll.EVPRO($B$1,$H103,"STYLE")</f>
        <v>#NAME?</v>
      </c>
      <c r="J103" s="161" t="e">
        <f ca="1">_xll.EVPRO($B$1,$H103,"CALC")</f>
        <v>#NAME?</v>
      </c>
      <c r="L103" s="162" t="e">
        <f ca="1">_xll.EVPRO($B$1,H103,"JDEID")</f>
        <v>#NAME?</v>
      </c>
      <c r="M103" s="162" t="e">
        <f ca="1">IF(AND(I103="N",J103="N"),_xll.EVPRO($B$1,H103,"PSFTID"),"")</f>
        <v>#NAME?</v>
      </c>
      <c r="N103" s="162" t="e">
        <f ca="1">IF(_xll.EVDES(H103,$B$1)="#NODATA","",_xll.EVDES(H103,$B$1))</f>
        <v>#NAME?</v>
      </c>
      <c r="O103" s="171">
        <v>115</v>
      </c>
      <c r="P103" s="171">
        <v>115</v>
      </c>
      <c r="Q103" s="171">
        <v>115</v>
      </c>
      <c r="R103" s="171">
        <v>115</v>
      </c>
      <c r="S103" s="171">
        <v>115</v>
      </c>
      <c r="T103" s="171"/>
      <c r="U103" s="171">
        <v>115</v>
      </c>
      <c r="V103" s="171">
        <v>115</v>
      </c>
      <c r="W103" s="171">
        <v>115</v>
      </c>
      <c r="X103" s="171">
        <v>115</v>
      </c>
      <c r="Y103" s="171">
        <v>115</v>
      </c>
      <c r="Z103" s="171">
        <v>115</v>
      </c>
      <c r="AA103" s="171">
        <f>SUM(O103:Z103)</f>
        <v>1265</v>
      </c>
      <c r="AB103" s="172"/>
      <c r="AD103" s="171"/>
      <c r="AE103" s="172"/>
      <c r="AF103" s="173">
        <f>IF(AND($AA103="",AD103=""),"",$AA103-AD103)</f>
        <v>1265</v>
      </c>
      <c r="AG103" s="171">
        <v>1380</v>
      </c>
      <c r="AH103" s="172"/>
      <c r="AI103" s="173">
        <f>IF(AND($AA103="",AG103=""),"",$AA103-AG103)</f>
        <v>-115</v>
      </c>
    </row>
    <row r="104" spans="3:35" x14ac:dyDescent="0.25">
      <c r="C104" s="32"/>
      <c r="H104" s="149" t="s">
        <v>331</v>
      </c>
      <c r="I104" s="161" t="e">
        <f ca="1">_xll.EVPRO($B$1,$H104,"STYLE")</f>
        <v>#NAME?</v>
      </c>
      <c r="J104" s="161" t="e">
        <f ca="1">_xll.EVPRO($B$1,$H104,"CALC")</f>
        <v>#NAME?</v>
      </c>
      <c r="L104" s="162" t="e">
        <f ca="1">_xll.EVPRO($B$1,H104,"JDEID")</f>
        <v>#NAME?</v>
      </c>
      <c r="M104" s="162" t="e">
        <f ca="1">IF(AND(I104="N",J104="N"),_xll.EVPRO($B$1,H104,"PSFTID"),"")</f>
        <v>#NAME?</v>
      </c>
      <c r="N104" s="162" t="e">
        <f ca="1">IF(_xll.EVDES(H104,$B$1)="#NODATA","",_xll.EVDES(H104,$B$1))&amp;" (excl Mini Bar)"</f>
        <v>#NAME?</v>
      </c>
      <c r="O104" s="171">
        <v>5313</v>
      </c>
      <c r="P104" s="171">
        <v>5074</v>
      </c>
      <c r="Q104" s="171">
        <v>5517</v>
      </c>
      <c r="R104" s="171">
        <v>4364</v>
      </c>
      <c r="S104" s="171">
        <v>4257</v>
      </c>
      <c r="T104" s="171">
        <v>4447</v>
      </c>
      <c r="U104" s="171">
        <v>3889</v>
      </c>
      <c r="V104" s="171">
        <v>3360</v>
      </c>
      <c r="W104" s="171">
        <v>2985</v>
      </c>
      <c r="X104" s="171">
        <v>3089</v>
      </c>
      <c r="Y104" s="171">
        <v>3112</v>
      </c>
      <c r="Z104" s="171">
        <v>4316</v>
      </c>
      <c r="AA104" s="171">
        <f>SUM(O104:Z104)</f>
        <v>49723</v>
      </c>
      <c r="AB104" s="172" t="str">
        <f ca="1">IF(AA104=0,"",IFERROR(AA104/AA$20,""))</f>
        <v/>
      </c>
      <c r="AD104" s="171">
        <v>70912</v>
      </c>
      <c r="AE104" s="172" t="str">
        <f ca="1">IF(AD104=0,"",IFERROR(AD104/AD$20,""))</f>
        <v/>
      </c>
      <c r="AF104" s="173">
        <f>IF(AND($AA104="",AD104=""),"",$AA104-AD104)</f>
        <v>-21189</v>
      </c>
      <c r="AG104" s="171">
        <v>56333</v>
      </c>
      <c r="AH104" s="172" t="str">
        <f ca="1">IF(AG104=0,"",IFERROR(AG104/AG$20,""))</f>
        <v/>
      </c>
      <c r="AI104" s="173">
        <f>IF(AND($AA104="",AG104=""),"",$AA104-AG104)</f>
        <v>-6610</v>
      </c>
    </row>
    <row r="105" spans="3:35" x14ac:dyDescent="0.25">
      <c r="C105" s="32"/>
      <c r="H105" s="149" t="s">
        <v>311</v>
      </c>
      <c r="I105" s="161" t="e">
        <f ca="1">_xll.EVPRO($B$1,$H105,"STYLE")</f>
        <v>#NAME?</v>
      </c>
      <c r="J105" s="161" t="e">
        <f ca="1">_xll.EVPRO($B$1,$H105,"CALC")</f>
        <v>#NAME?</v>
      </c>
      <c r="L105" s="162"/>
      <c r="M105" s="162"/>
      <c r="N105" s="162" t="e">
        <f ca="1">IF(_xll.EVDES(H105,$B$1)="#NODATA","",_xll.EVDES(H105,$B$1))&amp;" (excl Mini Bar)"</f>
        <v>#NAME?</v>
      </c>
      <c r="O105" s="176">
        <v>37.642781855825298</v>
      </c>
      <c r="P105" s="176">
        <v>35.708667717776898</v>
      </c>
      <c r="Q105" s="176">
        <v>33.152117092622802</v>
      </c>
      <c r="R105" s="176">
        <v>31.407069202566401</v>
      </c>
      <c r="S105" s="176">
        <v>32.050338266384799</v>
      </c>
      <c r="T105" s="176">
        <v>26.861302001349198</v>
      </c>
      <c r="U105" s="176">
        <v>26.805394703008499</v>
      </c>
      <c r="V105" s="176">
        <v>27.754806547619101</v>
      </c>
      <c r="W105" s="176">
        <v>29.0495443886097</v>
      </c>
      <c r="X105" s="176">
        <v>27.9531175137585</v>
      </c>
      <c r="Y105" s="176">
        <v>30.626850899742902</v>
      </c>
      <c r="Z105" s="176">
        <v>36.852789620018498</v>
      </c>
      <c r="AA105" s="176">
        <f>IFERROR(AA102/AA104,"")</f>
        <v>33.154128873961739</v>
      </c>
      <c r="AB105" s="176"/>
      <c r="AD105" s="176">
        <v>39.840678446525303</v>
      </c>
      <c r="AE105" s="176"/>
      <c r="AF105" s="177">
        <f>IF(AND($AA105="",AD105=""),"",$AA105-AD105)</f>
        <v>-6.686549572563564</v>
      </c>
      <c r="AG105" s="176">
        <v>33.442590666217001</v>
      </c>
      <c r="AH105" s="176"/>
      <c r="AI105" s="177">
        <f>IF(AND($AA105="",AG105=""),"",$AA105-AG105)</f>
        <v>-0.28846179225526214</v>
      </c>
    </row>
    <row r="106" spans="3:35" x14ac:dyDescent="0.25">
      <c r="C106" s="32"/>
      <c r="H106" s="149"/>
      <c r="I106" s="161"/>
      <c r="J106" s="161"/>
      <c r="L106" s="162"/>
      <c r="M106" s="162"/>
      <c r="N106" s="162"/>
      <c r="O106" s="41"/>
      <c r="P106" s="45"/>
      <c r="Q106" s="45"/>
      <c r="R106" s="45"/>
      <c r="S106" s="45"/>
      <c r="T106" s="45"/>
      <c r="U106" s="45"/>
      <c r="V106" s="45"/>
      <c r="W106" s="45"/>
      <c r="X106" s="45"/>
      <c r="Y106" s="45"/>
      <c r="Z106" s="45"/>
      <c r="AA106" s="45"/>
      <c r="AB106" s="42"/>
      <c r="AD106" s="41"/>
      <c r="AE106" s="45"/>
      <c r="AF106" s="42"/>
      <c r="AG106" s="41"/>
      <c r="AH106" s="45"/>
      <c r="AI106" s="42"/>
    </row>
    <row r="107" spans="3:35" x14ac:dyDescent="0.25">
      <c r="C107" s="32"/>
      <c r="H107" s="149"/>
      <c r="I107" s="161"/>
      <c r="J107" s="161"/>
      <c r="L107" s="162"/>
      <c r="M107" s="162"/>
      <c r="N107" s="8" t="s">
        <v>334</v>
      </c>
      <c r="O107" s="43"/>
      <c r="P107" s="46"/>
      <c r="Q107" s="46"/>
      <c r="R107" s="46"/>
      <c r="S107" s="46"/>
      <c r="T107" s="46"/>
      <c r="U107" s="46"/>
      <c r="V107" s="46"/>
      <c r="W107" s="46"/>
      <c r="X107" s="46"/>
      <c r="Y107" s="46"/>
      <c r="Z107" s="46"/>
      <c r="AA107" s="46"/>
      <c r="AB107" s="44"/>
      <c r="AD107" s="43"/>
      <c r="AE107" s="46"/>
      <c r="AF107" s="44"/>
      <c r="AG107" s="43"/>
      <c r="AH107" s="46"/>
      <c r="AI107" s="44"/>
    </row>
    <row r="108" spans="3:35" hidden="1" outlineLevel="1" x14ac:dyDescent="0.25">
      <c r="C108" s="32"/>
      <c r="H108" s="149" t="s">
        <v>332</v>
      </c>
      <c r="I108" s="161" t="e">
        <f ca="1">_xll.EVPRO($B$1,$H108,"STYLE")</f>
        <v>#NAME?</v>
      </c>
      <c r="J108" s="161" t="e">
        <f ca="1">_xll.EVPRO($B$1,$H108,"CALC")</f>
        <v>#NAME?</v>
      </c>
      <c r="L108" s="162"/>
      <c r="M108" s="162"/>
      <c r="N108" s="162" t="e">
        <f ca="1">IF(_xll.EVDES(H108,$B$1)="#NODATA","",_xll.EVDES(H108,$B$1))</f>
        <v>#NAME?</v>
      </c>
      <c r="O108" s="21">
        <v>155.30000000000001</v>
      </c>
      <c r="P108" s="21">
        <v>135.80000000000001</v>
      </c>
      <c r="Q108" s="21">
        <v>142.69999999999999</v>
      </c>
      <c r="R108" s="21">
        <v>343.72</v>
      </c>
      <c r="S108" s="21">
        <v>312.93</v>
      </c>
      <c r="T108" s="21">
        <v>203.88</v>
      </c>
      <c r="U108" s="21">
        <v>205.48</v>
      </c>
      <c r="V108" s="21">
        <v>206.24</v>
      </c>
      <c r="W108" s="21">
        <v>9.68</v>
      </c>
      <c r="X108" s="21">
        <v>210.02</v>
      </c>
      <c r="Y108" s="21">
        <v>191.82</v>
      </c>
      <c r="Z108" s="21">
        <v>234.38</v>
      </c>
      <c r="AA108" s="21">
        <f>SUM(O108:Z108)</f>
        <v>2351.9500000000003</v>
      </c>
      <c r="AB108" s="17"/>
      <c r="AD108" s="21">
        <v>6328.5714285720996</v>
      </c>
      <c r="AE108" s="17"/>
      <c r="AF108" s="50">
        <f>IF(AND($AA108="",AD108=""),"",$AA108-AD108)</f>
        <v>-3976.6214285720994</v>
      </c>
      <c r="AG108" s="21">
        <v>3169.14</v>
      </c>
      <c r="AH108" s="17"/>
      <c r="AI108" s="50">
        <f>IF(AND($AA108="",AG108=""),"",$AA108-AG108)</f>
        <v>-817.1899999999996</v>
      </c>
    </row>
    <row r="109" spans="3:35" hidden="1" outlineLevel="1" x14ac:dyDescent="0.25">
      <c r="C109" s="32"/>
      <c r="H109" s="149" t="s">
        <v>333</v>
      </c>
      <c r="I109" s="161" t="e">
        <f ca="1">_xll.EVPRO($B$1,$H109,"STYLE")</f>
        <v>#NAME?</v>
      </c>
      <c r="J109" s="161" t="e">
        <f ca="1">_xll.EVPRO($B$1,$H109,"CALC")</f>
        <v>#NAME?</v>
      </c>
      <c r="L109" s="162"/>
      <c r="M109" s="162"/>
      <c r="N109" s="162" t="e">
        <f ca="1">IF(_xll.EVDES(H109,$B$1)="#NODATA","",_xll.EVDES(H109,$B$1))</f>
        <v>#NAME?</v>
      </c>
      <c r="O109" s="21">
        <v>689.89</v>
      </c>
      <c r="P109" s="21">
        <v>938.49</v>
      </c>
      <c r="Q109" s="21">
        <v>1042.72</v>
      </c>
      <c r="R109" s="21">
        <v>973.07</v>
      </c>
      <c r="S109" s="21">
        <v>747.71</v>
      </c>
      <c r="T109" s="21">
        <v>722.74</v>
      </c>
      <c r="U109" s="21">
        <v>650.88</v>
      </c>
      <c r="V109" s="21">
        <v>585.91999999999996</v>
      </c>
      <c r="W109" s="21">
        <v>580.76</v>
      </c>
      <c r="X109" s="21">
        <v>653.35</v>
      </c>
      <c r="Y109" s="21">
        <v>589.12</v>
      </c>
      <c r="Z109" s="21">
        <v>707.82</v>
      </c>
      <c r="AA109" s="21">
        <f>SUM(O109:Z109)</f>
        <v>8882.4700000000012</v>
      </c>
      <c r="AB109" s="17"/>
      <c r="AD109" s="21">
        <v>27868.857142856999</v>
      </c>
      <c r="AE109" s="17"/>
      <c r="AF109" s="50">
        <f>IF(AND($AA109="",AD109=""),"",$AA109-AD109)</f>
        <v>-18986.387142856998</v>
      </c>
      <c r="AG109" s="21">
        <v>9013.6200000000008</v>
      </c>
      <c r="AH109" s="17"/>
      <c r="AI109" s="50">
        <f>IF(AND($AA109="",AG109=""),"",$AA109-AG109)</f>
        <v>-131.14999999999964</v>
      </c>
    </row>
    <row r="110" spans="3:35" collapsed="1" x14ac:dyDescent="0.25">
      <c r="C110" s="32"/>
      <c r="H110" s="149"/>
      <c r="I110" s="161"/>
      <c r="J110" s="161"/>
      <c r="L110" s="162"/>
      <c r="M110" s="162"/>
      <c r="N110" s="26" t="s">
        <v>335</v>
      </c>
      <c r="O110" s="178">
        <f t="shared" ref="O110:AA110" si="34">IFERROR(O$104/O108,"")</f>
        <v>34.211204121056021</v>
      </c>
      <c r="P110" s="178">
        <f t="shared" si="34"/>
        <v>37.363770250368184</v>
      </c>
      <c r="Q110" s="178">
        <f t="shared" si="34"/>
        <v>38.661527680448494</v>
      </c>
      <c r="R110" s="178">
        <f t="shared" si="34"/>
        <v>12.696380775049457</v>
      </c>
      <c r="S110" s="178">
        <f t="shared" si="34"/>
        <v>13.603681334483751</v>
      </c>
      <c r="T110" s="178">
        <f t="shared" si="34"/>
        <v>21.811850107906611</v>
      </c>
      <c r="U110" s="178">
        <f t="shared" si="34"/>
        <v>18.926416196223478</v>
      </c>
      <c r="V110" s="178">
        <f t="shared" si="34"/>
        <v>16.291698991466252</v>
      </c>
      <c r="W110" s="178">
        <f t="shared" si="34"/>
        <v>308.36776859504135</v>
      </c>
      <c r="X110" s="178">
        <f t="shared" si="34"/>
        <v>14.708123035901343</v>
      </c>
      <c r="Y110" s="178">
        <f t="shared" si="34"/>
        <v>16.223542904806589</v>
      </c>
      <c r="Z110" s="178">
        <f t="shared" si="34"/>
        <v>18.414540489802885</v>
      </c>
      <c r="AA110" s="178">
        <f t="shared" si="34"/>
        <v>21.1411807223793</v>
      </c>
      <c r="AB110" s="139"/>
      <c r="AD110" s="178">
        <f>IFERROR(AD$104/AD108,"")</f>
        <v>11.205056433407389</v>
      </c>
      <c r="AE110" s="139"/>
      <c r="AF110" s="140">
        <f>IF(AND($AA110="",AD110=""),"",$AA110-AD110)</f>
        <v>9.9361242889719108</v>
      </c>
      <c r="AG110" s="178">
        <f>IFERROR(AG$104/AG108,"")</f>
        <v>17.775484831847127</v>
      </c>
      <c r="AH110" s="139"/>
      <c r="AI110" s="140">
        <f>IF(AND($AA110="",AG110=""),"",$AA110-AG110)</f>
        <v>3.365695890532173</v>
      </c>
    </row>
    <row r="111" spans="3:35" x14ac:dyDescent="0.25">
      <c r="C111" s="32"/>
      <c r="H111" s="149"/>
      <c r="I111" s="161"/>
      <c r="J111" s="161"/>
      <c r="L111" s="162"/>
      <c r="M111" s="162"/>
      <c r="N111" s="26" t="s">
        <v>336</v>
      </c>
      <c r="O111" s="178">
        <f t="shared" ref="O111:AA111" si="35">IFERROR(O$104/O109,"")</f>
        <v>7.7012277319572684</v>
      </c>
      <c r="P111" s="178">
        <f t="shared" si="35"/>
        <v>5.4065573421133948</v>
      </c>
      <c r="Q111" s="178">
        <f t="shared" si="35"/>
        <v>5.2909697713671937</v>
      </c>
      <c r="R111" s="178">
        <f t="shared" si="35"/>
        <v>4.4847749904940031</v>
      </c>
      <c r="S111" s="178">
        <f t="shared" si="35"/>
        <v>5.6933837985315163</v>
      </c>
      <c r="T111" s="178">
        <f t="shared" si="35"/>
        <v>6.1529734067576172</v>
      </c>
      <c r="U111" s="178">
        <f t="shared" si="35"/>
        <v>5.9749877089478858</v>
      </c>
      <c r="V111" s="178">
        <f t="shared" si="35"/>
        <v>5.7345712725286733</v>
      </c>
      <c r="W111" s="178">
        <f t="shared" si="35"/>
        <v>5.1398167917900679</v>
      </c>
      <c r="X111" s="178">
        <f t="shared" si="35"/>
        <v>4.727940613759853</v>
      </c>
      <c r="Y111" s="178">
        <f t="shared" si="35"/>
        <v>5.2824551873981536</v>
      </c>
      <c r="Z111" s="178">
        <f t="shared" si="35"/>
        <v>6.097595433867367</v>
      </c>
      <c r="AA111" s="178">
        <f t="shared" si="35"/>
        <v>5.5978798690004012</v>
      </c>
      <c r="AB111" s="139"/>
      <c r="AD111" s="178">
        <f>IFERROR(AD$104/AD109,"")</f>
        <v>2.5444889841195115</v>
      </c>
      <c r="AE111" s="139"/>
      <c r="AF111" s="140">
        <f>IF(AND($AA111="",AD111=""),"",$AA111-AD111)</f>
        <v>3.0533908848808897</v>
      </c>
      <c r="AG111" s="178">
        <f>IFERROR(AG$104/AG109,"")</f>
        <v>6.2497642456637834</v>
      </c>
      <c r="AH111" s="139"/>
      <c r="AI111" s="140">
        <f>IF(AND($AA111="",AG111=""),"",$AA111-AG111)</f>
        <v>-0.65188437666338217</v>
      </c>
    </row>
    <row r="112" spans="3:35" x14ac:dyDescent="0.25">
      <c r="C112" s="32"/>
      <c r="H112" s="149"/>
      <c r="I112" s="161"/>
      <c r="J112" s="161"/>
      <c r="L112" s="162"/>
      <c r="M112" s="162"/>
      <c r="N112" s="162"/>
      <c r="O112" s="163"/>
      <c r="P112" s="287"/>
      <c r="Q112" s="287"/>
      <c r="R112" s="287"/>
      <c r="S112" s="287"/>
      <c r="T112" s="287"/>
      <c r="U112" s="287"/>
      <c r="V112" s="287"/>
      <c r="W112" s="287"/>
      <c r="X112" s="287"/>
      <c r="Y112" s="287"/>
      <c r="Z112" s="287"/>
      <c r="AA112" s="287"/>
      <c r="AB112" s="55"/>
      <c r="AD112" s="53"/>
      <c r="AE112" s="54"/>
      <c r="AF112" s="55"/>
      <c r="AG112" s="54"/>
      <c r="AH112" s="54"/>
      <c r="AI112" s="55"/>
    </row>
    <row r="113" spans="3:35" x14ac:dyDescent="0.25">
      <c r="C113" s="32"/>
      <c r="H113" s="149"/>
      <c r="I113" s="161"/>
      <c r="J113" s="161"/>
      <c r="L113" s="162"/>
      <c r="M113" s="162"/>
      <c r="N113" s="8" t="s">
        <v>343</v>
      </c>
      <c r="O113" s="53"/>
      <c r="P113" s="54"/>
      <c r="Q113" s="54"/>
      <c r="R113" s="54"/>
      <c r="S113" s="54"/>
      <c r="T113" s="54"/>
      <c r="U113" s="54"/>
      <c r="V113" s="54"/>
      <c r="W113" s="54"/>
      <c r="X113" s="54"/>
      <c r="Y113" s="54"/>
      <c r="Z113" s="54"/>
      <c r="AA113" s="54"/>
      <c r="AB113" s="168"/>
      <c r="AD113" s="167"/>
      <c r="AE113" s="169"/>
      <c r="AF113" s="55"/>
      <c r="AG113" s="54"/>
      <c r="AH113" s="169"/>
      <c r="AI113" s="55"/>
    </row>
    <row r="114" spans="3:35" x14ac:dyDescent="0.25">
      <c r="C114" s="32"/>
      <c r="H114" s="149"/>
      <c r="I114" s="161"/>
      <c r="J114" s="161"/>
      <c r="L114" s="162"/>
      <c r="M114" s="162"/>
      <c r="N114" s="8" t="s">
        <v>337</v>
      </c>
      <c r="O114" s="43"/>
      <c r="P114" s="46"/>
      <c r="Q114" s="46"/>
      <c r="R114" s="46"/>
      <c r="S114" s="46"/>
      <c r="T114" s="46"/>
      <c r="U114" s="46"/>
      <c r="V114" s="46"/>
      <c r="W114" s="46"/>
      <c r="X114" s="46"/>
      <c r="Y114" s="46"/>
      <c r="Z114" s="46"/>
      <c r="AA114" s="46"/>
      <c r="AB114" s="44"/>
      <c r="AD114" s="43"/>
      <c r="AE114" s="46"/>
      <c r="AF114" s="44"/>
      <c r="AG114" s="46"/>
      <c r="AH114" s="46"/>
      <c r="AI114" s="44"/>
    </row>
    <row r="115" spans="3:35" x14ac:dyDescent="0.25">
      <c r="C115" s="32"/>
      <c r="H115" s="149" t="s">
        <v>294</v>
      </c>
      <c r="I115" s="161"/>
      <c r="J115" s="161"/>
      <c r="L115" s="162" t="e">
        <f ca="1">_xll.EVPRO($B$1,H115,"JDEID")</f>
        <v>#NAME?</v>
      </c>
      <c r="M115" s="162" t="str">
        <f>IF(AND(I115="N",J115="N"),_xll.EVPRO($B$1,H115,"PSFTID"),"")</f>
        <v/>
      </c>
      <c r="N115" s="162" t="e">
        <f ca="1">IF(_xll.EVDES(H115,$B$1)="#NODATA","",_xll.EVDES(H115,$B$1))</f>
        <v>#NAME?</v>
      </c>
      <c r="O115" s="21">
        <v>2143.88</v>
      </c>
      <c r="P115" s="21">
        <v>2474</v>
      </c>
      <c r="Q115" s="21">
        <v>3458</v>
      </c>
      <c r="R115" s="21">
        <v>3306.5</v>
      </c>
      <c r="S115" s="21">
        <v>1845</v>
      </c>
      <c r="T115" s="21">
        <v>1616.5</v>
      </c>
      <c r="U115" s="21">
        <v>1381</v>
      </c>
      <c r="V115" s="21">
        <v>2614</v>
      </c>
      <c r="W115" s="21">
        <v>1978</v>
      </c>
      <c r="X115" s="21">
        <v>1242</v>
      </c>
      <c r="Y115" s="21">
        <v>1849</v>
      </c>
      <c r="Z115" s="21">
        <v>3242</v>
      </c>
      <c r="AA115" s="21">
        <f t="shared" ref="AA115:AA121" si="36">SUM(O115:Z115)</f>
        <v>27149.88</v>
      </c>
      <c r="AB115" s="17" t="str">
        <f t="shared" ref="AB115:AB121" ca="1" si="37">IF(AA115=0,"",IFERROR(AA115/AA$19,""))</f>
        <v/>
      </c>
      <c r="AD115" s="21">
        <v>30485.187150000002</v>
      </c>
      <c r="AE115" s="17" t="str">
        <f t="shared" ref="AE115:AE121" ca="1" si="38">IF(AD115=0,"",IFERROR(AD115/AD$19,""))</f>
        <v/>
      </c>
      <c r="AF115" s="50">
        <f t="shared" ref="AF115:AF121" si="39">IF(AND($AA115="",AD115=""),"",$AA115-AD115)</f>
        <v>-3335.3071500000005</v>
      </c>
      <c r="AG115" s="21">
        <v>23091.18</v>
      </c>
      <c r="AH115" s="17" t="str">
        <f t="shared" ref="AH115:AH121" ca="1" si="40">IF(AG115=0,"",IFERROR(AG115/AG$19,""))</f>
        <v/>
      </c>
      <c r="AI115" s="50">
        <f t="shared" ref="AI115:AI121" si="41">IF(AND($AA115="",AG115=""),"",$AA115-AG115)</f>
        <v>4058.7000000000007</v>
      </c>
    </row>
    <row r="116" spans="3:35" x14ac:dyDescent="0.25">
      <c r="C116" s="32"/>
      <c r="H116" s="149" t="s">
        <v>301</v>
      </c>
      <c r="I116" s="161"/>
      <c r="J116" s="161"/>
      <c r="L116" s="162" t="e">
        <f ca="1">_xll.EVPRO($B$1,H116,"JDEID")</f>
        <v>#NAME?</v>
      </c>
      <c r="M116" s="162" t="str">
        <f>IF(AND(I116="N",J116="N"),_xll.EVPRO($B$1,H116,"PSFTID"),"")</f>
        <v/>
      </c>
      <c r="N116" s="162" t="e">
        <f ca="1">IF(_xll.EVDES(H116,$B$1)="#NODATA","",_xll.EVDES(H116,$B$1))</f>
        <v>#NAME?</v>
      </c>
      <c r="O116" s="21">
        <v>13736.8</v>
      </c>
      <c r="P116" s="21">
        <v>20086.02</v>
      </c>
      <c r="Q116" s="21">
        <v>20892.54</v>
      </c>
      <c r="R116" s="21">
        <v>16418.78</v>
      </c>
      <c r="S116" s="21">
        <v>14877.4</v>
      </c>
      <c r="T116" s="21">
        <v>13741</v>
      </c>
      <c r="U116" s="21">
        <v>13117.5</v>
      </c>
      <c r="V116" s="21">
        <v>8754.59</v>
      </c>
      <c r="W116" s="21">
        <v>8562</v>
      </c>
      <c r="X116" s="21">
        <v>9753.4</v>
      </c>
      <c r="Y116" s="21">
        <v>6623.2</v>
      </c>
      <c r="Z116" s="21">
        <v>4170.49</v>
      </c>
      <c r="AA116" s="21">
        <f t="shared" si="36"/>
        <v>150733.72</v>
      </c>
      <c r="AB116" s="17" t="str">
        <f t="shared" ca="1" si="37"/>
        <v/>
      </c>
      <c r="AD116" s="21">
        <v>272772.03578999999</v>
      </c>
      <c r="AE116" s="17" t="str">
        <f t="shared" ca="1" si="38"/>
        <v/>
      </c>
      <c r="AF116" s="50">
        <f t="shared" si="39"/>
        <v>-122038.31578999999</v>
      </c>
      <c r="AG116" s="21">
        <v>192993.57</v>
      </c>
      <c r="AH116" s="17" t="str">
        <f t="shared" ca="1" si="40"/>
        <v/>
      </c>
      <c r="AI116" s="50">
        <f t="shared" si="41"/>
        <v>-42259.850000000006</v>
      </c>
    </row>
    <row r="117" spans="3:35" x14ac:dyDescent="0.25">
      <c r="C117" s="32"/>
      <c r="H117" s="149" t="s">
        <v>302</v>
      </c>
      <c r="I117" s="161"/>
      <c r="J117" s="161"/>
      <c r="L117" s="162" t="e">
        <f ca="1">_xll.EVPRO($B$1,H117,"JDEID")</f>
        <v>#NAME?</v>
      </c>
      <c r="M117" s="162" t="str">
        <f>IF(AND(I117="N",J117="N"),_xll.EVPRO($B$1,H117,"PSFTID"),"")</f>
        <v/>
      </c>
      <c r="N117" s="162" t="e">
        <f ca="1">IF(_xll.EVDES(H117,$B$1)="#NODATA","",_xll.EVDES(H117,$B$1))</f>
        <v>#NAME?</v>
      </c>
      <c r="O117" s="21">
        <v>3313</v>
      </c>
      <c r="P117" s="21">
        <v>2456.1999999999998</v>
      </c>
      <c r="Q117" s="21">
        <v>5981</v>
      </c>
      <c r="R117" s="21">
        <v>2071</v>
      </c>
      <c r="S117" s="21">
        <v>9381</v>
      </c>
      <c r="T117" s="21">
        <v>2057</v>
      </c>
      <c r="U117" s="21">
        <v>1466</v>
      </c>
      <c r="V117" s="21">
        <v>1490</v>
      </c>
      <c r="W117" s="21">
        <v>56</v>
      </c>
      <c r="X117" s="21"/>
      <c r="Y117" s="21"/>
      <c r="Z117" s="21">
        <v>455</v>
      </c>
      <c r="AA117" s="21">
        <f t="shared" si="36"/>
        <v>28726.2</v>
      </c>
      <c r="AB117" s="17" t="str">
        <f t="shared" ca="1" si="37"/>
        <v/>
      </c>
      <c r="AD117" s="21">
        <v>162324.08305399999</v>
      </c>
      <c r="AE117" s="17" t="str">
        <f t="shared" ca="1" si="38"/>
        <v/>
      </c>
      <c r="AF117" s="50">
        <f t="shared" si="39"/>
        <v>-133597.88305399998</v>
      </c>
      <c r="AG117" s="21">
        <v>58986.41</v>
      </c>
      <c r="AH117" s="17" t="str">
        <f t="shared" ca="1" si="40"/>
        <v/>
      </c>
      <c r="AI117" s="50">
        <f t="shared" si="41"/>
        <v>-30260.210000000003</v>
      </c>
    </row>
    <row r="118" spans="3:35" x14ac:dyDescent="0.25">
      <c r="C118" s="32"/>
      <c r="H118" s="149" t="s">
        <v>308</v>
      </c>
      <c r="I118" s="161"/>
      <c r="J118" s="161"/>
      <c r="L118" s="162" t="e">
        <f ca="1">_xll.EVPRO($B$1,H118,"JDEID")</f>
        <v>#NAME?</v>
      </c>
      <c r="M118" s="162" t="str">
        <f>IF(AND(I118="N",J118="N"),_xll.EVPRO($B$1,H118,"PSFTID"),"")</f>
        <v/>
      </c>
      <c r="N118" s="162" t="e">
        <f ca="1">IF(_xll.EVDES(H118,$B$1)="#NODATA","",_xll.EVDES(H118,$B$1))</f>
        <v>#NAME?</v>
      </c>
      <c r="O118" s="21">
        <v>19181</v>
      </c>
      <c r="P118" s="21">
        <v>23332</v>
      </c>
      <c r="Q118" s="21">
        <v>21510</v>
      </c>
      <c r="R118" s="21">
        <v>15487.91</v>
      </c>
      <c r="S118" s="21">
        <v>13547</v>
      </c>
      <c r="T118" s="21">
        <v>17682.400000000001</v>
      </c>
      <c r="U118" s="21">
        <v>15298.1</v>
      </c>
      <c r="V118" s="21">
        <v>11900.8</v>
      </c>
      <c r="W118" s="21">
        <v>19621</v>
      </c>
      <c r="X118" s="21">
        <v>10427.200000000001</v>
      </c>
      <c r="Y118" s="21">
        <v>14523.5</v>
      </c>
      <c r="Z118" s="21">
        <v>23854.6</v>
      </c>
      <c r="AA118" s="21">
        <f t="shared" si="36"/>
        <v>206365.51</v>
      </c>
      <c r="AB118" s="17" t="str">
        <f t="shared" ca="1" si="37"/>
        <v/>
      </c>
      <c r="AD118" s="21">
        <v>320695.60435500002</v>
      </c>
      <c r="AE118" s="17" t="str">
        <f t="shared" ca="1" si="38"/>
        <v/>
      </c>
      <c r="AF118" s="50">
        <f t="shared" si="39"/>
        <v>-114330.09435500001</v>
      </c>
      <c r="AG118" s="21">
        <v>218812.91</v>
      </c>
      <c r="AH118" s="17" t="str">
        <f t="shared" ca="1" si="40"/>
        <v/>
      </c>
      <c r="AI118" s="50">
        <f t="shared" si="41"/>
        <v>-12447.399999999994</v>
      </c>
    </row>
    <row r="119" spans="3:35" x14ac:dyDescent="0.25">
      <c r="C119" s="32"/>
      <c r="H119" s="149" t="s">
        <v>321</v>
      </c>
      <c r="I119" s="161"/>
      <c r="J119" s="161"/>
      <c r="L119" s="162" t="e">
        <f ca="1">_xll.EVPRO($B$1,H119,"JDEID")</f>
        <v>#NAME?</v>
      </c>
      <c r="M119" s="162" t="str">
        <f>IF(AND(I119="N",J119="N"),_xll.EVPRO($B$1,H119,"PSFTID"),"")</f>
        <v/>
      </c>
      <c r="N119" s="162" t="e">
        <f ca="1">IF(_xll.EVDES(H119,$B$1)="#NODATA","",_xll.EVDES(H119,$B$1))</f>
        <v>#NAME?</v>
      </c>
      <c r="O119" s="21"/>
      <c r="P119" s="21"/>
      <c r="Q119" s="21"/>
      <c r="R119" s="21"/>
      <c r="S119" s="21"/>
      <c r="T119" s="21"/>
      <c r="U119" s="21"/>
      <c r="V119" s="21"/>
      <c r="W119" s="21"/>
      <c r="X119" s="21"/>
      <c r="Y119" s="21"/>
      <c r="Z119" s="21"/>
      <c r="AA119" s="21">
        <f t="shared" si="36"/>
        <v>0</v>
      </c>
      <c r="AB119" s="17" t="str">
        <f t="shared" si="37"/>
        <v/>
      </c>
      <c r="AD119" s="21"/>
      <c r="AE119" s="17" t="str">
        <f t="shared" si="38"/>
        <v/>
      </c>
      <c r="AF119" s="50">
        <f t="shared" si="39"/>
        <v>0</v>
      </c>
      <c r="AG119" s="21"/>
      <c r="AH119" s="17" t="str">
        <f t="shared" si="40"/>
        <v/>
      </c>
      <c r="AI119" s="50">
        <f>IF(AND($AA119="",AG119=""),"",$AA119-AG119)</f>
        <v>0</v>
      </c>
    </row>
    <row r="120" spans="3:35" x14ac:dyDescent="0.25">
      <c r="C120" s="32"/>
      <c r="H120" s="149" t="s">
        <v>808</v>
      </c>
      <c r="I120" s="161"/>
      <c r="J120" s="161"/>
      <c r="L120" s="162" t="e">
        <f ca="1">_xll.EVPRO($B$1,H120,"JDEID")</f>
        <v>#NAME?</v>
      </c>
      <c r="M120" s="162" t="str">
        <f>IF(AND(I120="N",J120="N"),_xll.EVPRO($B$1,H120,"PSFTID"),"")</f>
        <v/>
      </c>
      <c r="N120" s="162" t="e">
        <f ca="1">IF(_xll.EVDES(H120,$B$1)="#NODATA","",_xll.EVDES(H120,$B$1))</f>
        <v>#NAME?</v>
      </c>
      <c r="O120" s="21"/>
      <c r="P120" s="21"/>
      <c r="Q120" s="21"/>
      <c r="R120" s="21">
        <v>850</v>
      </c>
      <c r="S120" s="21"/>
      <c r="T120" s="21"/>
      <c r="U120" s="21"/>
      <c r="V120" s="21"/>
      <c r="W120" s="21"/>
      <c r="X120" s="21"/>
      <c r="Y120" s="21">
        <v>4948</v>
      </c>
      <c r="Z120" s="21">
        <v>3694.96</v>
      </c>
      <c r="AA120" s="21">
        <f t="shared" si="36"/>
        <v>9492.9599999999991</v>
      </c>
      <c r="AB120" s="17" t="str">
        <f t="shared" ca="1" si="37"/>
        <v/>
      </c>
      <c r="AD120" s="21">
        <v>1058.9045000000001</v>
      </c>
      <c r="AE120" s="17" t="str">
        <f t="shared" ca="1" si="38"/>
        <v/>
      </c>
      <c r="AF120" s="50">
        <f t="shared" si="39"/>
        <v>8434.0554999999986</v>
      </c>
      <c r="AG120" s="21">
        <v>615</v>
      </c>
      <c r="AH120" s="17" t="str">
        <f t="shared" ca="1" si="40"/>
        <v/>
      </c>
      <c r="AI120" s="50">
        <f t="shared" si="41"/>
        <v>8877.9599999999991</v>
      </c>
    </row>
    <row r="121" spans="3:35" x14ac:dyDescent="0.25">
      <c r="C121" s="32"/>
      <c r="H121" s="149" t="s">
        <v>340</v>
      </c>
      <c r="I121" s="161"/>
      <c r="J121" s="161"/>
      <c r="L121" s="162" t="e">
        <f ca="1">_xll.EVPRO($B$1,H121,"JDEID")</f>
        <v>#NAME?</v>
      </c>
      <c r="M121" s="162" t="str">
        <f>IF(AND(I121="N",J121="N"),_xll.EVPRO($B$1,H121,"PSFTID"),"")</f>
        <v/>
      </c>
      <c r="N121" s="25" t="e">
        <f ca="1">IF(_xll.EVDES(H121,$B$1)="#NODATA","",_xll.EVDES(H121,$B$1))</f>
        <v>#NAME?</v>
      </c>
      <c r="O121" s="164">
        <v>38374.68</v>
      </c>
      <c r="P121" s="164">
        <v>48348.22</v>
      </c>
      <c r="Q121" s="164">
        <v>51841.54</v>
      </c>
      <c r="R121" s="164">
        <v>38134.19</v>
      </c>
      <c r="S121" s="164">
        <v>39650.400000000001</v>
      </c>
      <c r="T121" s="164">
        <v>35096.9</v>
      </c>
      <c r="U121" s="164">
        <v>31262.6</v>
      </c>
      <c r="V121" s="164">
        <v>24759.39</v>
      </c>
      <c r="W121" s="164">
        <v>30217</v>
      </c>
      <c r="X121" s="164">
        <v>21422.6</v>
      </c>
      <c r="Y121" s="164">
        <v>27943.7</v>
      </c>
      <c r="Z121" s="164">
        <v>35417.050000000003</v>
      </c>
      <c r="AA121" s="164">
        <f t="shared" si="36"/>
        <v>422468.26999999996</v>
      </c>
      <c r="AB121" s="175" t="str">
        <f t="shared" ca="1" si="37"/>
        <v/>
      </c>
      <c r="AD121" s="164">
        <v>787335.81484899996</v>
      </c>
      <c r="AE121" s="175" t="str">
        <f t="shared" ca="1" si="38"/>
        <v/>
      </c>
      <c r="AF121" s="165">
        <f t="shared" si="39"/>
        <v>-364867.544849</v>
      </c>
      <c r="AG121" s="164">
        <v>494499.07</v>
      </c>
      <c r="AH121" s="175" t="str">
        <f t="shared" ca="1" si="40"/>
        <v/>
      </c>
      <c r="AI121" s="165">
        <f t="shared" si="41"/>
        <v>-72030.800000000047</v>
      </c>
    </row>
    <row r="122" spans="3:35" x14ac:dyDescent="0.25">
      <c r="C122" s="32"/>
      <c r="H122" s="149"/>
      <c r="I122" s="161"/>
      <c r="J122" s="161"/>
      <c r="L122" s="162"/>
      <c r="M122" s="162"/>
      <c r="N122" s="8"/>
      <c r="O122" s="41"/>
      <c r="P122" s="45"/>
      <c r="Q122" s="45"/>
      <c r="R122" s="45"/>
      <c r="S122" s="45"/>
      <c r="T122" s="45"/>
      <c r="U122" s="45"/>
      <c r="V122" s="45"/>
      <c r="W122" s="45"/>
      <c r="X122" s="45"/>
      <c r="Y122" s="45"/>
      <c r="Z122" s="45"/>
      <c r="AA122" s="45"/>
      <c r="AB122" s="42"/>
      <c r="AD122" s="41"/>
      <c r="AE122" s="45"/>
      <c r="AF122" s="42"/>
      <c r="AG122" s="41"/>
      <c r="AH122" s="45"/>
      <c r="AI122" s="42"/>
    </row>
    <row r="123" spans="3:35" x14ac:dyDescent="0.25">
      <c r="C123" s="32"/>
      <c r="H123" s="149"/>
      <c r="I123" s="161"/>
      <c r="J123" s="161"/>
      <c r="L123" s="162"/>
      <c r="M123" s="162"/>
      <c r="N123" s="8" t="s">
        <v>339</v>
      </c>
      <c r="O123" s="43"/>
      <c r="P123" s="46"/>
      <c r="Q123" s="46"/>
      <c r="R123" s="46"/>
      <c r="S123" s="46"/>
      <c r="T123" s="46"/>
      <c r="U123" s="46"/>
      <c r="V123" s="46"/>
      <c r="W123" s="46"/>
      <c r="X123" s="46"/>
      <c r="Y123" s="46"/>
      <c r="Z123" s="46"/>
      <c r="AA123" s="46"/>
      <c r="AB123" s="44"/>
      <c r="AD123" s="43"/>
      <c r="AE123" s="46"/>
      <c r="AF123" s="44"/>
      <c r="AG123" s="43"/>
      <c r="AH123" s="46"/>
      <c r="AI123" s="44"/>
    </row>
    <row r="124" spans="3:35" x14ac:dyDescent="0.25">
      <c r="C124" s="32"/>
      <c r="H124" s="149" t="s">
        <v>295</v>
      </c>
      <c r="I124" s="161"/>
      <c r="J124" s="161"/>
      <c r="L124" s="162" t="e">
        <f ca="1">_xll.EVPRO($B$1,H124,"JDEID")</f>
        <v>#NAME?</v>
      </c>
      <c r="M124" s="162" t="str">
        <f>IF(AND(I124="N",J124="N"),_xll.EVPRO($B$1,H124,"PSFTID"),"")</f>
        <v/>
      </c>
      <c r="N124" s="162" t="e">
        <f ca="1">IF(_xll.EVDES(H124,$B$1)="#NODATA","",_xll.EVDES(H124,$B$1))</f>
        <v>#NAME?</v>
      </c>
      <c r="O124" s="21">
        <v>183</v>
      </c>
      <c r="P124" s="21">
        <v>120</v>
      </c>
      <c r="Q124" s="21">
        <v>510</v>
      </c>
      <c r="R124" s="21">
        <v>280</v>
      </c>
      <c r="S124" s="21">
        <v>269</v>
      </c>
      <c r="T124" s="21">
        <v>270</v>
      </c>
      <c r="U124" s="21">
        <v>214</v>
      </c>
      <c r="V124" s="21">
        <v>376</v>
      </c>
      <c r="W124" s="21">
        <v>160.80000000000001</v>
      </c>
      <c r="X124" s="21">
        <v>162</v>
      </c>
      <c r="Y124" s="21">
        <v>312</v>
      </c>
      <c r="Z124" s="21">
        <v>140</v>
      </c>
      <c r="AA124" s="21">
        <f t="shared" ref="AA124:AA130" si="42">SUM(O124:Z124)</f>
        <v>2996.8</v>
      </c>
      <c r="AB124" s="17" t="str">
        <f t="shared" ref="AB124:AB130" ca="1" si="43">IF(AA124=0,"",IFERROR(AA124/AA$19,""))</f>
        <v/>
      </c>
      <c r="AD124" s="21">
        <v>5312.8874130000004</v>
      </c>
      <c r="AE124" s="17" t="str">
        <f t="shared" ref="AE124:AE130" ca="1" si="44">IF(AD124=0,"",IFERROR(AD124/AD$19,""))</f>
        <v/>
      </c>
      <c r="AF124" s="50">
        <f t="shared" ref="AF124:AF130" si="45">IF(AND($AA124="",AD124=""),"",$AA124-AD124)</f>
        <v>-2316.0874130000002</v>
      </c>
      <c r="AG124" s="21">
        <v>3568.5</v>
      </c>
      <c r="AH124" s="17" t="str">
        <f t="shared" ref="AH124:AH130" ca="1" si="46">IF(AG124=0,"",IFERROR(AG124/AG$19,""))</f>
        <v/>
      </c>
      <c r="AI124" s="50">
        <f t="shared" ref="AI124:AI130" si="47">IF(AND($AA124="",AG124=""),"",$AA124-AG124)</f>
        <v>-571.69999999999982</v>
      </c>
    </row>
    <row r="125" spans="3:35" x14ac:dyDescent="0.25">
      <c r="C125" s="32"/>
      <c r="H125" s="149" t="s">
        <v>305</v>
      </c>
      <c r="I125" s="161"/>
      <c r="J125" s="161"/>
      <c r="L125" s="162" t="e">
        <f ca="1">_xll.EVPRO($B$1,H125,"JDEID")</f>
        <v>#NAME?</v>
      </c>
      <c r="M125" s="162" t="str">
        <f>IF(AND(I125="N",J125="N"),_xll.EVPRO($B$1,H125,"PSFTID"),"")</f>
        <v/>
      </c>
      <c r="N125" s="162" t="e">
        <f ca="1">IF(_xll.EVDES(H125,$B$1)="#NODATA","",_xll.EVDES(H125,$B$1))</f>
        <v>#NAME?</v>
      </c>
      <c r="O125" s="21">
        <v>3690.2</v>
      </c>
      <c r="P125" s="21">
        <v>5207.6000000000004</v>
      </c>
      <c r="Q125" s="21">
        <v>3476</v>
      </c>
      <c r="R125" s="21">
        <v>3603.6</v>
      </c>
      <c r="S125" s="21">
        <v>3709.6</v>
      </c>
      <c r="T125" s="21">
        <v>2024</v>
      </c>
      <c r="U125" s="21">
        <v>2505</v>
      </c>
      <c r="V125" s="21">
        <v>2225.1999999999998</v>
      </c>
      <c r="W125" s="21">
        <v>1469</v>
      </c>
      <c r="X125" s="21">
        <v>2080.5</v>
      </c>
      <c r="Y125" s="21">
        <v>2786</v>
      </c>
      <c r="Z125" s="21">
        <v>1654.6</v>
      </c>
      <c r="AA125" s="21">
        <f t="shared" si="42"/>
        <v>34431.299999999996</v>
      </c>
      <c r="AB125" s="17" t="str">
        <f t="shared" ca="1" si="43"/>
        <v/>
      </c>
      <c r="AD125" s="21">
        <v>46768.518104000002</v>
      </c>
      <c r="AE125" s="17" t="str">
        <f t="shared" ca="1" si="44"/>
        <v/>
      </c>
      <c r="AF125" s="50">
        <f t="shared" si="45"/>
        <v>-12337.218104000007</v>
      </c>
      <c r="AG125" s="21">
        <v>35017.199999999997</v>
      </c>
      <c r="AH125" s="17" t="str">
        <f t="shared" ca="1" si="46"/>
        <v/>
      </c>
      <c r="AI125" s="50">
        <f t="shared" si="47"/>
        <v>-585.90000000000146</v>
      </c>
    </row>
    <row r="126" spans="3:35" x14ac:dyDescent="0.25">
      <c r="C126" s="32"/>
      <c r="H126" s="149" t="s">
        <v>306</v>
      </c>
      <c r="I126" s="161"/>
      <c r="J126" s="161"/>
      <c r="L126" s="162" t="e">
        <f ca="1">_xll.EVPRO($B$1,H126,"JDEID")</f>
        <v>#NAME?</v>
      </c>
      <c r="M126" s="162" t="str">
        <f>IF(AND(I126="N",J126="N"),_xll.EVPRO($B$1,H126,"PSFTID"),"")</f>
        <v/>
      </c>
      <c r="N126" s="162" t="e">
        <f ca="1">IF(_xll.EVDES(H126,$B$1)="#NODATA","",_xll.EVDES(H126,$B$1))</f>
        <v>#NAME?</v>
      </c>
      <c r="O126" s="21">
        <v>2479</v>
      </c>
      <c r="P126" s="21">
        <v>407</v>
      </c>
      <c r="Q126" s="21">
        <v>1122</v>
      </c>
      <c r="R126" s="21">
        <v>469.12</v>
      </c>
      <c r="S126" s="21">
        <v>849</v>
      </c>
      <c r="T126" s="21">
        <v>340</v>
      </c>
      <c r="U126" s="21">
        <v>314</v>
      </c>
      <c r="V126" s="21">
        <v>178</v>
      </c>
      <c r="W126" s="21"/>
      <c r="X126" s="21"/>
      <c r="Y126" s="21"/>
      <c r="Z126" s="21"/>
      <c r="AA126" s="21">
        <f t="shared" si="42"/>
        <v>6158.12</v>
      </c>
      <c r="AB126" s="17" t="str">
        <f t="shared" ca="1" si="43"/>
        <v/>
      </c>
      <c r="AD126" s="21">
        <v>26061.770873000001</v>
      </c>
      <c r="AE126" s="17" t="str">
        <f t="shared" ca="1" si="44"/>
        <v/>
      </c>
      <c r="AF126" s="50">
        <f t="shared" si="45"/>
        <v>-19903.650873000002</v>
      </c>
      <c r="AG126" s="21">
        <v>7182.1</v>
      </c>
      <c r="AH126" s="17" t="str">
        <f t="shared" ca="1" si="46"/>
        <v/>
      </c>
      <c r="AI126" s="50">
        <f t="shared" si="47"/>
        <v>-1023.9800000000005</v>
      </c>
    </row>
    <row r="127" spans="3:35" x14ac:dyDescent="0.25">
      <c r="C127" s="32"/>
      <c r="H127" s="149" t="s">
        <v>310</v>
      </c>
      <c r="I127" s="161"/>
      <c r="J127" s="161"/>
      <c r="L127" s="162" t="e">
        <f ca="1">_xll.EVPRO($B$1,H127,"JDEID")</f>
        <v>#NAME?</v>
      </c>
      <c r="M127" s="162" t="str">
        <f>IF(AND(I127="N",J127="N"),_xll.EVPRO($B$1,H127,"PSFTID"),"")</f>
        <v/>
      </c>
      <c r="N127" s="162" t="e">
        <f ca="1">IF(_xll.EVDES(H127,$B$1)="#NODATA","",_xll.EVDES(H127,$B$1))</f>
        <v>#NAME?</v>
      </c>
      <c r="O127" s="21">
        <v>3922</v>
      </c>
      <c r="P127" s="21">
        <v>3050</v>
      </c>
      <c r="Q127" s="21">
        <v>3205</v>
      </c>
      <c r="R127" s="21">
        <v>2985</v>
      </c>
      <c r="S127" s="21">
        <v>2280</v>
      </c>
      <c r="T127" s="21">
        <v>3308.9</v>
      </c>
      <c r="U127" s="21">
        <v>1881</v>
      </c>
      <c r="V127" s="21">
        <v>2042</v>
      </c>
      <c r="W127" s="21">
        <v>2245</v>
      </c>
      <c r="X127" s="21">
        <v>2610</v>
      </c>
      <c r="Y127" s="21">
        <v>3308.5</v>
      </c>
      <c r="Z127" s="21">
        <v>3644.8</v>
      </c>
      <c r="AA127" s="21">
        <f t="shared" si="42"/>
        <v>34482.200000000004</v>
      </c>
      <c r="AB127" s="17" t="str">
        <f t="shared" ca="1" si="43"/>
        <v/>
      </c>
      <c r="AD127" s="21">
        <v>51328.051586000001</v>
      </c>
      <c r="AE127" s="17" t="str">
        <f t="shared" ca="1" si="44"/>
        <v/>
      </c>
      <c r="AF127" s="50">
        <f t="shared" si="45"/>
        <v>-16845.851585999997</v>
      </c>
      <c r="AG127" s="21">
        <v>37750.5</v>
      </c>
      <c r="AH127" s="17" t="str">
        <f t="shared" ca="1" si="46"/>
        <v/>
      </c>
      <c r="AI127" s="50">
        <f t="shared" si="47"/>
        <v>-3268.2999999999956</v>
      </c>
    </row>
    <row r="128" spans="3:35" x14ac:dyDescent="0.25">
      <c r="C128" s="32"/>
      <c r="H128" s="149" t="s">
        <v>323</v>
      </c>
      <c r="I128" s="161"/>
      <c r="J128" s="161"/>
      <c r="L128" s="162" t="e">
        <f ca="1">_xll.EVPRO($B$1,H128,"JDEID")</f>
        <v>#NAME?</v>
      </c>
      <c r="M128" s="162" t="str">
        <f>IF(AND(I128="N",J128="N"),_xll.EVPRO($B$1,H128,"PSFTID"),"")</f>
        <v/>
      </c>
      <c r="N128" s="162" t="e">
        <f ca="1">IF(_xll.EVDES(H128,$B$1)="#NODATA","",_xll.EVDES(H128,$B$1))</f>
        <v>#NAME?</v>
      </c>
      <c r="O128" s="21"/>
      <c r="P128" s="21"/>
      <c r="Q128" s="21"/>
      <c r="R128" s="21"/>
      <c r="S128" s="21"/>
      <c r="T128" s="21"/>
      <c r="U128" s="21"/>
      <c r="V128" s="21"/>
      <c r="W128" s="21"/>
      <c r="X128" s="21"/>
      <c r="Y128" s="21"/>
      <c r="Z128" s="21"/>
      <c r="AA128" s="21">
        <f t="shared" si="42"/>
        <v>0</v>
      </c>
      <c r="AB128" s="17" t="str">
        <f t="shared" si="43"/>
        <v/>
      </c>
      <c r="AD128" s="21"/>
      <c r="AE128" s="17" t="str">
        <f t="shared" si="44"/>
        <v/>
      </c>
      <c r="AF128" s="50">
        <f t="shared" si="45"/>
        <v>0</v>
      </c>
      <c r="AG128" s="21"/>
      <c r="AH128" s="17" t="str">
        <f>IF(AG128=0,"",IFERROR(AG128/AG$19,""))</f>
        <v/>
      </c>
      <c r="AI128" s="50">
        <f>IF(AND($AA128="",AG128=""),"",$AA128-AG128)</f>
        <v>0</v>
      </c>
    </row>
    <row r="129" spans="3:35" x14ac:dyDescent="0.25">
      <c r="C129" s="32"/>
      <c r="H129" s="149" t="s">
        <v>809</v>
      </c>
      <c r="I129" s="161"/>
      <c r="J129" s="161"/>
      <c r="L129" s="162" t="e">
        <f ca="1">_xll.EVPRO($B$1,H129,"JDEID")</f>
        <v>#NAME?</v>
      </c>
      <c r="M129" s="162" t="str">
        <f>IF(AND(I129="N",J129="N"),_xll.EVPRO($B$1,H129,"PSFTID"),"")</f>
        <v/>
      </c>
      <c r="N129" s="162" t="e">
        <f ca="1">IF(_xll.EVDES(H129,$B$1)="#NODATA","",_xll.EVDES(H129,$B$1))</f>
        <v>#NAME?</v>
      </c>
      <c r="O129" s="21"/>
      <c r="P129" s="21"/>
      <c r="Q129" s="21"/>
      <c r="R129" s="21"/>
      <c r="S129" s="21"/>
      <c r="T129" s="21"/>
      <c r="U129" s="21"/>
      <c r="V129" s="21"/>
      <c r="W129" s="21"/>
      <c r="X129" s="21"/>
      <c r="Y129" s="21">
        <v>20</v>
      </c>
      <c r="Z129" s="21">
        <v>510</v>
      </c>
      <c r="AA129" s="21">
        <f t="shared" si="42"/>
        <v>530</v>
      </c>
      <c r="AB129" s="17" t="str">
        <f t="shared" ca="1" si="43"/>
        <v/>
      </c>
      <c r="AD129" s="21">
        <v>814.44449999999995</v>
      </c>
      <c r="AE129" s="17" t="str">
        <f t="shared" ca="1" si="44"/>
        <v/>
      </c>
      <c r="AF129" s="50">
        <f t="shared" si="45"/>
        <v>-284.44449999999995</v>
      </c>
      <c r="AG129" s="21">
        <v>127</v>
      </c>
      <c r="AH129" s="17" t="str">
        <f t="shared" ca="1" si="46"/>
        <v/>
      </c>
      <c r="AI129" s="50">
        <f t="shared" si="47"/>
        <v>403</v>
      </c>
    </row>
    <row r="130" spans="3:35" x14ac:dyDescent="0.25">
      <c r="C130" s="32"/>
      <c r="H130" s="149" t="s">
        <v>342</v>
      </c>
      <c r="I130" s="161"/>
      <c r="J130" s="161"/>
      <c r="L130" s="162" t="e">
        <f ca="1">_xll.EVPRO($B$1,H130,"JDEID")</f>
        <v>#NAME?</v>
      </c>
      <c r="M130" s="162" t="str">
        <f>IF(AND(I130="N",J130="N"),_xll.EVPRO($B$1,H130,"PSFTID"),"")</f>
        <v/>
      </c>
      <c r="N130" s="25" t="e">
        <f ca="1">IF(_xll.EVDES(H130,$B$1)="#NODATA","",_xll.EVDES(H130,$B$1))</f>
        <v>#NAME?</v>
      </c>
      <c r="O130" s="164">
        <v>10274.200000000001</v>
      </c>
      <c r="P130" s="164">
        <v>8784.6</v>
      </c>
      <c r="Q130" s="164">
        <v>8313</v>
      </c>
      <c r="R130" s="164">
        <v>7337.72</v>
      </c>
      <c r="S130" s="164">
        <v>7107.6</v>
      </c>
      <c r="T130" s="164">
        <v>5942.9</v>
      </c>
      <c r="U130" s="164">
        <v>4914</v>
      </c>
      <c r="V130" s="164">
        <v>4821.2</v>
      </c>
      <c r="W130" s="164">
        <v>3874.8</v>
      </c>
      <c r="X130" s="164">
        <v>4852.5</v>
      </c>
      <c r="Y130" s="164">
        <v>6426.5</v>
      </c>
      <c r="Z130" s="164">
        <v>5949.4</v>
      </c>
      <c r="AA130" s="164">
        <f t="shared" si="42"/>
        <v>78598.42</v>
      </c>
      <c r="AB130" s="175" t="str">
        <f t="shared" ca="1" si="43"/>
        <v/>
      </c>
      <c r="AD130" s="164">
        <v>130285.67247600001</v>
      </c>
      <c r="AE130" s="175" t="str">
        <f t="shared" ca="1" si="44"/>
        <v/>
      </c>
      <c r="AF130" s="165">
        <f t="shared" si="45"/>
        <v>-51687.252476000009</v>
      </c>
      <c r="AG130" s="164">
        <v>83645.3</v>
      </c>
      <c r="AH130" s="175" t="str">
        <f t="shared" ca="1" si="46"/>
        <v/>
      </c>
      <c r="AI130" s="165">
        <f t="shared" si="47"/>
        <v>-5046.8800000000047</v>
      </c>
    </row>
    <row r="131" spans="3:35" x14ac:dyDescent="0.25">
      <c r="C131" s="32"/>
      <c r="H131" s="149"/>
      <c r="I131" s="161"/>
      <c r="J131" s="161"/>
      <c r="L131" s="162"/>
      <c r="M131" s="162"/>
      <c r="N131" s="8"/>
      <c r="O131" s="41"/>
      <c r="P131" s="45"/>
      <c r="Q131" s="45"/>
      <c r="R131" s="45"/>
      <c r="S131" s="45"/>
      <c r="T131" s="45"/>
      <c r="U131" s="45"/>
      <c r="V131" s="45"/>
      <c r="W131" s="45"/>
      <c r="X131" s="45"/>
      <c r="Y131" s="45"/>
      <c r="Z131" s="45"/>
      <c r="AA131" s="45"/>
      <c r="AB131" s="42"/>
      <c r="AD131" s="41"/>
      <c r="AE131" s="45"/>
      <c r="AF131" s="42"/>
      <c r="AG131" s="41"/>
      <c r="AH131" s="45"/>
      <c r="AI131" s="42"/>
    </row>
    <row r="132" spans="3:35" x14ac:dyDescent="0.25">
      <c r="C132" s="32"/>
      <c r="H132" s="149"/>
      <c r="I132" s="161"/>
      <c r="J132" s="161"/>
      <c r="L132" s="162"/>
      <c r="M132" s="162"/>
      <c r="N132" s="8" t="s">
        <v>338</v>
      </c>
      <c r="O132" s="43"/>
      <c r="P132" s="46"/>
      <c r="Q132" s="46"/>
      <c r="R132" s="46"/>
      <c r="S132" s="46"/>
      <c r="T132" s="46"/>
      <c r="U132" s="46"/>
      <c r="V132" s="46"/>
      <c r="W132" s="46"/>
      <c r="X132" s="46"/>
      <c r="Y132" s="46"/>
      <c r="Z132" s="46"/>
      <c r="AA132" s="46"/>
      <c r="AB132" s="44"/>
      <c r="AD132" s="43"/>
      <c r="AE132" s="46"/>
      <c r="AF132" s="44"/>
      <c r="AG132" s="43"/>
      <c r="AH132" s="46"/>
      <c r="AI132" s="44"/>
    </row>
    <row r="133" spans="3:35" x14ac:dyDescent="0.25">
      <c r="C133" s="32"/>
      <c r="H133" s="149" t="s">
        <v>296</v>
      </c>
      <c r="I133" s="161"/>
      <c r="J133" s="161"/>
      <c r="L133" s="162" t="e">
        <f ca="1">_xll.EVPRO($B$1,H133,"JDEID")</f>
        <v>#NAME?</v>
      </c>
      <c r="M133" s="162" t="str">
        <f>IF(AND(I133="N",J133="N"),_xll.EVPRO($B$1,H133,"PSFTID"),"")</f>
        <v/>
      </c>
      <c r="N133" s="162" t="e">
        <f ca="1">IF(_xll.EVDES(H133,$B$1)="#NODATA","",_xll.EVDES(H133,$B$1))</f>
        <v>#NAME?</v>
      </c>
      <c r="O133" s="21">
        <v>2188</v>
      </c>
      <c r="P133" s="21">
        <v>1106</v>
      </c>
      <c r="Q133" s="21">
        <v>2226.34</v>
      </c>
      <c r="R133" s="21">
        <v>1352</v>
      </c>
      <c r="S133" s="21">
        <v>2240</v>
      </c>
      <c r="T133" s="21">
        <v>1634</v>
      </c>
      <c r="U133" s="21">
        <v>1769</v>
      </c>
      <c r="V133" s="21">
        <v>1447</v>
      </c>
      <c r="W133" s="21">
        <v>633</v>
      </c>
      <c r="X133" s="21">
        <v>1004</v>
      </c>
      <c r="Y133" s="21">
        <v>1569</v>
      </c>
      <c r="Z133" s="21">
        <v>1314</v>
      </c>
      <c r="AA133" s="21">
        <f t="shared" ref="AA133:AA139" si="48">SUM(O133:Z133)</f>
        <v>18482.34</v>
      </c>
      <c r="AB133" s="17" t="str">
        <f t="shared" ref="AB133:AB139" ca="1" si="49">IF(AA133=0,"",IFERROR(AA133/AA$19,""))</f>
        <v/>
      </c>
      <c r="AD133" s="21">
        <v>61904.928943999999</v>
      </c>
      <c r="AE133" s="17" t="str">
        <f t="shared" ref="AE133:AE139" ca="1" si="50">IF(AD133=0,"",IFERROR(AD133/AD$19,""))</f>
        <v/>
      </c>
      <c r="AF133" s="50">
        <f t="shared" ref="AF133:AF139" si="51">IF(AND($AA133="",AD133=""),"",$AA133-AD133)</f>
        <v>-43422.588944000003</v>
      </c>
      <c r="AG133" s="21">
        <v>43238.2</v>
      </c>
      <c r="AH133" s="17" t="str">
        <f t="shared" ref="AH133:AH139" ca="1" si="52">IF(AG133=0,"",IFERROR(AG133/AG$19,""))</f>
        <v/>
      </c>
      <c r="AI133" s="50">
        <f t="shared" ref="AI133:AI139" si="53">IF(AND($AA133="",AG133=""),"",$AA133-AG133)</f>
        <v>-24755.859999999997</v>
      </c>
    </row>
    <row r="134" spans="3:35" x14ac:dyDescent="0.25">
      <c r="C134" s="32"/>
      <c r="H134" s="149" t="s">
        <v>303</v>
      </c>
      <c r="I134" s="161"/>
      <c r="J134" s="161"/>
      <c r="L134" s="162" t="e">
        <f ca="1">_xll.EVPRO($B$1,H134,"JDEID")</f>
        <v>#NAME?</v>
      </c>
      <c r="M134" s="162" t="str">
        <f>IF(AND(I134="N",J134="N"),_xll.EVPRO($B$1,H134,"PSFTID"),"")</f>
        <v/>
      </c>
      <c r="N134" s="162" t="e">
        <f ca="1">IF(_xll.EVDES(H134,$B$1)="#NODATA","",_xll.EVDES(H134,$B$1))</f>
        <v>#NAME?</v>
      </c>
      <c r="O134" s="21">
        <v>2512</v>
      </c>
      <c r="P134" s="21">
        <v>3080</v>
      </c>
      <c r="Q134" s="21">
        <v>1788.4</v>
      </c>
      <c r="R134" s="21">
        <v>1765</v>
      </c>
      <c r="S134" s="21">
        <v>1696.6</v>
      </c>
      <c r="T134" s="21">
        <v>736</v>
      </c>
      <c r="U134" s="21">
        <v>1032.8</v>
      </c>
      <c r="V134" s="21">
        <v>1021.2</v>
      </c>
      <c r="W134" s="21">
        <v>297</v>
      </c>
      <c r="X134" s="21">
        <v>1233.4000000000001</v>
      </c>
      <c r="Y134" s="21">
        <v>1296</v>
      </c>
      <c r="Z134" s="21">
        <v>1252.8</v>
      </c>
      <c r="AA134" s="21">
        <f t="shared" si="48"/>
        <v>17711.2</v>
      </c>
      <c r="AB134" s="17" t="str">
        <f t="shared" ca="1" si="49"/>
        <v/>
      </c>
      <c r="AD134" s="21">
        <v>25045.878640999999</v>
      </c>
      <c r="AE134" s="17" t="str">
        <f t="shared" ca="1" si="50"/>
        <v/>
      </c>
      <c r="AF134" s="50">
        <f t="shared" si="51"/>
        <v>-7334.6786409999986</v>
      </c>
      <c r="AG134" s="21">
        <v>16776.419999999998</v>
      </c>
      <c r="AH134" s="17" t="str">
        <f t="shared" ca="1" si="52"/>
        <v/>
      </c>
      <c r="AI134" s="50">
        <f t="shared" si="53"/>
        <v>934.78000000000247</v>
      </c>
    </row>
    <row r="135" spans="3:35" x14ac:dyDescent="0.25">
      <c r="C135" s="32"/>
      <c r="H135" s="149" t="s">
        <v>304</v>
      </c>
      <c r="I135" s="161"/>
      <c r="J135" s="161"/>
      <c r="L135" s="162" t="e">
        <f ca="1">_xll.EVPRO($B$1,H135,"JDEID")</f>
        <v>#NAME?</v>
      </c>
      <c r="M135" s="162" t="str">
        <f>IF(AND(I135="N",J135="N"),_xll.EVPRO($B$1,H135,"PSFTID"),"")</f>
        <v/>
      </c>
      <c r="N135" s="162" t="e">
        <f ca="1">IF(_xll.EVDES(H135,$B$1)="#NODATA","",_xll.EVDES(H135,$B$1))</f>
        <v>#NAME?</v>
      </c>
      <c r="O135" s="21">
        <v>4697</v>
      </c>
      <c r="P135" s="21">
        <v>2078</v>
      </c>
      <c r="Q135" s="21">
        <v>1384</v>
      </c>
      <c r="R135" s="21">
        <v>2149.89</v>
      </c>
      <c r="S135" s="21">
        <v>3134</v>
      </c>
      <c r="T135" s="21">
        <v>1145</v>
      </c>
      <c r="U135" s="21">
        <v>714.22</v>
      </c>
      <c r="V135" s="21">
        <v>1067</v>
      </c>
      <c r="W135" s="21"/>
      <c r="X135" s="21"/>
      <c r="Y135" s="21"/>
      <c r="Z135" s="21">
        <v>314.79000000000002</v>
      </c>
      <c r="AA135" s="21">
        <f t="shared" si="48"/>
        <v>16683.899999999998</v>
      </c>
      <c r="AB135" s="17" t="str">
        <f t="shared" ca="1" si="49"/>
        <v/>
      </c>
      <c r="AD135" s="21">
        <v>62868.584944000002</v>
      </c>
      <c r="AE135" s="17" t="str">
        <f t="shared" ca="1" si="50"/>
        <v/>
      </c>
      <c r="AF135" s="50">
        <f t="shared" si="51"/>
        <v>-46184.684944000008</v>
      </c>
      <c r="AG135" s="21">
        <v>34709.06</v>
      </c>
      <c r="AH135" s="17" t="str">
        <f t="shared" ca="1" si="52"/>
        <v/>
      </c>
      <c r="AI135" s="50">
        <f t="shared" si="53"/>
        <v>-18025.16</v>
      </c>
    </row>
    <row r="136" spans="3:35" x14ac:dyDescent="0.25">
      <c r="C136" s="32"/>
      <c r="H136" s="149" t="s">
        <v>309</v>
      </c>
      <c r="I136" s="161"/>
      <c r="J136" s="161"/>
      <c r="L136" s="162" t="e">
        <f ca="1">_xll.EVPRO($B$1,H136,"JDEID")</f>
        <v>#NAME?</v>
      </c>
      <c r="M136" s="162" t="str">
        <f>IF(AND(I136="N",J136="N"),_xll.EVPRO($B$1,H136,"PSFTID"),"")</f>
        <v/>
      </c>
      <c r="N136" s="162" t="e">
        <f ca="1">IF(_xll.EVDES(H136,$B$1)="#NODATA","",_xll.EVDES(H136,$B$1))</f>
        <v>#NAME?</v>
      </c>
      <c r="O136" s="21">
        <v>5217</v>
      </c>
      <c r="P136" s="21">
        <v>5026</v>
      </c>
      <c r="Q136" s="21">
        <v>3810</v>
      </c>
      <c r="R136" s="21">
        <v>2764</v>
      </c>
      <c r="S136" s="21">
        <v>4365</v>
      </c>
      <c r="T136" s="21">
        <v>3798</v>
      </c>
      <c r="U136" s="21">
        <v>2320</v>
      </c>
      <c r="V136" s="21">
        <v>2094</v>
      </c>
      <c r="W136" s="21">
        <v>2630</v>
      </c>
      <c r="X136" s="21">
        <v>2081</v>
      </c>
      <c r="Y136" s="21">
        <v>3838.6</v>
      </c>
      <c r="Z136" s="21">
        <v>5614.43</v>
      </c>
      <c r="AA136" s="21">
        <f t="shared" si="48"/>
        <v>43558.03</v>
      </c>
      <c r="AB136" s="17" t="str">
        <f t="shared" ca="1" si="49"/>
        <v/>
      </c>
      <c r="AD136" s="21">
        <v>71344.989415999997</v>
      </c>
      <c r="AE136" s="17" t="str">
        <f t="shared" ca="1" si="50"/>
        <v/>
      </c>
      <c r="AF136" s="50">
        <f t="shared" si="51"/>
        <v>-27786.959415999998</v>
      </c>
      <c r="AG136" s="21">
        <v>47578.9</v>
      </c>
      <c r="AH136" s="17" t="str">
        <f t="shared" ca="1" si="52"/>
        <v/>
      </c>
      <c r="AI136" s="50">
        <f t="shared" si="53"/>
        <v>-4020.8700000000026</v>
      </c>
    </row>
    <row r="137" spans="3:35" x14ac:dyDescent="0.25">
      <c r="C137" s="32"/>
      <c r="H137" s="149" t="s">
        <v>322</v>
      </c>
      <c r="I137" s="161"/>
      <c r="J137" s="161"/>
      <c r="L137" s="162" t="e">
        <f ca="1">_xll.EVPRO($B$1,H137,"JDEID")</f>
        <v>#NAME?</v>
      </c>
      <c r="M137" s="162" t="str">
        <f>IF(AND(I137="N",J137="N"),_xll.EVPRO($B$1,H137,"PSFTID"),"")</f>
        <v/>
      </c>
      <c r="N137" s="162" t="e">
        <f ca="1">IF(_xll.EVDES(H137,$B$1)="#NODATA","",_xll.EVDES(H137,$B$1))</f>
        <v>#NAME?</v>
      </c>
      <c r="O137" s="21"/>
      <c r="P137" s="21"/>
      <c r="Q137" s="21"/>
      <c r="R137" s="21"/>
      <c r="S137" s="21"/>
      <c r="T137" s="21"/>
      <c r="U137" s="21"/>
      <c r="V137" s="21"/>
      <c r="W137" s="21"/>
      <c r="X137" s="21"/>
      <c r="Y137" s="21"/>
      <c r="Z137" s="21"/>
      <c r="AA137" s="21">
        <f t="shared" si="48"/>
        <v>0</v>
      </c>
      <c r="AB137" s="17" t="str">
        <f t="shared" si="49"/>
        <v/>
      </c>
      <c r="AD137" s="21"/>
      <c r="AE137" s="17" t="str">
        <f t="shared" si="50"/>
        <v/>
      </c>
      <c r="AF137" s="50">
        <f t="shared" si="51"/>
        <v>0</v>
      </c>
      <c r="AG137" s="21"/>
      <c r="AH137" s="17" t="str">
        <f>IF(AG137=0,"",IFERROR(AG137/AG$19,""))</f>
        <v/>
      </c>
      <c r="AI137" s="50">
        <f>IF(AND($AA137="",AG137=""),"",$AA137-AG137)</f>
        <v>0</v>
      </c>
    </row>
    <row r="138" spans="3:35" x14ac:dyDescent="0.25">
      <c r="C138" s="32"/>
      <c r="H138" s="149" t="s">
        <v>810</v>
      </c>
      <c r="I138" s="161"/>
      <c r="J138" s="161"/>
      <c r="L138" s="162" t="e">
        <f ca="1">_xll.EVPRO($B$1,H138,"JDEID")</f>
        <v>#NAME?</v>
      </c>
      <c r="M138" s="162" t="str">
        <f>IF(AND(I138="N",J138="N"),_xll.EVPRO($B$1,H138,"PSFTID"),"")</f>
        <v/>
      </c>
      <c r="N138" s="162" t="e">
        <f ca="1">IF(_xll.EVDES(H138,$B$1)="#NODATA","",_xll.EVDES(H138,$B$1))</f>
        <v>#NAME?</v>
      </c>
      <c r="O138" s="21"/>
      <c r="P138" s="21"/>
      <c r="Q138" s="21">
        <v>2338</v>
      </c>
      <c r="R138" s="21"/>
      <c r="S138" s="21"/>
      <c r="T138" s="21"/>
      <c r="U138" s="21"/>
      <c r="V138" s="21"/>
      <c r="W138" s="21">
        <v>144</v>
      </c>
      <c r="X138" s="21"/>
      <c r="Y138" s="21"/>
      <c r="Z138" s="21">
        <v>72</v>
      </c>
      <c r="AA138" s="21">
        <f t="shared" si="48"/>
        <v>2554</v>
      </c>
      <c r="AB138" s="17" t="str">
        <f t="shared" ca="1" si="49"/>
        <v/>
      </c>
      <c r="AD138" s="21"/>
      <c r="AE138" s="17" t="str">
        <f t="shared" si="50"/>
        <v/>
      </c>
      <c r="AF138" s="50">
        <f t="shared" si="51"/>
        <v>2554</v>
      </c>
      <c r="AG138" s="21">
        <v>52</v>
      </c>
      <c r="AH138" s="17" t="str">
        <f t="shared" ca="1" si="52"/>
        <v/>
      </c>
      <c r="AI138" s="50">
        <f t="shared" si="53"/>
        <v>2502</v>
      </c>
    </row>
    <row r="139" spans="3:35" x14ac:dyDescent="0.25">
      <c r="C139" s="32"/>
      <c r="H139" s="149" t="s">
        <v>341</v>
      </c>
      <c r="I139" s="161"/>
      <c r="J139" s="161"/>
      <c r="L139" s="162" t="e">
        <f ca="1">_xll.EVPRO($B$1,H139,"JDEID")</f>
        <v>#NAME?</v>
      </c>
      <c r="M139" s="162" t="str">
        <f>IF(AND(I139="N",J139="N"),_xll.EVPRO($B$1,H139,"PSFTID"),"")</f>
        <v/>
      </c>
      <c r="N139" s="25" t="e">
        <f ca="1">IF(_xll.EVDES(H139,$B$1)="#NODATA","",_xll.EVDES(H139,$B$1))</f>
        <v>#NAME?</v>
      </c>
      <c r="O139" s="164">
        <v>14614</v>
      </c>
      <c r="P139" s="164">
        <v>11290</v>
      </c>
      <c r="Q139" s="164">
        <v>11546.74</v>
      </c>
      <c r="R139" s="164">
        <v>8030.89</v>
      </c>
      <c r="S139" s="164">
        <v>11435.6</v>
      </c>
      <c r="T139" s="164">
        <v>7313</v>
      </c>
      <c r="U139" s="164">
        <v>5836.02</v>
      </c>
      <c r="V139" s="164">
        <v>5629.2</v>
      </c>
      <c r="W139" s="164">
        <v>3704</v>
      </c>
      <c r="X139" s="164">
        <v>4318.3999999999996</v>
      </c>
      <c r="Y139" s="164">
        <v>6703.6</v>
      </c>
      <c r="Z139" s="164">
        <v>8568.02</v>
      </c>
      <c r="AA139" s="164">
        <f t="shared" si="48"/>
        <v>98989.47</v>
      </c>
      <c r="AB139" s="175" t="str">
        <f t="shared" ca="1" si="49"/>
        <v/>
      </c>
      <c r="AD139" s="164">
        <v>221164.381945</v>
      </c>
      <c r="AE139" s="175" t="str">
        <f t="shared" ca="1" si="50"/>
        <v/>
      </c>
      <c r="AF139" s="165">
        <f t="shared" si="51"/>
        <v>-122174.911945</v>
      </c>
      <c r="AG139" s="164">
        <v>142354.57999999999</v>
      </c>
      <c r="AH139" s="175" t="str">
        <f t="shared" ca="1" si="52"/>
        <v/>
      </c>
      <c r="AI139" s="165">
        <f t="shared" si="53"/>
        <v>-43365.109999999986</v>
      </c>
    </row>
    <row r="140" spans="3:35" x14ac:dyDescent="0.25">
      <c r="C140" s="32"/>
      <c r="H140" s="149"/>
      <c r="I140" s="161"/>
      <c r="J140" s="161"/>
      <c r="L140" s="162"/>
      <c r="M140" s="162"/>
      <c r="O140" s="41"/>
      <c r="P140" s="45"/>
      <c r="Q140" s="45"/>
      <c r="R140" s="45"/>
      <c r="S140" s="45"/>
      <c r="T140" s="45"/>
      <c r="U140" s="45"/>
      <c r="V140" s="45"/>
      <c r="W140" s="45"/>
      <c r="X140" s="45"/>
      <c r="Y140" s="45"/>
      <c r="Z140" s="45"/>
      <c r="AA140" s="45"/>
      <c r="AB140" s="42"/>
      <c r="AD140" s="41"/>
      <c r="AE140" s="45"/>
      <c r="AF140" s="42"/>
      <c r="AG140" s="41"/>
      <c r="AH140" s="45"/>
      <c r="AI140" s="42"/>
    </row>
    <row r="141" spans="3:35" x14ac:dyDescent="0.25">
      <c r="C141" s="32"/>
      <c r="H141" s="15" t="s">
        <v>267</v>
      </c>
      <c r="I141" s="161"/>
      <c r="J141" s="161"/>
      <c r="L141" s="162" t="e">
        <f ca="1">_xll.EVPRO($B$1,H141,"JDEID")</f>
        <v>#NAME?</v>
      </c>
      <c r="M141" s="162" t="str">
        <f>IF(AND(I141="N",J141="N"),_xll.EVPRO($B$1,H141,"PSFTID"),"")</f>
        <v/>
      </c>
      <c r="N141" s="162" t="e">
        <f ca="1">IF(_xll.EVDES(H141,$B$1)="#NODATA","",_xll.EVDES(H141,$B$1))</f>
        <v>#NAME?</v>
      </c>
      <c r="O141" s="21">
        <f t="shared" ref="O141:Z141" si="54">O115+O124+O133</f>
        <v>4514.88</v>
      </c>
      <c r="P141" s="21">
        <f t="shared" si="54"/>
        <v>3700</v>
      </c>
      <c r="Q141" s="21">
        <f t="shared" si="54"/>
        <v>6194.34</v>
      </c>
      <c r="R141" s="21">
        <f t="shared" si="54"/>
        <v>4938.5</v>
      </c>
      <c r="S141" s="21">
        <f t="shared" si="54"/>
        <v>4354</v>
      </c>
      <c r="T141" s="21">
        <f t="shared" si="54"/>
        <v>3520.5</v>
      </c>
      <c r="U141" s="21">
        <f t="shared" si="54"/>
        <v>3364</v>
      </c>
      <c r="V141" s="21">
        <f t="shared" si="54"/>
        <v>4437</v>
      </c>
      <c r="W141" s="21">
        <f t="shared" si="54"/>
        <v>2771.8</v>
      </c>
      <c r="X141" s="21">
        <f t="shared" si="54"/>
        <v>2408</v>
      </c>
      <c r="Y141" s="21">
        <f t="shared" si="54"/>
        <v>3730</v>
      </c>
      <c r="Z141" s="21">
        <f t="shared" si="54"/>
        <v>4696</v>
      </c>
      <c r="AA141" s="21">
        <f t="shared" ref="AA141:AA148" si="55">SUM(O141:Z141)</f>
        <v>48629.020000000004</v>
      </c>
      <c r="AB141" s="17" t="str">
        <f t="shared" ref="AB141:AB148" ca="1" si="56">IF(AA141=0,"",IFERROR(AA141/AA$19,""))</f>
        <v/>
      </c>
      <c r="AD141" s="21">
        <f t="shared" ref="AD141:AD146" si="57">AD115+AD124+AD133</f>
        <v>97703.003507000001</v>
      </c>
      <c r="AE141" s="17" t="str">
        <f t="shared" ref="AE141:AE148" ca="1" si="58">IF(AD141=0,"",IFERROR(AD141/AD$19,""))</f>
        <v/>
      </c>
      <c r="AF141" s="50">
        <f t="shared" ref="AF141:AF148" si="59">IF(AND($AA141="",AD141=""),"",$AA141-AD141)</f>
        <v>-49073.983506999997</v>
      </c>
      <c r="AG141" s="21">
        <f t="shared" ref="AG141:AG146" si="60">AG115+AG124+AG133</f>
        <v>69897.88</v>
      </c>
      <c r="AH141" s="17" t="str">
        <f t="shared" ref="AH141:AH148" ca="1" si="61">IF(AG141=0,"",IFERROR(AG141/AG$19,""))</f>
        <v/>
      </c>
      <c r="AI141" s="50">
        <f t="shared" ref="AI141:AI148" si="62">IF(AND($AA141="",AG141=""),"",$AA141-AG141)</f>
        <v>-21268.86</v>
      </c>
    </row>
    <row r="142" spans="3:35" x14ac:dyDescent="0.25">
      <c r="C142" s="32"/>
      <c r="H142" s="15" t="s">
        <v>268</v>
      </c>
      <c r="I142" s="161"/>
      <c r="J142" s="161"/>
      <c r="L142" s="162" t="e">
        <f ca="1">_xll.EVPRO($B$1,H142,"JDEID")</f>
        <v>#NAME?</v>
      </c>
      <c r="M142" s="162" t="str">
        <f>IF(AND(I142="N",J142="N"),_xll.EVPRO($B$1,H142,"PSFTID"),"")</f>
        <v/>
      </c>
      <c r="N142" s="162" t="e">
        <f ca="1">IF(_xll.EVDES(H142,$B$1)="#NODATA","",_xll.EVDES(H142,$B$1))</f>
        <v>#NAME?</v>
      </c>
      <c r="O142" s="21">
        <f t="shared" ref="O142:Z142" si="63">O116+O125+O134</f>
        <v>19939</v>
      </c>
      <c r="P142" s="21">
        <f t="shared" si="63"/>
        <v>28373.620000000003</v>
      </c>
      <c r="Q142" s="21">
        <f t="shared" si="63"/>
        <v>26156.940000000002</v>
      </c>
      <c r="R142" s="21">
        <f t="shared" si="63"/>
        <v>21787.379999999997</v>
      </c>
      <c r="S142" s="21">
        <f t="shared" si="63"/>
        <v>20283.599999999999</v>
      </c>
      <c r="T142" s="21">
        <f t="shared" si="63"/>
        <v>16501</v>
      </c>
      <c r="U142" s="21">
        <f t="shared" si="63"/>
        <v>16655.3</v>
      </c>
      <c r="V142" s="21">
        <f t="shared" si="63"/>
        <v>12000.990000000002</v>
      </c>
      <c r="W142" s="21">
        <f t="shared" si="63"/>
        <v>10328</v>
      </c>
      <c r="X142" s="21">
        <f t="shared" si="63"/>
        <v>13067.3</v>
      </c>
      <c r="Y142" s="21">
        <f t="shared" si="63"/>
        <v>10705.2</v>
      </c>
      <c r="Z142" s="21">
        <f t="shared" si="63"/>
        <v>7077.89</v>
      </c>
      <c r="AA142" s="21">
        <f t="shared" si="55"/>
        <v>202876.22</v>
      </c>
      <c r="AB142" s="17" t="str">
        <f t="shared" ca="1" si="56"/>
        <v/>
      </c>
      <c r="AD142" s="21">
        <f t="shared" si="57"/>
        <v>344586.43253500003</v>
      </c>
      <c r="AE142" s="17" t="str">
        <f t="shared" ca="1" si="58"/>
        <v/>
      </c>
      <c r="AF142" s="50">
        <f t="shared" si="59"/>
        <v>-141710.21253500003</v>
      </c>
      <c r="AG142" s="21">
        <f t="shared" si="60"/>
        <v>244787.19</v>
      </c>
      <c r="AH142" s="17" t="str">
        <f t="shared" ca="1" si="61"/>
        <v/>
      </c>
      <c r="AI142" s="50">
        <f t="shared" si="62"/>
        <v>-41910.97</v>
      </c>
    </row>
    <row r="143" spans="3:35" x14ac:dyDescent="0.25">
      <c r="C143" s="32"/>
      <c r="H143" s="149" t="s">
        <v>269</v>
      </c>
      <c r="I143" s="161"/>
      <c r="J143" s="161"/>
      <c r="L143" s="162" t="e">
        <f ca="1">_xll.EVPRO($B$1,H143,"JDEID")</f>
        <v>#NAME?</v>
      </c>
      <c r="M143" s="162" t="str">
        <f>IF(AND(I143="N",J143="N"),_xll.EVPRO($B$1,H143,"PSFTID"),"")</f>
        <v/>
      </c>
      <c r="N143" s="162" t="e">
        <f ca="1">IF(_xll.EVDES(H143,$B$1)="#NODATA","",_xll.EVDES(H143,$B$1))</f>
        <v>#NAME?</v>
      </c>
      <c r="O143" s="21">
        <f t="shared" ref="O143:Z143" si="64">O117+O126+O135</f>
        <v>10489</v>
      </c>
      <c r="P143" s="21">
        <f t="shared" si="64"/>
        <v>4941.2</v>
      </c>
      <c r="Q143" s="21">
        <f t="shared" si="64"/>
        <v>8487</v>
      </c>
      <c r="R143" s="21">
        <f t="shared" si="64"/>
        <v>4690.01</v>
      </c>
      <c r="S143" s="21">
        <f t="shared" si="64"/>
        <v>13364</v>
      </c>
      <c r="T143" s="21">
        <f t="shared" si="64"/>
        <v>3542</v>
      </c>
      <c r="U143" s="21">
        <f t="shared" si="64"/>
        <v>2494.2200000000003</v>
      </c>
      <c r="V143" s="21">
        <f t="shared" si="64"/>
        <v>2735</v>
      </c>
      <c r="W143" s="21">
        <f t="shared" si="64"/>
        <v>56</v>
      </c>
      <c r="X143" s="21">
        <f t="shared" si="64"/>
        <v>0</v>
      </c>
      <c r="Y143" s="21">
        <f t="shared" si="64"/>
        <v>0</v>
      </c>
      <c r="Z143" s="21">
        <f t="shared" si="64"/>
        <v>769.79</v>
      </c>
      <c r="AA143" s="21">
        <f t="shared" si="55"/>
        <v>51568.22</v>
      </c>
      <c r="AB143" s="17" t="str">
        <f t="shared" ca="1" si="56"/>
        <v/>
      </c>
      <c r="AD143" s="21">
        <f t="shared" si="57"/>
        <v>251254.43887099999</v>
      </c>
      <c r="AE143" s="17" t="str">
        <f t="shared" ca="1" si="58"/>
        <v/>
      </c>
      <c r="AF143" s="50">
        <f t="shared" si="59"/>
        <v>-199686.21887099999</v>
      </c>
      <c r="AG143" s="21">
        <f t="shared" si="60"/>
        <v>100877.57</v>
      </c>
      <c r="AH143" s="17" t="str">
        <f t="shared" ca="1" si="61"/>
        <v/>
      </c>
      <c r="AI143" s="50">
        <f t="shared" si="62"/>
        <v>-49309.350000000006</v>
      </c>
    </row>
    <row r="144" spans="3:35" x14ac:dyDescent="0.25">
      <c r="C144" s="32"/>
      <c r="H144" s="149" t="s">
        <v>270</v>
      </c>
      <c r="I144" s="161"/>
      <c r="J144" s="161"/>
      <c r="L144" s="162" t="e">
        <f ca="1">_xll.EVPRO($B$1,H144,"JDEID")</f>
        <v>#NAME?</v>
      </c>
      <c r="M144" s="162" t="str">
        <f>IF(AND(I144="N",J144="N"),_xll.EVPRO($B$1,H144,"PSFTID"),"")</f>
        <v/>
      </c>
      <c r="N144" s="162" t="e">
        <f ca="1">IF(_xll.EVDES(H144,$B$1)="#NODATA","",_xll.EVDES(H144,$B$1))</f>
        <v>#NAME?</v>
      </c>
      <c r="O144" s="21">
        <f t="shared" ref="O144:Z144" si="65">O118+O127+O136</f>
        <v>28320</v>
      </c>
      <c r="P144" s="21">
        <f t="shared" si="65"/>
        <v>31408</v>
      </c>
      <c r="Q144" s="21">
        <f t="shared" si="65"/>
        <v>28525</v>
      </c>
      <c r="R144" s="21">
        <f t="shared" si="65"/>
        <v>21236.91</v>
      </c>
      <c r="S144" s="21">
        <f t="shared" si="65"/>
        <v>20192</v>
      </c>
      <c r="T144" s="21">
        <f t="shared" si="65"/>
        <v>24789.300000000003</v>
      </c>
      <c r="U144" s="21">
        <f t="shared" si="65"/>
        <v>19499.099999999999</v>
      </c>
      <c r="V144" s="21">
        <f t="shared" si="65"/>
        <v>16036.8</v>
      </c>
      <c r="W144" s="21">
        <f t="shared" si="65"/>
        <v>24496</v>
      </c>
      <c r="X144" s="21">
        <f t="shared" si="65"/>
        <v>15118.2</v>
      </c>
      <c r="Y144" s="21">
        <f t="shared" si="65"/>
        <v>21670.6</v>
      </c>
      <c r="Z144" s="21">
        <f t="shared" si="65"/>
        <v>33113.83</v>
      </c>
      <c r="AA144" s="21">
        <f t="shared" si="55"/>
        <v>284405.74000000005</v>
      </c>
      <c r="AB144" s="17" t="str">
        <f t="shared" ca="1" si="56"/>
        <v/>
      </c>
      <c r="AD144" s="21">
        <f t="shared" si="57"/>
        <v>443368.64535700006</v>
      </c>
      <c r="AE144" s="17" t="str">
        <f t="shared" ca="1" si="58"/>
        <v/>
      </c>
      <c r="AF144" s="50">
        <f t="shared" si="59"/>
        <v>-158962.90535700001</v>
      </c>
      <c r="AG144" s="21">
        <f t="shared" si="60"/>
        <v>304142.31</v>
      </c>
      <c r="AH144" s="17" t="str">
        <f t="shared" ca="1" si="61"/>
        <v/>
      </c>
      <c r="AI144" s="50">
        <f t="shared" si="62"/>
        <v>-19736.569999999949</v>
      </c>
    </row>
    <row r="145" spans="3:35" x14ac:dyDescent="0.25">
      <c r="C145" s="32"/>
      <c r="H145" s="149" t="s">
        <v>271</v>
      </c>
      <c r="I145" s="161"/>
      <c r="J145" s="161"/>
      <c r="L145" s="162" t="e">
        <f ca="1">_xll.EVPRO($B$1,H145,"JDEID")</f>
        <v>#NAME?</v>
      </c>
      <c r="M145" s="162" t="str">
        <f>IF(AND(I145="N",J145="N"),_xll.EVPRO($B$1,H145,"PSFTID"),"")</f>
        <v/>
      </c>
      <c r="N145" s="162" t="e">
        <f ca="1">IF(_xll.EVDES(H145,$B$1)="#NODATA","",_xll.EVDES(H145,$B$1))</f>
        <v>#NAME?</v>
      </c>
      <c r="O145" s="21">
        <f t="shared" ref="O145:Z145" si="66">O119+O128+O137</f>
        <v>0</v>
      </c>
      <c r="P145" s="21">
        <f t="shared" si="66"/>
        <v>0</v>
      </c>
      <c r="Q145" s="21">
        <f t="shared" si="66"/>
        <v>0</v>
      </c>
      <c r="R145" s="21">
        <f t="shared" si="66"/>
        <v>0</v>
      </c>
      <c r="S145" s="21">
        <f t="shared" si="66"/>
        <v>0</v>
      </c>
      <c r="T145" s="21">
        <f t="shared" si="66"/>
        <v>0</v>
      </c>
      <c r="U145" s="21">
        <f t="shared" si="66"/>
        <v>0</v>
      </c>
      <c r="V145" s="21">
        <f t="shared" si="66"/>
        <v>0</v>
      </c>
      <c r="W145" s="21">
        <f t="shared" si="66"/>
        <v>0</v>
      </c>
      <c r="X145" s="21">
        <f t="shared" si="66"/>
        <v>0</v>
      </c>
      <c r="Y145" s="21">
        <f t="shared" si="66"/>
        <v>0</v>
      </c>
      <c r="Z145" s="21">
        <f t="shared" si="66"/>
        <v>0</v>
      </c>
      <c r="AA145" s="21">
        <f t="shared" si="55"/>
        <v>0</v>
      </c>
      <c r="AB145" s="17" t="str">
        <f t="shared" si="56"/>
        <v/>
      </c>
      <c r="AD145" s="21">
        <f t="shared" si="57"/>
        <v>0</v>
      </c>
      <c r="AE145" s="17" t="str">
        <f t="shared" si="58"/>
        <v/>
      </c>
      <c r="AF145" s="50">
        <f t="shared" si="59"/>
        <v>0</v>
      </c>
      <c r="AG145" s="21">
        <f t="shared" si="60"/>
        <v>0</v>
      </c>
      <c r="AH145" s="17" t="str">
        <f t="shared" si="61"/>
        <v/>
      </c>
      <c r="AI145" s="50">
        <f t="shared" si="62"/>
        <v>0</v>
      </c>
    </row>
    <row r="146" spans="3:35" x14ac:dyDescent="0.25">
      <c r="C146" s="32"/>
      <c r="H146" s="149" t="s">
        <v>811</v>
      </c>
      <c r="I146" s="161"/>
      <c r="J146" s="161"/>
      <c r="L146" s="162" t="e">
        <f ca="1">_xll.EVPRO($B$1,H146,"JDEID")</f>
        <v>#NAME?</v>
      </c>
      <c r="M146" s="162" t="str">
        <f>IF(AND(I146="N",J146="N"),_xll.EVPRO($B$1,H146,"PSFTID"),"")</f>
        <v/>
      </c>
      <c r="N146" s="162" t="e">
        <f ca="1">IF(_xll.EVDES(H146,$B$1)="#NODATA","",_xll.EVDES(H146,$B$1))</f>
        <v>#NAME?</v>
      </c>
      <c r="O146" s="21">
        <f t="shared" ref="O146:Z146" si="67">O120+O129+O138</f>
        <v>0</v>
      </c>
      <c r="P146" s="21">
        <f t="shared" si="67"/>
        <v>0</v>
      </c>
      <c r="Q146" s="21">
        <f t="shared" si="67"/>
        <v>2338</v>
      </c>
      <c r="R146" s="21">
        <f t="shared" si="67"/>
        <v>850</v>
      </c>
      <c r="S146" s="21">
        <f t="shared" si="67"/>
        <v>0</v>
      </c>
      <c r="T146" s="21">
        <f t="shared" si="67"/>
        <v>0</v>
      </c>
      <c r="U146" s="21">
        <f t="shared" si="67"/>
        <v>0</v>
      </c>
      <c r="V146" s="21">
        <f t="shared" si="67"/>
        <v>0</v>
      </c>
      <c r="W146" s="21">
        <f t="shared" si="67"/>
        <v>144</v>
      </c>
      <c r="X146" s="21">
        <f t="shared" si="67"/>
        <v>0</v>
      </c>
      <c r="Y146" s="21">
        <f t="shared" si="67"/>
        <v>4968</v>
      </c>
      <c r="Z146" s="21">
        <f t="shared" si="67"/>
        <v>4276.96</v>
      </c>
      <c r="AA146" s="21">
        <f t="shared" si="55"/>
        <v>12576.96</v>
      </c>
      <c r="AB146" s="17" t="str">
        <f t="shared" ca="1" si="56"/>
        <v/>
      </c>
      <c r="AD146" s="21">
        <f t="shared" si="57"/>
        <v>1873.3490000000002</v>
      </c>
      <c r="AE146" s="17" t="str">
        <f t="shared" ca="1" si="58"/>
        <v/>
      </c>
      <c r="AF146" s="50">
        <f t="shared" si="59"/>
        <v>10703.610999999999</v>
      </c>
      <c r="AG146" s="21">
        <f t="shared" si="60"/>
        <v>794</v>
      </c>
      <c r="AH146" s="17" t="str">
        <f ca="1">IF(AG146=0,"",IFERROR(AG146/AG$19,""))</f>
        <v/>
      </c>
      <c r="AI146" s="50">
        <f>IF(AND($AA146="",AG146=""),"",$AA146-AG146)</f>
        <v>11782.96</v>
      </c>
    </row>
    <row r="147" spans="3:35" x14ac:dyDescent="0.25">
      <c r="C147" s="32"/>
      <c r="H147" s="149" t="s">
        <v>351</v>
      </c>
      <c r="I147" s="161"/>
      <c r="J147" s="161"/>
      <c r="L147" s="162" t="e">
        <f ca="1">_xll.EVPRO($B$1,H147,"JDEID")</f>
        <v>#NAME?</v>
      </c>
      <c r="M147" s="162" t="str">
        <f>IF(AND(I147="N",J147="N"),_xll.EVPRO($B$1,H147,"PSFTID"),"")</f>
        <v/>
      </c>
      <c r="N147" s="162" t="e">
        <f ca="1">IF(_xll.EVDES(H147,$B$1)="#NODATA","",_xll.EVDES(H147,$B$1))</f>
        <v>#NAME?</v>
      </c>
      <c r="O147" s="21">
        <f t="shared" ref="O147:Z147" si="68">O96</f>
        <v>2412.34</v>
      </c>
      <c r="P147" s="21">
        <f t="shared" si="68"/>
        <v>2979.96</v>
      </c>
      <c r="Q147" s="21">
        <f t="shared" si="68"/>
        <v>4543</v>
      </c>
      <c r="R147" s="21">
        <f t="shared" si="68"/>
        <v>2210.63</v>
      </c>
      <c r="S147" s="21">
        <f t="shared" si="68"/>
        <v>2956</v>
      </c>
      <c r="T147" s="21">
        <f t="shared" si="68"/>
        <v>2486</v>
      </c>
      <c r="U147" s="21">
        <f t="shared" si="68"/>
        <v>2531.31</v>
      </c>
      <c r="V147" s="21">
        <f t="shared" si="68"/>
        <v>2954.78</v>
      </c>
      <c r="W147" s="21">
        <f t="shared" si="68"/>
        <v>2044.38</v>
      </c>
      <c r="X147" s="21">
        <f t="shared" si="68"/>
        <v>2888</v>
      </c>
      <c r="Y147" s="21">
        <f t="shared" si="68"/>
        <v>2261.89</v>
      </c>
      <c r="Z147" s="21">
        <f t="shared" si="68"/>
        <v>5406</v>
      </c>
      <c r="AA147" s="21">
        <f t="shared" si="55"/>
        <v>35674.29</v>
      </c>
      <c r="AB147" s="17" t="str">
        <f t="shared" ca="1" si="56"/>
        <v/>
      </c>
      <c r="AD147" s="21">
        <f>AD96</f>
        <v>33002.400000000001</v>
      </c>
      <c r="AE147" s="17" t="str">
        <f t="shared" ca="1" si="58"/>
        <v/>
      </c>
      <c r="AF147" s="50">
        <f t="shared" si="59"/>
        <v>2671.8899999999994</v>
      </c>
      <c r="AG147" s="21">
        <f>AG96</f>
        <v>12618.35</v>
      </c>
      <c r="AH147" s="17" t="str">
        <f ca="1">IF(AG147=0,"",IFERROR(AG147/AG$19,""))</f>
        <v/>
      </c>
      <c r="AI147" s="50">
        <f t="shared" si="62"/>
        <v>23055.940000000002</v>
      </c>
    </row>
    <row r="148" spans="3:35" x14ac:dyDescent="0.25">
      <c r="C148" s="32"/>
      <c r="H148" s="15" t="s">
        <v>272</v>
      </c>
      <c r="I148" s="161"/>
      <c r="J148" s="161"/>
      <c r="L148" s="162" t="e">
        <f ca="1">_xll.EVPRO($B$1,H148,"JDEID")</f>
        <v>#NAME?</v>
      </c>
      <c r="M148" s="162" t="str">
        <f>IF(AND(I148="N",J148="N"),_xll.EVPRO($B$1,H148,"PSFTID"),"")</f>
        <v/>
      </c>
      <c r="N148" s="25" t="e">
        <f ca="1">IF(_xll.EVDES(H148,$B$1)="#NODATA","",_xll.EVDES(H148,$B$1))</f>
        <v>#NAME?</v>
      </c>
      <c r="O148" s="164">
        <f t="shared" ref="O148:Z148" si="69">SUM(O141:O147)</f>
        <v>65675.22</v>
      </c>
      <c r="P148" s="164">
        <f t="shared" si="69"/>
        <v>71402.780000000013</v>
      </c>
      <c r="Q148" s="164">
        <f t="shared" si="69"/>
        <v>76244.28</v>
      </c>
      <c r="R148" s="164">
        <f t="shared" si="69"/>
        <v>55713.43</v>
      </c>
      <c r="S148" s="164">
        <f t="shared" si="69"/>
        <v>61149.599999999999</v>
      </c>
      <c r="T148" s="164">
        <f t="shared" si="69"/>
        <v>50838.8</v>
      </c>
      <c r="U148" s="164">
        <f t="shared" si="69"/>
        <v>44543.929999999993</v>
      </c>
      <c r="V148" s="164">
        <f t="shared" si="69"/>
        <v>38164.57</v>
      </c>
      <c r="W148" s="164">
        <f t="shared" si="69"/>
        <v>39840.18</v>
      </c>
      <c r="X148" s="164">
        <f t="shared" si="69"/>
        <v>33481.5</v>
      </c>
      <c r="Y148" s="164">
        <f t="shared" si="69"/>
        <v>43335.69</v>
      </c>
      <c r="Z148" s="164">
        <f t="shared" si="69"/>
        <v>55340.47</v>
      </c>
      <c r="AA148" s="164">
        <f t="shared" si="55"/>
        <v>635730.44999999995</v>
      </c>
      <c r="AB148" s="175" t="str">
        <f t="shared" ca="1" si="56"/>
        <v/>
      </c>
      <c r="AD148" s="164">
        <f>SUM(AD141:AD147)</f>
        <v>1171788.26927</v>
      </c>
      <c r="AE148" s="175" t="str">
        <f t="shared" ca="1" si="58"/>
        <v/>
      </c>
      <c r="AF148" s="165">
        <f t="shared" si="59"/>
        <v>-536057.81927000009</v>
      </c>
      <c r="AG148" s="164">
        <f>SUM(AG141:AG147)</f>
        <v>733117.29999999993</v>
      </c>
      <c r="AH148" s="175" t="str">
        <f t="shared" ca="1" si="61"/>
        <v/>
      </c>
      <c r="AI148" s="165">
        <f t="shared" si="62"/>
        <v>-97386.849999999977</v>
      </c>
    </row>
    <row r="149" spans="3:35" x14ac:dyDescent="0.25">
      <c r="C149" s="32"/>
      <c r="H149" s="149"/>
      <c r="I149" s="161"/>
      <c r="J149" s="161"/>
      <c r="O149" s="41"/>
      <c r="P149" s="45"/>
      <c r="Q149" s="45"/>
      <c r="R149" s="45"/>
      <c r="S149" s="45"/>
      <c r="T149" s="45"/>
      <c r="U149" s="45"/>
      <c r="V149" s="45"/>
      <c r="W149" s="45"/>
      <c r="X149" s="45"/>
      <c r="Y149" s="45"/>
      <c r="Z149" s="45"/>
      <c r="AA149" s="45"/>
      <c r="AB149" s="42"/>
      <c r="AD149" s="41"/>
      <c r="AE149" s="45"/>
      <c r="AF149" s="42"/>
      <c r="AG149" s="41"/>
      <c r="AH149" s="45"/>
      <c r="AI149" s="42"/>
    </row>
    <row r="150" spans="3:35" x14ac:dyDescent="0.25">
      <c r="C150" s="32"/>
      <c r="H150" s="149"/>
      <c r="I150" s="161"/>
      <c r="J150" s="161"/>
      <c r="O150" s="43"/>
      <c r="P150" s="46"/>
      <c r="Q150" s="46"/>
      <c r="R150" s="46"/>
      <c r="S150" s="46"/>
      <c r="T150" s="46"/>
      <c r="U150" s="46"/>
      <c r="V150" s="46"/>
      <c r="W150" s="46"/>
      <c r="X150" s="46"/>
      <c r="Y150" s="46"/>
      <c r="Z150" s="46"/>
      <c r="AA150" s="46"/>
      <c r="AB150" s="44"/>
      <c r="AD150" s="43"/>
      <c r="AE150" s="46"/>
      <c r="AF150" s="44"/>
      <c r="AG150" s="43"/>
      <c r="AH150" s="46"/>
      <c r="AI150" s="44"/>
    </row>
    <row r="151" spans="3:35" ht="15" customHeight="1" x14ac:dyDescent="0.25">
      <c r="C151" s="32"/>
      <c r="H151" s="149" t="s">
        <v>281</v>
      </c>
      <c r="I151" s="161"/>
      <c r="J151" s="161"/>
      <c r="N151" s="174" t="e">
        <f ca="1">IF(_xll.EVDES(H151,$B$1)="#NODATA","",_xll.EVDES(H151,$B$1))</f>
        <v>#NAME?</v>
      </c>
      <c r="O151" s="464"/>
      <c r="P151" s="466"/>
      <c r="Q151" s="466"/>
      <c r="R151" s="466"/>
      <c r="S151" s="466"/>
      <c r="T151" s="466"/>
      <c r="U151" s="466"/>
      <c r="V151" s="466"/>
      <c r="W151" s="466"/>
      <c r="X151" s="466"/>
      <c r="Y151" s="466"/>
      <c r="Z151" s="466"/>
      <c r="AA151" s="466"/>
      <c r="AB151" s="465"/>
      <c r="AD151" s="464"/>
      <c r="AE151" s="466"/>
      <c r="AF151" s="466"/>
      <c r="AG151" s="466"/>
      <c r="AH151" s="466"/>
      <c r="AI151" s="465"/>
    </row>
    <row r="152" spans="3:35" x14ac:dyDescent="0.25">
      <c r="C152" s="32"/>
      <c r="H152" s="149">
        <v>561100</v>
      </c>
      <c r="I152" s="161"/>
      <c r="J152" s="161"/>
      <c r="L152" s="162" t="e">
        <f ca="1">_xll.EVPRO($B$1,H152,"JDEID")</f>
        <v>#NAME?</v>
      </c>
      <c r="M152" s="162" t="str">
        <f>IF(AND(I152="N",J152="N"),_xll.EVPRO($B$1,H152,"PSFTID"),"")</f>
        <v/>
      </c>
      <c r="N152" s="162" t="e">
        <f ca="1">IF(_xll.EVDES(H152,$B$1)="#NODATA","",_xll.EVDES(H152,$B$1))</f>
        <v>#NAME?</v>
      </c>
      <c r="O152" s="21">
        <v>33813.67</v>
      </c>
      <c r="P152" s="21">
        <v>33664.14</v>
      </c>
      <c r="Q152" s="21">
        <v>33197.040000000001</v>
      </c>
      <c r="R152" s="21">
        <v>26118.35</v>
      </c>
      <c r="S152" s="21">
        <v>24604.37</v>
      </c>
      <c r="T152" s="21">
        <v>20973.57</v>
      </c>
      <c r="U152" s="21">
        <v>20449.259999999998</v>
      </c>
      <c r="V152" s="21">
        <v>20667</v>
      </c>
      <c r="W152" s="21">
        <v>12715.37</v>
      </c>
      <c r="X152" s="21">
        <v>17706.330000000002</v>
      </c>
      <c r="Y152" s="21">
        <v>16359.76</v>
      </c>
      <c r="Z152" s="21">
        <v>30452.3</v>
      </c>
      <c r="AA152" s="21">
        <f>SUM(O152:Z152)</f>
        <v>290721.16000000003</v>
      </c>
      <c r="AB152" s="311" t="str">
        <f ca="1">IF(AA152=0,"",IFERROR(AA152/_xll.EVGTS($B$1,1,_xll.EVPRO($B$1,$H152,"COSBASIS"),$B$3,$B$5,$B$6,$B$7,$B$9,AA$16,AA$17,AA$11),""))</f>
        <v/>
      </c>
      <c r="AD152" s="21">
        <v>521880.72377500002</v>
      </c>
      <c r="AE152" s="311" t="str">
        <f ca="1">IF(AD152=0,"",IFERROR(AD152/_xll.EVGTS($B$1,1,_xll.EVPRO($B$1,$H152,"COSBASIS"),$B$3,$B$5,$B$6,$B$7,$B$9,AD$16,AD$17,AD$18),""))</f>
        <v/>
      </c>
      <c r="AF152" s="50">
        <f t="shared" ref="AF152:AF157" si="70">IF(AND($AA152="",AD152=""),"",$AA152-AD152)</f>
        <v>-231159.56377499999</v>
      </c>
      <c r="AG152" s="21">
        <v>387970.63</v>
      </c>
      <c r="AH152" s="311" t="str">
        <f ca="1">IF(AG152=0,"",IFERROR(AG152/_xll.EVGTS($B$1,1,_xll.EVPRO($B$1,$H152,"COSBASIS"),$B$3,$B$5,$B$6,$B$7,$B$9,AG$16,AG$17,AG$18),""))</f>
        <v/>
      </c>
      <c r="AI152" s="50">
        <f t="shared" ref="AI152:AI167" si="71">IF(AND($AA152="",AG152=""),"",$AA152-AG152)</f>
        <v>-97249.469999999972</v>
      </c>
    </row>
    <row r="153" spans="3:35" x14ac:dyDescent="0.25">
      <c r="C153" s="32"/>
      <c r="H153" s="149" t="s">
        <v>756</v>
      </c>
      <c r="I153" s="161"/>
      <c r="J153" s="161"/>
      <c r="L153" s="162" t="e">
        <f ca="1">_xll.EVPRO($B$1,H153,"JDEID")</f>
        <v>#NAME?</v>
      </c>
      <c r="M153" s="162" t="str">
        <f>IF(AND(I153="N",J153="N"),_xll.EVPRO($B$1,H153,"PSFTID"),"")</f>
        <v/>
      </c>
      <c r="N153" s="467" t="e">
        <f ca="1">IF(_xll.EVDES(H153,$B$1)="#NODATA","",_xll.EVDES(H153,$B$1))</f>
        <v>#NAME?</v>
      </c>
      <c r="O153" s="172">
        <v>0.241763073022112</v>
      </c>
      <c r="P153" s="172">
        <v>0.29073503563700298</v>
      </c>
      <c r="Q153" s="172">
        <v>0.29038711091108799</v>
      </c>
      <c r="R153" s="172">
        <v>0.30531026778173498</v>
      </c>
      <c r="S153" s="172">
        <v>0.30240961678601302</v>
      </c>
      <c r="T153" s="172">
        <v>0.28240990779007602</v>
      </c>
      <c r="U153" s="172">
        <v>0.30883561587976899</v>
      </c>
      <c r="V153" s="172">
        <v>0.33894135561782102</v>
      </c>
      <c r="W153" s="172">
        <v>0.24887159636648301</v>
      </c>
      <c r="X153" s="172">
        <v>0.30362496345370799</v>
      </c>
      <c r="Y153" s="172">
        <v>0.28709795167698499</v>
      </c>
      <c r="Z153" s="172">
        <v>0.27638639511992003</v>
      </c>
      <c r="AA153" s="172">
        <v>0.28645073525182202</v>
      </c>
      <c r="AB153" s="311"/>
      <c r="AD153" s="172">
        <v>0.29754259030397301</v>
      </c>
      <c r="AE153" s="311"/>
      <c r="AF153" s="468">
        <f t="shared" si="70"/>
        <v>-1.109185505215099E-2</v>
      </c>
      <c r="AG153" s="172">
        <v>0.31827253756927698</v>
      </c>
      <c r="AH153" s="311"/>
      <c r="AI153" s="468">
        <f t="shared" si="71"/>
        <v>-3.1821802317454961E-2</v>
      </c>
    </row>
    <row r="154" spans="3:35" x14ac:dyDescent="0.25">
      <c r="C154" s="32"/>
      <c r="H154" s="149" t="s">
        <v>770</v>
      </c>
      <c r="I154" s="161"/>
      <c r="J154" s="161"/>
      <c r="L154" s="162" t="e">
        <f ca="1">_xll.EVPRO($B$1,H154,"JDEID")</f>
        <v>#NAME?</v>
      </c>
      <c r="M154" s="162" t="str">
        <f>IF(AND(I154="N",J154="N"),_xll.EVPRO($B$1,H154,"PSFTID"),"")</f>
        <v/>
      </c>
      <c r="N154" s="162" t="e">
        <f ca="1">IF(_xll.EVDES(H154,$B$1)="#NODATA","",_xll.EVDES(H154,$B$1))</f>
        <v>#NAME?</v>
      </c>
      <c r="O154" s="21">
        <v>33189.339999999997</v>
      </c>
      <c r="P154" s="21">
        <v>32851.760000000002</v>
      </c>
      <c r="Q154" s="21">
        <v>32355.15</v>
      </c>
      <c r="R154" s="21">
        <v>25786.65</v>
      </c>
      <c r="S154" s="21">
        <v>23857.71</v>
      </c>
      <c r="T154" s="21">
        <v>20466.060000000001</v>
      </c>
      <c r="U154" s="21">
        <v>19574.240000000002</v>
      </c>
      <c r="V154" s="21">
        <v>19937.490000000002</v>
      </c>
      <c r="W154" s="21">
        <v>12078.16</v>
      </c>
      <c r="X154" s="21">
        <v>16463.62</v>
      </c>
      <c r="Y154" s="21">
        <v>15884.91</v>
      </c>
      <c r="Z154" s="21">
        <v>29886.81</v>
      </c>
      <c r="AA154" s="21">
        <f>SUM(O154:Z154)</f>
        <v>282331.89999999997</v>
      </c>
      <c r="AB154" s="311" t="str">
        <f ca="1">IF(AA154=0,"",IFERROR(AA154/_xll.EVGTS($B$1,1,_xll.EVPRO($B$1,$H154,"COSBASIS"),$B$3,$B$5,$B$6,$B$7,$B$9,AA$16,AA$17,AA$11),""))</f>
        <v/>
      </c>
      <c r="AD154" s="21">
        <v>504415.34</v>
      </c>
      <c r="AE154" s="311" t="str">
        <f ca="1">IF(AD154=0,"",IFERROR(AD154/_xll.EVGTS($B$1,1,_xll.EVPRO($B$1,$H154,"COSBASIS"),$B$3,$B$5,$B$6,$B$7,$B$9,AD$16,AD$17,AD$18),""))</f>
        <v/>
      </c>
      <c r="AF154" s="50">
        <f t="shared" si="70"/>
        <v>-222083.44000000006</v>
      </c>
      <c r="AG154" s="21">
        <v>374560.41</v>
      </c>
      <c r="AH154" s="311" t="str">
        <f ca="1">IF(AG154=0,"",IFERROR(AG154/_xll.EVGTS($B$1,1,_xll.EVPRO($B$1,$H154,"COSBASIS"),$B$3,$B$5,$B$6,$B$7,$B$9,AG$16,AG$17,AG$18),""))</f>
        <v/>
      </c>
      <c r="AI154" s="50">
        <f>IF(AND($AA154="",AG154=""),"",$AA154-AG154)</f>
        <v>-92228.510000000009</v>
      </c>
    </row>
    <row r="155" spans="3:35" x14ac:dyDescent="0.25">
      <c r="C155" s="32"/>
      <c r="H155" s="149" t="s">
        <v>771</v>
      </c>
      <c r="I155" s="161"/>
      <c r="J155" s="161"/>
      <c r="L155" s="162" t="e">
        <f ca="1">_xll.EVPRO($B$1,H155,"JDEID")</f>
        <v>#NAME?</v>
      </c>
      <c r="M155" s="162" t="str">
        <f>IF(AND(I155="N",J155="N"),_xll.EVPRO($B$1,H155,"PSFTID"),"")</f>
        <v/>
      </c>
      <c r="N155" s="467" t="e">
        <f ca="1">IF(_xll.EVDES(H155,$B$1)="#NODATA","",_xll.EVDES(H155,$B$1))</f>
        <v>#NAME?</v>
      </c>
      <c r="O155" s="172">
        <v>0.24230776194581299</v>
      </c>
      <c r="P155" s="172">
        <v>0.29045169759701001</v>
      </c>
      <c r="Q155" s="172">
        <v>0.29096632657053001</v>
      </c>
      <c r="R155" s="172">
        <v>0.30811603491686601</v>
      </c>
      <c r="S155" s="172">
        <v>0.30286843686097598</v>
      </c>
      <c r="T155" s="172">
        <v>0.28785133378743899</v>
      </c>
      <c r="U155" s="172">
        <v>0.31452621193703501</v>
      </c>
      <c r="V155" s="172">
        <v>0.341359428758787</v>
      </c>
      <c r="W155" s="172">
        <v>0.24691084445129499</v>
      </c>
      <c r="X155" s="172">
        <v>0.29464585485421602</v>
      </c>
      <c r="Y155" s="172">
        <v>0.29078755638216902</v>
      </c>
      <c r="Z155" s="172">
        <v>0.27388394127426202</v>
      </c>
      <c r="AA155" s="172">
        <v>0.28691611368301501</v>
      </c>
      <c r="AB155" s="311"/>
      <c r="AD155" s="172">
        <v>0.29910842060047399</v>
      </c>
      <c r="AE155" s="311"/>
      <c r="AF155" s="468">
        <f t="shared" si="70"/>
        <v>-1.2192306917458984E-2</v>
      </c>
      <c r="AG155" s="172">
        <v>0.32126201110639402</v>
      </c>
      <c r="AH155" s="311"/>
      <c r="AI155" s="468">
        <f>IF(AND($AA155="",AG155=""),"",$AA155-AG155)</f>
        <v>-3.4345897423379013E-2</v>
      </c>
    </row>
    <row r="156" spans="3:35" x14ac:dyDescent="0.25">
      <c r="C156" s="32"/>
      <c r="H156" s="473">
        <v>567100</v>
      </c>
      <c r="I156" s="161"/>
      <c r="J156" s="161"/>
      <c r="L156" s="162" t="e">
        <f ca="1">_xll.EVPRO($B$1,H156,"JDEID")</f>
        <v>#NAME?</v>
      </c>
      <c r="M156" s="162" t="str">
        <f>IF(AND(I156="N",J156="N"),_xll.EVPRO($B$1,H156,"PSFTID"),"")</f>
        <v/>
      </c>
      <c r="N156" s="162" t="e">
        <f ca="1">IF(_xll.EVDES(H156,$B$1)="#NODATA","",_xll.EVDES(H156,$B$1))</f>
        <v>#NAME?</v>
      </c>
      <c r="O156" s="21">
        <v>624.33000000000004</v>
      </c>
      <c r="P156" s="21">
        <v>812.38</v>
      </c>
      <c r="Q156" s="21">
        <v>841.89</v>
      </c>
      <c r="R156" s="21">
        <v>331.7</v>
      </c>
      <c r="S156" s="21">
        <v>746.66</v>
      </c>
      <c r="T156" s="21">
        <v>507.51</v>
      </c>
      <c r="U156" s="21">
        <v>875.02</v>
      </c>
      <c r="V156" s="21">
        <v>729.51</v>
      </c>
      <c r="W156" s="21">
        <v>637.21</v>
      </c>
      <c r="X156" s="21">
        <v>1242.71</v>
      </c>
      <c r="Y156" s="21">
        <v>474.85</v>
      </c>
      <c r="Z156" s="21">
        <v>565.49</v>
      </c>
      <c r="AA156" s="21">
        <f>SUM(O156:Z156)</f>
        <v>8389.26</v>
      </c>
      <c r="AB156" s="311" t="str">
        <f ca="1">IF(AA156=0,"",IFERROR(AA156/_xll.EVGTS($B$1,1,_xll.EVPRO($B$1,$H156,"COSBASIS"),$B$3,$B$5,$B$6,$B$7,$B$9,AA$16,AA$17,AA$11),""))</f>
        <v/>
      </c>
      <c r="AD156" s="21">
        <v>17465.383774999998</v>
      </c>
      <c r="AE156" s="311" t="str">
        <f ca="1">IF(AD156=0,"",IFERROR(AD156/_xll.EVGTS($B$1,1,_xll.EVPRO($B$1,$H156,"COSBASIS"),$B$3,$B$5,$B$6,$B$7,$B$9,AD$16,AD$17,AD$18),""))</f>
        <v/>
      </c>
      <c r="AF156" s="50">
        <f t="shared" si="70"/>
        <v>-9076.1237749999982</v>
      </c>
      <c r="AG156" s="21">
        <v>13410.22</v>
      </c>
      <c r="AH156" s="311" t="str">
        <f ca="1">IF(AG156=0,"",IFERROR(AG156/_xll.EVGTS($B$1,1,_xll.EVPRO($B$1,$H156,"COSBASIS"),$B$3,$B$5,$B$6,$B$7,$B$9,AG$16,AG$17,AG$18),""))</f>
        <v/>
      </c>
      <c r="AI156" s="50">
        <f>IF(AND($AA156="",AG156=""),"",$AA156-AG156)</f>
        <v>-5020.9599999999991</v>
      </c>
    </row>
    <row r="157" spans="3:35" x14ac:dyDescent="0.25">
      <c r="C157" s="32"/>
      <c r="H157" s="149" t="s">
        <v>772</v>
      </c>
      <c r="I157" s="161"/>
      <c r="J157" s="161"/>
      <c r="L157" s="162" t="e">
        <f ca="1">_xll.EVPRO($B$1,H157,"JDEID")</f>
        <v>#NAME?</v>
      </c>
      <c r="M157" s="162" t="str">
        <f>IF(AND(I157="N",J157="N"),_xll.EVPRO($B$1,H157,"PSFTID"),"")</f>
        <v/>
      </c>
      <c r="N157" s="467" t="e">
        <f ca="1">IF(_xll.EVDES(H157,$B$1)="#NODATA","",_xll.EVDES(H157,$B$1))</f>
        <v>#NAME?</v>
      </c>
      <c r="O157" s="172">
        <v>0.215956416464891</v>
      </c>
      <c r="P157" s="172">
        <v>0.30267511177347201</v>
      </c>
      <c r="Q157" s="172">
        <v>0.26975008010253099</v>
      </c>
      <c r="R157" s="172">
        <v>0.178761014254534</v>
      </c>
      <c r="S157" s="172">
        <v>0.28844720016997899</v>
      </c>
      <c r="T157" s="172">
        <v>0.16024944742658701</v>
      </c>
      <c r="U157" s="172">
        <v>0.21985371896050501</v>
      </c>
      <c r="V157" s="172">
        <v>0.28396652393927602</v>
      </c>
      <c r="W157" s="172">
        <v>0.292970114942529</v>
      </c>
      <c r="X157" s="172">
        <v>0.50920511864420703</v>
      </c>
      <c r="Y157" s="172">
        <v>0.20154923599320901</v>
      </c>
      <c r="Z157" s="172">
        <v>0.53448960302457504</v>
      </c>
      <c r="AA157" s="172">
        <v>0.27162366928277298</v>
      </c>
      <c r="AB157" s="311"/>
      <c r="AD157" s="172">
        <v>0.258464986644173</v>
      </c>
      <c r="AE157" s="311"/>
      <c r="AF157" s="468">
        <f t="shared" si="70"/>
        <v>1.3158682638599983E-2</v>
      </c>
      <c r="AG157" s="172">
        <v>0.25261549764059898</v>
      </c>
      <c r="AH157" s="311"/>
      <c r="AI157" s="468">
        <f>IF(AND($AA157="",AG157=""),"",$AA157-AG157)</f>
        <v>1.9008171642173999E-2</v>
      </c>
    </row>
    <row r="158" spans="3:35" x14ac:dyDescent="0.25">
      <c r="C158" s="32"/>
      <c r="H158" s="149"/>
      <c r="I158" s="161"/>
      <c r="J158" s="161"/>
      <c r="L158" s="162"/>
      <c r="M158" s="162"/>
      <c r="N158" s="467"/>
      <c r="O158" s="471"/>
      <c r="P158" s="466"/>
      <c r="Q158" s="466"/>
      <c r="R158" s="466"/>
      <c r="S158" s="466"/>
      <c r="T158" s="466"/>
      <c r="U158" s="466"/>
      <c r="V158" s="466"/>
      <c r="W158" s="466"/>
      <c r="X158" s="466"/>
      <c r="Y158" s="466"/>
      <c r="Z158" s="466"/>
      <c r="AA158" s="466"/>
      <c r="AB158" s="472"/>
      <c r="AD158" s="471"/>
      <c r="AE158" s="466"/>
      <c r="AF158" s="466"/>
      <c r="AG158" s="466"/>
      <c r="AH158" s="466"/>
      <c r="AI158" s="472"/>
    </row>
    <row r="159" spans="3:35" x14ac:dyDescent="0.25">
      <c r="C159" s="32"/>
      <c r="H159" s="149" t="s">
        <v>636</v>
      </c>
      <c r="I159" s="161"/>
      <c r="J159" s="161"/>
      <c r="L159" s="162" t="e">
        <f ca="1">_xll.EVPRO($B$1,H159,"JDEID")</f>
        <v>#NAME?</v>
      </c>
      <c r="M159" s="162" t="str">
        <f>IF(AND(I159="N",J159="N"),_xll.EVPRO($B$1,H159,"PSFTID"),"")</f>
        <v/>
      </c>
      <c r="N159" s="162" t="e">
        <f ca="1">IF(_xll.EVDES(H159,$B$1)="#NODATA","",_xll.EVDES(H159,$B$1))</f>
        <v>#NAME?</v>
      </c>
      <c r="O159" s="21">
        <v>15701.27</v>
      </c>
      <c r="P159" s="21">
        <v>17081.43</v>
      </c>
      <c r="Q159" s="21">
        <v>16353.95</v>
      </c>
      <c r="R159" s="21">
        <v>9196.76</v>
      </c>
      <c r="S159" s="21">
        <v>14436.97</v>
      </c>
      <c r="T159" s="21">
        <v>9952.7199999999993</v>
      </c>
      <c r="U159" s="21">
        <v>9407.08</v>
      </c>
      <c r="V159" s="21">
        <v>11227.44</v>
      </c>
      <c r="W159" s="21">
        <v>8610.27</v>
      </c>
      <c r="X159" s="21">
        <v>8012.72</v>
      </c>
      <c r="Y159" s="21">
        <v>8162.03</v>
      </c>
      <c r="Z159" s="21">
        <v>11223.91</v>
      </c>
      <c r="AA159" s="21">
        <f>SUM(O159:Z159)</f>
        <v>139366.54999999999</v>
      </c>
      <c r="AB159" s="311" t="str">
        <f ca="1">IF(AA159=0,"",IFERROR(AA159/_xll.EVGTS($B$1,1,_xll.EVPRO($B$1,$H159,"COSBASIS"),$B$3,$B$5,$B$6,$B$7,$B$9,AA$16,AA$17,AA$11),""))</f>
        <v/>
      </c>
      <c r="AD159" s="21">
        <v>239379.02119999999</v>
      </c>
      <c r="AE159" s="311" t="str">
        <f ca="1">IF(AD159=0,"",IFERROR(AD159/_xll.EVGTS($B$1,1,_xll.EVPRO($B$1,$H159,"COSBASIS"),$B$3,$B$5,$B$6,$B$7,$B$9,AD$16,AD$17,AD$18),""))</f>
        <v/>
      </c>
      <c r="AF159" s="50">
        <f t="shared" ref="AF159:AF168" si="72">IF(AND($AA159="",AD159=""),"",$AA159-AD159)</f>
        <v>-100012.4712</v>
      </c>
      <c r="AG159" s="21">
        <v>158740.44</v>
      </c>
      <c r="AH159" s="311" t="str">
        <f ca="1">IF(AG159=0,"",IFERROR(AG159/_xll.EVGTS($B$1,1,_xll.EVPRO($B$1,$H159,"COSBASIS"),$B$3,$B$5,$B$6,$B$7,$B$9,AG$16,AG$17,AG$18),""))</f>
        <v/>
      </c>
      <c r="AI159" s="50">
        <f t="shared" si="71"/>
        <v>-19373.890000000014</v>
      </c>
    </row>
    <row r="160" spans="3:35" x14ac:dyDescent="0.25">
      <c r="C160" s="32"/>
      <c r="H160" s="149" t="s">
        <v>757</v>
      </c>
      <c r="I160" s="161"/>
      <c r="J160" s="161"/>
      <c r="L160" s="162" t="e">
        <f ca="1">_xll.EVPRO($B$1,H160,"JDEID")</f>
        <v>#NAME?</v>
      </c>
      <c r="M160" s="162" t="str">
        <f>IF(AND(I160="N",J160="N"),_xll.EVPRO($B$1,H160,"PSFTID"),"")</f>
        <v/>
      </c>
      <c r="N160" s="467" t="e">
        <f ca="1">IF(_xll.EVDES(H160,$B$1)="#NODATA","",_xll.EVDES(H160,$B$1))</f>
        <v>#NAME?</v>
      </c>
      <c r="O160" s="172">
        <v>0.23907449415472101</v>
      </c>
      <c r="P160" s="172">
        <v>0.239226399868464</v>
      </c>
      <c r="Q160" s="172">
        <v>0.21449412336243501</v>
      </c>
      <c r="R160" s="172">
        <v>0.16507258662767699</v>
      </c>
      <c r="S160" s="172">
        <v>0.236092631840601</v>
      </c>
      <c r="T160" s="172">
        <v>0.195770159799209</v>
      </c>
      <c r="U160" s="172">
        <v>0.211186574691546</v>
      </c>
      <c r="V160" s="172">
        <v>0.29418489452390001</v>
      </c>
      <c r="W160" s="172">
        <v>0.216120258492808</v>
      </c>
      <c r="X160" s="172">
        <v>0.23931783223571201</v>
      </c>
      <c r="Y160" s="172">
        <v>0.18834429542947201</v>
      </c>
      <c r="Z160" s="172">
        <v>0.20281558866413699</v>
      </c>
      <c r="AA160" s="172">
        <v>0.21922270673050201</v>
      </c>
      <c r="AB160" s="311"/>
      <c r="AD160" s="172">
        <v>0.20428521728513999</v>
      </c>
      <c r="AE160" s="311"/>
      <c r="AF160" s="468">
        <f t="shared" si="72"/>
        <v>1.4937489445362023E-2</v>
      </c>
      <c r="AG160" s="172">
        <v>0.216528023550938</v>
      </c>
      <c r="AH160" s="311"/>
      <c r="AI160" s="468">
        <f t="shared" si="71"/>
        <v>2.6946831795640058E-3</v>
      </c>
    </row>
    <row r="161" spans="3:35" x14ac:dyDescent="0.25">
      <c r="C161" s="32"/>
      <c r="H161" s="149" t="s">
        <v>755</v>
      </c>
      <c r="I161" s="161"/>
      <c r="J161" s="161"/>
      <c r="L161" s="162" t="e">
        <f ca="1">_xll.EVPRO($B$1,H161,"JDEID")</f>
        <v>#NAME?</v>
      </c>
      <c r="M161" s="162" t="str">
        <f>IF(AND(I161="N",J161="N"),_xll.EVPRO($B$1,H161,"PSFTID"),"")</f>
        <v/>
      </c>
      <c r="N161" s="162" t="e">
        <f ca="1">IF(_xll.EVDES(H161,$B$1)="#NODATA","",_xll.EVDES(H161,$B$1))</f>
        <v>#NAME?</v>
      </c>
      <c r="O161" s="21">
        <v>7850.72</v>
      </c>
      <c r="P161" s="21">
        <v>11450.84</v>
      </c>
      <c r="Q161" s="21">
        <v>12019.95</v>
      </c>
      <c r="R161" s="21">
        <v>6167.85</v>
      </c>
      <c r="S161" s="21">
        <v>8463.44</v>
      </c>
      <c r="T161" s="21">
        <v>6000.59</v>
      </c>
      <c r="U161" s="21">
        <v>5660.9</v>
      </c>
      <c r="V161" s="21">
        <v>6864.93</v>
      </c>
      <c r="W161" s="21">
        <v>6674.78</v>
      </c>
      <c r="X161" s="21">
        <v>4835.37</v>
      </c>
      <c r="Y161" s="21">
        <v>4395.7</v>
      </c>
      <c r="Z161" s="21">
        <v>6721.71</v>
      </c>
      <c r="AA161" s="21">
        <f>SUM(O161:Z161)</f>
        <v>87106.78</v>
      </c>
      <c r="AB161" s="311" t="str">
        <f ca="1">IF(AA161=0,"",IFERROR(AA161/_xll.EVGTS($B$1,1,_xll.EVPRO($B$1,$H161,"COSBASIS"),$B$3,$B$5,$B$6,$B$7,$B$9,AA$16,AA$17,AA$11),""))</f>
        <v/>
      </c>
      <c r="AD161" s="21">
        <v>152831.70000000001</v>
      </c>
      <c r="AE161" s="311" t="str">
        <f ca="1">IF(AD161=0,"",IFERROR(AD161/_xll.EVGTS($B$1,1,_xll.EVPRO($B$1,$H161,"COSBASIS"),$B$3,$B$5,$B$6,$B$7,$B$9,AD$16,AD$17,AD$18),""))</f>
        <v/>
      </c>
      <c r="AF161" s="50">
        <f t="shared" si="72"/>
        <v>-65724.920000000013</v>
      </c>
      <c r="AG161" s="21">
        <v>94844.94</v>
      </c>
      <c r="AH161" s="311" t="str">
        <f ca="1">IF(AG161=0,"",IFERROR(AG161/_xll.EVGTS($B$1,1,_xll.EVPRO($B$1,$H161,"COSBASIS"),$B$3,$B$5,$B$6,$B$7,$B$9,AG$16,AG$17,AG$18),""))</f>
        <v/>
      </c>
      <c r="AI161" s="50">
        <f t="shared" si="71"/>
        <v>-7738.1600000000035</v>
      </c>
    </row>
    <row r="162" spans="3:35" x14ac:dyDescent="0.25">
      <c r="C162" s="32"/>
      <c r="H162" s="149" t="s">
        <v>758</v>
      </c>
      <c r="I162" s="161"/>
      <c r="J162" s="161"/>
      <c r="L162" s="162" t="e">
        <f ca="1">_xll.EVPRO($B$1,H162,"JDEID")</f>
        <v>#NAME?</v>
      </c>
      <c r="M162" s="162" t="str">
        <f>IF(AND(I162="N",J162="N"),_xll.EVPRO($B$1,H162,"PSFTID"),"")</f>
        <v/>
      </c>
      <c r="N162" s="467" t="e">
        <f ca="1">IF(_xll.EVDES(H162,$B$1)="#NODATA","",_xll.EVDES(H162,$B$1))</f>
        <v>#NAME?</v>
      </c>
      <c r="O162" s="172">
        <v>0.204580728751354</v>
      </c>
      <c r="P162" s="172">
        <v>0.23684098401140699</v>
      </c>
      <c r="Q162" s="172">
        <v>0.23185943164497</v>
      </c>
      <c r="R162" s="172">
        <v>0.16174068467168201</v>
      </c>
      <c r="S162" s="172">
        <v>0.213451566692896</v>
      </c>
      <c r="T162" s="172">
        <v>0.170972080155227</v>
      </c>
      <c r="U162" s="172">
        <v>0.18107579024137499</v>
      </c>
      <c r="V162" s="172">
        <v>0.27726571615859702</v>
      </c>
      <c r="W162" s="172">
        <v>0.22089486050898499</v>
      </c>
      <c r="X162" s="172">
        <v>0.22571349882833999</v>
      </c>
      <c r="Y162" s="172">
        <v>0.157305582295831</v>
      </c>
      <c r="Z162" s="172">
        <v>0.18978740465397301</v>
      </c>
      <c r="AA162" s="172">
        <v>0.20618537813502499</v>
      </c>
      <c r="AB162" s="311"/>
      <c r="AD162" s="172">
        <v>0.19411247033047899</v>
      </c>
      <c r="AE162" s="311"/>
      <c r="AF162" s="468">
        <f t="shared" si="72"/>
        <v>1.2072907804546007E-2</v>
      </c>
      <c r="AG162" s="172">
        <v>0.191800037156794</v>
      </c>
      <c r="AH162" s="311"/>
      <c r="AI162" s="468">
        <f t="shared" si="71"/>
        <v>1.4385340978230993E-2</v>
      </c>
    </row>
    <row r="163" spans="3:35" x14ac:dyDescent="0.25">
      <c r="C163" s="32"/>
      <c r="H163" s="149">
        <v>561400</v>
      </c>
      <c r="I163" s="161"/>
      <c r="J163" s="161"/>
      <c r="L163" s="162" t="e">
        <f ca="1">_xll.EVPRO($B$1,H163,"JDEID")</f>
        <v>#NAME?</v>
      </c>
      <c r="M163" s="162" t="str">
        <f>IF(AND(I163="N",J163="N"),_xll.EVPRO($B$1,H163,"PSFTID"),"")</f>
        <v/>
      </c>
      <c r="N163" s="162" t="e">
        <f ca="1">IF(_xll.EVDES(H163,$B$1)="#NODATA","",_xll.EVDES(H163,$B$1))</f>
        <v>#NAME?</v>
      </c>
      <c r="O163" s="21">
        <v>2172.7800000000002</v>
      </c>
      <c r="P163" s="21">
        <v>1074.1300000000001</v>
      </c>
      <c r="Q163" s="21">
        <v>1501.56</v>
      </c>
      <c r="R163" s="21">
        <v>1129.47</v>
      </c>
      <c r="S163" s="21">
        <v>2129.38</v>
      </c>
      <c r="T163" s="21">
        <v>782</v>
      </c>
      <c r="U163" s="21">
        <v>921.53</v>
      </c>
      <c r="V163" s="21">
        <v>1231.93</v>
      </c>
      <c r="W163" s="21">
        <v>784.86</v>
      </c>
      <c r="X163" s="21">
        <v>906.57</v>
      </c>
      <c r="Y163" s="21">
        <v>798.03</v>
      </c>
      <c r="Z163" s="21">
        <v>1235.94</v>
      </c>
      <c r="AA163" s="21">
        <f>SUM(O163:Z163)</f>
        <v>14668.180000000002</v>
      </c>
      <c r="AB163" s="311" t="str">
        <f ca="1">IF(AA163=0,"",IFERROR(AA163/_xll.EVGTS($B$1,1,_xll.EVPRO($B$1,$H163,"COSBASIS"),$B$3,$B$5,$B$6,$B$7,$B$9,AA$16,AA$17,AA$11),""))</f>
        <v/>
      </c>
      <c r="AD163" s="21">
        <v>25964.06</v>
      </c>
      <c r="AE163" s="311" t="str">
        <f ca="1">IF(AD163=0,"",IFERROR(AD163/_xll.EVGTS($B$1,1,_xll.EVPRO($B$1,$H163,"COSBASIS"),$B$3,$B$5,$B$6,$B$7,$B$9,AD$16,AD$17,AD$18),""))</f>
        <v/>
      </c>
      <c r="AF163" s="50">
        <f t="shared" si="72"/>
        <v>-11295.88</v>
      </c>
      <c r="AG163" s="21">
        <v>18305.93</v>
      </c>
      <c r="AH163" s="311" t="str">
        <f ca="1">IF(AG163=0,"",IFERROR(AG163/_xll.EVGTS($B$1,1,_xll.EVPRO($B$1,$H163,"COSBASIS"),$B$3,$B$5,$B$6,$B$7,$B$9,AG$16,AG$17,AG$18),""))</f>
        <v/>
      </c>
      <c r="AI163" s="50">
        <f t="shared" si="71"/>
        <v>-3637.7499999999982</v>
      </c>
    </row>
    <row r="164" spans="3:35" x14ac:dyDescent="0.25">
      <c r="C164" s="32"/>
      <c r="H164" s="149" t="s">
        <v>759</v>
      </c>
      <c r="I164" s="161"/>
      <c r="J164" s="161"/>
      <c r="L164" s="162" t="e">
        <f ca="1">_xll.EVPRO($B$1,H164,"JDEID")</f>
        <v>#NAME?</v>
      </c>
      <c r="M164" s="162" t="str">
        <f>IF(AND(I164="N",J164="N"),_xll.EVPRO($B$1,H164,"PSFTID"),"")</f>
        <v/>
      </c>
      <c r="N164" s="467" t="e">
        <f ca="1">IF(_xll.EVDES(H164,$B$1)="#NODATA","",_xll.EVDES(H164,$B$1))</f>
        <v>#NAME?</v>
      </c>
      <c r="O164" s="172">
        <v>0.21147923925950399</v>
      </c>
      <c r="P164" s="172">
        <v>0.122274207135214</v>
      </c>
      <c r="Q164" s="172">
        <v>0.18062793215445699</v>
      </c>
      <c r="R164" s="172">
        <v>0.15392656029393301</v>
      </c>
      <c r="S164" s="172">
        <v>0.29959198604310899</v>
      </c>
      <c r="T164" s="172">
        <v>0.131585589526999</v>
      </c>
      <c r="U164" s="172">
        <v>0.187531542531543</v>
      </c>
      <c r="V164" s="172">
        <v>0.25552352111507498</v>
      </c>
      <c r="W164" s="172">
        <v>0.202554970579127</v>
      </c>
      <c r="X164" s="172">
        <v>0.18682534775888701</v>
      </c>
      <c r="Y164" s="172">
        <v>0.124178012915273</v>
      </c>
      <c r="Z164" s="172">
        <v>0.20774195717215199</v>
      </c>
      <c r="AA164" s="172">
        <v>0.1866218175887</v>
      </c>
      <c r="AB164" s="311"/>
      <c r="AD164" s="172">
        <v>0.19928561219794</v>
      </c>
      <c r="AE164" s="311"/>
      <c r="AF164" s="468">
        <f t="shared" si="72"/>
        <v>-1.2663794609239998E-2</v>
      </c>
      <c r="AG164" s="172">
        <v>0.21885186615386601</v>
      </c>
      <c r="AH164" s="311"/>
      <c r="AI164" s="468">
        <f t="shared" si="71"/>
        <v>-3.2230048565166008E-2</v>
      </c>
    </row>
    <row r="165" spans="3:35" x14ac:dyDescent="0.25">
      <c r="C165" s="32"/>
      <c r="H165" s="149">
        <v>561500</v>
      </c>
      <c r="I165" s="161"/>
      <c r="J165" s="161"/>
      <c r="L165" s="162" t="e">
        <f ca="1">_xll.EVPRO($B$1,H165,"JDEID")</f>
        <v>#NAME?</v>
      </c>
      <c r="M165" s="162" t="str">
        <f>IF(AND(I165="N",J165="N"),_xll.EVPRO($B$1,H165,"PSFTID"),"")</f>
        <v/>
      </c>
      <c r="N165" s="162" t="e">
        <f ca="1">IF(_xll.EVDES(H165,$B$1)="#NODATA","",_xll.EVDES(H165,$B$1))</f>
        <v>#NAME?</v>
      </c>
      <c r="O165" s="21">
        <v>5394.54</v>
      </c>
      <c r="P165" s="21">
        <v>3584.28</v>
      </c>
      <c r="Q165" s="21">
        <v>1467.2</v>
      </c>
      <c r="R165" s="21">
        <v>1555</v>
      </c>
      <c r="S165" s="21">
        <v>2803.61</v>
      </c>
      <c r="T165" s="21">
        <v>2499.54</v>
      </c>
      <c r="U165" s="21">
        <v>2068.65</v>
      </c>
      <c r="V165" s="21">
        <v>2338.7199999999998</v>
      </c>
      <c r="W165" s="21">
        <v>639.65</v>
      </c>
      <c r="X165" s="21">
        <v>1281.9000000000001</v>
      </c>
      <c r="Y165" s="21">
        <v>1624.6</v>
      </c>
      <c r="Z165" s="21">
        <v>1872.17</v>
      </c>
      <c r="AA165" s="21">
        <f>SUM(O165:Z165)</f>
        <v>27129.860000000008</v>
      </c>
      <c r="AB165" s="311" t="str">
        <f ca="1">IF(AA165=0,"",IFERROR(AA165/_xll.EVGTS($B$1,1,_xll.EVPRO($B$1,$H165,"COSBASIS"),$B$3,$B$5,$B$6,$B$7,$B$9,AA$16,AA$17,AA$11),""))</f>
        <v/>
      </c>
      <c r="AD165" s="21">
        <v>51078.57</v>
      </c>
      <c r="AE165" s="311" t="str">
        <f ca="1">IF(AD165=0,"",IFERROR(AD165/_xll.EVGTS($B$1,1,_xll.EVPRO($B$1,$H165,"COSBASIS"),$B$3,$B$5,$B$6,$B$7,$B$9,AD$16,AD$17,AD$18),""))</f>
        <v/>
      </c>
      <c r="AF165" s="50">
        <f t="shared" si="72"/>
        <v>-23948.709999999992</v>
      </c>
      <c r="AG165" s="21">
        <v>41650.199999999997</v>
      </c>
      <c r="AH165" s="311" t="str">
        <f ca="1">IF(AG165=0,"",IFERROR(AG165/_xll.EVGTS($B$1,1,_xll.EVPRO($B$1,$H165,"COSBASIS"),$B$3,$B$5,$B$6,$B$7,$B$9,AG$16,AG$17,AG$18),""))</f>
        <v/>
      </c>
      <c r="AI165" s="50">
        <f t="shared" si="71"/>
        <v>-14520.339999999989</v>
      </c>
    </row>
    <row r="166" spans="3:35" x14ac:dyDescent="0.25">
      <c r="C166" s="32"/>
      <c r="H166" s="149" t="s">
        <v>760</v>
      </c>
      <c r="I166" s="161"/>
      <c r="J166" s="161"/>
      <c r="L166" s="162" t="e">
        <f ca="1">_xll.EVPRO($B$1,H166,"JDEID")</f>
        <v>#NAME?</v>
      </c>
      <c r="M166" s="162" t="str">
        <f>IF(AND(I166="N",J166="N"),_xll.EVPRO($B$1,H166,"PSFTID"),"")</f>
        <v/>
      </c>
      <c r="N166" s="467" t="e">
        <f ca="1">IF(_xll.EVDES(H166,$B$1)="#NODATA","",_xll.EVDES(H166,$B$1))</f>
        <v>#NAME?</v>
      </c>
      <c r="O166" s="172">
        <v>0.36913507595456402</v>
      </c>
      <c r="P166" s="172">
        <v>0.31747387068201899</v>
      </c>
      <c r="Q166" s="172">
        <v>0.12706616759362399</v>
      </c>
      <c r="R166" s="172">
        <v>0.193627356370216</v>
      </c>
      <c r="S166" s="172">
        <v>0.24516509846444401</v>
      </c>
      <c r="T166" s="172">
        <v>0.34179406536305201</v>
      </c>
      <c r="U166" s="172">
        <v>0.354462459004596</v>
      </c>
      <c r="V166" s="172">
        <v>0.41546223264407001</v>
      </c>
      <c r="W166" s="172">
        <v>0.172691684665227</v>
      </c>
      <c r="X166" s="172">
        <v>0.29684605409410902</v>
      </c>
      <c r="Y166" s="172">
        <v>0.24234739542932199</v>
      </c>
      <c r="Z166" s="172">
        <v>0.21850672617477601</v>
      </c>
      <c r="AA166" s="172">
        <v>0.27406814078305503</v>
      </c>
      <c r="AB166" s="311"/>
      <c r="AD166" s="172">
        <v>0.230952966073454</v>
      </c>
      <c r="AE166" s="311"/>
      <c r="AF166" s="468">
        <f t="shared" si="72"/>
        <v>4.3115174709601023E-2</v>
      </c>
      <c r="AG166" s="172">
        <v>0.29258068128190901</v>
      </c>
      <c r="AH166" s="311"/>
      <c r="AI166" s="468">
        <f t="shared" si="71"/>
        <v>-1.851254049885398E-2</v>
      </c>
    </row>
    <row r="167" spans="3:35" x14ac:dyDescent="0.25">
      <c r="C167" s="32"/>
      <c r="H167" s="149">
        <v>567200</v>
      </c>
      <c r="I167" s="161"/>
      <c r="J167" s="161"/>
      <c r="L167" s="162" t="e">
        <f ca="1">_xll.EVPRO($B$1,H167,"JDEID")</f>
        <v>#NAME?</v>
      </c>
      <c r="M167" s="162" t="str">
        <f>IF(AND(I167="N",J167="N"),_xll.EVPRO($B$1,H167,"PSFTID"),"")</f>
        <v/>
      </c>
      <c r="N167" s="162" t="e">
        <f ca="1">IF(_xll.EVDES(H167,$B$1)="#NODATA","",_xll.EVDES(H167,$B$1))</f>
        <v>#NAME?</v>
      </c>
      <c r="O167" s="21">
        <v>283.23</v>
      </c>
      <c r="P167" s="21">
        <v>972.18</v>
      </c>
      <c r="Q167" s="21">
        <v>1365.24</v>
      </c>
      <c r="R167" s="21">
        <v>344.44</v>
      </c>
      <c r="S167" s="21">
        <v>1040.54</v>
      </c>
      <c r="T167" s="21">
        <v>670.59</v>
      </c>
      <c r="U167" s="21">
        <v>756</v>
      </c>
      <c r="V167" s="21">
        <v>791.86</v>
      </c>
      <c r="W167" s="21">
        <v>510.98</v>
      </c>
      <c r="X167" s="21">
        <v>988.88</v>
      </c>
      <c r="Y167" s="21">
        <v>1343.7</v>
      </c>
      <c r="Z167" s="21">
        <v>1394.09</v>
      </c>
      <c r="AA167" s="21">
        <f>SUM(O167:Z167)</f>
        <v>10461.73</v>
      </c>
      <c r="AB167" s="311" t="str">
        <f ca="1">IF(AA167=0,"",IFERROR(AA167/_xll.EVGTS($B$1,1,_xll.EVPRO($B$1,$H167,"COSBASIS"),$B$3,$B$5,$B$6,$B$7,$B$9,AA$16,AA$17,AA$11),""))</f>
        <v/>
      </c>
      <c r="AD167" s="21">
        <v>9504.6911999999993</v>
      </c>
      <c r="AE167" s="311" t="str">
        <f ca="1">IF(AD167=0,"",IFERROR(AD167/_xll.EVGTS($B$1,1,_xll.EVPRO($B$1,$H167,"COSBASIS"),$B$3,$B$5,$B$6,$B$7,$B$9,AD$16,AD$17,AD$18),""))</f>
        <v/>
      </c>
      <c r="AF167" s="50">
        <f t="shared" si="72"/>
        <v>957.03880000000026</v>
      </c>
      <c r="AG167" s="21">
        <v>3939.37</v>
      </c>
      <c r="AH167" s="311" t="str">
        <f ca="1">IF(AG167=0,"",IFERROR(AG167/_xll.EVGTS($B$1,1,_xll.EVPRO($B$1,$H167,"COSBASIS"),$B$3,$B$5,$B$6,$B$7,$B$9,AG$16,AG$17,AG$18),""))</f>
        <v/>
      </c>
      <c r="AI167" s="50">
        <f t="shared" si="71"/>
        <v>6522.36</v>
      </c>
    </row>
    <row r="168" spans="3:35" x14ac:dyDescent="0.25">
      <c r="C168" s="32"/>
      <c r="H168" s="149"/>
      <c r="I168" s="161"/>
      <c r="J168" s="161"/>
      <c r="L168" s="162"/>
      <c r="M168" s="162"/>
      <c r="N168" s="467" t="s">
        <v>761</v>
      </c>
      <c r="O168" s="172">
        <f t="shared" ref="O168:AA168" si="73">IFERROR(O167/O96,"")</f>
        <v>0.11740882296856994</v>
      </c>
      <c r="P168" s="172">
        <f t="shared" si="73"/>
        <v>0.32623927837957556</v>
      </c>
      <c r="Q168" s="172">
        <f t="shared" si="73"/>
        <v>0.3005150781421968</v>
      </c>
      <c r="R168" s="172">
        <f t="shared" si="73"/>
        <v>0.15581078697023021</v>
      </c>
      <c r="S168" s="172">
        <f t="shared" si="73"/>
        <v>0.35200947225981055</v>
      </c>
      <c r="T168" s="172">
        <f t="shared" si="73"/>
        <v>0.26974658085277553</v>
      </c>
      <c r="U168" s="172">
        <f t="shared" si="73"/>
        <v>0.29865958732830039</v>
      </c>
      <c r="V168" s="172">
        <f t="shared" si="73"/>
        <v>0.26799287933450205</v>
      </c>
      <c r="W168" s="172">
        <f t="shared" si="73"/>
        <v>0.24994374822684629</v>
      </c>
      <c r="X168" s="172">
        <f t="shared" si="73"/>
        <v>0.34240997229916897</v>
      </c>
      <c r="Y168" s="172">
        <f t="shared" si="73"/>
        <v>0.59406071913311442</v>
      </c>
      <c r="Z168" s="172">
        <f t="shared" si="73"/>
        <v>0.25787828338882723</v>
      </c>
      <c r="AA168" s="172">
        <f t="shared" si="73"/>
        <v>0.29325685248395972</v>
      </c>
      <c r="AB168" s="311"/>
      <c r="AD168" s="172">
        <f>IFERROR(AD167/AD96,"")</f>
        <v>0.28799999999999998</v>
      </c>
      <c r="AE168" s="311"/>
      <c r="AF168" s="468">
        <f t="shared" si="72"/>
        <v>5.2568524839597397E-3</v>
      </c>
      <c r="AG168" s="172">
        <f>IFERROR(AG167/AG96,"")</f>
        <v>0.31219374957898616</v>
      </c>
      <c r="AH168" s="311"/>
      <c r="AI168" s="468">
        <f>IF(AND($AA168="",AG168=""),"",$AA168-AG168)</f>
        <v>-1.8936897095026439E-2</v>
      </c>
    </row>
    <row r="169" spans="3:35" x14ac:dyDescent="0.25">
      <c r="C169" s="32"/>
      <c r="H169" s="149"/>
      <c r="I169" s="161"/>
      <c r="J169" s="161"/>
      <c r="L169" s="162"/>
      <c r="M169" s="162"/>
      <c r="N169" s="467"/>
      <c r="O169" s="471"/>
      <c r="P169" s="466"/>
      <c r="Q169" s="466"/>
      <c r="R169" s="466"/>
      <c r="S169" s="466"/>
      <c r="T169" s="466"/>
      <c r="U169" s="466"/>
      <c r="V169" s="466"/>
      <c r="W169" s="466"/>
      <c r="X169" s="466"/>
      <c r="Y169" s="466"/>
      <c r="Z169" s="466"/>
      <c r="AA169" s="466"/>
      <c r="AB169" s="472"/>
      <c r="AD169" s="471"/>
      <c r="AE169" s="466"/>
      <c r="AF169" s="466"/>
      <c r="AG169" s="466"/>
      <c r="AH169" s="466"/>
      <c r="AI169" s="472"/>
    </row>
    <row r="170" spans="3:35" x14ac:dyDescent="0.25">
      <c r="C170" s="32"/>
      <c r="H170" s="149" t="s">
        <v>286</v>
      </c>
      <c r="I170" s="161"/>
      <c r="J170" s="161"/>
      <c r="L170" s="162" t="e">
        <f ca="1">_xll.EVPRO($B$1,H170,"JDEID")</f>
        <v>#NAME?</v>
      </c>
      <c r="M170" s="162" t="str">
        <f>IF(AND(I170="N",J170="N"),_xll.EVPRO($B$1,H170,"PSFTID"),"")</f>
        <v/>
      </c>
      <c r="N170" s="162" t="e">
        <f ca="1">IF(_xll.EVDES(H170,$B$1)="#NODATA","",_xll.EVDES(H170,$B$1))</f>
        <v>#NAME?</v>
      </c>
      <c r="O170" s="21">
        <v>49514.94</v>
      </c>
      <c r="P170" s="21">
        <v>50745.57</v>
      </c>
      <c r="Q170" s="21">
        <v>49550.99</v>
      </c>
      <c r="R170" s="21">
        <v>35315.11</v>
      </c>
      <c r="S170" s="21">
        <v>39041.339999999997</v>
      </c>
      <c r="T170" s="21">
        <v>30926.29</v>
      </c>
      <c r="U170" s="21">
        <v>29856.34</v>
      </c>
      <c r="V170" s="21">
        <v>31894.44</v>
      </c>
      <c r="W170" s="21">
        <v>21325.64</v>
      </c>
      <c r="X170" s="21">
        <v>25719.05</v>
      </c>
      <c r="Y170" s="21">
        <v>24521.79</v>
      </c>
      <c r="Z170" s="21">
        <v>41676.21</v>
      </c>
      <c r="AA170" s="21">
        <f>SUM(O170:Z170)</f>
        <v>430087.71</v>
      </c>
      <c r="AB170" s="311" t="str">
        <f ca="1">IF(AA170=0,"",IFERROR(AA170/_xll.EVGTS($B$1,1,_xll.EVPRO($B$1,$H170,"COSBASIS"),$B$3,$B$5,$B$6,$B$7,$B$9,AA$16,AA$17,AA$11),""))</f>
        <v/>
      </c>
      <c r="AD170" s="21">
        <v>761259.74497500004</v>
      </c>
      <c r="AE170" s="311" t="str">
        <f ca="1">IF(AD170=0,"",IFERROR(AD170/_xll.EVGTS($B$1,1,_xll.EVPRO($B$1,$H170,"COSBASIS"),$B$3,$B$5,$B$6,$B$7,$B$9,AD$16,AD$17,AD$18),""))</f>
        <v/>
      </c>
      <c r="AF170" s="50">
        <f>IF(AND($AA170="",AD170=""),"",$AA170-AD170)</f>
        <v>-331172.03497500002</v>
      </c>
      <c r="AG170" s="21">
        <v>546711.06999999995</v>
      </c>
      <c r="AH170" s="311" t="str">
        <f ca="1">IF(AG170=0,"",IFERROR(AG170/_xll.EVGTS($B$1,1,_xll.EVPRO($B$1,$H170,"COSBASIS"),$B$3,$B$5,$B$6,$B$7,$B$9,AG$16,AG$17,AG$18),""))</f>
        <v/>
      </c>
      <c r="AI170" s="50">
        <f>IF(AND($AA170="",AG170=""),"",$AA170-AG170)</f>
        <v>-116623.35999999993</v>
      </c>
    </row>
    <row r="171" spans="3:35" x14ac:dyDescent="0.25">
      <c r="C171" s="32"/>
      <c r="H171" s="149"/>
      <c r="I171" s="161"/>
      <c r="J171" s="161"/>
      <c r="L171" s="162"/>
      <c r="M171" s="162"/>
      <c r="N171" s="467" t="s">
        <v>762</v>
      </c>
      <c r="O171" s="172">
        <f t="shared" ref="O171:AA171" si="74">IFERROR(O170/O102,"")</f>
        <v>0.2411839993328769</v>
      </c>
      <c r="P171" s="172">
        <f t="shared" si="74"/>
        <v>0.27158491095572307</v>
      </c>
      <c r="Q171" s="172">
        <f t="shared" si="74"/>
        <v>0.26002251314425584</v>
      </c>
      <c r="R171" s="172">
        <f t="shared" si="74"/>
        <v>0.25023703889195115</v>
      </c>
      <c r="S171" s="172">
        <f t="shared" si="74"/>
        <v>0.27497224312459168</v>
      </c>
      <c r="T171" s="172">
        <f t="shared" si="74"/>
        <v>0.24720225480617472</v>
      </c>
      <c r="U171" s="172">
        <f t="shared" si="74"/>
        <v>0.26956495045482248</v>
      </c>
      <c r="V171" s="172">
        <f t="shared" si="74"/>
        <v>0.32288380848214815</v>
      </c>
      <c r="W171" s="172">
        <f t="shared" si="74"/>
        <v>0.23452224386348211</v>
      </c>
      <c r="X171" s="172">
        <f t="shared" si="74"/>
        <v>0.28054390003367308</v>
      </c>
      <c r="Y171" s="172">
        <f t="shared" si="74"/>
        <v>0.24539298789686442</v>
      </c>
      <c r="Z171" s="172">
        <f t="shared" si="74"/>
        <v>0.25178859869077352</v>
      </c>
      <c r="AA171" s="172">
        <f t="shared" si="74"/>
        <v>0.26089279629292356</v>
      </c>
      <c r="AB171" s="311"/>
      <c r="AD171" s="172">
        <f>IFERROR(AD170/AD102,"")</f>
        <v>0.26019230625283857</v>
      </c>
      <c r="AE171" s="311"/>
      <c r="AF171" s="468">
        <f>IF(AND($AA171="",AD171=""),"",$AA171-AD171)</f>
        <v>7.0049004008498894E-4</v>
      </c>
      <c r="AG171" s="172">
        <f>IFERROR(AG170/AG102,"")</f>
        <v>0.2804185333437223</v>
      </c>
      <c r="AH171" s="311"/>
      <c r="AI171" s="468">
        <f>IF(AND($AA171="",AG171=""),"",$AA171-AG171)</f>
        <v>-1.9525737050798742E-2</v>
      </c>
    </row>
    <row r="173" spans="3:35" x14ac:dyDescent="0.25">
      <c r="C173" s="32"/>
      <c r="H173" s="149"/>
      <c r="I173" s="161"/>
      <c r="J173" s="161"/>
      <c r="N173" s="26" t="e">
        <f ca="1">N102&amp;" - Check"</f>
        <v>#NAME?</v>
      </c>
      <c r="O173" s="139">
        <f>O39+O48+O57+O66+O75+O84+O90+O97+O99-O102</f>
        <v>0</v>
      </c>
      <c r="P173" s="139">
        <f t="shared" ref="P173:Z173" si="75">P39+P48+P57+P66+P75+P84+P90+P97+P99-P102</f>
        <v>0</v>
      </c>
      <c r="Q173" s="139">
        <f t="shared" si="75"/>
        <v>0</v>
      </c>
      <c r="R173" s="139">
        <f t="shared" si="75"/>
        <v>0</v>
      </c>
      <c r="S173" s="139">
        <f t="shared" si="75"/>
        <v>0</v>
      </c>
      <c r="T173" s="139">
        <f t="shared" si="75"/>
        <v>0</v>
      </c>
      <c r="U173" s="139">
        <f t="shared" si="75"/>
        <v>0</v>
      </c>
      <c r="V173" s="139">
        <f t="shared" si="75"/>
        <v>0</v>
      </c>
      <c r="W173" s="139">
        <f t="shared" si="75"/>
        <v>0</v>
      </c>
      <c r="X173" s="139">
        <f t="shared" si="75"/>
        <v>0</v>
      </c>
      <c r="Y173" s="139">
        <f t="shared" si="75"/>
        <v>0</v>
      </c>
      <c r="Z173" s="139">
        <f t="shared" si="75"/>
        <v>0</v>
      </c>
      <c r="AA173" s="139">
        <f t="shared" ref="AA173" si="76">AA39+AA48+AA57+AA66+AA75+AA84+AA90+AA97+AA99-AA102</f>
        <v>0</v>
      </c>
      <c r="AB173" s="17"/>
      <c r="AD173" s="139">
        <f>AD39+AD48+AD57+AD66+AD75+AD97+AD99-AD102</f>
        <v>-41435</v>
      </c>
      <c r="AE173" s="17"/>
      <c r="AF173" s="21"/>
      <c r="AG173" s="139">
        <f>AG39+AG48+AG57+AG66+AG75+AG97+AG99-AG102</f>
        <v>-2329</v>
      </c>
      <c r="AH173" s="17"/>
      <c r="AI173" s="21"/>
    </row>
    <row r="174" spans="3:35" x14ac:dyDescent="0.25">
      <c r="C174" s="32"/>
      <c r="H174" s="149"/>
      <c r="I174" s="161"/>
      <c r="J174" s="161"/>
      <c r="N174" s="26" t="e">
        <f ca="1">N104&amp;" - Check"</f>
        <v>#NAME?</v>
      </c>
      <c r="O174" s="139">
        <f>O40+O49+O58+O67+O76+O85+O91-O104</f>
        <v>0</v>
      </c>
      <c r="P174" s="139">
        <f t="shared" ref="P174:Z174" si="77">P40+P49+P58+P67+P76+P85+P91-P104</f>
        <v>0</v>
      </c>
      <c r="Q174" s="139">
        <f t="shared" si="77"/>
        <v>0</v>
      </c>
      <c r="R174" s="139">
        <f t="shared" si="77"/>
        <v>0</v>
      </c>
      <c r="S174" s="139">
        <f t="shared" si="77"/>
        <v>0</v>
      </c>
      <c r="T174" s="139">
        <f t="shared" si="77"/>
        <v>0</v>
      </c>
      <c r="U174" s="139">
        <f t="shared" si="77"/>
        <v>0</v>
      </c>
      <c r="V174" s="139">
        <f t="shared" si="77"/>
        <v>0</v>
      </c>
      <c r="W174" s="139">
        <f t="shared" si="77"/>
        <v>0</v>
      </c>
      <c r="X174" s="139">
        <f t="shared" si="77"/>
        <v>0</v>
      </c>
      <c r="Y174" s="139">
        <f t="shared" si="77"/>
        <v>0</v>
      </c>
      <c r="Z174" s="139">
        <f t="shared" si="77"/>
        <v>0</v>
      </c>
      <c r="AA174" s="139">
        <f t="shared" ref="AA174" si="78">AA40+AA49+AA58+AA67+AA76+AA85+AA91-AA104</f>
        <v>0</v>
      </c>
      <c r="AB174" s="17"/>
      <c r="AD174" s="139">
        <f>AD40+AD49+AD58+AD67+AD76-AD104</f>
        <v>-513</v>
      </c>
      <c r="AE174" s="17"/>
      <c r="AF174" s="21"/>
      <c r="AG174" s="139">
        <f>AG40+AG49+AG58+AG67+AG76-AG104</f>
        <v>-186</v>
      </c>
      <c r="AH174" s="17"/>
      <c r="AI174" s="21"/>
    </row>
    <row r="175" spans="3:35" x14ac:dyDescent="0.25">
      <c r="H175" s="149"/>
      <c r="I175" s="161"/>
      <c r="J175" s="161"/>
      <c r="N175" s="26" t="s">
        <v>768</v>
      </c>
      <c r="O175" s="139">
        <f>(O152+O159)-O170</f>
        <v>0</v>
      </c>
      <c r="P175" s="139">
        <f t="shared" ref="P175:Z175" si="79">(P152+P159)-P170</f>
        <v>0</v>
      </c>
      <c r="Q175" s="139">
        <f t="shared" si="79"/>
        <v>0</v>
      </c>
      <c r="R175" s="139">
        <f t="shared" si="79"/>
        <v>0</v>
      </c>
      <c r="S175" s="139">
        <f t="shared" si="79"/>
        <v>0</v>
      </c>
      <c r="T175" s="139">
        <f t="shared" si="79"/>
        <v>0</v>
      </c>
      <c r="U175" s="139">
        <f t="shared" si="79"/>
        <v>0</v>
      </c>
      <c r="V175" s="139">
        <f t="shared" si="79"/>
        <v>0</v>
      </c>
      <c r="W175" s="139">
        <f t="shared" si="79"/>
        <v>0</v>
      </c>
      <c r="X175" s="139">
        <f t="shared" si="79"/>
        <v>0</v>
      </c>
      <c r="Y175" s="139">
        <f t="shared" si="79"/>
        <v>0</v>
      </c>
      <c r="Z175" s="139">
        <f t="shared" si="79"/>
        <v>0</v>
      </c>
      <c r="AA175" s="139">
        <f t="shared" ref="AA175" si="80">(AA152+AA159)-AA170</f>
        <v>0</v>
      </c>
      <c r="AB175" s="17"/>
      <c r="AD175" s="139">
        <f>(AD152+AD159)-AD170</f>
        <v>0</v>
      </c>
      <c r="AE175" s="17"/>
      <c r="AF175" s="21"/>
      <c r="AG175" s="139">
        <f>(AG152+AG159)-AG170</f>
        <v>0</v>
      </c>
      <c r="AH175" s="17"/>
      <c r="AI175" s="21"/>
    </row>
    <row r="185" spans="9:34" x14ac:dyDescent="0.25">
      <c r="I185" s="76"/>
      <c r="J185" s="1"/>
      <c r="K185" s="76"/>
      <c r="L185" s="76"/>
      <c r="M185" s="76"/>
      <c r="O185" s="76"/>
      <c r="P185" s="76"/>
      <c r="Q185" s="76"/>
      <c r="R185" s="76"/>
      <c r="S185" s="76"/>
      <c r="T185" s="76"/>
      <c r="U185" s="76"/>
      <c r="V185" s="76"/>
      <c r="W185" s="76"/>
      <c r="X185" s="76"/>
      <c r="Y185" s="76"/>
      <c r="Z185" s="76"/>
      <c r="AA185" s="76"/>
      <c r="AD185" s="76"/>
      <c r="AF185" s="76"/>
      <c r="AH185" s="76"/>
    </row>
    <row r="189" spans="9:34" x14ac:dyDescent="0.25">
      <c r="I189" s="76"/>
      <c r="J189" s="1"/>
      <c r="K189" s="76"/>
      <c r="L189" s="76"/>
      <c r="M189" s="76"/>
      <c r="O189" s="76"/>
      <c r="P189" s="76"/>
      <c r="Q189" s="76"/>
      <c r="R189" s="76"/>
      <c r="S189" s="76"/>
      <c r="T189" s="76"/>
      <c r="U189" s="76"/>
      <c r="V189" s="76"/>
      <c r="W189" s="76"/>
      <c r="X189" s="76"/>
      <c r="Y189" s="76"/>
      <c r="Z189" s="76"/>
      <c r="AA189" s="76"/>
      <c r="AD189" s="76"/>
      <c r="AF189" s="76"/>
      <c r="AH189" s="76"/>
    </row>
    <row r="226" spans="5:5" x14ac:dyDescent="0.25">
      <c r="E226" s="76"/>
    </row>
    <row r="230" spans="5:5" x14ac:dyDescent="0.25">
      <c r="E230" s="76"/>
    </row>
  </sheetData>
  <mergeCells count="2">
    <mergeCell ref="AD31:AE31"/>
    <mergeCell ref="AG31:AH31"/>
  </mergeCells>
  <conditionalFormatting sqref="AD42 AF42:AG42 O42:AA42">
    <cfRule type="expression" dxfId="353" priority="19">
      <formula>ROUND(O41,2)&lt;&gt;ROUND(O42,2)</formula>
    </cfRule>
  </conditionalFormatting>
  <conditionalFormatting sqref="N42">
    <cfRule type="expression" dxfId="352" priority="17">
      <formula>$G42&lt;&gt;0</formula>
    </cfRule>
  </conditionalFormatting>
  <conditionalFormatting sqref="O51:AA51 AD51 AF51:AG51">
    <cfRule type="expression" dxfId="351" priority="24">
      <formula>ROUND(O50,2)&lt;&gt;ROUND(O51,2)</formula>
    </cfRule>
  </conditionalFormatting>
  <conditionalFormatting sqref="N51">
    <cfRule type="expression" dxfId="350" priority="21">
      <formula>$G51&lt;&gt;0</formula>
    </cfRule>
  </conditionalFormatting>
  <conditionalFormatting sqref="O60:AA60 AD60 AF60:AG60">
    <cfRule type="expression" dxfId="349" priority="26">
      <formula>ROUND(O59,2)&lt;&gt;ROUND(O60,2)</formula>
    </cfRule>
  </conditionalFormatting>
  <conditionalFormatting sqref="N60">
    <cfRule type="expression" dxfId="348" priority="25">
      <formula>$G60&lt;&gt;0</formula>
    </cfRule>
  </conditionalFormatting>
  <conditionalFormatting sqref="O69:AA69 AD69 AF69:AG69">
    <cfRule type="expression" dxfId="347" priority="29">
      <formula>ROUND(O68,2)&lt;&gt;ROUND(O69,2)</formula>
    </cfRule>
  </conditionalFormatting>
  <conditionalFormatting sqref="N69">
    <cfRule type="expression" dxfId="346" priority="28">
      <formula>$G69&lt;&gt;0</formula>
    </cfRule>
  </conditionalFormatting>
  <conditionalFormatting sqref="N93">
    <cfRule type="expression" dxfId="345" priority="30">
      <formula>$G93&lt;&gt;0</formula>
    </cfRule>
  </conditionalFormatting>
  <conditionalFormatting sqref="O93:AA93 AD93 AF93:AG93">
    <cfRule type="expression" dxfId="344" priority="31">
      <formula>ROUND(O77,2)&lt;&gt;ROUND(O93,2)</formula>
    </cfRule>
  </conditionalFormatting>
  <conditionalFormatting sqref="AI42">
    <cfRule type="expression" dxfId="343" priority="15">
      <formula>ROUND(AI41,2)&lt;&gt;ROUND(AI42,2)</formula>
    </cfRule>
  </conditionalFormatting>
  <conditionalFormatting sqref="AI51">
    <cfRule type="expression" dxfId="342" priority="14">
      <formula>ROUND(AI50,2)&lt;&gt;ROUND(AI51,2)</formula>
    </cfRule>
  </conditionalFormatting>
  <conditionalFormatting sqref="AI60">
    <cfRule type="expression" dxfId="341" priority="13">
      <formula>ROUND(AI59,2)&lt;&gt;ROUND(AI60,2)</formula>
    </cfRule>
  </conditionalFormatting>
  <conditionalFormatting sqref="AI69">
    <cfRule type="expression" dxfId="340" priority="12">
      <formula>ROUND(AI68,2)&lt;&gt;ROUND(AI69,2)</formula>
    </cfRule>
  </conditionalFormatting>
  <conditionalFormatting sqref="AI93">
    <cfRule type="expression" dxfId="339" priority="11">
      <formula>ROUND(AI77,2)&lt;&gt;ROUND(AI93,2)</formula>
    </cfRule>
  </conditionalFormatting>
  <conditionalFormatting sqref="O78:AA78 AD78 AF78:AG78">
    <cfRule type="expression" dxfId="338" priority="6">
      <formula>ROUND(O77,2)&lt;&gt;ROUND(O78,2)</formula>
    </cfRule>
  </conditionalFormatting>
  <conditionalFormatting sqref="AI87">
    <cfRule type="expression" dxfId="337" priority="1">
      <formula>ROUND(AI86,2)&lt;&gt;ROUND(AI87,2)</formula>
    </cfRule>
  </conditionalFormatting>
  <conditionalFormatting sqref="N78">
    <cfRule type="expression" dxfId="336" priority="5">
      <formula>$G78&lt;&gt;0</formula>
    </cfRule>
  </conditionalFormatting>
  <conditionalFormatting sqref="AI78">
    <cfRule type="expression" dxfId="335" priority="4">
      <formula>ROUND(AI77,2)&lt;&gt;ROUND(AI78,2)</formula>
    </cfRule>
  </conditionalFormatting>
  <conditionalFormatting sqref="O87:AA87 AD87 AF87:AG87">
    <cfRule type="expression" dxfId="334" priority="3">
      <formula>ROUND(O86,2)&lt;&gt;ROUND(O87,2)</formula>
    </cfRule>
  </conditionalFormatting>
  <conditionalFormatting sqref="N87">
    <cfRule type="expression" dxfId="333" priority="2">
      <formula>$G87&lt;&gt;0</formula>
    </cfRule>
  </conditionalFormatting>
  <dataValidations disablePrompts="1" count="2">
    <dataValidation type="list" allowBlank="1" sqref="B28" xr:uid="{00000000-0002-0000-0C00-000000000000}">
      <formula1>"ACCOUNT,BUSINESSUNIT,CATEGORY,DATASRC,DEPARTMENT,INTCO,MEASURES,RPTCURRENCY,TIME"</formula1>
    </dataValidation>
    <dataValidation type="list" allowBlank="1" sqref="B29" xr:uid="{00000000-0002-0000-0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55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555" r:id="rId7" name="FPMExcelClientSheetOptionstb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0">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c r="L4" s="11"/>
      <c r="M4" s="11"/>
    </row>
    <row r="5" spans="1:35" hidden="1" outlineLevel="1" x14ac:dyDescent="0.25">
      <c r="A5" s="8" t="s">
        <v>51</v>
      </c>
      <c r="B5" s="12" t="s">
        <v>59</v>
      </c>
      <c r="C5" s="1" t="s">
        <v>59</v>
      </c>
      <c r="L5" s="11"/>
      <c r="M5" s="11"/>
    </row>
    <row r="6" spans="1:35" hidden="1" outlineLevel="1" x14ac:dyDescent="0.25">
      <c r="A6" s="8" t="s">
        <v>52</v>
      </c>
      <c r="B6" s="12" t="s">
        <v>358</v>
      </c>
      <c r="C6" s="1" t="s">
        <v>356</v>
      </c>
      <c r="E6" s="49" t="s">
        <v>1192</v>
      </c>
      <c r="F6" s="1" t="s">
        <v>278</v>
      </c>
      <c r="L6" s="11"/>
      <c r="M6" s="11"/>
    </row>
    <row r="7" spans="1:35" hidden="1" outlineLevel="1" x14ac:dyDescent="0.25">
      <c r="A7" s="8" t="s">
        <v>53</v>
      </c>
      <c r="B7" s="12" t="s">
        <v>61</v>
      </c>
      <c r="C7" s="1" t="s">
        <v>983</v>
      </c>
      <c r="L7" s="11"/>
      <c r="M7" s="11"/>
    </row>
    <row r="8" spans="1:35" hidden="1" outlineLevel="1" x14ac:dyDescent="0.25">
      <c r="A8" s="8" t="s">
        <v>20</v>
      </c>
      <c r="B8" s="12" t="s">
        <v>63</v>
      </c>
      <c r="C8" s="1" t="s">
        <v>984</v>
      </c>
      <c r="L8" s="11"/>
      <c r="M8" s="11"/>
    </row>
    <row r="9" spans="1:35" hidden="1" outlineLevel="1" x14ac:dyDescent="0.25">
      <c r="A9" s="8" t="s">
        <v>54</v>
      </c>
      <c r="B9" s="9" t="str">
        <f>SetUp!$D$10</f>
        <v>LC</v>
      </c>
      <c r="C9" s="1" t="s">
        <v>985</v>
      </c>
      <c r="L9" s="11"/>
      <c r="M9" s="11"/>
    </row>
    <row r="10" spans="1:35" hidden="1" outlineLevel="1" x14ac:dyDescent="0.25">
      <c r="A10" s="8" t="s">
        <v>18</v>
      </c>
      <c r="B10" s="9" t="str">
        <f>SetUp!$D$7</f>
        <v>2023.TOTAL</v>
      </c>
      <c r="C10" s="1" t="s">
        <v>986</v>
      </c>
      <c r="D10" s="234" t="s">
        <v>987</v>
      </c>
      <c r="L10" s="11"/>
      <c r="M10" s="11"/>
    </row>
    <row r="11" spans="1:35" hidden="1" outlineLevel="1" x14ac:dyDescent="0.25">
      <c r="B11" s="8"/>
      <c r="L11" s="11"/>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L12" s="11"/>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L13" s="11"/>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1254</v>
      </c>
      <c r="L17" s="11"/>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1255</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1256</v>
      </c>
      <c r="G19" s="18" t="str">
        <f>$B$6</f>
        <v>D_REST_CON</v>
      </c>
      <c r="H19" s="18" t="s">
        <v>273</v>
      </c>
      <c r="I19" s="19"/>
      <c r="J19" s="19"/>
      <c r="K19" s="18"/>
      <c r="L19" s="18"/>
      <c r="M19" s="18"/>
      <c r="N19" s="18" t="s">
        <v>1214</v>
      </c>
      <c r="O19" s="20">
        <v>205299.44</v>
      </c>
      <c r="P19" s="20">
        <v>186849.74</v>
      </c>
      <c r="Q19" s="20">
        <v>190564.23</v>
      </c>
      <c r="R19" s="20">
        <v>141126.63</v>
      </c>
      <c r="S19" s="20">
        <v>141982.84</v>
      </c>
      <c r="T19" s="20">
        <v>125105.21</v>
      </c>
      <c r="U19" s="20">
        <v>110757.5</v>
      </c>
      <c r="V19" s="20">
        <v>98779.93</v>
      </c>
      <c r="W19" s="20">
        <v>90932.27</v>
      </c>
      <c r="X19" s="20">
        <v>91675.67</v>
      </c>
      <c r="Y19" s="20">
        <v>99928.65</v>
      </c>
      <c r="Z19" s="20">
        <v>165520.64000000001</v>
      </c>
      <c r="AA19" s="20">
        <f>SUM(O19:Z19)</f>
        <v>1648522.7499999995</v>
      </c>
      <c r="AB19" s="18"/>
      <c r="AC19" s="18"/>
      <c r="AD19" s="20">
        <v>2925758.09</v>
      </c>
      <c r="AE19" s="18"/>
      <c r="AF19" s="18"/>
      <c r="AG19" s="20">
        <v>1949625.31</v>
      </c>
      <c r="AH19" s="18"/>
      <c r="AI19" s="18"/>
    </row>
    <row r="20" spans="1:35" hidden="1" outlineLevel="1" x14ac:dyDescent="0.25">
      <c r="A20" s="6" t="s">
        <v>5</v>
      </c>
      <c r="B20" s="7"/>
      <c r="G20" s="18" t="str">
        <f>$B$6</f>
        <v>D_REST_CON</v>
      </c>
      <c r="H20" s="18">
        <v>946000</v>
      </c>
      <c r="I20" s="19"/>
      <c r="J20" s="19"/>
      <c r="K20" s="18"/>
      <c r="L20" s="18"/>
      <c r="M20" s="18"/>
      <c r="N20" s="18" t="s">
        <v>1196</v>
      </c>
      <c r="O20" s="20">
        <v>5313</v>
      </c>
      <c r="P20" s="20">
        <v>5074</v>
      </c>
      <c r="Q20" s="20">
        <v>5517</v>
      </c>
      <c r="R20" s="20">
        <v>4364</v>
      </c>
      <c r="S20" s="20">
        <v>4257</v>
      </c>
      <c r="T20" s="20">
        <v>4447</v>
      </c>
      <c r="U20" s="20">
        <v>3889</v>
      </c>
      <c r="V20" s="20">
        <v>3360</v>
      </c>
      <c r="W20" s="20">
        <v>2985</v>
      </c>
      <c r="X20" s="20">
        <v>3089</v>
      </c>
      <c r="Y20" s="20">
        <v>3112</v>
      </c>
      <c r="Z20" s="20">
        <v>4316</v>
      </c>
      <c r="AA20" s="20">
        <f>SUM(O20:Z20)</f>
        <v>49723</v>
      </c>
      <c r="AB20" s="18"/>
      <c r="AC20" s="18"/>
      <c r="AD20" s="20">
        <v>70912</v>
      </c>
      <c r="AE20" s="18"/>
      <c r="AF20" s="18"/>
      <c r="AG20" s="20">
        <v>56333</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1257</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1198</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v>43266.04</v>
      </c>
      <c r="P35" s="21">
        <v>35494.949999999997</v>
      </c>
      <c r="Q35" s="21">
        <v>47115.22</v>
      </c>
      <c r="R35" s="21">
        <v>40771.199999999997</v>
      </c>
      <c r="S35" s="21">
        <v>32403.279999999999</v>
      </c>
      <c r="T35" s="21">
        <v>34241.33</v>
      </c>
      <c r="U35" s="21">
        <v>31944.02</v>
      </c>
      <c r="V35" s="21">
        <v>34866.230000000003</v>
      </c>
      <c r="W35" s="21">
        <v>23047.200000000001</v>
      </c>
      <c r="X35" s="21">
        <v>22337.919999999998</v>
      </c>
      <c r="Y35" s="21">
        <v>30965.37</v>
      </c>
      <c r="Z35" s="21">
        <v>43811.62</v>
      </c>
      <c r="AA35" s="21">
        <f t="shared" ref="AA35:AA40" si="0">SUM(O35:Z35)</f>
        <v>420264.37999999995</v>
      </c>
      <c r="AB35" s="17">
        <f>IF(AA35=0,"",IFERROR(AA35/AA$19,""))</f>
        <v>0.25493392796672054</v>
      </c>
      <c r="AD35" s="21">
        <v>711349.28649299999</v>
      </c>
      <c r="AE35" s="17">
        <f>IF(AD35=0,"",IFERROR(AD35/AD$19,""))</f>
        <v>0.24313332292383749</v>
      </c>
      <c r="AF35" s="50">
        <f t="shared" ref="AF35:AF41" si="1">IF(AND($AA35="",AD35=""),"",$AA35-AD35)</f>
        <v>-291084.90649300005</v>
      </c>
      <c r="AG35" s="21">
        <v>502842.08</v>
      </c>
      <c r="AH35" s="17">
        <f>IF(AG35=0,"",IFERROR(AG35/AG$19,""))</f>
        <v>0.25791729181029149</v>
      </c>
      <c r="AI35" s="50">
        <f t="shared" ref="AI35:AI41" si="2">IF(AND($AA35="",AG35=""),"",$AA35-AG35)</f>
        <v>-82577.70000000007</v>
      </c>
    </row>
    <row r="36" spans="1:35" x14ac:dyDescent="0.25">
      <c r="A36" s="3" t="s">
        <v>23</v>
      </c>
      <c r="B36" s="5" t="s">
        <v>24</v>
      </c>
      <c r="H36" s="15" t="s">
        <v>294</v>
      </c>
      <c r="I36" s="161" t="s">
        <v>1123</v>
      </c>
      <c r="J36" s="161" t="s">
        <v>78</v>
      </c>
      <c r="K36" s="162"/>
      <c r="L36" s="162">
        <v>461200</v>
      </c>
      <c r="M36" s="162"/>
      <c r="N36" s="162" t="s">
        <v>1259</v>
      </c>
      <c r="O36" s="21">
        <v>2143.88</v>
      </c>
      <c r="P36" s="21">
        <v>2474</v>
      </c>
      <c r="Q36" s="21">
        <v>3458</v>
      </c>
      <c r="R36" s="21">
        <v>3306.5</v>
      </c>
      <c r="S36" s="21">
        <v>1845</v>
      </c>
      <c r="T36" s="21">
        <v>1616.5</v>
      </c>
      <c r="U36" s="21">
        <v>1381</v>
      </c>
      <c r="V36" s="21">
        <v>2614</v>
      </c>
      <c r="W36" s="21">
        <v>1978</v>
      </c>
      <c r="X36" s="21">
        <v>1242</v>
      </c>
      <c r="Y36" s="21">
        <v>1849</v>
      </c>
      <c r="Z36" s="21">
        <v>3242</v>
      </c>
      <c r="AA36" s="21">
        <f t="shared" si="0"/>
        <v>27149.88</v>
      </c>
      <c r="AB36" s="17">
        <f>IF(AA36=0,"",IFERROR(AA36/AA$19,""))</f>
        <v>1.6469217667757396E-2</v>
      </c>
      <c r="AD36" s="21">
        <v>30485.187150000002</v>
      </c>
      <c r="AE36" s="17">
        <f>IF(AD36=0,"",IFERROR(AD36/AD$19,""))</f>
        <v>1.0419585697872925E-2</v>
      </c>
      <c r="AF36" s="50">
        <f t="shared" si="1"/>
        <v>-3335.3071500000005</v>
      </c>
      <c r="AG36" s="21">
        <v>23091.18</v>
      </c>
      <c r="AH36" s="17">
        <f>IF(AG36=0,"",IFERROR(AG36/AG$19,""))</f>
        <v>1.1843906560691911E-2</v>
      </c>
      <c r="AI36" s="50">
        <f t="shared" si="2"/>
        <v>4058.7000000000007</v>
      </c>
    </row>
    <row r="37" spans="1:35" x14ac:dyDescent="0.25">
      <c r="A37" s="6" t="s">
        <v>25</v>
      </c>
      <c r="B37" s="7"/>
      <c r="H37" s="15" t="s">
        <v>295</v>
      </c>
      <c r="I37" s="161" t="s">
        <v>1123</v>
      </c>
      <c r="J37" s="161" t="s">
        <v>78</v>
      </c>
      <c r="K37" s="162"/>
      <c r="L37" s="162">
        <v>461300</v>
      </c>
      <c r="M37" s="162"/>
      <c r="N37" s="162" t="s">
        <v>1260</v>
      </c>
      <c r="O37" s="21">
        <v>183</v>
      </c>
      <c r="P37" s="21">
        <v>120</v>
      </c>
      <c r="Q37" s="21">
        <v>510</v>
      </c>
      <c r="R37" s="21">
        <v>280</v>
      </c>
      <c r="S37" s="21">
        <v>269</v>
      </c>
      <c r="T37" s="21">
        <v>270</v>
      </c>
      <c r="U37" s="21">
        <v>214</v>
      </c>
      <c r="V37" s="21">
        <v>376</v>
      </c>
      <c r="W37" s="21">
        <v>160.80000000000001</v>
      </c>
      <c r="X37" s="21">
        <v>162</v>
      </c>
      <c r="Y37" s="21">
        <v>312</v>
      </c>
      <c r="Z37" s="21">
        <v>140</v>
      </c>
      <c r="AA37" s="21">
        <f t="shared" si="0"/>
        <v>2996.8</v>
      </c>
      <c r="AB37" s="17">
        <f>IF(AA37=0,"",IFERROR(AA37/AA$19,""))</f>
        <v>1.8178699687341293E-3</v>
      </c>
      <c r="AD37" s="21">
        <v>5312.8874130000004</v>
      </c>
      <c r="AE37" s="17">
        <f>IF(AD37=0,"",IFERROR(AD37/AD$19,""))</f>
        <v>1.8159011270135464E-3</v>
      </c>
      <c r="AF37" s="50">
        <f t="shared" si="1"/>
        <v>-2316.0874130000002</v>
      </c>
      <c r="AG37" s="21">
        <v>3568.5</v>
      </c>
      <c r="AH37" s="17">
        <f>IF(AG37=0,"",IFERROR(AG37/AG$19,""))</f>
        <v>1.8303516997324987E-3</v>
      </c>
      <c r="AI37" s="50">
        <f t="shared" si="2"/>
        <v>-571.69999999999982</v>
      </c>
    </row>
    <row r="38" spans="1:35" x14ac:dyDescent="0.25">
      <c r="A38" s="6" t="s">
        <v>26</v>
      </c>
      <c r="B38" s="7"/>
      <c r="H38" s="15" t="s">
        <v>296</v>
      </c>
      <c r="I38" s="161" t="s">
        <v>1123</v>
      </c>
      <c r="J38" s="161" t="s">
        <v>78</v>
      </c>
      <c r="K38" s="162"/>
      <c r="L38" s="162">
        <v>461400</v>
      </c>
      <c r="M38" s="162"/>
      <c r="N38" s="162" t="s">
        <v>1261</v>
      </c>
      <c r="O38" s="30">
        <v>2188</v>
      </c>
      <c r="P38" s="30">
        <v>1106</v>
      </c>
      <c r="Q38" s="30">
        <v>2226.34</v>
      </c>
      <c r="R38" s="30">
        <v>1352</v>
      </c>
      <c r="S38" s="30">
        <v>2240</v>
      </c>
      <c r="T38" s="30">
        <v>1634</v>
      </c>
      <c r="U38" s="30">
        <v>1769</v>
      </c>
      <c r="V38" s="30">
        <v>1447</v>
      </c>
      <c r="W38" s="30">
        <v>633</v>
      </c>
      <c r="X38" s="30">
        <v>1004</v>
      </c>
      <c r="Y38" s="30">
        <v>1569</v>
      </c>
      <c r="Z38" s="30">
        <v>1314</v>
      </c>
      <c r="AA38" s="30">
        <f t="shared" si="0"/>
        <v>18482.34</v>
      </c>
      <c r="AB38" s="31">
        <f>IF(AA38=0,"",IFERROR(AA38/AA$19,""))</f>
        <v>1.1211455832198861E-2</v>
      </c>
      <c r="AD38" s="30">
        <v>61904.928943999999</v>
      </c>
      <c r="AE38" s="31">
        <f>IF(AD38=0,"",IFERROR(AD38/AD$19,""))</f>
        <v>2.1158594470125861E-2</v>
      </c>
      <c r="AF38" s="51">
        <f t="shared" si="1"/>
        <v>-43422.588944000003</v>
      </c>
      <c r="AG38" s="30">
        <v>43238.2</v>
      </c>
      <c r="AH38" s="31">
        <f>IF(AG38=0,"",IFERROR(AG38/AG$19,""))</f>
        <v>2.2177697313541748E-2</v>
      </c>
      <c r="AI38" s="51">
        <f t="shared" si="2"/>
        <v>-24755.859999999997</v>
      </c>
    </row>
    <row r="39" spans="1:35" x14ac:dyDescent="0.25">
      <c r="A39" s="6" t="s">
        <v>27</v>
      </c>
      <c r="B39" s="7"/>
      <c r="H39" s="15" t="s">
        <v>318</v>
      </c>
      <c r="I39" s="161" t="s">
        <v>1009</v>
      </c>
      <c r="J39" s="161" t="s">
        <v>78</v>
      </c>
      <c r="K39" s="162"/>
      <c r="L39" s="162"/>
      <c r="M39" s="162"/>
      <c r="N39" s="25" t="s">
        <v>1262</v>
      </c>
      <c r="O39" s="164">
        <v>47780.92</v>
      </c>
      <c r="P39" s="164">
        <v>39194.949999999997</v>
      </c>
      <c r="Q39" s="164">
        <v>53309.56</v>
      </c>
      <c r="R39" s="164">
        <v>45709.7</v>
      </c>
      <c r="S39" s="164">
        <v>36757.279999999999</v>
      </c>
      <c r="T39" s="164">
        <v>37761.83</v>
      </c>
      <c r="U39" s="164">
        <v>35308.019999999997</v>
      </c>
      <c r="V39" s="164">
        <v>39303.230000000003</v>
      </c>
      <c r="W39" s="164">
        <v>25819</v>
      </c>
      <c r="X39" s="164">
        <v>24745.919999999998</v>
      </c>
      <c r="Y39" s="164">
        <v>34695.370000000003</v>
      </c>
      <c r="Z39" s="164">
        <v>48507.62</v>
      </c>
      <c r="AA39" s="164">
        <f t="shared" si="0"/>
        <v>468893.39999999997</v>
      </c>
      <c r="AB39" s="175">
        <f>IF(AA39=0,"",IFERROR(AA39/AA$19,""))</f>
        <v>0.28443247143541095</v>
      </c>
      <c r="AD39" s="164">
        <v>809052.29</v>
      </c>
      <c r="AE39" s="175">
        <f>IF(AD39=0,"",IFERROR(AD39/AD$19,""))</f>
        <v>0.27652740421884986</v>
      </c>
      <c r="AF39" s="165">
        <f t="shared" si="1"/>
        <v>-340158.89000000007</v>
      </c>
      <c r="AG39" s="164">
        <v>572739.96</v>
      </c>
      <c r="AH39" s="175">
        <f>IF(AG39=0,"",IFERROR(AG39/AG$19,""))</f>
        <v>0.29376924738425764</v>
      </c>
      <c r="AI39" s="165">
        <f t="shared" si="2"/>
        <v>-103846.56</v>
      </c>
    </row>
    <row r="40" spans="1:35" x14ac:dyDescent="0.25">
      <c r="A40" s="6" t="s">
        <v>28</v>
      </c>
      <c r="B40" s="7"/>
      <c r="H40" s="15" t="s">
        <v>297</v>
      </c>
      <c r="I40" s="161" t="s">
        <v>1009</v>
      </c>
      <c r="J40" s="161" t="s">
        <v>1009</v>
      </c>
      <c r="K40" s="162"/>
      <c r="L40" s="162">
        <v>946100</v>
      </c>
      <c r="M40" s="162">
        <v>991501</v>
      </c>
      <c r="N40" s="162" t="s">
        <v>1263</v>
      </c>
      <c r="O40" s="38">
        <v>1895</v>
      </c>
      <c r="P40" s="38">
        <v>1706</v>
      </c>
      <c r="Q40" s="38">
        <v>1887</v>
      </c>
      <c r="R40" s="38">
        <v>1771</v>
      </c>
      <c r="S40" s="38">
        <v>1338</v>
      </c>
      <c r="T40" s="38">
        <v>1462</v>
      </c>
      <c r="U40" s="38">
        <v>1496</v>
      </c>
      <c r="V40" s="38">
        <v>1350</v>
      </c>
      <c r="W40" s="38">
        <v>1036</v>
      </c>
      <c r="X40" s="38">
        <v>1161</v>
      </c>
      <c r="Y40" s="38">
        <v>1263</v>
      </c>
      <c r="Z40" s="38">
        <v>1794</v>
      </c>
      <c r="AA40" s="38">
        <f t="shared" si="0"/>
        <v>18159</v>
      </c>
      <c r="AB40" s="39">
        <f>IF(AA40=0,"",IFERROR(AA40/AA$104,""))</f>
        <v>0.36520322587132714</v>
      </c>
      <c r="AD40" s="38">
        <v>23027</v>
      </c>
      <c r="AE40" s="39">
        <f>IF(AD40=0,"",IFERROR(AD40/AD$104,""))</f>
        <v>0.32472642148014441</v>
      </c>
      <c r="AF40" s="132">
        <f t="shared" si="1"/>
        <v>-4868</v>
      </c>
      <c r="AG40" s="38">
        <v>20500</v>
      </c>
      <c r="AH40" s="39">
        <f>IF(AG40=0,"",IFERROR(AG40/AG$104,""))</f>
        <v>0.36390747874247775</v>
      </c>
      <c r="AI40" s="132">
        <f t="shared" si="2"/>
        <v>-2341</v>
      </c>
    </row>
    <row r="41" spans="1:35" x14ac:dyDescent="0.25">
      <c r="A41" s="6" t="s">
        <v>29</v>
      </c>
      <c r="B41" s="7"/>
      <c r="H41" s="15" t="s">
        <v>313</v>
      </c>
      <c r="I41" s="161" t="s">
        <v>1009</v>
      </c>
      <c r="J41" s="161" t="s">
        <v>78</v>
      </c>
      <c r="K41" s="162"/>
      <c r="L41" s="162"/>
      <c r="M41" s="162"/>
      <c r="N41" s="170" t="s">
        <v>1264</v>
      </c>
      <c r="O41" s="176">
        <v>25.214205804749302</v>
      </c>
      <c r="P41" s="176">
        <v>22.9747655334115</v>
      </c>
      <c r="Q41" s="176">
        <v>28.250959194488601</v>
      </c>
      <c r="R41" s="176">
        <v>25.810107284020301</v>
      </c>
      <c r="S41" s="176">
        <v>27.471808669656198</v>
      </c>
      <c r="T41" s="176">
        <v>25.8288850889193</v>
      </c>
      <c r="U41" s="176">
        <v>23.601617647058799</v>
      </c>
      <c r="V41" s="176">
        <v>29.113503703703699</v>
      </c>
      <c r="W41" s="176">
        <v>24.921814671814701</v>
      </c>
      <c r="X41" s="176">
        <v>21.314315245477999</v>
      </c>
      <c r="Y41" s="176">
        <v>27.470601741884401</v>
      </c>
      <c r="Z41" s="176">
        <v>27.0388071348941</v>
      </c>
      <c r="AA41" s="176">
        <f>IFERROR(AA39/AA40,"")</f>
        <v>25.821543036510818</v>
      </c>
      <c r="AB41" s="176"/>
      <c r="AD41" s="176">
        <v>35.134941156034202</v>
      </c>
      <c r="AE41" s="176"/>
      <c r="AF41" s="177">
        <f t="shared" si="1"/>
        <v>-9.3133981195233844</v>
      </c>
      <c r="AG41" s="176">
        <v>27.938534634146301</v>
      </c>
      <c r="AH41" s="176"/>
      <c r="AI41" s="177">
        <f t="shared" si="2"/>
        <v>-2.1169915976354829</v>
      </c>
    </row>
    <row r="42" spans="1:35" x14ac:dyDescent="0.25">
      <c r="A42" s="6" t="s">
        <v>30</v>
      </c>
      <c r="B42" s="7" t="s">
        <v>78</v>
      </c>
      <c r="G42" s="181">
        <f>COUNTIF(O43:AI43,FALSE)</f>
        <v>0</v>
      </c>
      <c r="H42" s="15"/>
      <c r="I42" s="161"/>
      <c r="J42" s="161"/>
      <c r="K42" s="162"/>
      <c r="L42" s="162"/>
      <c r="M42" s="162"/>
      <c r="N42" s="182" t="s">
        <v>345</v>
      </c>
      <c r="O42" s="179">
        <f t="shared" ref="O42:AA42" si="3">ROUND(IFERROR(O39/O40,0),2)</f>
        <v>25.21</v>
      </c>
      <c r="P42" s="184">
        <f t="shared" si="3"/>
        <v>22.97</v>
      </c>
      <c r="Q42" s="184">
        <f t="shared" si="3"/>
        <v>28.25</v>
      </c>
      <c r="R42" s="184">
        <f t="shared" si="3"/>
        <v>25.81</v>
      </c>
      <c r="S42" s="184">
        <f t="shared" si="3"/>
        <v>27.47</v>
      </c>
      <c r="T42" s="184">
        <f t="shared" si="3"/>
        <v>25.83</v>
      </c>
      <c r="U42" s="184">
        <f t="shared" si="3"/>
        <v>23.6</v>
      </c>
      <c r="V42" s="184">
        <f t="shared" si="3"/>
        <v>29.11</v>
      </c>
      <c r="W42" s="184">
        <f t="shared" si="3"/>
        <v>24.92</v>
      </c>
      <c r="X42" s="184">
        <f t="shared" si="3"/>
        <v>21.31</v>
      </c>
      <c r="Y42" s="184">
        <f t="shared" si="3"/>
        <v>27.47</v>
      </c>
      <c r="Z42" s="184">
        <f t="shared" si="3"/>
        <v>27.04</v>
      </c>
      <c r="AA42" s="184">
        <f t="shared" si="3"/>
        <v>25.82</v>
      </c>
      <c r="AB42" s="183"/>
      <c r="AD42" s="179">
        <f>ROUND(IFERROR(AD39/AD40,0),2)</f>
        <v>35.130000000000003</v>
      </c>
      <c r="AE42" s="184"/>
      <c r="AF42" s="180"/>
      <c r="AG42" s="179">
        <f>ROUND(IFERROR(AG39/AG40,0),2)</f>
        <v>27.94</v>
      </c>
      <c r="AH42" s="184"/>
      <c r="AI42" s="180"/>
    </row>
    <row r="43" spans="1:35" x14ac:dyDescent="0.25">
      <c r="A43" s="6" t="s">
        <v>31</v>
      </c>
      <c r="B43" s="7" t="s">
        <v>78</v>
      </c>
      <c r="H43" s="15"/>
      <c r="I43" s="161"/>
      <c r="J43" s="161"/>
      <c r="K43" s="162"/>
      <c r="L43" s="162"/>
      <c r="M43" s="162"/>
      <c r="N43" s="8" t="s">
        <v>314</v>
      </c>
      <c r="O43" s="319" t="b">
        <f t="shared" ref="O43:AA43" si="4">ROUND(O41,2)=ROUND(O42,2)</f>
        <v>1</v>
      </c>
      <c r="P43" s="320" t="b">
        <f t="shared" si="4"/>
        <v>1</v>
      </c>
      <c r="Q43" s="320" t="b">
        <f t="shared" si="4"/>
        <v>1</v>
      </c>
      <c r="R43" s="320" t="b">
        <f t="shared" si="4"/>
        <v>1</v>
      </c>
      <c r="S43" s="320" t="b">
        <f t="shared" si="4"/>
        <v>1</v>
      </c>
      <c r="T43" s="320" t="b">
        <f t="shared" si="4"/>
        <v>1</v>
      </c>
      <c r="U43" s="320" t="b">
        <f t="shared" si="4"/>
        <v>1</v>
      </c>
      <c r="V43" s="320" t="b">
        <f t="shared" si="4"/>
        <v>1</v>
      </c>
      <c r="W43" s="320" t="b">
        <f t="shared" si="4"/>
        <v>1</v>
      </c>
      <c r="X43" s="320" t="b">
        <f t="shared" si="4"/>
        <v>1</v>
      </c>
      <c r="Y43" s="320" t="b">
        <f t="shared" si="4"/>
        <v>1</v>
      </c>
      <c r="Z43" s="320" t="b">
        <f t="shared" si="4"/>
        <v>1</v>
      </c>
      <c r="AA43" s="320" t="b">
        <f t="shared" si="4"/>
        <v>1</v>
      </c>
      <c r="AB43" s="321"/>
      <c r="AC43" s="322"/>
      <c r="AD43" s="319"/>
      <c r="AE43" s="320" t="b">
        <f>ROUND(AD41,2)=ROUND(AD42,2)</f>
        <v>1</v>
      </c>
      <c r="AF43" s="321"/>
      <c r="AG43" s="319"/>
      <c r="AH43" s="320" t="b">
        <f>ROUND(AG41,2)=ROUND(AG42,2)</f>
        <v>1</v>
      </c>
      <c r="AI43" s="321"/>
    </row>
    <row r="44" spans="1:35" x14ac:dyDescent="0.25">
      <c r="A44" s="6" t="s">
        <v>32</v>
      </c>
      <c r="B44" s="7"/>
      <c r="H44" s="15" t="s">
        <v>261</v>
      </c>
      <c r="I44" s="161" t="s">
        <v>1058</v>
      </c>
      <c r="J44" s="161" t="s">
        <v>78</v>
      </c>
      <c r="K44" s="162"/>
      <c r="L44" s="162">
        <v>462100</v>
      </c>
      <c r="M44" s="162"/>
      <c r="N44" s="162" t="s">
        <v>1265</v>
      </c>
      <c r="O44" s="21">
        <v>25471.4</v>
      </c>
      <c r="P44" s="21">
        <v>37706.81</v>
      </c>
      <c r="Q44" s="21">
        <v>13564.93</v>
      </c>
      <c r="R44" s="21">
        <v>10820.77</v>
      </c>
      <c r="S44" s="21">
        <v>13832.1</v>
      </c>
      <c r="T44" s="21">
        <v>5901.5</v>
      </c>
      <c r="U44" s="21">
        <v>8485.2000000000007</v>
      </c>
      <c r="V44" s="21">
        <v>6607.81</v>
      </c>
      <c r="W44" s="21">
        <v>9670.81</v>
      </c>
      <c r="X44" s="21">
        <v>19131.599999999999</v>
      </c>
      <c r="Y44" s="21">
        <v>5995.3</v>
      </c>
      <c r="Z44" s="21">
        <v>31315.599999999999</v>
      </c>
      <c r="AA44" s="21">
        <f t="shared" ref="AA44:AA49" si="5">SUM(O44:Z44)</f>
        <v>188503.83000000002</v>
      </c>
      <c r="AB44" s="17">
        <f>IF(AA44=0,"",IFERROR(AA44/AA$19,""))</f>
        <v>0.11434712077828472</v>
      </c>
      <c r="AD44" s="21">
        <v>294012.48746500001</v>
      </c>
      <c r="AE44" s="17">
        <f>IF(AD44=0,"",IFERROR(AD44/AD$19,""))</f>
        <v>0.10049104485771072</v>
      </c>
      <c r="AF44" s="50">
        <f t="shared" ref="AF44:AF50" si="6">IF(AND($AA44="",AD44=""),"",$AA44-AD44)</f>
        <v>-105508.657465</v>
      </c>
      <c r="AG44" s="21">
        <v>288092</v>
      </c>
      <c r="AH44" s="17">
        <f>IF(AG44=0,"",IFERROR(AG44/AG$19,""))</f>
        <v>0.14776788058829621</v>
      </c>
      <c r="AI44" s="50">
        <f t="shared" ref="AI44:AI50" si="7">IF(AND($AA44="",AG44=""),"",$AA44-AG44)</f>
        <v>-99588.169999999984</v>
      </c>
    </row>
    <row r="45" spans="1:35" x14ac:dyDescent="0.25">
      <c r="A45" s="6" t="s">
        <v>33</v>
      </c>
      <c r="B45" s="7"/>
      <c r="H45" s="149" t="s">
        <v>301</v>
      </c>
      <c r="I45" s="161" t="s">
        <v>1123</v>
      </c>
      <c r="J45" s="161" t="s">
        <v>78</v>
      </c>
      <c r="K45" s="162"/>
      <c r="L45" s="162">
        <v>462200</v>
      </c>
      <c r="M45" s="162"/>
      <c r="N45" s="162" t="s">
        <v>1266</v>
      </c>
      <c r="O45" s="21">
        <v>13736.8</v>
      </c>
      <c r="P45" s="21">
        <v>20086.02</v>
      </c>
      <c r="Q45" s="21">
        <v>20892.54</v>
      </c>
      <c r="R45" s="21">
        <v>16418.78</v>
      </c>
      <c r="S45" s="21">
        <v>14877.4</v>
      </c>
      <c r="T45" s="21">
        <v>13741</v>
      </c>
      <c r="U45" s="21">
        <v>13117.5</v>
      </c>
      <c r="V45" s="21">
        <v>8754.59</v>
      </c>
      <c r="W45" s="21">
        <v>8562</v>
      </c>
      <c r="X45" s="21">
        <v>9753.4</v>
      </c>
      <c r="Y45" s="21">
        <v>6623.2</v>
      </c>
      <c r="Z45" s="21">
        <v>4170.49</v>
      </c>
      <c r="AA45" s="21">
        <f t="shared" si="5"/>
        <v>150733.72</v>
      </c>
      <c r="AB45" s="17">
        <f>IF(AA45=0,"",IFERROR(AA45/AA$19,""))</f>
        <v>9.1435632295641681E-2</v>
      </c>
      <c r="AD45" s="21">
        <v>272772.03578999999</v>
      </c>
      <c r="AE45" s="17">
        <f>IF(AD45=0,"",IFERROR(AD45/AD$19,""))</f>
        <v>9.3231233546721567E-2</v>
      </c>
      <c r="AF45" s="50">
        <f t="shared" si="6"/>
        <v>-122038.31578999999</v>
      </c>
      <c r="AG45" s="21">
        <v>192993.57</v>
      </c>
      <c r="AH45" s="17">
        <f>IF(AG45=0,"",IFERROR(AG45/AG$19,""))</f>
        <v>9.8990082355875864E-2</v>
      </c>
      <c r="AI45" s="50">
        <f t="shared" si="7"/>
        <v>-42259.850000000006</v>
      </c>
    </row>
    <row r="46" spans="1:35" x14ac:dyDescent="0.25">
      <c r="A46" s="6" t="s">
        <v>34</v>
      </c>
      <c r="B46" s="7"/>
      <c r="H46" s="149" t="s">
        <v>305</v>
      </c>
      <c r="I46" s="161" t="s">
        <v>1123</v>
      </c>
      <c r="J46" s="161" t="s">
        <v>78</v>
      </c>
      <c r="K46" s="162"/>
      <c r="L46" s="162">
        <v>462300</v>
      </c>
      <c r="M46" s="162"/>
      <c r="N46" s="162" t="s">
        <v>1267</v>
      </c>
      <c r="O46" s="21">
        <v>3690.2</v>
      </c>
      <c r="P46" s="21">
        <v>5207.6000000000004</v>
      </c>
      <c r="Q46" s="21">
        <v>3476</v>
      </c>
      <c r="R46" s="21">
        <v>3603.6</v>
      </c>
      <c r="S46" s="21">
        <v>3709.6</v>
      </c>
      <c r="T46" s="21">
        <v>2024</v>
      </c>
      <c r="U46" s="21">
        <v>2505</v>
      </c>
      <c r="V46" s="21">
        <v>2225.1999999999998</v>
      </c>
      <c r="W46" s="21">
        <v>1469</v>
      </c>
      <c r="X46" s="21">
        <v>2080.5</v>
      </c>
      <c r="Y46" s="21">
        <v>2786</v>
      </c>
      <c r="Z46" s="21">
        <v>1654.6</v>
      </c>
      <c r="AA46" s="21">
        <f t="shared" si="5"/>
        <v>34431.299999999996</v>
      </c>
      <c r="AB46" s="17">
        <f>IF(AA46=0,"",IFERROR(AA46/AA$19,""))</f>
        <v>2.0886153982406373E-2</v>
      </c>
      <c r="AD46" s="21">
        <v>46768.518104000002</v>
      </c>
      <c r="AE46" s="17">
        <f>IF(AD46=0,"",IFERROR(AD46/AD$19,""))</f>
        <v>1.5985094004815691E-2</v>
      </c>
      <c r="AF46" s="50">
        <f t="shared" si="6"/>
        <v>-12337.218104000007</v>
      </c>
      <c r="AG46" s="21">
        <v>35017.199999999997</v>
      </c>
      <c r="AH46" s="17">
        <f>IF(AG46=0,"",IFERROR(AG46/AG$19,""))</f>
        <v>1.7960989642671388E-2</v>
      </c>
      <c r="AI46" s="50">
        <f t="shared" si="7"/>
        <v>-585.90000000000146</v>
      </c>
    </row>
    <row r="47" spans="1:35" x14ac:dyDescent="0.25">
      <c r="A47" s="6" t="s">
        <v>35</v>
      </c>
      <c r="B47" s="7"/>
      <c r="H47" s="149" t="s">
        <v>303</v>
      </c>
      <c r="I47" s="161" t="s">
        <v>1123</v>
      </c>
      <c r="J47" s="161" t="s">
        <v>78</v>
      </c>
      <c r="K47" s="162"/>
      <c r="L47" s="162">
        <v>462400</v>
      </c>
      <c r="M47" s="162"/>
      <c r="N47" s="162" t="s">
        <v>1268</v>
      </c>
      <c r="O47" s="30">
        <v>2512</v>
      </c>
      <c r="P47" s="30">
        <v>3080</v>
      </c>
      <c r="Q47" s="30">
        <v>1788.4</v>
      </c>
      <c r="R47" s="30">
        <v>1765</v>
      </c>
      <c r="S47" s="30">
        <v>1696.6</v>
      </c>
      <c r="T47" s="30">
        <v>736</v>
      </c>
      <c r="U47" s="30">
        <v>1032.8</v>
      </c>
      <c r="V47" s="30">
        <v>1021.2</v>
      </c>
      <c r="W47" s="30">
        <v>297</v>
      </c>
      <c r="X47" s="30">
        <v>1233.4000000000001</v>
      </c>
      <c r="Y47" s="30">
        <v>1296</v>
      </c>
      <c r="Z47" s="30">
        <v>1252.8</v>
      </c>
      <c r="AA47" s="30">
        <f t="shared" si="5"/>
        <v>17711.2</v>
      </c>
      <c r="AB47" s="31">
        <f>IF(AA47=0,"",IFERROR(AA47/AA$19,""))</f>
        <v>1.0743679454833127E-2</v>
      </c>
      <c r="AD47" s="30">
        <v>25045.878640999999</v>
      </c>
      <c r="AE47" s="31">
        <f>IF(AD47=0,"",IFERROR(AD47/AD$19,""))</f>
        <v>8.560474882255217E-3</v>
      </c>
      <c r="AF47" s="51">
        <f t="shared" si="6"/>
        <v>-7334.6786409999986</v>
      </c>
      <c r="AG47" s="30">
        <v>16776.419999999998</v>
      </c>
      <c r="AH47" s="31">
        <f>IF(AG47=0,"",IFERROR(AG47/AG$19,""))</f>
        <v>8.6049457369836869E-3</v>
      </c>
      <c r="AI47" s="51">
        <f t="shared" si="7"/>
        <v>934.78000000000247</v>
      </c>
    </row>
    <row r="48" spans="1:35" x14ac:dyDescent="0.25">
      <c r="A48" s="6" t="s">
        <v>36</v>
      </c>
      <c r="B48" s="7"/>
      <c r="H48" s="15" t="s">
        <v>319</v>
      </c>
      <c r="I48" s="161" t="s">
        <v>1009</v>
      </c>
      <c r="J48" s="161" t="s">
        <v>78</v>
      </c>
      <c r="K48" s="162"/>
      <c r="L48" s="162"/>
      <c r="M48" s="162"/>
      <c r="N48" s="25" t="s">
        <v>1269</v>
      </c>
      <c r="O48" s="164">
        <v>45410.400000000001</v>
      </c>
      <c r="P48" s="164">
        <v>66080.429999999993</v>
      </c>
      <c r="Q48" s="164">
        <v>39721.870000000003</v>
      </c>
      <c r="R48" s="164">
        <v>32608.15</v>
      </c>
      <c r="S48" s="164">
        <v>34115.699999999997</v>
      </c>
      <c r="T48" s="164">
        <v>22402.5</v>
      </c>
      <c r="U48" s="164">
        <v>25140.5</v>
      </c>
      <c r="V48" s="164">
        <v>18608.8</v>
      </c>
      <c r="W48" s="164">
        <v>19998.810000000001</v>
      </c>
      <c r="X48" s="164">
        <v>32198.9</v>
      </c>
      <c r="Y48" s="164">
        <v>16700.5</v>
      </c>
      <c r="Z48" s="164">
        <v>38393.49</v>
      </c>
      <c r="AA48" s="164">
        <f t="shared" si="5"/>
        <v>391380.05</v>
      </c>
      <c r="AB48" s="175">
        <f>IF(AA48=0,"",IFERROR(AA48/AA$19,""))</f>
        <v>0.2374125865111659</v>
      </c>
      <c r="AD48" s="164">
        <v>638598.92000000004</v>
      </c>
      <c r="AE48" s="175">
        <f>IF(AD48=0,"",IFERROR(AD48/AD$19,""))</f>
        <v>0.2182678472915032</v>
      </c>
      <c r="AF48" s="165">
        <f t="shared" si="6"/>
        <v>-247218.87000000005</v>
      </c>
      <c r="AG48" s="164">
        <v>532879.18999999994</v>
      </c>
      <c r="AH48" s="175">
        <f>IF(AG48=0,"",IFERROR(AG48/AG$19,""))</f>
        <v>0.27332389832382714</v>
      </c>
      <c r="AI48" s="165">
        <f t="shared" si="7"/>
        <v>-141499.13999999996</v>
      </c>
    </row>
    <row r="49" spans="1:35" x14ac:dyDescent="0.25">
      <c r="A49" s="6" t="s">
        <v>37</v>
      </c>
      <c r="B49" s="7"/>
      <c r="H49" s="15" t="s">
        <v>298</v>
      </c>
      <c r="I49" s="161" t="s">
        <v>1009</v>
      </c>
      <c r="J49" s="161" t="s">
        <v>1009</v>
      </c>
      <c r="K49" s="162"/>
      <c r="L49" s="162">
        <v>946200</v>
      </c>
      <c r="M49" s="162">
        <v>991502</v>
      </c>
      <c r="N49" s="162" t="s">
        <v>1270</v>
      </c>
      <c r="O49" s="38">
        <v>1027</v>
      </c>
      <c r="P49" s="38">
        <v>1243</v>
      </c>
      <c r="Q49" s="38">
        <v>1564</v>
      </c>
      <c r="R49" s="38">
        <v>913</v>
      </c>
      <c r="S49" s="38">
        <v>1000</v>
      </c>
      <c r="T49" s="38">
        <v>1012</v>
      </c>
      <c r="U49" s="38">
        <v>784</v>
      </c>
      <c r="V49" s="38">
        <v>650</v>
      </c>
      <c r="W49" s="38">
        <v>618</v>
      </c>
      <c r="X49" s="38">
        <v>688</v>
      </c>
      <c r="Y49" s="38">
        <v>493</v>
      </c>
      <c r="Z49" s="38">
        <v>641</v>
      </c>
      <c r="AA49" s="38">
        <f t="shared" si="5"/>
        <v>10633</v>
      </c>
      <c r="AB49" s="39">
        <f>IF(AA49=0,"",IFERROR(AA49/AA$104,""))</f>
        <v>0.21384469963598335</v>
      </c>
      <c r="AD49" s="38">
        <v>15902</v>
      </c>
      <c r="AE49" s="39">
        <f>IF(AD49=0,"",IFERROR(AD49/AD$104,""))</f>
        <v>0.22424977436823104</v>
      </c>
      <c r="AF49" s="132">
        <f t="shared" si="6"/>
        <v>-5269</v>
      </c>
      <c r="AG49" s="38">
        <v>14889</v>
      </c>
      <c r="AH49" s="39">
        <f>IF(AG49=0,"",IFERROR(AG49/AG$104,""))</f>
        <v>0.26430333907301229</v>
      </c>
      <c r="AI49" s="132">
        <f t="shared" si="7"/>
        <v>-4256</v>
      </c>
    </row>
    <row r="50" spans="1:35" x14ac:dyDescent="0.25">
      <c r="A50" s="6" t="s">
        <v>38</v>
      </c>
      <c r="B50" s="7"/>
      <c r="H50" s="15" t="s">
        <v>315</v>
      </c>
      <c r="I50" s="161" t="s">
        <v>1009</v>
      </c>
      <c r="J50" s="161" t="s">
        <v>78</v>
      </c>
      <c r="K50" s="162"/>
      <c r="L50" s="162"/>
      <c r="M50" s="162"/>
      <c r="N50" s="170" t="s">
        <v>1271</v>
      </c>
      <c r="O50" s="176">
        <v>44.216553067185998</v>
      </c>
      <c r="P50" s="176">
        <v>53.162051488334697</v>
      </c>
      <c r="Q50" s="176">
        <v>25.397615089514101</v>
      </c>
      <c r="R50" s="176">
        <v>35.715388828039401</v>
      </c>
      <c r="S50" s="176">
        <v>34.115699999999997</v>
      </c>
      <c r="T50" s="176">
        <v>22.1368577075099</v>
      </c>
      <c r="U50" s="176">
        <v>32.066964285714299</v>
      </c>
      <c r="V50" s="176">
        <v>28.628923076923101</v>
      </c>
      <c r="W50" s="176">
        <v>32.360533980582503</v>
      </c>
      <c r="X50" s="176">
        <v>46.8007267441861</v>
      </c>
      <c r="Y50" s="176">
        <v>33.875253549695699</v>
      </c>
      <c r="Z50" s="176">
        <v>59.896240249610003</v>
      </c>
      <c r="AA50" s="176">
        <f>IFERROR(AA48/AA49,"")</f>
        <v>36.808055111445498</v>
      </c>
      <c r="AB50" s="176"/>
      <c r="AD50" s="176">
        <v>40.158402716639401</v>
      </c>
      <c r="AE50" s="176"/>
      <c r="AF50" s="177">
        <f t="shared" si="6"/>
        <v>-3.3503476051939032</v>
      </c>
      <c r="AG50" s="176">
        <v>35.790126267714399</v>
      </c>
      <c r="AH50" s="176"/>
      <c r="AI50" s="177">
        <f t="shared" si="7"/>
        <v>1.0179288437310987</v>
      </c>
    </row>
    <row r="51" spans="1:35" x14ac:dyDescent="0.25">
      <c r="A51" s="6" t="s">
        <v>39</v>
      </c>
      <c r="B51" s="7"/>
      <c r="G51" s="181">
        <f>COUNTIF(O52:AI52,FALSE)</f>
        <v>0</v>
      </c>
      <c r="H51" s="15"/>
      <c r="I51" s="161"/>
      <c r="J51" s="161"/>
      <c r="K51" s="162"/>
      <c r="L51" s="162"/>
      <c r="M51" s="162"/>
      <c r="N51" s="182" t="s">
        <v>345</v>
      </c>
      <c r="O51" s="179">
        <f t="shared" ref="O51:AA51" si="8">ROUND(IFERROR(O48/O49,0),2)</f>
        <v>44.22</v>
      </c>
      <c r="P51" s="184">
        <f t="shared" si="8"/>
        <v>53.16</v>
      </c>
      <c r="Q51" s="184">
        <f t="shared" si="8"/>
        <v>25.4</v>
      </c>
      <c r="R51" s="184">
        <f t="shared" si="8"/>
        <v>35.72</v>
      </c>
      <c r="S51" s="184">
        <f t="shared" si="8"/>
        <v>34.119999999999997</v>
      </c>
      <c r="T51" s="184">
        <f t="shared" si="8"/>
        <v>22.14</v>
      </c>
      <c r="U51" s="184">
        <f t="shared" si="8"/>
        <v>32.07</v>
      </c>
      <c r="V51" s="184">
        <f t="shared" si="8"/>
        <v>28.63</v>
      </c>
      <c r="W51" s="184">
        <f t="shared" si="8"/>
        <v>32.36</v>
      </c>
      <c r="X51" s="184">
        <f t="shared" si="8"/>
        <v>46.8</v>
      </c>
      <c r="Y51" s="184">
        <f t="shared" si="8"/>
        <v>33.880000000000003</v>
      </c>
      <c r="Z51" s="184">
        <f t="shared" si="8"/>
        <v>59.9</v>
      </c>
      <c r="AA51" s="184">
        <f t="shared" si="8"/>
        <v>36.81</v>
      </c>
      <c r="AB51" s="183"/>
      <c r="AD51" s="179">
        <f>ROUND(IFERROR(AD48/AD49,0),2)</f>
        <v>40.159999999999997</v>
      </c>
      <c r="AE51" s="184"/>
      <c r="AF51" s="180"/>
      <c r="AG51" s="179">
        <f>ROUND(IFERROR(AG48/AG49,0),2)</f>
        <v>35.79</v>
      </c>
      <c r="AH51" s="184"/>
      <c r="AI51" s="180"/>
    </row>
    <row r="52" spans="1:35" x14ac:dyDescent="0.25">
      <c r="A52" s="6" t="s">
        <v>40</v>
      </c>
      <c r="B52" s="7"/>
      <c r="H52" s="15"/>
      <c r="I52" s="161"/>
      <c r="J52" s="161"/>
      <c r="K52" s="162"/>
      <c r="L52" s="162"/>
      <c r="M52" s="162"/>
      <c r="N52" s="8" t="s">
        <v>316</v>
      </c>
      <c r="O52" s="319" t="b">
        <f t="shared" ref="O52:AA52" si="9">ROUND(O50,2)=ROUND(O51,2)</f>
        <v>1</v>
      </c>
      <c r="P52" s="320" t="b">
        <f t="shared" si="9"/>
        <v>1</v>
      </c>
      <c r="Q52" s="320" t="b">
        <f t="shared" si="9"/>
        <v>1</v>
      </c>
      <c r="R52" s="320" t="b">
        <f t="shared" si="9"/>
        <v>1</v>
      </c>
      <c r="S52" s="320" t="b">
        <f t="shared" si="9"/>
        <v>1</v>
      </c>
      <c r="T52" s="320" t="b">
        <f t="shared" si="9"/>
        <v>1</v>
      </c>
      <c r="U52" s="320" t="b">
        <f t="shared" si="9"/>
        <v>1</v>
      </c>
      <c r="V52" s="320" t="b">
        <f t="shared" si="9"/>
        <v>1</v>
      </c>
      <c r="W52" s="320" t="b">
        <f t="shared" si="9"/>
        <v>1</v>
      </c>
      <c r="X52" s="320" t="b">
        <f t="shared" si="9"/>
        <v>1</v>
      </c>
      <c r="Y52" s="320" t="b">
        <f t="shared" si="9"/>
        <v>1</v>
      </c>
      <c r="Z52" s="320" t="b">
        <f t="shared" si="9"/>
        <v>1</v>
      </c>
      <c r="AA52" s="320" t="b">
        <f t="shared" si="9"/>
        <v>1</v>
      </c>
      <c r="AB52" s="321"/>
      <c r="AC52" s="322"/>
      <c r="AD52" s="319"/>
      <c r="AE52" s="320" t="b">
        <f>ROUND(AD50,2)=ROUND(AD51,2)</f>
        <v>1</v>
      </c>
      <c r="AF52" s="321"/>
      <c r="AG52" s="319"/>
      <c r="AH52" s="320" t="b">
        <f>ROUND(AG50,2)=ROUND(AG51,2)</f>
        <v>1</v>
      </c>
      <c r="AI52" s="321"/>
    </row>
    <row r="53" spans="1:35" x14ac:dyDescent="0.25">
      <c r="A53" s="6" t="s">
        <v>41</v>
      </c>
      <c r="B53" s="7"/>
      <c r="H53" s="15" t="s">
        <v>262</v>
      </c>
      <c r="I53" s="161" t="s">
        <v>1058</v>
      </c>
      <c r="J53" s="161" t="s">
        <v>78</v>
      </c>
      <c r="K53" s="162"/>
      <c r="L53" s="162">
        <v>463100</v>
      </c>
      <c r="M53" s="162"/>
      <c r="N53" s="162" t="s">
        <v>1272</v>
      </c>
      <c r="O53" s="21">
        <v>59055.9</v>
      </c>
      <c r="P53" s="21">
        <v>26334</v>
      </c>
      <c r="Q53" s="21">
        <v>33220</v>
      </c>
      <c r="R53" s="21">
        <v>17118.990000000002</v>
      </c>
      <c r="S53" s="21">
        <v>18291.64</v>
      </c>
      <c r="T53" s="21">
        <v>19041.080000000002</v>
      </c>
      <c r="U53" s="21">
        <v>10042.02</v>
      </c>
      <c r="V53" s="21">
        <v>8974</v>
      </c>
      <c r="W53" s="21">
        <v>1004.58</v>
      </c>
      <c r="X53" s="21">
        <v>-212.96</v>
      </c>
      <c r="Y53" s="21">
        <v>-59.77</v>
      </c>
      <c r="Z53" s="21">
        <v>1528.38</v>
      </c>
      <c r="AA53" s="21">
        <f t="shared" ref="AA53:AA58" si="10">SUM(O53:Z53)</f>
        <v>194337.86</v>
      </c>
      <c r="AB53" s="17">
        <f>IF(AA53=0,"",IFERROR(AA53/AA$19,""))</f>
        <v>0.11788606496331339</v>
      </c>
      <c r="AD53" s="21">
        <v>480626.41112900001</v>
      </c>
      <c r="AE53" s="17">
        <f>IF(AD53=0,"",IFERROR(AD53/AD$19,""))</f>
        <v>0.16427414582625322</v>
      </c>
      <c r="AF53" s="50">
        <f t="shared" ref="AF53:AF59" si="11">IF(AND($AA53="",AD53=""),"",$AA53-AD53)</f>
        <v>-286288.55112900003</v>
      </c>
      <c r="AG53" s="21">
        <v>262084.67</v>
      </c>
      <c r="AH53" s="17">
        <f>IF(AG53=0,"",IFERROR(AG53/AG$19,""))</f>
        <v>0.13442822508290067</v>
      </c>
      <c r="AI53" s="50">
        <f t="shared" ref="AI53:AI59" si="12">IF(AND($AA53="",AG53=""),"",$AA53-AG53)</f>
        <v>-67746.810000000027</v>
      </c>
    </row>
    <row r="54" spans="1:35" x14ac:dyDescent="0.25">
      <c r="A54" s="6" t="s">
        <v>42</v>
      </c>
      <c r="B54" s="7"/>
      <c r="H54" s="15" t="s">
        <v>302</v>
      </c>
      <c r="I54" s="161" t="s">
        <v>1123</v>
      </c>
      <c r="J54" s="161" t="s">
        <v>78</v>
      </c>
      <c r="K54" s="162"/>
      <c r="L54" s="162">
        <v>463200</v>
      </c>
      <c r="M54" s="162"/>
      <c r="N54" s="162" t="s">
        <v>1273</v>
      </c>
      <c r="O54" s="21">
        <v>3313</v>
      </c>
      <c r="P54" s="21">
        <v>2456.1999999999998</v>
      </c>
      <c r="Q54" s="21">
        <v>5981</v>
      </c>
      <c r="R54" s="21">
        <v>2071</v>
      </c>
      <c r="S54" s="21">
        <v>9381</v>
      </c>
      <c r="T54" s="21">
        <v>2057</v>
      </c>
      <c r="U54" s="21">
        <v>1466</v>
      </c>
      <c r="V54" s="21">
        <v>1490</v>
      </c>
      <c r="W54" s="21">
        <v>56</v>
      </c>
      <c r="X54" s="21"/>
      <c r="Y54" s="21"/>
      <c r="Z54" s="21">
        <v>455</v>
      </c>
      <c r="AA54" s="21">
        <f t="shared" si="10"/>
        <v>28726.2</v>
      </c>
      <c r="AB54" s="17">
        <f>IF(AA54=0,"",IFERROR(AA54/AA$19,""))</f>
        <v>1.7425419212443387E-2</v>
      </c>
      <c r="AD54" s="21">
        <v>162324.08305399999</v>
      </c>
      <c r="AE54" s="17">
        <f>IF(AD54=0,"",IFERROR(AD54/AD$19,""))</f>
        <v>5.5481033653742712E-2</v>
      </c>
      <c r="AF54" s="50">
        <f t="shared" si="11"/>
        <v>-133597.88305399998</v>
      </c>
      <c r="AG54" s="21">
        <v>58986.41</v>
      </c>
      <c r="AH54" s="17">
        <f>IF(AG54=0,"",IFERROR(AG54/AG$19,""))</f>
        <v>3.0255254534010949E-2</v>
      </c>
      <c r="AI54" s="50">
        <f t="shared" si="12"/>
        <v>-30260.210000000003</v>
      </c>
    </row>
    <row r="55" spans="1:35" x14ac:dyDescent="0.25">
      <c r="A55" s="6" t="s">
        <v>43</v>
      </c>
      <c r="B55" s="7"/>
      <c r="H55" s="15" t="s">
        <v>306</v>
      </c>
      <c r="I55" s="161" t="s">
        <v>1123</v>
      </c>
      <c r="J55" s="161" t="s">
        <v>78</v>
      </c>
      <c r="K55" s="162"/>
      <c r="L55" s="162">
        <v>463300</v>
      </c>
      <c r="M55" s="162"/>
      <c r="N55" s="162" t="s">
        <v>1274</v>
      </c>
      <c r="O55" s="21">
        <v>2479</v>
      </c>
      <c r="P55" s="21">
        <v>407</v>
      </c>
      <c r="Q55" s="21">
        <v>1122</v>
      </c>
      <c r="R55" s="21">
        <v>469.12</v>
      </c>
      <c r="S55" s="21">
        <v>849</v>
      </c>
      <c r="T55" s="21">
        <v>340</v>
      </c>
      <c r="U55" s="21">
        <v>314</v>
      </c>
      <c r="V55" s="21">
        <v>178</v>
      </c>
      <c r="W55" s="21"/>
      <c r="X55" s="21"/>
      <c r="Y55" s="21"/>
      <c r="Z55" s="21"/>
      <c r="AA55" s="21">
        <f t="shared" si="10"/>
        <v>6158.12</v>
      </c>
      <c r="AB55" s="17">
        <f>IF(AA55=0,"",IFERROR(AA55/AA$19,""))</f>
        <v>3.7355383782237774E-3</v>
      </c>
      <c r="AD55" s="21">
        <v>26061.770873000001</v>
      </c>
      <c r="AE55" s="17">
        <f>IF(AD55=0,"",IFERROR(AD55/AD$19,""))</f>
        <v>8.9076984737996578E-3</v>
      </c>
      <c r="AF55" s="50">
        <f t="shared" si="11"/>
        <v>-19903.650873000002</v>
      </c>
      <c r="AG55" s="21">
        <v>7182.1</v>
      </c>
      <c r="AH55" s="17">
        <f>IF(AG55=0,"",IFERROR(AG55/AG$19,""))</f>
        <v>3.6838360495022502E-3</v>
      </c>
      <c r="AI55" s="50">
        <f t="shared" si="12"/>
        <v>-1023.9800000000005</v>
      </c>
    </row>
    <row r="56" spans="1:35" x14ac:dyDescent="0.25">
      <c r="A56" s="6" t="s">
        <v>44</v>
      </c>
      <c r="B56" s="7"/>
      <c r="H56" s="15" t="s">
        <v>304</v>
      </c>
      <c r="I56" s="161" t="s">
        <v>1123</v>
      </c>
      <c r="J56" s="161" t="s">
        <v>78</v>
      </c>
      <c r="K56" s="162"/>
      <c r="L56" s="162">
        <v>463400</v>
      </c>
      <c r="M56" s="162"/>
      <c r="N56" s="162" t="s">
        <v>1275</v>
      </c>
      <c r="O56" s="30">
        <v>4697</v>
      </c>
      <c r="P56" s="30">
        <v>2078</v>
      </c>
      <c r="Q56" s="30">
        <v>1384</v>
      </c>
      <c r="R56" s="30">
        <v>2149.89</v>
      </c>
      <c r="S56" s="30">
        <v>3134</v>
      </c>
      <c r="T56" s="30">
        <v>1145</v>
      </c>
      <c r="U56" s="30">
        <v>714.22</v>
      </c>
      <c r="V56" s="30">
        <v>1067</v>
      </c>
      <c r="W56" s="30"/>
      <c r="X56" s="30"/>
      <c r="Y56" s="30"/>
      <c r="Z56" s="30">
        <v>314.79000000000002</v>
      </c>
      <c r="AA56" s="30">
        <f t="shared" si="10"/>
        <v>16683.899999999998</v>
      </c>
      <c r="AB56" s="31">
        <f>IF(AA56=0,"",IFERROR(AA56/AA$19,""))</f>
        <v>1.0120515473626314E-2</v>
      </c>
      <c r="AD56" s="30">
        <v>62868.584944000002</v>
      </c>
      <c r="AE56" s="31">
        <f>IF(AD56=0,"",IFERROR(AD56/AD$19,""))</f>
        <v>2.1487964148122721E-2</v>
      </c>
      <c r="AF56" s="51">
        <f t="shared" si="11"/>
        <v>-46184.684944000008</v>
      </c>
      <c r="AG56" s="30">
        <v>34709.06</v>
      </c>
      <c r="AH56" s="31">
        <f>IF(AG56=0,"",IFERROR(AG56/AG$19,""))</f>
        <v>1.7802938760576512E-2</v>
      </c>
      <c r="AI56" s="51">
        <f t="shared" si="12"/>
        <v>-18025.16</v>
      </c>
    </row>
    <row r="57" spans="1:35" x14ac:dyDescent="0.25">
      <c r="A57" s="6" t="s">
        <v>45</v>
      </c>
      <c r="B57" s="7"/>
      <c r="H57" s="15" t="s">
        <v>320</v>
      </c>
      <c r="I57" s="161" t="s">
        <v>1009</v>
      </c>
      <c r="J57" s="161" t="s">
        <v>78</v>
      </c>
      <c r="K57" s="162"/>
      <c r="L57" s="162"/>
      <c r="M57" s="162"/>
      <c r="N57" s="25" t="s">
        <v>1276</v>
      </c>
      <c r="O57" s="164">
        <v>69544.899999999994</v>
      </c>
      <c r="P57" s="164">
        <v>31275.200000000001</v>
      </c>
      <c r="Q57" s="164">
        <v>41707</v>
      </c>
      <c r="R57" s="164">
        <v>21809</v>
      </c>
      <c r="S57" s="164">
        <v>31655.64</v>
      </c>
      <c r="T57" s="164">
        <v>22583.08</v>
      </c>
      <c r="U57" s="164">
        <v>12536.24</v>
      </c>
      <c r="V57" s="164">
        <v>11709</v>
      </c>
      <c r="W57" s="164">
        <v>1060.58</v>
      </c>
      <c r="X57" s="164">
        <v>-212.96</v>
      </c>
      <c r="Y57" s="164">
        <v>-59.77</v>
      </c>
      <c r="Z57" s="164">
        <v>2298.17</v>
      </c>
      <c r="AA57" s="164">
        <f t="shared" si="10"/>
        <v>245906.08000000002</v>
      </c>
      <c r="AB57" s="175">
        <f>IF(AA57=0,"",IFERROR(AA57/AA$19,""))</f>
        <v>0.14916753802760688</v>
      </c>
      <c r="AD57" s="164">
        <v>731880.85</v>
      </c>
      <c r="AE57" s="175">
        <f>IF(AD57=0,"",IFERROR(AD57/AD$19,""))</f>
        <v>0.25015084210191829</v>
      </c>
      <c r="AF57" s="165">
        <f t="shared" si="11"/>
        <v>-485974.76999999996</v>
      </c>
      <c r="AG57" s="164">
        <v>362962.24</v>
      </c>
      <c r="AH57" s="175">
        <f>IF(AG57=0,"",IFERROR(AG57/AG$19,""))</f>
        <v>0.18617025442699037</v>
      </c>
      <c r="AI57" s="165">
        <f t="shared" si="12"/>
        <v>-117056.15999999997</v>
      </c>
    </row>
    <row r="58" spans="1:35" x14ac:dyDescent="0.25">
      <c r="A58" s="6" t="s">
        <v>46</v>
      </c>
      <c r="B58" s="7"/>
      <c r="H58" s="15" t="s">
        <v>299</v>
      </c>
      <c r="I58" s="161" t="s">
        <v>1009</v>
      </c>
      <c r="J58" s="161" t="s">
        <v>1009</v>
      </c>
      <c r="K58" s="162"/>
      <c r="L58" s="162">
        <v>946300</v>
      </c>
      <c r="M58" s="162">
        <v>991503</v>
      </c>
      <c r="N58" s="162" t="s">
        <v>1277</v>
      </c>
      <c r="O58" s="38">
        <v>1154</v>
      </c>
      <c r="P58" s="38">
        <v>500</v>
      </c>
      <c r="Q58" s="38">
        <v>689</v>
      </c>
      <c r="R58" s="38">
        <v>440</v>
      </c>
      <c r="S58" s="38">
        <v>624</v>
      </c>
      <c r="T58" s="38">
        <v>482</v>
      </c>
      <c r="U58" s="38">
        <v>312</v>
      </c>
      <c r="V58" s="38">
        <v>274</v>
      </c>
      <c r="W58" s="38">
        <v>20</v>
      </c>
      <c r="X58" s="38"/>
      <c r="Y58" s="38"/>
      <c r="Z58" s="38">
        <v>28</v>
      </c>
      <c r="AA58" s="38">
        <f t="shared" si="10"/>
        <v>4523</v>
      </c>
      <c r="AB58" s="39">
        <f>IF(AA58=0,"",IFERROR(AA58/AA$104,""))</f>
        <v>9.0963940228867932E-2</v>
      </c>
      <c r="AD58" s="38">
        <v>14279</v>
      </c>
      <c r="AE58" s="39">
        <f>IF(AD58=0,"",IFERROR(AD58/AD$104,""))</f>
        <v>0.20136225180505415</v>
      </c>
      <c r="AF58" s="132">
        <f t="shared" si="11"/>
        <v>-9756</v>
      </c>
      <c r="AG58" s="38">
        <v>7414</v>
      </c>
      <c r="AH58" s="39">
        <f>IF(AG58=0,"",IFERROR(AG58/AG$104,""))</f>
        <v>0.13161024621447465</v>
      </c>
      <c r="AI58" s="132">
        <f t="shared" si="12"/>
        <v>-2891</v>
      </c>
    </row>
    <row r="59" spans="1:35" x14ac:dyDescent="0.25">
      <c r="H59" s="149" t="s">
        <v>317</v>
      </c>
      <c r="I59" s="161" t="s">
        <v>1009</v>
      </c>
      <c r="J59" s="161" t="s">
        <v>78</v>
      </c>
      <c r="K59" s="162"/>
      <c r="L59" s="162"/>
      <c r="M59" s="162"/>
      <c r="N59" s="170" t="s">
        <v>1278</v>
      </c>
      <c r="O59" s="176">
        <v>60.264211438474902</v>
      </c>
      <c r="P59" s="176">
        <v>62.550400000000003</v>
      </c>
      <c r="Q59" s="176">
        <v>60.532656023222103</v>
      </c>
      <c r="R59" s="176">
        <v>49.565909090909102</v>
      </c>
      <c r="S59" s="176">
        <v>50.730192307692299</v>
      </c>
      <c r="T59" s="176">
        <v>46.852863070539399</v>
      </c>
      <c r="U59" s="176">
        <v>40.180256410256398</v>
      </c>
      <c r="V59" s="176">
        <v>42.733576642335798</v>
      </c>
      <c r="W59" s="176">
        <v>53.029000000000003</v>
      </c>
      <c r="X59" s="176"/>
      <c r="Y59" s="176"/>
      <c r="Z59" s="176">
        <v>82.077500000000001</v>
      </c>
      <c r="AA59" s="176">
        <f>IFERROR(AA57/AA58,"")</f>
        <v>54.367915100596953</v>
      </c>
      <c r="AB59" s="176"/>
      <c r="AD59" s="176">
        <v>51.255749702360099</v>
      </c>
      <c r="AE59" s="176"/>
      <c r="AF59" s="177">
        <f t="shared" si="11"/>
        <v>3.1121653982368542</v>
      </c>
      <c r="AG59" s="176">
        <v>48.956331265174001</v>
      </c>
      <c r="AH59" s="176"/>
      <c r="AI59" s="177">
        <f t="shared" si="12"/>
        <v>5.4115838354229524</v>
      </c>
    </row>
    <row r="60" spans="1:35" x14ac:dyDescent="0.25">
      <c r="G60" s="181">
        <f>COUNTIF(O61:AI61,FALSE)</f>
        <v>0</v>
      </c>
      <c r="H60" s="15"/>
      <c r="I60" s="161"/>
      <c r="J60" s="161"/>
      <c r="K60" s="162"/>
      <c r="L60" s="162"/>
      <c r="M60" s="162"/>
      <c r="N60" s="182" t="s">
        <v>345</v>
      </c>
      <c r="O60" s="179">
        <f t="shared" ref="O60:AA60" si="13">ROUND(IFERROR(O57/O58,0),2)</f>
        <v>60.26</v>
      </c>
      <c r="P60" s="184">
        <f t="shared" si="13"/>
        <v>62.55</v>
      </c>
      <c r="Q60" s="184">
        <f t="shared" si="13"/>
        <v>60.53</v>
      </c>
      <c r="R60" s="184">
        <f t="shared" si="13"/>
        <v>49.57</v>
      </c>
      <c r="S60" s="184">
        <f t="shared" si="13"/>
        <v>50.73</v>
      </c>
      <c r="T60" s="184">
        <f t="shared" si="13"/>
        <v>46.85</v>
      </c>
      <c r="U60" s="184">
        <f t="shared" si="13"/>
        <v>40.18</v>
      </c>
      <c r="V60" s="184">
        <f t="shared" si="13"/>
        <v>42.73</v>
      </c>
      <c r="W60" s="184">
        <f t="shared" si="13"/>
        <v>53.03</v>
      </c>
      <c r="X60" s="184">
        <f t="shared" si="13"/>
        <v>0</v>
      </c>
      <c r="Y60" s="184">
        <f t="shared" si="13"/>
        <v>0</v>
      </c>
      <c r="Z60" s="184">
        <f t="shared" si="13"/>
        <v>82.08</v>
      </c>
      <c r="AA60" s="184">
        <f t="shared" si="13"/>
        <v>54.37</v>
      </c>
      <c r="AB60" s="183"/>
      <c r="AD60" s="179">
        <f>ROUND(IFERROR(AD57/AD58,0),2)</f>
        <v>51.26</v>
      </c>
      <c r="AE60" s="184"/>
      <c r="AF60" s="180"/>
      <c r="AG60" s="179">
        <f>ROUND(IFERROR(AG57/AG58,0),2)</f>
        <v>48.96</v>
      </c>
      <c r="AH60" s="184"/>
      <c r="AI60" s="180"/>
    </row>
    <row r="61" spans="1:35" x14ac:dyDescent="0.25">
      <c r="H61" s="149"/>
      <c r="I61" s="161"/>
      <c r="J61" s="161"/>
      <c r="K61" s="162"/>
      <c r="L61" s="162"/>
      <c r="M61" s="162"/>
      <c r="N61" s="8" t="s">
        <v>307</v>
      </c>
      <c r="O61" s="319" t="b">
        <f t="shared" ref="O61:AA61" si="14">ROUND(O59,2)=ROUND(O60,2)</f>
        <v>1</v>
      </c>
      <c r="P61" s="320" t="b">
        <f t="shared" si="14"/>
        <v>1</v>
      </c>
      <c r="Q61" s="320" t="b">
        <f t="shared" si="14"/>
        <v>1</v>
      </c>
      <c r="R61" s="320" t="b">
        <f t="shared" si="14"/>
        <v>1</v>
      </c>
      <c r="S61" s="320" t="b">
        <f t="shared" si="14"/>
        <v>1</v>
      </c>
      <c r="T61" s="320" t="b">
        <f t="shared" si="14"/>
        <v>1</v>
      </c>
      <c r="U61" s="320" t="b">
        <f t="shared" si="14"/>
        <v>1</v>
      </c>
      <c r="V61" s="320" t="b">
        <f t="shared" si="14"/>
        <v>1</v>
      </c>
      <c r="W61" s="320" t="b">
        <f t="shared" si="14"/>
        <v>1</v>
      </c>
      <c r="X61" s="320" t="b">
        <f t="shared" si="14"/>
        <v>1</v>
      </c>
      <c r="Y61" s="320" t="b">
        <f t="shared" si="14"/>
        <v>1</v>
      </c>
      <c r="Z61" s="320" t="b">
        <f t="shared" si="14"/>
        <v>1</v>
      </c>
      <c r="AA61" s="320" t="b">
        <f t="shared" si="14"/>
        <v>1</v>
      </c>
      <c r="AB61" s="321"/>
      <c r="AC61" s="322"/>
      <c r="AD61" s="319"/>
      <c r="AE61" s="320" t="b">
        <f>ROUND(AD59,2)=ROUND(AD60,2)</f>
        <v>1</v>
      </c>
      <c r="AF61" s="321"/>
      <c r="AG61" s="319"/>
      <c r="AH61" s="320" t="b">
        <f>ROUND(AG59,2)=ROUND(AG60,2)</f>
        <v>1</v>
      </c>
      <c r="AI61" s="321"/>
    </row>
    <row r="62" spans="1:35" x14ac:dyDescent="0.25">
      <c r="H62" s="149" t="s">
        <v>263</v>
      </c>
      <c r="I62" s="161" t="s">
        <v>1058</v>
      </c>
      <c r="J62" s="161" t="s">
        <v>78</v>
      </c>
      <c r="K62" s="162"/>
      <c r="L62" s="162">
        <v>464100</v>
      </c>
      <c r="M62" s="162"/>
      <c r="N62" s="162" t="s">
        <v>1279</v>
      </c>
      <c r="O62" s="21">
        <v>9178.5</v>
      </c>
      <c r="P62" s="21">
        <v>13570</v>
      </c>
      <c r="Q62" s="21">
        <v>10503.8</v>
      </c>
      <c r="R62" s="21">
        <v>9350.4</v>
      </c>
      <c r="S62" s="21">
        <v>14245.5</v>
      </c>
      <c r="T62" s="21">
        <v>11915.5</v>
      </c>
      <c r="U62" s="21">
        <v>11762.81</v>
      </c>
      <c r="V62" s="21">
        <v>7958.11</v>
      </c>
      <c r="W62" s="21">
        <v>13464.5</v>
      </c>
      <c r="X62" s="21">
        <v>14619.4</v>
      </c>
      <c r="Y62" s="21">
        <v>9453.2000000000007</v>
      </c>
      <c r="Z62" s="21">
        <v>16635.27</v>
      </c>
      <c r="AA62" s="21">
        <f t="shared" ref="AA62:AA67" si="15">SUM(O62:Z62)</f>
        <v>142656.99</v>
      </c>
      <c r="AB62" s="17">
        <f>IF(AA62=0,"",IFERROR(AA62/AA$19,""))</f>
        <v>8.6536257992193333E-2</v>
      </c>
      <c r="AD62" s="21">
        <v>160846.484643</v>
      </c>
      <c r="AE62" s="17">
        <f>IF(AD62=0,"",IFERROR(AD62/AD$19,""))</f>
        <v>5.4976002695766281E-2</v>
      </c>
      <c r="AF62" s="50">
        <f t="shared" ref="AF62:AF68" si="16">IF(AND($AA62="",AD62=""),"",$AA62-AD62)</f>
        <v>-18189.494643000013</v>
      </c>
      <c r="AG62" s="21">
        <v>111349.46</v>
      </c>
      <c r="AH62" s="17">
        <f>IF(AG62=0,"",IFERROR(AG62/AG$19,""))</f>
        <v>5.7113261419446795E-2</v>
      </c>
      <c r="AI62" s="50">
        <f t="shared" ref="AI62:AI68" si="17">IF(AND($AA62="",AG62=""),"",$AA62-AG62)</f>
        <v>31307.529999999984</v>
      </c>
    </row>
    <row r="63" spans="1:35" x14ac:dyDescent="0.25">
      <c r="H63" s="149" t="s">
        <v>308</v>
      </c>
      <c r="I63" s="161" t="s">
        <v>1123</v>
      </c>
      <c r="J63" s="161" t="s">
        <v>78</v>
      </c>
      <c r="K63" s="162"/>
      <c r="L63" s="162">
        <v>464200</v>
      </c>
      <c r="M63" s="162"/>
      <c r="N63" s="162" t="s">
        <v>1280</v>
      </c>
      <c r="O63" s="21">
        <v>19181</v>
      </c>
      <c r="P63" s="21">
        <v>23332</v>
      </c>
      <c r="Q63" s="21">
        <v>21510</v>
      </c>
      <c r="R63" s="21">
        <v>15487.91</v>
      </c>
      <c r="S63" s="21">
        <v>13547</v>
      </c>
      <c r="T63" s="21">
        <v>17682.400000000001</v>
      </c>
      <c r="U63" s="21">
        <v>15298.1</v>
      </c>
      <c r="V63" s="21">
        <v>11900.8</v>
      </c>
      <c r="W63" s="21">
        <v>19621</v>
      </c>
      <c r="X63" s="21">
        <v>10427.200000000001</v>
      </c>
      <c r="Y63" s="21">
        <v>14523.5</v>
      </c>
      <c r="Z63" s="21">
        <v>23854.6</v>
      </c>
      <c r="AA63" s="21">
        <f t="shared" si="15"/>
        <v>206365.51</v>
      </c>
      <c r="AB63" s="17">
        <f>IF(AA63=0,"",IFERROR(AA63/AA$19,""))</f>
        <v>0.12518208195792266</v>
      </c>
      <c r="AD63" s="21">
        <v>320695.60435500002</v>
      </c>
      <c r="AE63" s="17">
        <f>IF(AD63=0,"",IFERROR(AD63/AD$19,""))</f>
        <v>0.10961111427876118</v>
      </c>
      <c r="AF63" s="50">
        <f t="shared" si="16"/>
        <v>-114330.09435500001</v>
      </c>
      <c r="AG63" s="21">
        <v>218812.91</v>
      </c>
      <c r="AH63" s="17">
        <f>IF(AG63=0,"",IFERROR(AG63/AG$19,""))</f>
        <v>0.11223331420538442</v>
      </c>
      <c r="AI63" s="50">
        <f t="shared" si="17"/>
        <v>-12447.399999999994</v>
      </c>
    </row>
    <row r="64" spans="1:35" x14ac:dyDescent="0.25">
      <c r="H64" s="149" t="s">
        <v>310</v>
      </c>
      <c r="I64" s="161" t="s">
        <v>1123</v>
      </c>
      <c r="J64" s="161" t="s">
        <v>78</v>
      </c>
      <c r="K64" s="162"/>
      <c r="L64" s="162">
        <v>464300</v>
      </c>
      <c r="M64" s="162"/>
      <c r="N64" s="162" t="s">
        <v>1281</v>
      </c>
      <c r="O64" s="21">
        <v>3922</v>
      </c>
      <c r="P64" s="21">
        <v>3050</v>
      </c>
      <c r="Q64" s="21">
        <v>3205</v>
      </c>
      <c r="R64" s="21">
        <v>2985</v>
      </c>
      <c r="S64" s="21">
        <v>2280</v>
      </c>
      <c r="T64" s="21">
        <v>3308.9</v>
      </c>
      <c r="U64" s="21">
        <v>1881</v>
      </c>
      <c r="V64" s="21">
        <v>2042</v>
      </c>
      <c r="W64" s="21">
        <v>2245</v>
      </c>
      <c r="X64" s="21">
        <v>2610</v>
      </c>
      <c r="Y64" s="21">
        <v>3308.5</v>
      </c>
      <c r="Z64" s="21">
        <v>3644.8</v>
      </c>
      <c r="AA64" s="21">
        <f t="shared" si="15"/>
        <v>34482.200000000004</v>
      </c>
      <c r="AB64" s="17">
        <f>IF(AA64=0,"",IFERROR(AA64/AA$19,""))</f>
        <v>2.0917030110746131E-2</v>
      </c>
      <c r="AD64" s="21">
        <v>51328.051586000001</v>
      </c>
      <c r="AE64" s="17">
        <f>IF(AD64=0,"",IFERROR(AD64/AD$19,""))</f>
        <v>1.754350496763046E-2</v>
      </c>
      <c r="AF64" s="50">
        <f t="shared" si="16"/>
        <v>-16845.851585999997</v>
      </c>
      <c r="AG64" s="21">
        <v>37750.5</v>
      </c>
      <c r="AH64" s="17">
        <f>IF(AG64=0,"",IFERROR(AG64/AG$19,""))</f>
        <v>1.9362951335505588E-2</v>
      </c>
      <c r="AI64" s="50">
        <f t="shared" si="17"/>
        <v>-3268.2999999999956</v>
      </c>
    </row>
    <row r="65" spans="7:35" x14ac:dyDescent="0.25">
      <c r="H65" s="149" t="s">
        <v>309</v>
      </c>
      <c r="I65" s="161" t="s">
        <v>1123</v>
      </c>
      <c r="J65" s="161" t="s">
        <v>78</v>
      </c>
      <c r="K65" s="162"/>
      <c r="L65" s="162">
        <v>464400</v>
      </c>
      <c r="M65" s="162"/>
      <c r="N65" s="162" t="s">
        <v>1282</v>
      </c>
      <c r="O65" s="30">
        <v>5217</v>
      </c>
      <c r="P65" s="30">
        <v>5026</v>
      </c>
      <c r="Q65" s="30">
        <v>3810</v>
      </c>
      <c r="R65" s="30">
        <v>2764</v>
      </c>
      <c r="S65" s="30">
        <v>4365</v>
      </c>
      <c r="T65" s="30">
        <v>3798</v>
      </c>
      <c r="U65" s="30">
        <v>2320</v>
      </c>
      <c r="V65" s="30">
        <v>2094</v>
      </c>
      <c r="W65" s="30">
        <v>2630</v>
      </c>
      <c r="X65" s="30">
        <v>2081</v>
      </c>
      <c r="Y65" s="30">
        <v>3838.6</v>
      </c>
      <c r="Z65" s="30">
        <v>5614.43</v>
      </c>
      <c r="AA65" s="30">
        <f t="shared" si="15"/>
        <v>43558.03</v>
      </c>
      <c r="AB65" s="31">
        <f>IF(AA65=0,"",IFERROR(AA65/AA$19,""))</f>
        <v>2.6422462171055882E-2</v>
      </c>
      <c r="AD65" s="30">
        <v>71344.989415999997</v>
      </c>
      <c r="AE65" s="31">
        <f>IF(AD65=0,"",IFERROR(AD65/AD$19,""))</f>
        <v>2.4385129331044589E-2</v>
      </c>
      <c r="AF65" s="51">
        <f t="shared" si="16"/>
        <v>-27786.959415999998</v>
      </c>
      <c r="AG65" s="30">
        <v>47578.9</v>
      </c>
      <c r="AH65" s="31">
        <f>IF(AG65=0,"",IFERROR(AG65/AG$19,""))</f>
        <v>2.4404125118790133E-2</v>
      </c>
      <c r="AI65" s="51">
        <f t="shared" si="17"/>
        <v>-4020.8700000000026</v>
      </c>
    </row>
    <row r="66" spans="7:35" x14ac:dyDescent="0.25">
      <c r="H66" s="149" t="s">
        <v>327</v>
      </c>
      <c r="I66" s="161" t="s">
        <v>1009</v>
      </c>
      <c r="J66" s="161" t="s">
        <v>78</v>
      </c>
      <c r="K66" s="162"/>
      <c r="L66" s="162"/>
      <c r="M66" s="162"/>
      <c r="N66" s="25" t="s">
        <v>1283</v>
      </c>
      <c r="O66" s="164">
        <v>37498.5</v>
      </c>
      <c r="P66" s="164">
        <v>44978</v>
      </c>
      <c r="Q66" s="164">
        <v>39028.800000000003</v>
      </c>
      <c r="R66" s="164">
        <v>30587.31</v>
      </c>
      <c r="S66" s="164">
        <v>34437.5</v>
      </c>
      <c r="T66" s="164">
        <v>36704.800000000003</v>
      </c>
      <c r="U66" s="164">
        <v>31261.91</v>
      </c>
      <c r="V66" s="164">
        <v>23994.91</v>
      </c>
      <c r="W66" s="164">
        <v>37960.5</v>
      </c>
      <c r="X66" s="164">
        <v>29737.599999999999</v>
      </c>
      <c r="Y66" s="164">
        <v>31123.8</v>
      </c>
      <c r="Z66" s="164">
        <v>49749.1</v>
      </c>
      <c r="AA66" s="164">
        <f t="shared" si="15"/>
        <v>427062.73</v>
      </c>
      <c r="AB66" s="175">
        <f>IF(AA66=0,"",IFERROR(AA66/AA$19,""))</f>
        <v>0.25905783223191803</v>
      </c>
      <c r="AD66" s="164">
        <v>604215.13</v>
      </c>
      <c r="AE66" s="175">
        <f>IF(AD66=0,"",IFERROR(AD66/AD$19,""))</f>
        <v>0.20651575127320251</v>
      </c>
      <c r="AF66" s="165">
        <f t="shared" si="16"/>
        <v>-177152.40000000002</v>
      </c>
      <c r="AG66" s="164">
        <v>415491.77</v>
      </c>
      <c r="AH66" s="175">
        <f>IF(AG66=0,"",IFERROR(AG66/AG$19,""))</f>
        <v>0.21311365207912694</v>
      </c>
      <c r="AI66" s="165">
        <f t="shared" si="17"/>
        <v>11570.959999999963</v>
      </c>
    </row>
    <row r="67" spans="7:35" x14ac:dyDescent="0.25">
      <c r="H67" s="149" t="s">
        <v>326</v>
      </c>
      <c r="I67" s="161" t="s">
        <v>1009</v>
      </c>
      <c r="J67" s="161" t="s">
        <v>1009</v>
      </c>
      <c r="K67" s="162"/>
      <c r="L67" s="162">
        <v>946500</v>
      </c>
      <c r="M67" s="162">
        <v>991522</v>
      </c>
      <c r="N67" s="162" t="s">
        <v>1284</v>
      </c>
      <c r="O67" s="38">
        <v>1237</v>
      </c>
      <c r="P67" s="38">
        <v>1625</v>
      </c>
      <c r="Q67" s="38">
        <v>1332</v>
      </c>
      <c r="R67" s="38">
        <v>1175</v>
      </c>
      <c r="S67" s="38">
        <v>1295</v>
      </c>
      <c r="T67" s="38">
        <v>1491</v>
      </c>
      <c r="U67" s="38">
        <v>1297</v>
      </c>
      <c r="V67" s="38">
        <v>1068</v>
      </c>
      <c r="W67" s="38">
        <v>1206</v>
      </c>
      <c r="X67" s="38">
        <v>1240</v>
      </c>
      <c r="Y67" s="38">
        <v>1281</v>
      </c>
      <c r="Z67" s="38">
        <v>1582</v>
      </c>
      <c r="AA67" s="38">
        <f t="shared" si="15"/>
        <v>15829</v>
      </c>
      <c r="AB67" s="39">
        <f>IF(AA67=0,"",IFERROR(AA67/AA$104,""))</f>
        <v>0.31834362367516039</v>
      </c>
      <c r="AD67" s="38">
        <v>17191</v>
      </c>
      <c r="AE67" s="39">
        <f>IF(AD67=0,"",IFERROR(AD67/AD$104,""))</f>
        <v>0.24242723375451264</v>
      </c>
      <c r="AF67" s="132">
        <f t="shared" si="16"/>
        <v>-1362</v>
      </c>
      <c r="AG67" s="38">
        <v>13344</v>
      </c>
      <c r="AH67" s="39">
        <f>IF(AG67=0,"",IFERROR(AG67/AG$104,""))</f>
        <v>0.23687714128485968</v>
      </c>
      <c r="AI67" s="132">
        <f t="shared" si="17"/>
        <v>2485</v>
      </c>
    </row>
    <row r="68" spans="7:35" x14ac:dyDescent="0.25">
      <c r="H68" s="149" t="s">
        <v>328</v>
      </c>
      <c r="I68" s="161" t="s">
        <v>1009</v>
      </c>
      <c r="J68" s="161" t="s">
        <v>78</v>
      </c>
      <c r="K68" s="162"/>
      <c r="L68" s="162"/>
      <c r="M68" s="162"/>
      <c r="N68" s="170" t="s">
        <v>1285</v>
      </c>
      <c r="O68" s="176">
        <v>30.314066289409901</v>
      </c>
      <c r="P68" s="176">
        <v>27.678769230769198</v>
      </c>
      <c r="Q68" s="176">
        <v>29.300900900900899</v>
      </c>
      <c r="R68" s="176">
        <v>26.0317531914894</v>
      </c>
      <c r="S68" s="176">
        <v>26.592664092664101</v>
      </c>
      <c r="T68" s="176">
        <v>24.617572099262201</v>
      </c>
      <c r="U68" s="176">
        <v>24.103245952197401</v>
      </c>
      <c r="V68" s="176">
        <v>22.4671441947566</v>
      </c>
      <c r="W68" s="176">
        <v>31.476368159204</v>
      </c>
      <c r="X68" s="176">
        <v>23.981935483870998</v>
      </c>
      <c r="Y68" s="176">
        <v>24.296487119437899</v>
      </c>
      <c r="Z68" s="176">
        <v>31.4469658659924</v>
      </c>
      <c r="AA68" s="176">
        <f>IFERROR(AA66/AA67,"")</f>
        <v>26.979766883568132</v>
      </c>
      <c r="AB68" s="176"/>
      <c r="AD68" s="176">
        <v>35.147177592926496</v>
      </c>
      <c r="AE68" s="176"/>
      <c r="AF68" s="177">
        <f t="shared" si="16"/>
        <v>-8.1674107093583643</v>
      </c>
      <c r="AG68" s="176">
        <v>31.136973171462799</v>
      </c>
      <c r="AH68" s="176"/>
      <c r="AI68" s="177">
        <f t="shared" si="17"/>
        <v>-4.1572062878946667</v>
      </c>
    </row>
    <row r="69" spans="7:35" x14ac:dyDescent="0.25">
      <c r="G69" s="181">
        <f>COUNTIF(O70:AI70,FALSE)</f>
        <v>0</v>
      </c>
      <c r="H69" s="15"/>
      <c r="I69" s="161"/>
      <c r="J69" s="161"/>
      <c r="K69" s="162"/>
      <c r="L69" s="162"/>
      <c r="M69" s="162"/>
      <c r="N69" s="182" t="s">
        <v>345</v>
      </c>
      <c r="O69" s="179">
        <f t="shared" ref="O69:AA69" si="18">ROUND(IFERROR(O66/O67,0),2)</f>
        <v>30.31</v>
      </c>
      <c r="P69" s="184">
        <f t="shared" si="18"/>
        <v>27.68</v>
      </c>
      <c r="Q69" s="184">
        <f t="shared" si="18"/>
        <v>29.3</v>
      </c>
      <c r="R69" s="184">
        <f t="shared" si="18"/>
        <v>26.03</v>
      </c>
      <c r="S69" s="184">
        <f t="shared" si="18"/>
        <v>26.59</v>
      </c>
      <c r="T69" s="184">
        <f t="shared" si="18"/>
        <v>24.62</v>
      </c>
      <c r="U69" s="184">
        <f t="shared" si="18"/>
        <v>24.1</v>
      </c>
      <c r="V69" s="184">
        <f t="shared" si="18"/>
        <v>22.47</v>
      </c>
      <c r="W69" s="184">
        <f t="shared" si="18"/>
        <v>31.48</v>
      </c>
      <c r="X69" s="184">
        <f t="shared" si="18"/>
        <v>23.98</v>
      </c>
      <c r="Y69" s="184">
        <f t="shared" si="18"/>
        <v>24.3</v>
      </c>
      <c r="Z69" s="184">
        <f t="shared" si="18"/>
        <v>31.45</v>
      </c>
      <c r="AA69" s="184">
        <f t="shared" si="18"/>
        <v>26.98</v>
      </c>
      <c r="AB69" s="183"/>
      <c r="AD69" s="179">
        <f>ROUND(IFERROR(AD66/AD67,0),2)</f>
        <v>35.15</v>
      </c>
      <c r="AE69" s="184"/>
      <c r="AF69" s="180"/>
      <c r="AG69" s="179">
        <f>ROUND(IFERROR(AG66/AG67,0),2)</f>
        <v>31.14</v>
      </c>
      <c r="AH69" s="184"/>
      <c r="AI69" s="180"/>
    </row>
    <row r="70" spans="7:35" x14ac:dyDescent="0.25">
      <c r="H70" s="149"/>
      <c r="I70" s="161"/>
      <c r="J70" s="161"/>
      <c r="K70" s="162"/>
      <c r="L70" s="162"/>
      <c r="M70" s="162"/>
      <c r="N70" s="8" t="s">
        <v>324</v>
      </c>
      <c r="O70" s="319" t="b">
        <f t="shared" ref="O70:AA70" si="19">ROUND(O68,2)=ROUND(O69,2)</f>
        <v>1</v>
      </c>
      <c r="P70" s="320" t="b">
        <f t="shared" si="19"/>
        <v>1</v>
      </c>
      <c r="Q70" s="320" t="b">
        <f t="shared" si="19"/>
        <v>1</v>
      </c>
      <c r="R70" s="320" t="b">
        <f t="shared" si="19"/>
        <v>1</v>
      </c>
      <c r="S70" s="320" t="b">
        <f t="shared" si="19"/>
        <v>1</v>
      </c>
      <c r="T70" s="320" t="b">
        <f t="shared" si="19"/>
        <v>1</v>
      </c>
      <c r="U70" s="320" t="b">
        <f t="shared" si="19"/>
        <v>1</v>
      </c>
      <c r="V70" s="320" t="b">
        <f t="shared" si="19"/>
        <v>1</v>
      </c>
      <c r="W70" s="320" t="b">
        <f t="shared" si="19"/>
        <v>1</v>
      </c>
      <c r="X70" s="320" t="b">
        <f t="shared" si="19"/>
        <v>1</v>
      </c>
      <c r="Y70" s="320" t="b">
        <f t="shared" si="19"/>
        <v>1</v>
      </c>
      <c r="Z70" s="320" t="b">
        <f t="shared" si="19"/>
        <v>1</v>
      </c>
      <c r="AA70" s="320" t="b">
        <f t="shared" si="19"/>
        <v>1</v>
      </c>
      <c r="AB70" s="321"/>
      <c r="AC70" s="322"/>
      <c r="AD70" s="319"/>
      <c r="AE70" s="320" t="b">
        <f>ROUND(AD68,2)=ROUND(AD69,2)</f>
        <v>1</v>
      </c>
      <c r="AF70" s="321"/>
      <c r="AG70" s="319"/>
      <c r="AH70" s="320" t="b">
        <f>ROUND(AG68,2)=ROUND(AG69,2)</f>
        <v>1</v>
      </c>
      <c r="AI70" s="321"/>
    </row>
    <row r="71" spans="7:35" x14ac:dyDescent="0.25">
      <c r="H71" s="149" t="s">
        <v>264</v>
      </c>
      <c r="I71" s="161" t="s">
        <v>1058</v>
      </c>
      <c r="J71" s="161" t="s">
        <v>78</v>
      </c>
      <c r="K71" s="162"/>
      <c r="L71" s="162">
        <v>465100</v>
      </c>
      <c r="M71" s="162"/>
      <c r="N71" s="162" t="s">
        <v>1286</v>
      </c>
      <c r="O71" s="21"/>
      <c r="P71" s="21"/>
      <c r="Q71" s="21"/>
      <c r="R71" s="21"/>
      <c r="S71" s="21"/>
      <c r="T71" s="21"/>
      <c r="U71" s="21"/>
      <c r="V71" s="21"/>
      <c r="W71" s="21"/>
      <c r="X71" s="21"/>
      <c r="Y71" s="21"/>
      <c r="Z71" s="21"/>
      <c r="AA71" s="21">
        <f t="shared" ref="AA71:AA76" si="20">SUM(O71:Z71)</f>
        <v>0</v>
      </c>
      <c r="AB71" s="17" t="str">
        <f>IF(AA71=0,"",IFERROR(AA71/AA$19,""))</f>
        <v/>
      </c>
      <c r="AD71" s="21"/>
      <c r="AE71" s="17" t="str">
        <f>IF(AD71=0,"",IFERROR(AD71/AD$19,""))</f>
        <v/>
      </c>
      <c r="AF71" s="50">
        <f t="shared" ref="AF71:AF77" si="21">IF(AND($AA71="",AD71=""),"",$AA71-AD71)</f>
        <v>0</v>
      </c>
      <c r="AG71" s="21"/>
      <c r="AH71" s="17" t="str">
        <f>IF(AG71=0,"",IFERROR(AG71/AG$19,""))</f>
        <v/>
      </c>
      <c r="AI71" s="50">
        <f t="shared" ref="AI71:AI77" si="22">IF(AND($AA71="",AG71=""),"",$AA71-AG71)</f>
        <v>0</v>
      </c>
    </row>
    <row r="72" spans="7:35" x14ac:dyDescent="0.25">
      <c r="H72" s="149" t="s">
        <v>321</v>
      </c>
      <c r="I72" s="161" t="s">
        <v>1123</v>
      </c>
      <c r="J72" s="161" t="s">
        <v>78</v>
      </c>
      <c r="K72" s="162"/>
      <c r="L72" s="162">
        <v>465200</v>
      </c>
      <c r="M72" s="162"/>
      <c r="N72" s="162" t="s">
        <v>1287</v>
      </c>
      <c r="O72" s="21"/>
      <c r="P72" s="21"/>
      <c r="Q72" s="21"/>
      <c r="R72" s="21"/>
      <c r="S72" s="21"/>
      <c r="T72" s="21"/>
      <c r="U72" s="21"/>
      <c r="V72" s="21"/>
      <c r="W72" s="21"/>
      <c r="X72" s="21"/>
      <c r="Y72" s="21"/>
      <c r="Z72" s="21"/>
      <c r="AA72" s="21">
        <f t="shared" si="20"/>
        <v>0</v>
      </c>
      <c r="AB72" s="17" t="str">
        <f>IF(AA72=0,"",IFERROR(AA72/AA$19,""))</f>
        <v/>
      </c>
      <c r="AD72" s="21"/>
      <c r="AE72" s="17" t="str">
        <f>IF(AD72=0,"",IFERROR(AD72/AD$19,""))</f>
        <v/>
      </c>
      <c r="AF72" s="50">
        <f t="shared" si="21"/>
        <v>0</v>
      </c>
      <c r="AG72" s="21"/>
      <c r="AH72" s="17" t="str">
        <f>IF(AG72=0,"",IFERROR(AG72/AG$19,""))</f>
        <v/>
      </c>
      <c r="AI72" s="50">
        <f t="shared" si="22"/>
        <v>0</v>
      </c>
    </row>
    <row r="73" spans="7:35" x14ac:dyDescent="0.25">
      <c r="H73" s="149" t="s">
        <v>323</v>
      </c>
      <c r="I73" s="161" t="s">
        <v>1123</v>
      </c>
      <c r="J73" s="161" t="s">
        <v>78</v>
      </c>
      <c r="K73" s="162"/>
      <c r="L73" s="162">
        <v>465300</v>
      </c>
      <c r="M73" s="162"/>
      <c r="N73" s="162" t="s">
        <v>1288</v>
      </c>
      <c r="O73" s="21"/>
      <c r="P73" s="21"/>
      <c r="Q73" s="21"/>
      <c r="R73" s="21"/>
      <c r="S73" s="21"/>
      <c r="T73" s="21"/>
      <c r="U73" s="21"/>
      <c r="V73" s="21"/>
      <c r="W73" s="21"/>
      <c r="X73" s="21"/>
      <c r="Y73" s="21"/>
      <c r="Z73" s="21"/>
      <c r="AA73" s="21">
        <f t="shared" si="20"/>
        <v>0</v>
      </c>
      <c r="AB73" s="17" t="str">
        <f>IF(AA73=0,"",IFERROR(AA73/AA$19,""))</f>
        <v/>
      </c>
      <c r="AD73" s="21"/>
      <c r="AE73" s="17" t="str">
        <f>IF(AD73=0,"",IFERROR(AD73/AD$19,""))</f>
        <v/>
      </c>
      <c r="AF73" s="50">
        <f t="shared" si="21"/>
        <v>0</v>
      </c>
      <c r="AG73" s="21"/>
      <c r="AH73" s="17" t="str">
        <f>IF(AG73=0,"",IFERROR(AG73/AG$19,""))</f>
        <v/>
      </c>
      <c r="AI73" s="50">
        <f t="shared" si="22"/>
        <v>0</v>
      </c>
    </row>
    <row r="74" spans="7:35" x14ac:dyDescent="0.25">
      <c r="H74" s="149" t="s">
        <v>322</v>
      </c>
      <c r="I74" s="161" t="s">
        <v>1123</v>
      </c>
      <c r="J74" s="161" t="s">
        <v>78</v>
      </c>
      <c r="K74" s="162"/>
      <c r="L74" s="162">
        <v>465400</v>
      </c>
      <c r="M74" s="162"/>
      <c r="N74" s="162" t="s">
        <v>1289</v>
      </c>
      <c r="O74" s="30"/>
      <c r="P74" s="30"/>
      <c r="Q74" s="30"/>
      <c r="R74" s="30"/>
      <c r="S74" s="30"/>
      <c r="T74" s="30"/>
      <c r="U74" s="30"/>
      <c r="V74" s="30"/>
      <c r="W74" s="30"/>
      <c r="X74" s="30"/>
      <c r="Y74" s="30"/>
      <c r="Z74" s="30"/>
      <c r="AA74" s="30">
        <f t="shared" si="20"/>
        <v>0</v>
      </c>
      <c r="AB74" s="31" t="str">
        <f>IF(AA74=0,"",IFERROR(AA74/AA$19,""))</f>
        <v/>
      </c>
      <c r="AD74" s="30"/>
      <c r="AE74" s="31" t="str">
        <f>IF(AD74=0,"",IFERROR(AD74/AD$19,""))</f>
        <v/>
      </c>
      <c r="AF74" s="51">
        <f t="shared" si="21"/>
        <v>0</v>
      </c>
      <c r="AG74" s="30"/>
      <c r="AH74" s="31" t="str">
        <f>IF(AG74=0,"",IFERROR(AG74/AG$19,""))</f>
        <v/>
      </c>
      <c r="AI74" s="51">
        <f t="shared" si="22"/>
        <v>0</v>
      </c>
    </row>
    <row r="75" spans="7:35" x14ac:dyDescent="0.25">
      <c r="H75" s="149" t="s">
        <v>329</v>
      </c>
      <c r="I75" s="161" t="s">
        <v>1009</v>
      </c>
      <c r="J75" s="161" t="s">
        <v>78</v>
      </c>
      <c r="K75" s="162"/>
      <c r="L75" s="162"/>
      <c r="M75" s="162"/>
      <c r="N75" s="25" t="s">
        <v>1290</v>
      </c>
      <c r="O75" s="164"/>
      <c r="P75" s="164"/>
      <c r="Q75" s="164"/>
      <c r="R75" s="164"/>
      <c r="S75" s="164"/>
      <c r="T75" s="164"/>
      <c r="U75" s="164"/>
      <c r="V75" s="164"/>
      <c r="W75" s="164"/>
      <c r="X75" s="164"/>
      <c r="Y75" s="164"/>
      <c r="Z75" s="164"/>
      <c r="AA75" s="164">
        <f t="shared" si="20"/>
        <v>0</v>
      </c>
      <c r="AB75" s="175" t="str">
        <f>IF(AA75=0,"",IFERROR(AA75/AA$19,""))</f>
        <v/>
      </c>
      <c r="AD75" s="164"/>
      <c r="AE75" s="175" t="str">
        <f>IF(AD75=0,"",IFERROR(AD75/AD$19,""))</f>
        <v/>
      </c>
      <c r="AF75" s="165">
        <f t="shared" si="21"/>
        <v>0</v>
      </c>
      <c r="AG75" s="164"/>
      <c r="AH75" s="175" t="str">
        <f>IF(AG75=0,"",IFERROR(AG75/AG$19,""))</f>
        <v/>
      </c>
      <c r="AI75" s="165">
        <f t="shared" si="22"/>
        <v>0</v>
      </c>
    </row>
    <row r="76" spans="7:35" x14ac:dyDescent="0.25">
      <c r="H76" s="149" t="s">
        <v>300</v>
      </c>
      <c r="I76" s="161" t="s">
        <v>1009</v>
      </c>
      <c r="J76" s="161" t="s">
        <v>1009</v>
      </c>
      <c r="K76" s="162"/>
      <c r="L76" s="162">
        <v>946400</v>
      </c>
      <c r="M76" s="162">
        <v>991510</v>
      </c>
      <c r="N76" s="162" t="s">
        <v>1291</v>
      </c>
      <c r="O76" s="38"/>
      <c r="P76" s="38"/>
      <c r="Q76" s="38"/>
      <c r="R76" s="38"/>
      <c r="S76" s="38"/>
      <c r="T76" s="38"/>
      <c r="U76" s="38"/>
      <c r="V76" s="38"/>
      <c r="W76" s="38"/>
      <c r="X76" s="38"/>
      <c r="Y76" s="38"/>
      <c r="Z76" s="38"/>
      <c r="AA76" s="38">
        <f t="shared" si="20"/>
        <v>0</v>
      </c>
      <c r="AB76" s="39" t="str">
        <f>IF(AA76=0,"",IFERROR(AA76/AA$104,""))</f>
        <v/>
      </c>
      <c r="AD76" s="38"/>
      <c r="AE76" s="39" t="str">
        <f>IF(AD76=0,"",IFERROR(AD76/AD$104,""))</f>
        <v/>
      </c>
      <c r="AF76" s="132">
        <f t="shared" si="21"/>
        <v>0</v>
      </c>
      <c r="AG76" s="38"/>
      <c r="AH76" s="39" t="str">
        <f>IF(AG76=0,"",IFERROR(AG76/AG$104,""))</f>
        <v/>
      </c>
      <c r="AI76" s="132">
        <f t="shared" si="22"/>
        <v>0</v>
      </c>
    </row>
    <row r="77" spans="7:35" x14ac:dyDescent="0.25">
      <c r="H77" s="149" t="s">
        <v>325</v>
      </c>
      <c r="I77" s="161" t="s">
        <v>1009</v>
      </c>
      <c r="J77" s="161" t="s">
        <v>78</v>
      </c>
      <c r="K77" s="162"/>
      <c r="L77" s="162"/>
      <c r="M77" s="162"/>
      <c r="N77" s="170" t="s">
        <v>1292</v>
      </c>
      <c r="O77" s="176"/>
      <c r="P77" s="176"/>
      <c r="Q77" s="176"/>
      <c r="R77" s="176"/>
      <c r="S77" s="176"/>
      <c r="T77" s="176"/>
      <c r="U77" s="176"/>
      <c r="V77" s="176"/>
      <c r="W77" s="176"/>
      <c r="X77" s="176"/>
      <c r="Y77" s="176"/>
      <c r="Z77" s="176"/>
      <c r="AA77" s="176" t="str">
        <f>IFERROR(AA75/AA76,"")</f>
        <v/>
      </c>
      <c r="AB77" s="176"/>
      <c r="AD77" s="176"/>
      <c r="AE77" s="176"/>
      <c r="AF77" s="177" t="str">
        <f t="shared" si="21"/>
        <v/>
      </c>
      <c r="AG77" s="176"/>
      <c r="AH77" s="176"/>
      <c r="AI77" s="177" t="str">
        <f t="shared" si="22"/>
        <v/>
      </c>
    </row>
    <row r="78" spans="7:35" x14ac:dyDescent="0.25">
      <c r="G78" s="181">
        <f>COUNTIF(O79:AI79,FALSE)</f>
        <v>0</v>
      </c>
      <c r="H78" s="15"/>
      <c r="I78" s="161"/>
      <c r="J78" s="161"/>
      <c r="K78" s="162"/>
      <c r="L78" s="162"/>
      <c r="M78" s="162"/>
      <c r="N78" s="182" t="s">
        <v>345</v>
      </c>
      <c r="O78" s="179">
        <f t="shared" ref="O78:AA78" si="23">ROUND(IFERROR(O75/O76,0),2)</f>
        <v>0</v>
      </c>
      <c r="P78" s="184">
        <f t="shared" si="23"/>
        <v>0</v>
      </c>
      <c r="Q78" s="184">
        <f t="shared" si="23"/>
        <v>0</v>
      </c>
      <c r="R78" s="184">
        <f t="shared" si="23"/>
        <v>0</v>
      </c>
      <c r="S78" s="184">
        <f t="shared" si="23"/>
        <v>0</v>
      </c>
      <c r="T78" s="184">
        <f t="shared" si="23"/>
        <v>0</v>
      </c>
      <c r="U78" s="184">
        <f t="shared" si="23"/>
        <v>0</v>
      </c>
      <c r="V78" s="184">
        <f t="shared" si="23"/>
        <v>0</v>
      </c>
      <c r="W78" s="184">
        <f t="shared" si="23"/>
        <v>0</v>
      </c>
      <c r="X78" s="184">
        <f t="shared" si="23"/>
        <v>0</v>
      </c>
      <c r="Y78" s="184">
        <f t="shared" si="23"/>
        <v>0</v>
      </c>
      <c r="Z78" s="184">
        <f t="shared" si="23"/>
        <v>0</v>
      </c>
      <c r="AA78" s="184">
        <f t="shared" si="23"/>
        <v>0</v>
      </c>
      <c r="AB78" s="183"/>
      <c r="AD78" s="179">
        <f>ROUND(IFERROR(AD75/AD76,0),2)</f>
        <v>0</v>
      </c>
      <c r="AE78" s="184"/>
      <c r="AF78" s="180"/>
      <c r="AG78" s="179">
        <f>ROUND(IFERROR(AG75/AG76,0),2)</f>
        <v>0</v>
      </c>
      <c r="AH78" s="184"/>
      <c r="AI78" s="180"/>
    </row>
    <row r="79" spans="7:35" x14ac:dyDescent="0.25">
      <c r="H79" s="149"/>
      <c r="I79" s="161"/>
      <c r="J79" s="161"/>
      <c r="K79" s="162"/>
      <c r="L79" s="162"/>
      <c r="M79" s="162"/>
      <c r="N79" s="8" t="s">
        <v>807</v>
      </c>
      <c r="O79" s="319" t="b">
        <f t="shared" ref="O79:AA79" si="24">ROUND(O77,2)=ROUND(O78,2)</f>
        <v>1</v>
      </c>
      <c r="P79" s="320" t="b">
        <f t="shared" si="24"/>
        <v>1</v>
      </c>
      <c r="Q79" s="320" t="b">
        <f t="shared" si="24"/>
        <v>1</v>
      </c>
      <c r="R79" s="320" t="b">
        <f t="shared" si="24"/>
        <v>1</v>
      </c>
      <c r="S79" s="320" t="b">
        <f t="shared" si="24"/>
        <v>1</v>
      </c>
      <c r="T79" s="320" t="b">
        <f t="shared" si="24"/>
        <v>1</v>
      </c>
      <c r="U79" s="320" t="b">
        <f t="shared" si="24"/>
        <v>1</v>
      </c>
      <c r="V79" s="320" t="b">
        <f t="shared" si="24"/>
        <v>1</v>
      </c>
      <c r="W79" s="320" t="b">
        <f t="shared" si="24"/>
        <v>1</v>
      </c>
      <c r="X79" s="320" t="b">
        <f t="shared" si="24"/>
        <v>1</v>
      </c>
      <c r="Y79" s="320" t="b">
        <f t="shared" si="24"/>
        <v>1</v>
      </c>
      <c r="Z79" s="320" t="b">
        <f t="shared" si="24"/>
        <v>1</v>
      </c>
      <c r="AA79" s="320" t="e">
        <f t="shared" si="24"/>
        <v>#VALUE!</v>
      </c>
      <c r="AB79" s="321"/>
      <c r="AC79" s="322"/>
      <c r="AD79" s="319"/>
      <c r="AE79" s="320" t="b">
        <f>ROUND(AD77,2)=ROUND(AD78,2)</f>
        <v>1</v>
      </c>
      <c r="AF79" s="321"/>
      <c r="AG79" s="319"/>
      <c r="AH79" s="320" t="b">
        <f>ROUND(AG77,2)=ROUND(AG78,2)</f>
        <v>1</v>
      </c>
      <c r="AI79" s="321"/>
    </row>
    <row r="80" spans="7:35" x14ac:dyDescent="0.25">
      <c r="H80" s="149" t="s">
        <v>790</v>
      </c>
      <c r="I80" s="161" t="s">
        <v>1009</v>
      </c>
      <c r="J80" s="161" t="s">
        <v>1009</v>
      </c>
      <c r="K80" s="162"/>
      <c r="L80" s="162">
        <v>471110</v>
      </c>
      <c r="M80" s="162">
        <v>201017</v>
      </c>
      <c r="N80" s="162" t="s">
        <v>1293</v>
      </c>
      <c r="O80" s="21"/>
      <c r="P80" s="21"/>
      <c r="Q80" s="21">
        <v>6795</v>
      </c>
      <c r="R80" s="21">
        <v>5630</v>
      </c>
      <c r="S80" s="21"/>
      <c r="T80" s="21"/>
      <c r="U80" s="21"/>
      <c r="V80" s="21"/>
      <c r="W80" s="21">
        <v>1730</v>
      </c>
      <c r="X80" s="21"/>
      <c r="Y80" s="21">
        <v>8273.1</v>
      </c>
      <c r="Z80" s="21">
        <v>7377.3</v>
      </c>
      <c r="AA80" s="21">
        <f t="shared" ref="AA80:AA85" si="25">SUM(O80:Z80)</f>
        <v>29805.399999999998</v>
      </c>
      <c r="AB80" s="17">
        <f>IF(AA80=0,"",IFERROR(AA80/AA$19,""))</f>
        <v>1.8080065925690142E-2</v>
      </c>
      <c r="AD80" s="21">
        <v>39561.650999999998</v>
      </c>
      <c r="AE80" s="17">
        <f>IF(AD80=0,"",IFERROR(AD80/AD$19,""))</f>
        <v>1.3521846230287618E-2</v>
      </c>
      <c r="AF80" s="50">
        <f t="shared" ref="AF80:AF86" si="26">IF(AND($AA80="",AD80=""),"",$AA80-AD80)</f>
        <v>-9756.2510000000002</v>
      </c>
      <c r="AG80" s="21">
        <v>1535</v>
      </c>
      <c r="AH80" s="17">
        <f>IF(AG80=0,"",IFERROR(AG80/AG$19,""))</f>
        <v>7.8733077177788589E-4</v>
      </c>
      <c r="AI80" s="50">
        <f t="shared" ref="AI80:AI86" si="27">IF(AND($AA80="",AG80=""),"",$AA80-AG80)</f>
        <v>28270.399999999998</v>
      </c>
    </row>
    <row r="81" spans="3:35" x14ac:dyDescent="0.25">
      <c r="H81" s="149" t="s">
        <v>808</v>
      </c>
      <c r="I81" s="161" t="s">
        <v>1009</v>
      </c>
      <c r="J81" s="161" t="s">
        <v>1009</v>
      </c>
      <c r="K81" s="162"/>
      <c r="L81" s="162">
        <v>471210</v>
      </c>
      <c r="M81" s="162" t="s">
        <v>1294</v>
      </c>
      <c r="N81" s="162" t="s">
        <v>1295</v>
      </c>
      <c r="O81" s="21"/>
      <c r="P81" s="21"/>
      <c r="Q81" s="21"/>
      <c r="R81" s="21">
        <v>850</v>
      </c>
      <c r="S81" s="21"/>
      <c r="T81" s="21"/>
      <c r="U81" s="21"/>
      <c r="V81" s="21"/>
      <c r="W81" s="21"/>
      <c r="X81" s="21"/>
      <c r="Y81" s="21">
        <v>4948</v>
      </c>
      <c r="Z81" s="21">
        <v>3694.96</v>
      </c>
      <c r="AA81" s="21">
        <f t="shared" si="25"/>
        <v>9492.9599999999991</v>
      </c>
      <c r="AB81" s="17">
        <f>IF(AA81=0,"",IFERROR(AA81/AA$19,""))</f>
        <v>5.7584646617706682E-3</v>
      </c>
      <c r="AD81" s="21">
        <v>1058.9045000000001</v>
      </c>
      <c r="AE81" s="17">
        <f>IF(AD81=0,"",IFERROR(AD81/AD$19,""))</f>
        <v>3.6192483022408735E-4</v>
      </c>
      <c r="AF81" s="50">
        <f t="shared" si="26"/>
        <v>8434.0554999999986</v>
      </c>
      <c r="AG81" s="21">
        <v>615</v>
      </c>
      <c r="AH81" s="17">
        <f>IF(AG81=0,"",IFERROR(AG81/AG$19,""))</f>
        <v>3.1544522778071646E-4</v>
      </c>
      <c r="AI81" s="50">
        <f t="shared" si="27"/>
        <v>8877.9599999999991</v>
      </c>
    </row>
    <row r="82" spans="3:35" x14ac:dyDescent="0.25">
      <c r="H82" s="149" t="s">
        <v>809</v>
      </c>
      <c r="I82" s="161" t="s">
        <v>1009</v>
      </c>
      <c r="J82" s="161" t="s">
        <v>1009</v>
      </c>
      <c r="K82" s="162"/>
      <c r="L82" s="162">
        <v>471310</v>
      </c>
      <c r="M82" s="162" t="s">
        <v>1294</v>
      </c>
      <c r="N82" s="162" t="s">
        <v>1296</v>
      </c>
      <c r="O82" s="21"/>
      <c r="P82" s="21"/>
      <c r="Q82" s="21"/>
      <c r="R82" s="21"/>
      <c r="S82" s="21"/>
      <c r="T82" s="21"/>
      <c r="U82" s="21"/>
      <c r="V82" s="21"/>
      <c r="W82" s="21"/>
      <c r="X82" s="21"/>
      <c r="Y82" s="21">
        <v>20</v>
      </c>
      <c r="Z82" s="21">
        <v>510</v>
      </c>
      <c r="AA82" s="21">
        <f t="shared" si="25"/>
        <v>530</v>
      </c>
      <c r="AB82" s="17">
        <f>IF(AA82=0,"",IFERROR(AA82/AA$19,""))</f>
        <v>3.2149996110153781E-4</v>
      </c>
      <c r="AD82" s="21">
        <v>814.44449999999995</v>
      </c>
      <c r="AE82" s="17">
        <f>IF(AD82=0,"",IFERROR(AD82/AD$19,""))</f>
        <v>2.7837041715229438E-4</v>
      </c>
      <c r="AF82" s="50">
        <f t="shared" si="26"/>
        <v>-284.44449999999995</v>
      </c>
      <c r="AG82" s="21">
        <v>127</v>
      </c>
      <c r="AH82" s="17">
        <f>IF(AG82=0,"",IFERROR(AG82/AG$19,""))</f>
        <v>6.5140721834391863E-5</v>
      </c>
      <c r="AI82" s="50">
        <f t="shared" si="27"/>
        <v>403</v>
      </c>
    </row>
    <row r="83" spans="3:35" x14ac:dyDescent="0.25">
      <c r="H83" s="149" t="s">
        <v>810</v>
      </c>
      <c r="I83" s="161" t="s">
        <v>1009</v>
      </c>
      <c r="J83" s="161" t="s">
        <v>1009</v>
      </c>
      <c r="K83" s="162"/>
      <c r="L83" s="162">
        <v>471410</v>
      </c>
      <c r="M83" s="162" t="s">
        <v>1294</v>
      </c>
      <c r="N83" s="162" t="s">
        <v>1297</v>
      </c>
      <c r="O83" s="30"/>
      <c r="P83" s="30"/>
      <c r="Q83" s="30">
        <v>2338</v>
      </c>
      <c r="R83" s="30"/>
      <c r="S83" s="30"/>
      <c r="T83" s="30"/>
      <c r="U83" s="30"/>
      <c r="V83" s="30"/>
      <c r="W83" s="30">
        <v>144</v>
      </c>
      <c r="X83" s="30"/>
      <c r="Y83" s="30"/>
      <c r="Z83" s="30">
        <v>72</v>
      </c>
      <c r="AA83" s="30">
        <f t="shared" si="25"/>
        <v>2554</v>
      </c>
      <c r="AB83" s="31">
        <f>IF(AA83=0,"",IFERROR(AA83/AA$19,""))</f>
        <v>1.5492658502892973E-3</v>
      </c>
      <c r="AD83" s="30"/>
      <c r="AE83" s="31" t="str">
        <f>IF(AD83=0,"",IFERROR(AD83/AD$19,""))</f>
        <v/>
      </c>
      <c r="AF83" s="51">
        <f t="shared" si="26"/>
        <v>2554</v>
      </c>
      <c r="AG83" s="30">
        <v>52</v>
      </c>
      <c r="AH83" s="31">
        <f>IF(AG83=0,"",IFERROR(AG83/AG$19,""))</f>
        <v>2.6671791617231313E-5</v>
      </c>
      <c r="AI83" s="51">
        <f t="shared" si="27"/>
        <v>2502</v>
      </c>
    </row>
    <row r="84" spans="3:35" x14ac:dyDescent="0.25">
      <c r="H84" s="149" t="s">
        <v>811</v>
      </c>
      <c r="I84" s="161" t="s">
        <v>1009</v>
      </c>
      <c r="J84" s="161" t="s">
        <v>78</v>
      </c>
      <c r="K84" s="162"/>
      <c r="L84" s="162"/>
      <c r="M84" s="162"/>
      <c r="N84" s="25" t="s">
        <v>1298</v>
      </c>
      <c r="O84" s="164"/>
      <c r="P84" s="164"/>
      <c r="Q84" s="164">
        <v>9133</v>
      </c>
      <c r="R84" s="164">
        <v>6480</v>
      </c>
      <c r="S84" s="164"/>
      <c r="T84" s="164"/>
      <c r="U84" s="164"/>
      <c r="V84" s="164"/>
      <c r="W84" s="164">
        <v>1874</v>
      </c>
      <c r="X84" s="164"/>
      <c r="Y84" s="164">
        <v>13241.1</v>
      </c>
      <c r="Z84" s="164">
        <v>11654.26</v>
      </c>
      <c r="AA84" s="164">
        <f t="shared" si="25"/>
        <v>42382.36</v>
      </c>
      <c r="AB84" s="175">
        <f>IF(AA84=0,"",IFERROR(AA84/AA$19,""))</f>
        <v>2.5709296398851646E-2</v>
      </c>
      <c r="AD84" s="164">
        <v>41435</v>
      </c>
      <c r="AE84" s="175">
        <f>IF(AD84=0,"",IFERROR(AD84/AD$19,""))</f>
        <v>1.4162141477664E-2</v>
      </c>
      <c r="AF84" s="165">
        <f t="shared" si="26"/>
        <v>947.36000000000058</v>
      </c>
      <c r="AG84" s="164">
        <v>2329</v>
      </c>
      <c r="AH84" s="175">
        <f>IF(AG84=0,"",IFERROR(AG84/AG$19,""))</f>
        <v>1.1945885130102256E-3</v>
      </c>
      <c r="AI84" s="165">
        <f t="shared" si="27"/>
        <v>40053.360000000001</v>
      </c>
    </row>
    <row r="85" spans="3:35" x14ac:dyDescent="0.25">
      <c r="H85" s="149" t="s">
        <v>812</v>
      </c>
      <c r="I85" s="161" t="s">
        <v>1009</v>
      </c>
      <c r="J85" s="161" t="s">
        <v>1009</v>
      </c>
      <c r="K85" s="162"/>
      <c r="L85" s="162">
        <v>946700</v>
      </c>
      <c r="M85" s="162">
        <v>991508</v>
      </c>
      <c r="N85" s="162" t="s">
        <v>1299</v>
      </c>
      <c r="O85" s="38"/>
      <c r="P85" s="38"/>
      <c r="Q85" s="38">
        <v>45</v>
      </c>
      <c r="R85" s="38">
        <v>65</v>
      </c>
      <c r="S85" s="38"/>
      <c r="T85" s="38"/>
      <c r="U85" s="38"/>
      <c r="V85" s="38">
        <v>18</v>
      </c>
      <c r="W85" s="38">
        <v>105</v>
      </c>
      <c r="X85" s="38"/>
      <c r="Y85" s="38">
        <v>75</v>
      </c>
      <c r="Z85" s="38">
        <v>81</v>
      </c>
      <c r="AA85" s="38">
        <f t="shared" si="25"/>
        <v>389</v>
      </c>
      <c r="AB85" s="39">
        <f>IF(AA85=0,"",IFERROR(AA85/AA$84,""))</f>
        <v>9.178346840525162E-3</v>
      </c>
      <c r="AD85" s="38">
        <v>513</v>
      </c>
      <c r="AE85" s="39">
        <f>IF(AD85=0,"",IFERROR(AD85/AD$84,""))</f>
        <v>1.2380837456256788E-2</v>
      </c>
      <c r="AF85" s="132">
        <f t="shared" si="26"/>
        <v>-124</v>
      </c>
      <c r="AG85" s="38">
        <v>186</v>
      </c>
      <c r="AH85" s="39">
        <f>IF(AG85=0,"",IFERROR(AG85/AG$84,""))</f>
        <v>7.9862601975096606E-2</v>
      </c>
      <c r="AI85" s="132">
        <f t="shared" si="27"/>
        <v>203</v>
      </c>
    </row>
    <row r="86" spans="3:35" x14ac:dyDescent="0.25">
      <c r="H86" s="149" t="s">
        <v>813</v>
      </c>
      <c r="I86" s="161" t="s">
        <v>1009</v>
      </c>
      <c r="J86" s="161" t="s">
        <v>78</v>
      </c>
      <c r="K86" s="162"/>
      <c r="L86" s="162"/>
      <c r="M86" s="162"/>
      <c r="N86" s="170" t="s">
        <v>1300</v>
      </c>
      <c r="O86" s="176"/>
      <c r="P86" s="176"/>
      <c r="Q86" s="176">
        <v>202.955555555556</v>
      </c>
      <c r="R86" s="176">
        <v>99.692307692307693</v>
      </c>
      <c r="S86" s="176"/>
      <c r="T86" s="176"/>
      <c r="U86" s="176"/>
      <c r="V86" s="176"/>
      <c r="W86" s="176">
        <v>17.847619047618998</v>
      </c>
      <c r="X86" s="176"/>
      <c r="Y86" s="176">
        <v>176.548</v>
      </c>
      <c r="Z86" s="176">
        <v>143.87975308642001</v>
      </c>
      <c r="AA86" s="176">
        <f>IFERROR(AA84/AA85,"")</f>
        <v>108.95208226221079</v>
      </c>
      <c r="AB86" s="176"/>
      <c r="AD86" s="176">
        <v>80.769980506822606</v>
      </c>
      <c r="AE86" s="176"/>
      <c r="AF86" s="177">
        <f t="shared" si="26"/>
        <v>28.182101755388189</v>
      </c>
      <c r="AG86" s="176">
        <v>12.5215053763441</v>
      </c>
      <c r="AH86" s="176"/>
      <c r="AI86" s="177">
        <f t="shared" si="27"/>
        <v>96.430576885866699</v>
      </c>
    </row>
    <row r="87" spans="3:35" x14ac:dyDescent="0.25">
      <c r="G87" s="181">
        <f>COUNTIF(O88:AI88,FALSE)</f>
        <v>0</v>
      </c>
      <c r="H87" s="15"/>
      <c r="I87" s="161"/>
      <c r="J87" s="161"/>
      <c r="K87" s="162"/>
      <c r="L87" s="162"/>
      <c r="M87" s="162"/>
      <c r="N87" s="182" t="s">
        <v>345</v>
      </c>
      <c r="O87" s="179">
        <f t="shared" ref="O87:AA87" si="28">ROUND(IFERROR(O84/O85,0),2)</f>
        <v>0</v>
      </c>
      <c r="P87" s="184">
        <f t="shared" si="28"/>
        <v>0</v>
      </c>
      <c r="Q87" s="184">
        <f t="shared" si="28"/>
        <v>202.96</v>
      </c>
      <c r="R87" s="184">
        <f t="shared" si="28"/>
        <v>99.69</v>
      </c>
      <c r="S87" s="184">
        <f t="shared" si="28"/>
        <v>0</v>
      </c>
      <c r="T87" s="184">
        <f t="shared" si="28"/>
        <v>0</v>
      </c>
      <c r="U87" s="184">
        <f t="shared" si="28"/>
        <v>0</v>
      </c>
      <c r="V87" s="184">
        <f t="shared" si="28"/>
        <v>0</v>
      </c>
      <c r="W87" s="184">
        <f t="shared" si="28"/>
        <v>17.850000000000001</v>
      </c>
      <c r="X87" s="184">
        <f t="shared" si="28"/>
        <v>0</v>
      </c>
      <c r="Y87" s="184">
        <f t="shared" si="28"/>
        <v>176.55</v>
      </c>
      <c r="Z87" s="184">
        <f t="shared" si="28"/>
        <v>143.88</v>
      </c>
      <c r="AA87" s="184">
        <f t="shared" si="28"/>
        <v>108.95</v>
      </c>
      <c r="AB87" s="183"/>
      <c r="AD87" s="179">
        <f>ROUND(IFERROR(AD84/AD85,0),2)</f>
        <v>80.77</v>
      </c>
      <c r="AE87" s="184"/>
      <c r="AF87" s="180"/>
      <c r="AG87" s="179">
        <f>ROUND(IFERROR(AG84/AG85,0),2)</f>
        <v>12.52</v>
      </c>
      <c r="AH87" s="184"/>
      <c r="AI87" s="180"/>
    </row>
    <row r="88" spans="3:35" x14ac:dyDescent="0.25">
      <c r="H88" s="149"/>
      <c r="I88" s="161"/>
      <c r="J88" s="161"/>
      <c r="K88" s="162"/>
      <c r="L88" s="162"/>
      <c r="M88" s="162"/>
      <c r="N88" s="8" t="s">
        <v>814</v>
      </c>
      <c r="O88" s="319" t="b">
        <f t="shared" ref="O88:AA88" si="29">ROUND(O86,2)=ROUND(O87,2)</f>
        <v>1</v>
      </c>
      <c r="P88" s="320" t="b">
        <f t="shared" si="29"/>
        <v>1</v>
      </c>
      <c r="Q88" s="320" t="b">
        <f t="shared" si="29"/>
        <v>1</v>
      </c>
      <c r="R88" s="320" t="b">
        <f t="shared" si="29"/>
        <v>1</v>
      </c>
      <c r="S88" s="320" t="b">
        <f t="shared" si="29"/>
        <v>1</v>
      </c>
      <c r="T88" s="320" t="b">
        <f t="shared" si="29"/>
        <v>1</v>
      </c>
      <c r="U88" s="320" t="b">
        <f t="shared" si="29"/>
        <v>1</v>
      </c>
      <c r="V88" s="320" t="b">
        <f t="shared" si="29"/>
        <v>1</v>
      </c>
      <c r="W88" s="320" t="b">
        <f t="shared" si="29"/>
        <v>1</v>
      </c>
      <c r="X88" s="320" t="b">
        <f t="shared" si="29"/>
        <v>1</v>
      </c>
      <c r="Y88" s="320" t="b">
        <f t="shared" si="29"/>
        <v>1</v>
      </c>
      <c r="Z88" s="320" t="b">
        <f t="shared" si="29"/>
        <v>1</v>
      </c>
      <c r="AA88" s="320" t="b">
        <f t="shared" si="29"/>
        <v>1</v>
      </c>
      <c r="AB88" s="321"/>
      <c r="AC88" s="322"/>
      <c r="AD88" s="319"/>
      <c r="AE88" s="320" t="b">
        <f>ROUND(AD86,2)=ROUND(AD87,2)</f>
        <v>1</v>
      </c>
      <c r="AF88" s="321"/>
      <c r="AG88" s="319"/>
      <c r="AH88" s="320" t="b">
        <f>ROUND(AG86,2)=ROUND(AG87,2)</f>
        <v>1</v>
      </c>
      <c r="AI88" s="321"/>
    </row>
    <row r="89" spans="3:35" x14ac:dyDescent="0.25">
      <c r="H89" s="149" t="s">
        <v>789</v>
      </c>
      <c r="I89" s="161" t="s">
        <v>1009</v>
      </c>
      <c r="J89" s="161" t="s">
        <v>1009</v>
      </c>
      <c r="K89" s="162"/>
      <c r="L89" s="162">
        <v>470110</v>
      </c>
      <c r="M89" s="162">
        <v>201016</v>
      </c>
      <c r="N89" s="162" t="s">
        <v>1301</v>
      </c>
      <c r="O89" s="21"/>
      <c r="P89" s="21"/>
      <c r="Q89" s="21"/>
      <c r="R89" s="21"/>
      <c r="S89" s="21"/>
      <c r="T89" s="21"/>
      <c r="U89" s="21"/>
      <c r="V89" s="21"/>
      <c r="W89" s="21"/>
      <c r="X89" s="21"/>
      <c r="Y89" s="21"/>
      <c r="Z89" s="21">
        <v>8454</v>
      </c>
      <c r="AA89" s="21">
        <f>SUM(O89:Z89)</f>
        <v>8454</v>
      </c>
      <c r="AB89" s="17">
        <f>IF(AA89=0,"",IFERROR(AA89/AA$19,""))</f>
        <v>5.1282276814196238E-3</v>
      </c>
      <c r="AD89" s="21"/>
      <c r="AE89" s="17" t="str">
        <f>IF(AD89=0,"",IFERROR(AD89/AD$19,""))</f>
        <v/>
      </c>
      <c r="AF89" s="50">
        <f>IF(AND($AA89="",AD89=""),"",$AA89-AD89)</f>
        <v>8454</v>
      </c>
      <c r="AG89" s="21"/>
      <c r="AH89" s="17" t="str">
        <f>IF(AG89=0,"",IFERROR(AG89/AG$19,""))</f>
        <v/>
      </c>
      <c r="AI89" s="50">
        <f>IF(AND($AA89="",AG89=""),"",$AA89-AG89)</f>
        <v>8454</v>
      </c>
    </row>
    <row r="90" spans="3:35" x14ac:dyDescent="0.25">
      <c r="H90" s="149" t="s">
        <v>815</v>
      </c>
      <c r="I90" s="161" t="s">
        <v>1009</v>
      </c>
      <c r="J90" s="161" t="s">
        <v>78</v>
      </c>
      <c r="K90" s="162"/>
      <c r="L90" s="162"/>
      <c r="M90" s="162"/>
      <c r="N90" s="25" t="s">
        <v>1302</v>
      </c>
      <c r="O90" s="164"/>
      <c r="P90" s="164"/>
      <c r="Q90" s="164"/>
      <c r="R90" s="164"/>
      <c r="S90" s="164"/>
      <c r="T90" s="164"/>
      <c r="U90" s="164"/>
      <c r="V90" s="164"/>
      <c r="W90" s="164"/>
      <c r="X90" s="164"/>
      <c r="Y90" s="164"/>
      <c r="Z90" s="164">
        <v>8454</v>
      </c>
      <c r="AA90" s="164">
        <f>SUM(O90:Z90)</f>
        <v>8454</v>
      </c>
      <c r="AB90" s="175">
        <f>IF(AA90=0,"",IFERROR(AA90/AA$19,""))</f>
        <v>5.1282276814196238E-3</v>
      </c>
      <c r="AD90" s="164"/>
      <c r="AE90" s="175" t="str">
        <f>IF(AD90=0,"",IFERROR(AD90/AD$19,""))</f>
        <v/>
      </c>
      <c r="AF90" s="165">
        <f>IF(AND($AA90="",AD90=""),"",$AA90-AD90)</f>
        <v>8454</v>
      </c>
      <c r="AG90" s="164"/>
      <c r="AH90" s="175" t="str">
        <f>IF(AG90=0,"",IFERROR(AG90/AG$19,""))</f>
        <v/>
      </c>
      <c r="AI90" s="165">
        <f>IF(AND($AA90="",AG90=""),"",$AA90-AG90)</f>
        <v>8454</v>
      </c>
    </row>
    <row r="91" spans="3:35" x14ac:dyDescent="0.25">
      <c r="H91" s="149" t="s">
        <v>816</v>
      </c>
      <c r="I91" s="161" t="s">
        <v>1009</v>
      </c>
      <c r="J91" s="161" t="s">
        <v>1009</v>
      </c>
      <c r="K91" s="162"/>
      <c r="L91" s="162">
        <v>946600</v>
      </c>
      <c r="M91" s="162">
        <v>991507</v>
      </c>
      <c r="N91" s="162" t="s">
        <v>1303</v>
      </c>
      <c r="O91" s="38"/>
      <c r="P91" s="38"/>
      <c r="Q91" s="38"/>
      <c r="R91" s="38"/>
      <c r="S91" s="38"/>
      <c r="T91" s="38"/>
      <c r="U91" s="38"/>
      <c r="V91" s="38"/>
      <c r="W91" s="38"/>
      <c r="X91" s="38"/>
      <c r="Y91" s="38"/>
      <c r="Z91" s="38">
        <v>190</v>
      </c>
      <c r="AA91" s="38">
        <f>SUM(O91:Z91)</f>
        <v>190</v>
      </c>
      <c r="AB91" s="39">
        <f>IF(AA91=0,"",IFERROR(AA91/AA$84,""))</f>
        <v>4.482997171464732E-3</v>
      </c>
      <c r="AD91" s="38"/>
      <c r="AE91" s="39" t="str">
        <f>IF(AD91=0,"",IFERROR(AD91/AD$84,""))</f>
        <v/>
      </c>
      <c r="AF91" s="132">
        <f>IF(AND($AA91="",AD91=""),"",$AA91-AD91)</f>
        <v>190</v>
      </c>
      <c r="AG91" s="38"/>
      <c r="AH91" s="39" t="str">
        <f>IF(AG91=0,"",IFERROR(AG91/AG$84,""))</f>
        <v/>
      </c>
      <c r="AI91" s="132">
        <f>IF(AND($AA91="",AG91=""),"",$AA91-AG91)</f>
        <v>190</v>
      </c>
    </row>
    <row r="92" spans="3:35" x14ac:dyDescent="0.25">
      <c r="H92" s="149" t="s">
        <v>817</v>
      </c>
      <c r="I92" s="161" t="s">
        <v>1009</v>
      </c>
      <c r="J92" s="161" t="s">
        <v>78</v>
      </c>
      <c r="K92" s="162"/>
      <c r="L92" s="162"/>
      <c r="M92" s="162"/>
      <c r="N92" s="170" t="s">
        <v>1304</v>
      </c>
      <c r="O92" s="176"/>
      <c r="P92" s="176"/>
      <c r="Q92" s="176"/>
      <c r="R92" s="176"/>
      <c r="S92" s="176"/>
      <c r="T92" s="176"/>
      <c r="U92" s="176"/>
      <c r="V92" s="176"/>
      <c r="W92" s="176"/>
      <c r="X92" s="176"/>
      <c r="Y92" s="176"/>
      <c r="Z92" s="176">
        <v>44.494736842105297</v>
      </c>
      <c r="AA92" s="176">
        <f>IFERROR(AA90/AA91,"")</f>
        <v>44.494736842105262</v>
      </c>
      <c r="AB92" s="176"/>
      <c r="AD92" s="176"/>
      <c r="AE92" s="176"/>
      <c r="AF92" s="177">
        <f>IF(AND($AA92="",AD92=""),"",$AA92-AD92)</f>
        <v>44.494736842105262</v>
      </c>
      <c r="AG92" s="176"/>
      <c r="AH92" s="176"/>
      <c r="AI92" s="177">
        <f>IF(AND($AA92="",AG92=""),"",$AA92-AG92)</f>
        <v>44.494736842105262</v>
      </c>
    </row>
    <row r="93" spans="3:35" x14ac:dyDescent="0.25">
      <c r="C93" s="32"/>
      <c r="G93" s="181">
        <f>COUNTIF(O94:AI94,FALSE)</f>
        <v>0</v>
      </c>
      <c r="H93" s="15"/>
      <c r="I93" s="161"/>
      <c r="J93" s="161"/>
      <c r="K93" s="162"/>
      <c r="L93" s="162"/>
      <c r="M93" s="162"/>
      <c r="N93" s="182" t="s">
        <v>345</v>
      </c>
      <c r="O93" s="179">
        <f t="shared" ref="O93:AA93" si="30">ROUND(IFERROR(O75/O76,0),2)</f>
        <v>0</v>
      </c>
      <c r="P93" s="184">
        <f t="shared" si="30"/>
        <v>0</v>
      </c>
      <c r="Q93" s="184">
        <f t="shared" si="30"/>
        <v>0</v>
      </c>
      <c r="R93" s="184">
        <f t="shared" si="30"/>
        <v>0</v>
      </c>
      <c r="S93" s="184">
        <f t="shared" si="30"/>
        <v>0</v>
      </c>
      <c r="T93" s="184">
        <f t="shared" si="30"/>
        <v>0</v>
      </c>
      <c r="U93" s="184">
        <f t="shared" si="30"/>
        <v>0</v>
      </c>
      <c r="V93" s="184">
        <f t="shared" si="30"/>
        <v>0</v>
      </c>
      <c r="W93" s="184">
        <f t="shared" si="30"/>
        <v>0</v>
      </c>
      <c r="X93" s="184">
        <f t="shared" si="30"/>
        <v>0</v>
      </c>
      <c r="Y93" s="184">
        <f t="shared" si="30"/>
        <v>0</v>
      </c>
      <c r="Z93" s="184">
        <f t="shared" si="30"/>
        <v>0</v>
      </c>
      <c r="AA93" s="184">
        <f t="shared" si="30"/>
        <v>0</v>
      </c>
      <c r="AB93" s="183"/>
      <c r="AD93" s="179">
        <f>ROUND(IFERROR(AD75/AD76,0),2)</f>
        <v>0</v>
      </c>
      <c r="AE93" s="184"/>
      <c r="AF93" s="180"/>
      <c r="AG93" s="179">
        <f>ROUND(IFERROR(AG75/AG76,0),2)</f>
        <v>0</v>
      </c>
      <c r="AH93" s="184"/>
      <c r="AI93" s="180"/>
    </row>
    <row r="94" spans="3:35" x14ac:dyDescent="0.25">
      <c r="C94" s="32"/>
      <c r="H94" s="15"/>
      <c r="I94" s="161"/>
      <c r="J94" s="161"/>
      <c r="K94" s="162"/>
      <c r="L94" s="162"/>
      <c r="M94" s="162"/>
      <c r="N94" s="8" t="s">
        <v>362</v>
      </c>
      <c r="O94" s="319" t="b">
        <f t="shared" ref="O94:AA94" si="31">ROUND(O77,2)=ROUND(O93,2)</f>
        <v>1</v>
      </c>
      <c r="P94" s="320" t="b">
        <f t="shared" si="31"/>
        <v>1</v>
      </c>
      <c r="Q94" s="320" t="b">
        <f t="shared" si="31"/>
        <v>1</v>
      </c>
      <c r="R94" s="320" t="b">
        <f t="shared" si="31"/>
        <v>1</v>
      </c>
      <c r="S94" s="320" t="b">
        <f t="shared" si="31"/>
        <v>1</v>
      </c>
      <c r="T94" s="320" t="b">
        <f t="shared" si="31"/>
        <v>1</v>
      </c>
      <c r="U94" s="320" t="b">
        <f t="shared" si="31"/>
        <v>1</v>
      </c>
      <c r="V94" s="320" t="b">
        <f t="shared" si="31"/>
        <v>1</v>
      </c>
      <c r="W94" s="320" t="b">
        <f t="shared" si="31"/>
        <v>1</v>
      </c>
      <c r="X94" s="320" t="b">
        <f t="shared" si="31"/>
        <v>1</v>
      </c>
      <c r="Y94" s="320" t="b">
        <f t="shared" si="31"/>
        <v>1</v>
      </c>
      <c r="Z94" s="320" t="b">
        <f t="shared" si="31"/>
        <v>1</v>
      </c>
      <c r="AA94" s="320" t="e">
        <f t="shared" si="31"/>
        <v>#VALUE!</v>
      </c>
      <c r="AB94" s="321"/>
      <c r="AC94" s="322"/>
      <c r="AD94" s="319"/>
      <c r="AE94" s="320" t="b">
        <f>ROUND(AD77,2)=ROUND(AD93,2)</f>
        <v>1</v>
      </c>
      <c r="AF94" s="321"/>
      <c r="AG94" s="319"/>
      <c r="AH94" s="320" t="b">
        <f>ROUND(AG77,2)=ROUND(AG93,2)</f>
        <v>1</v>
      </c>
      <c r="AI94" s="321"/>
    </row>
    <row r="95" spans="3:35" x14ac:dyDescent="0.25">
      <c r="C95" s="32"/>
      <c r="H95" s="15" t="s">
        <v>350</v>
      </c>
      <c r="I95" s="161" t="s">
        <v>1058</v>
      </c>
      <c r="J95" s="161" t="s">
        <v>78</v>
      </c>
      <c r="K95" s="162"/>
      <c r="L95" s="162">
        <v>467100</v>
      </c>
      <c r="M95" s="162"/>
      <c r="N95" s="162" t="s">
        <v>1305</v>
      </c>
      <c r="O95" s="21">
        <v>2891</v>
      </c>
      <c r="P95" s="21">
        <v>2684</v>
      </c>
      <c r="Q95" s="21">
        <v>3121</v>
      </c>
      <c r="R95" s="21">
        <v>1855.55</v>
      </c>
      <c r="S95" s="21">
        <v>2588.5500000000002</v>
      </c>
      <c r="T95" s="21">
        <v>3167</v>
      </c>
      <c r="U95" s="21">
        <v>3980.01</v>
      </c>
      <c r="V95" s="21">
        <v>2569</v>
      </c>
      <c r="W95" s="21">
        <v>2175</v>
      </c>
      <c r="X95" s="21">
        <v>2440.4899999999998</v>
      </c>
      <c r="Y95" s="21">
        <v>2356</v>
      </c>
      <c r="Z95" s="21">
        <v>1058</v>
      </c>
      <c r="AA95" s="21">
        <f>SUM(O95:Z95)</f>
        <v>30885.599999999999</v>
      </c>
      <c r="AB95" s="17">
        <f>IF(AA95=0,"",IFERROR(AA95/AA$19,""))</f>
        <v>1.8735319242637088E-2</v>
      </c>
      <c r="AD95" s="21">
        <v>67573.5</v>
      </c>
      <c r="AE95" s="17">
        <f>IF(AD95=0,"",IFERROR(AD95/AD$19,""))</f>
        <v>2.3096065334642892E-2</v>
      </c>
      <c r="AF95" s="50">
        <f>IF(AND($AA95="",AD95=""),"",$AA95-AD95)</f>
        <v>-36687.9</v>
      </c>
      <c r="AG95" s="21">
        <v>53085.5</v>
      </c>
      <c r="AH95" s="17">
        <f>IF(AG95=0,"",IFERROR(AG95/AG$19,""))</f>
        <v>2.7228565267241017E-2</v>
      </c>
      <c r="AI95" s="50">
        <f>IF(AND($AA95="",AG95=""),"",$AA95-AG95)</f>
        <v>-22199.9</v>
      </c>
    </row>
    <row r="96" spans="3:35" x14ac:dyDescent="0.25">
      <c r="C96" s="32"/>
      <c r="H96" s="15" t="s">
        <v>351</v>
      </c>
      <c r="I96" s="161" t="s">
        <v>1058</v>
      </c>
      <c r="J96" s="161" t="s">
        <v>78</v>
      </c>
      <c r="K96" s="162"/>
      <c r="L96" s="162">
        <v>467200</v>
      </c>
      <c r="M96" s="162"/>
      <c r="N96" s="162" t="s">
        <v>1306</v>
      </c>
      <c r="O96" s="21">
        <v>2412.34</v>
      </c>
      <c r="P96" s="21">
        <v>2979.96</v>
      </c>
      <c r="Q96" s="21">
        <v>4543</v>
      </c>
      <c r="R96" s="21">
        <v>2210.63</v>
      </c>
      <c r="S96" s="21">
        <v>2956</v>
      </c>
      <c r="T96" s="21">
        <v>2486</v>
      </c>
      <c r="U96" s="21">
        <v>2531.31</v>
      </c>
      <c r="V96" s="21">
        <v>2954.78</v>
      </c>
      <c r="W96" s="21">
        <v>2044.38</v>
      </c>
      <c r="X96" s="21">
        <v>2888</v>
      </c>
      <c r="Y96" s="21">
        <v>2261.89</v>
      </c>
      <c r="Z96" s="21">
        <v>5406</v>
      </c>
      <c r="AA96" s="21">
        <f>SUM(O96:Z96)</f>
        <v>35674.29</v>
      </c>
      <c r="AB96" s="17">
        <f>IF(AA96=0,"",IFERROR(AA96/AA$19,""))</f>
        <v>2.1640156315707509E-2</v>
      </c>
      <c r="AD96" s="21">
        <v>33002.400000000001</v>
      </c>
      <c r="AE96" s="17">
        <f>IF(AD96=0,"",IFERROR(AD96/AD$19,""))</f>
        <v>1.1279948302219341E-2</v>
      </c>
      <c r="AF96" s="50">
        <f>IF(AND($AA96="",AD96=""),"",$AA96-AD96)</f>
        <v>2671.8899999999994</v>
      </c>
      <c r="AG96" s="21">
        <v>12618.35</v>
      </c>
      <c r="AH96" s="17">
        <f>IF(AG96=0,"",IFERROR(AG96/AG$19,""))</f>
        <v>6.4721923414094371E-3</v>
      </c>
      <c r="AI96" s="50">
        <f>IF(AND($AA96="",AG96=""),"",$AA96-AG96)</f>
        <v>23055.940000000002</v>
      </c>
    </row>
    <row r="97" spans="3:35" x14ac:dyDescent="0.25">
      <c r="C97" s="32"/>
      <c r="H97" s="15" t="s">
        <v>363</v>
      </c>
      <c r="I97" s="161" t="s">
        <v>1009</v>
      </c>
      <c r="J97" s="161" t="s">
        <v>78</v>
      </c>
      <c r="K97" s="162"/>
      <c r="L97" s="162"/>
      <c r="M97" s="162"/>
      <c r="N97" s="25" t="s">
        <v>1307</v>
      </c>
      <c r="O97" s="164">
        <v>5303.34</v>
      </c>
      <c r="P97" s="164">
        <v>5663.96</v>
      </c>
      <c r="Q97" s="164">
        <v>7664</v>
      </c>
      <c r="R97" s="164">
        <v>4066.18</v>
      </c>
      <c r="S97" s="164">
        <v>5544.55</v>
      </c>
      <c r="T97" s="164">
        <v>5653</v>
      </c>
      <c r="U97" s="164">
        <v>6511.32</v>
      </c>
      <c r="V97" s="164">
        <v>5523.78</v>
      </c>
      <c r="W97" s="164">
        <v>4219.38</v>
      </c>
      <c r="X97" s="164">
        <v>5328.49</v>
      </c>
      <c r="Y97" s="164">
        <v>4617.8900000000003</v>
      </c>
      <c r="Z97" s="164">
        <v>6464</v>
      </c>
      <c r="AA97" s="164">
        <f>SUM(O97:Z97)</f>
        <v>66559.889999999985</v>
      </c>
      <c r="AB97" s="175">
        <f>IF(AA97=0,"",IFERROR(AA97/AA$19,""))</f>
        <v>4.0375475558344587E-2</v>
      </c>
      <c r="AD97" s="164">
        <v>100575.9</v>
      </c>
      <c r="AE97" s="175">
        <f>IF(AD97=0,"",IFERROR(AD97/AD$19,""))</f>
        <v>3.4376013636862233E-2</v>
      </c>
      <c r="AF97" s="165">
        <f>IF(AND($AA97="",AD97=""),"",$AA97-AD97)</f>
        <v>-34016.010000000009</v>
      </c>
      <c r="AG97" s="164">
        <v>65703.850000000006</v>
      </c>
      <c r="AH97" s="175">
        <f>IF(AG97=0,"",IFERROR(AG97/AG$19,""))</f>
        <v>3.3700757608650454E-2</v>
      </c>
      <c r="AI97" s="165">
        <f>IF(AND($AA97="",AG97=""),"",$AA97-AG97)</f>
        <v>856.03999999997905</v>
      </c>
    </row>
    <row r="98" spans="3:35" x14ac:dyDescent="0.25">
      <c r="C98" s="32"/>
      <c r="H98" s="15"/>
      <c r="I98" s="161"/>
      <c r="J98" s="161"/>
      <c r="K98" s="162"/>
      <c r="L98" s="162"/>
      <c r="M98" s="162"/>
      <c r="N98" s="182"/>
      <c r="O98" s="190"/>
      <c r="P98" s="192"/>
      <c r="Q98" s="192"/>
      <c r="R98" s="192"/>
      <c r="S98" s="192"/>
      <c r="T98" s="192"/>
      <c r="U98" s="192"/>
      <c r="V98" s="192"/>
      <c r="W98" s="192"/>
      <c r="X98" s="192"/>
      <c r="Y98" s="192"/>
      <c r="Z98" s="192"/>
      <c r="AA98" s="192"/>
      <c r="AB98" s="191"/>
      <c r="AD98" s="190"/>
      <c r="AE98" s="192"/>
      <c r="AF98" s="193"/>
      <c r="AG98" s="190"/>
      <c r="AH98" s="192"/>
      <c r="AI98" s="193"/>
    </row>
    <row r="99" spans="3:35" x14ac:dyDescent="0.25">
      <c r="C99" s="32"/>
      <c r="H99" s="15" t="s">
        <v>486</v>
      </c>
      <c r="I99" s="161" t="s">
        <v>1058</v>
      </c>
      <c r="J99" s="161" t="s">
        <v>78</v>
      </c>
      <c r="K99" s="162"/>
      <c r="L99" s="162"/>
      <c r="M99" s="162"/>
      <c r="N99" s="162" t="s">
        <v>1213</v>
      </c>
      <c r="O99" s="21">
        <v>-238.62</v>
      </c>
      <c r="P99" s="21">
        <v>-342.8</v>
      </c>
      <c r="Q99" s="21"/>
      <c r="R99" s="21">
        <v>-133.71</v>
      </c>
      <c r="S99" s="21">
        <v>-527.83000000000004</v>
      </c>
      <c r="T99" s="21"/>
      <c r="U99" s="21">
        <v>-0.49</v>
      </c>
      <c r="V99" s="21">
        <v>-359.79</v>
      </c>
      <c r="W99" s="21"/>
      <c r="X99" s="21">
        <v>-122.28</v>
      </c>
      <c r="Y99" s="21">
        <v>-390.24</v>
      </c>
      <c r="Z99" s="21"/>
      <c r="AA99" s="21">
        <f>SUM(O99:Z99)</f>
        <v>-2115.7600000000002</v>
      </c>
      <c r="AB99" s="17">
        <f>IF(AA99=0,"",IFERROR(AA99/AA$19,""))</f>
        <v>-1.283427844717339E-3</v>
      </c>
      <c r="AD99" s="21"/>
      <c r="AE99" s="17" t="str">
        <f>IF(AD99=0,"",IFERROR(AD99/AD$19,""))</f>
        <v/>
      </c>
      <c r="AF99" s="50">
        <f>IF(AND($AA99="",AD99=""),"",$AA99-AD99)</f>
        <v>-2115.7600000000002</v>
      </c>
      <c r="AG99" s="21">
        <v>-2480.6999999999998</v>
      </c>
      <c r="AH99" s="17">
        <f>IF(AG99=0,"",IFERROR(AG99/AG$19,""))</f>
        <v>-1.2723983358628021E-3</v>
      </c>
      <c r="AI99" s="50">
        <f>IF(AND($AA99="",AG99=""),"",$AA99-AG99)</f>
        <v>364.9399999999996</v>
      </c>
    </row>
    <row r="100" spans="3:35" x14ac:dyDescent="0.25">
      <c r="C100" s="32"/>
      <c r="H100" s="149"/>
      <c r="I100" s="161"/>
      <c r="J100" s="161"/>
      <c r="L100" s="162"/>
      <c r="M100" s="162"/>
      <c r="N100" s="8" t="s">
        <v>348</v>
      </c>
      <c r="O100" s="43"/>
      <c r="P100" s="46"/>
      <c r="Q100" s="46"/>
      <c r="R100" s="46"/>
      <c r="S100" s="46"/>
      <c r="T100" s="46"/>
      <c r="U100" s="46"/>
      <c r="V100" s="46"/>
      <c r="W100" s="46"/>
      <c r="X100" s="46"/>
      <c r="Y100" s="46"/>
      <c r="Z100" s="46"/>
      <c r="AA100" s="46"/>
      <c r="AB100" s="44"/>
      <c r="AD100" s="43"/>
      <c r="AE100" s="46"/>
      <c r="AF100" s="44"/>
      <c r="AG100" s="43"/>
      <c r="AH100" s="46"/>
      <c r="AI100" s="44"/>
    </row>
    <row r="101" spans="3:35" x14ac:dyDescent="0.25">
      <c r="C101" s="32"/>
      <c r="H101" s="149"/>
      <c r="I101" s="161"/>
      <c r="J101" s="161"/>
      <c r="L101" s="162"/>
      <c r="M101" s="162"/>
      <c r="N101" s="8"/>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273</v>
      </c>
      <c r="I102" s="161" t="s">
        <v>1064</v>
      </c>
      <c r="J102" s="161" t="s">
        <v>78</v>
      </c>
      <c r="L102" s="162"/>
      <c r="M102" s="162"/>
      <c r="N102" s="162" t="s">
        <v>1214</v>
      </c>
      <c r="O102" s="171">
        <v>205299.44</v>
      </c>
      <c r="P102" s="171">
        <v>186849.74</v>
      </c>
      <c r="Q102" s="171">
        <v>190564.23</v>
      </c>
      <c r="R102" s="171">
        <v>141126.63</v>
      </c>
      <c r="S102" s="171">
        <v>141982.84</v>
      </c>
      <c r="T102" s="171">
        <v>125105.21</v>
      </c>
      <c r="U102" s="171">
        <v>110757.5</v>
      </c>
      <c r="V102" s="171">
        <v>98779.93</v>
      </c>
      <c r="W102" s="171">
        <v>90932.27</v>
      </c>
      <c r="X102" s="171">
        <v>91675.67</v>
      </c>
      <c r="Y102" s="171">
        <v>99928.65</v>
      </c>
      <c r="Z102" s="171">
        <v>165520.64000000001</v>
      </c>
      <c r="AA102" s="171">
        <f>SUM(O102:Z102)</f>
        <v>1648522.7499999995</v>
      </c>
      <c r="AB102" s="172">
        <f>IF(AA102=0,"",IFERROR(AA102/AA$19,""))</f>
        <v>1</v>
      </c>
      <c r="AD102" s="171">
        <v>2925758.09</v>
      </c>
      <c r="AE102" s="172">
        <f>IF(AD102=0,"",IFERROR(AD102/AD$19,""))</f>
        <v>1</v>
      </c>
      <c r="AF102" s="173">
        <f>IF(AND($AA102="",AD102=""),"",$AA102-AD102)</f>
        <v>-1277235.3400000003</v>
      </c>
      <c r="AG102" s="171">
        <v>1949625.31</v>
      </c>
      <c r="AH102" s="172">
        <f>IF(AG102=0,"",IFERROR(AG102/AG$19,""))</f>
        <v>1</v>
      </c>
      <c r="AI102" s="173">
        <f>IF(AND($AA102="",AG102=""),"",$AA102-AG102)</f>
        <v>-301102.56000000052</v>
      </c>
    </row>
    <row r="103" spans="3:35" x14ac:dyDescent="0.25">
      <c r="C103" s="32"/>
      <c r="H103" s="149" t="s">
        <v>767</v>
      </c>
      <c r="I103" s="161" t="s">
        <v>1009</v>
      </c>
      <c r="J103" s="161" t="s">
        <v>1009</v>
      </c>
      <c r="L103" s="162">
        <v>947500</v>
      </c>
      <c r="M103" s="162">
        <v>991552</v>
      </c>
      <c r="N103" s="162" t="s">
        <v>1308</v>
      </c>
      <c r="O103" s="171">
        <v>115</v>
      </c>
      <c r="P103" s="171">
        <v>115</v>
      </c>
      <c r="Q103" s="171">
        <v>115</v>
      </c>
      <c r="R103" s="171">
        <v>115</v>
      </c>
      <c r="S103" s="171">
        <v>115</v>
      </c>
      <c r="T103" s="171"/>
      <c r="U103" s="171">
        <v>115</v>
      </c>
      <c r="V103" s="171">
        <v>115</v>
      </c>
      <c r="W103" s="171">
        <v>115</v>
      </c>
      <c r="X103" s="171">
        <v>115</v>
      </c>
      <c r="Y103" s="171">
        <v>115</v>
      </c>
      <c r="Z103" s="171">
        <v>115</v>
      </c>
      <c r="AA103" s="171">
        <f>SUM(O103:Z103)</f>
        <v>1265</v>
      </c>
      <c r="AB103" s="172"/>
      <c r="AD103" s="171"/>
      <c r="AE103" s="172"/>
      <c r="AF103" s="173">
        <f>IF(AND($AA103="",AD103=""),"",$AA103-AD103)</f>
        <v>1265</v>
      </c>
      <c r="AG103" s="171">
        <v>1380</v>
      </c>
      <c r="AH103" s="172"/>
      <c r="AI103" s="173">
        <f>IF(AND($AA103="",AG103=""),"",$AA103-AG103)</f>
        <v>-115</v>
      </c>
    </row>
    <row r="104" spans="3:35" x14ac:dyDescent="0.25">
      <c r="C104" s="32"/>
      <c r="H104" s="149" t="s">
        <v>331</v>
      </c>
      <c r="I104" s="161" t="s">
        <v>1010</v>
      </c>
      <c r="J104" s="161" t="s">
        <v>78</v>
      </c>
      <c r="L104" s="162">
        <v>946000</v>
      </c>
      <c r="M104" s="162"/>
      <c r="N104" s="162" t="s">
        <v>1309</v>
      </c>
      <c r="O104" s="171">
        <v>5313</v>
      </c>
      <c r="P104" s="171">
        <v>5074</v>
      </c>
      <c r="Q104" s="171">
        <v>5517</v>
      </c>
      <c r="R104" s="171">
        <v>4364</v>
      </c>
      <c r="S104" s="171">
        <v>4257</v>
      </c>
      <c r="T104" s="171">
        <v>4447</v>
      </c>
      <c r="U104" s="171">
        <v>3889</v>
      </c>
      <c r="V104" s="171">
        <v>3360</v>
      </c>
      <c r="W104" s="171">
        <v>2985</v>
      </c>
      <c r="X104" s="171">
        <v>3089</v>
      </c>
      <c r="Y104" s="171">
        <v>3112</v>
      </c>
      <c r="Z104" s="171">
        <v>4316</v>
      </c>
      <c r="AA104" s="171">
        <f>SUM(O104:Z104)</f>
        <v>49723</v>
      </c>
      <c r="AB104" s="172">
        <f>IF(AA104=0,"",IFERROR(AA104/AA$20,""))</f>
        <v>1</v>
      </c>
      <c r="AD104" s="171">
        <v>70912</v>
      </c>
      <c r="AE104" s="172">
        <f>IF(AD104=0,"",IFERROR(AD104/AD$20,""))</f>
        <v>1</v>
      </c>
      <c r="AF104" s="173">
        <f>IF(AND($AA104="",AD104=""),"",$AA104-AD104)</f>
        <v>-21189</v>
      </c>
      <c r="AG104" s="171">
        <v>56333</v>
      </c>
      <c r="AH104" s="172">
        <f>IF(AG104=0,"",IFERROR(AG104/AG$20,""))</f>
        <v>1</v>
      </c>
      <c r="AI104" s="173">
        <f>IF(AND($AA104="",AG104=""),"",$AA104-AG104)</f>
        <v>-6610</v>
      </c>
    </row>
    <row r="105" spans="3:35" x14ac:dyDescent="0.25">
      <c r="C105" s="32"/>
      <c r="H105" s="149" t="s">
        <v>311</v>
      </c>
      <c r="I105" s="161" t="s">
        <v>1009</v>
      </c>
      <c r="J105" s="161" t="s">
        <v>78</v>
      </c>
      <c r="L105" s="162"/>
      <c r="M105" s="162"/>
      <c r="N105" s="162" t="s">
        <v>1310</v>
      </c>
      <c r="O105" s="176">
        <v>37.642781855825298</v>
      </c>
      <c r="P105" s="176">
        <v>35.708667717776898</v>
      </c>
      <c r="Q105" s="176">
        <v>33.152117092622802</v>
      </c>
      <c r="R105" s="176">
        <v>31.407069202566401</v>
      </c>
      <c r="S105" s="176">
        <v>32.050338266384799</v>
      </c>
      <c r="T105" s="176">
        <v>26.861302001349198</v>
      </c>
      <c r="U105" s="176">
        <v>26.805394703008499</v>
      </c>
      <c r="V105" s="176">
        <v>27.754806547619101</v>
      </c>
      <c r="W105" s="176">
        <v>29.0495443886097</v>
      </c>
      <c r="X105" s="176">
        <v>27.9531175137585</v>
      </c>
      <c r="Y105" s="176">
        <v>30.626850899742902</v>
      </c>
      <c r="Z105" s="176">
        <v>36.852789620018498</v>
      </c>
      <c r="AA105" s="176">
        <f>IFERROR(AA102/AA104,"")</f>
        <v>33.154128873961739</v>
      </c>
      <c r="AB105" s="176"/>
      <c r="AD105" s="176">
        <v>39.840678446525303</v>
      </c>
      <c r="AE105" s="176"/>
      <c r="AF105" s="177">
        <f>IF(AND($AA105="",AD105=""),"",$AA105-AD105)</f>
        <v>-6.686549572563564</v>
      </c>
      <c r="AG105" s="176">
        <v>33.442590666217001</v>
      </c>
      <c r="AH105" s="176"/>
      <c r="AI105" s="177">
        <f>IF(AND($AA105="",AG105=""),"",$AA105-AG105)</f>
        <v>-0.28846179225526214</v>
      </c>
    </row>
    <row r="106" spans="3:35" x14ac:dyDescent="0.25">
      <c r="C106" s="32"/>
      <c r="H106" s="149"/>
      <c r="I106" s="161"/>
      <c r="J106" s="161"/>
      <c r="L106" s="162"/>
      <c r="M106" s="162"/>
      <c r="N106" s="162"/>
      <c r="O106" s="41"/>
      <c r="P106" s="45"/>
      <c r="Q106" s="45"/>
      <c r="R106" s="45"/>
      <c r="S106" s="45"/>
      <c r="T106" s="45"/>
      <c r="U106" s="45"/>
      <c r="V106" s="45"/>
      <c r="W106" s="45"/>
      <c r="X106" s="45"/>
      <c r="Y106" s="45"/>
      <c r="Z106" s="45"/>
      <c r="AA106" s="45"/>
      <c r="AB106" s="42"/>
      <c r="AD106" s="41"/>
      <c r="AE106" s="45"/>
      <c r="AF106" s="42"/>
      <c r="AG106" s="41"/>
      <c r="AH106" s="45"/>
      <c r="AI106" s="42"/>
    </row>
    <row r="107" spans="3:35" x14ac:dyDescent="0.25">
      <c r="C107" s="32"/>
      <c r="H107" s="149"/>
      <c r="I107" s="161"/>
      <c r="J107" s="161"/>
      <c r="L107" s="162"/>
      <c r="M107" s="162"/>
      <c r="N107" s="8" t="s">
        <v>334</v>
      </c>
      <c r="O107" s="43"/>
      <c r="P107" s="46"/>
      <c r="Q107" s="46"/>
      <c r="R107" s="46"/>
      <c r="S107" s="46"/>
      <c r="T107" s="46"/>
      <c r="U107" s="46"/>
      <c r="V107" s="46"/>
      <c r="W107" s="46"/>
      <c r="X107" s="46"/>
      <c r="Y107" s="46"/>
      <c r="Z107" s="46"/>
      <c r="AA107" s="46"/>
      <c r="AB107" s="44"/>
      <c r="AD107" s="43"/>
      <c r="AE107" s="46"/>
      <c r="AF107" s="44"/>
      <c r="AG107" s="43"/>
      <c r="AH107" s="46"/>
      <c r="AI107" s="44"/>
    </row>
    <row r="108" spans="3:35" hidden="1" outlineLevel="1" x14ac:dyDescent="0.25">
      <c r="C108" s="32"/>
      <c r="H108" s="149" t="s">
        <v>332</v>
      </c>
      <c r="I108" s="161" t="s">
        <v>1064</v>
      </c>
      <c r="J108" s="161" t="s">
        <v>78</v>
      </c>
      <c r="L108" s="162"/>
      <c r="M108" s="162"/>
      <c r="N108" s="162" t="s">
        <v>1311</v>
      </c>
      <c r="O108" s="21">
        <v>155.30000000000001</v>
      </c>
      <c r="P108" s="21">
        <v>135.80000000000001</v>
      </c>
      <c r="Q108" s="21">
        <v>142.69999999999999</v>
      </c>
      <c r="R108" s="21">
        <v>343.72</v>
      </c>
      <c r="S108" s="21">
        <v>312.93</v>
      </c>
      <c r="T108" s="21">
        <v>203.88</v>
      </c>
      <c r="U108" s="21">
        <v>205.48</v>
      </c>
      <c r="V108" s="21">
        <v>206.24</v>
      </c>
      <c r="W108" s="21">
        <v>9.68</v>
      </c>
      <c r="X108" s="21">
        <v>210.02</v>
      </c>
      <c r="Y108" s="21">
        <v>191.82</v>
      </c>
      <c r="Z108" s="21">
        <v>234.38</v>
      </c>
      <c r="AA108" s="21">
        <f>SUM(O108:Z108)</f>
        <v>2351.9500000000003</v>
      </c>
      <c r="AB108" s="17"/>
      <c r="AD108" s="21">
        <v>6328.5714285720996</v>
      </c>
      <c r="AE108" s="17"/>
      <c r="AF108" s="50">
        <f>IF(AND($AA108="",AD108=""),"",$AA108-AD108)</f>
        <v>-3976.6214285720994</v>
      </c>
      <c r="AG108" s="21">
        <v>3169.14</v>
      </c>
      <c r="AH108" s="17"/>
      <c r="AI108" s="50">
        <f>IF(AND($AA108="",AG108=""),"",$AA108-AG108)</f>
        <v>-817.1899999999996</v>
      </c>
    </row>
    <row r="109" spans="3:35" hidden="1" outlineLevel="1" x14ac:dyDescent="0.25">
      <c r="C109" s="32"/>
      <c r="H109" s="149" t="s">
        <v>333</v>
      </c>
      <c r="I109" s="161" t="s">
        <v>1064</v>
      </c>
      <c r="J109" s="161" t="s">
        <v>78</v>
      </c>
      <c r="L109" s="162"/>
      <c r="M109" s="162"/>
      <c r="N109" s="162" t="s">
        <v>1312</v>
      </c>
      <c r="O109" s="21">
        <v>689.89</v>
      </c>
      <c r="P109" s="21">
        <v>938.49</v>
      </c>
      <c r="Q109" s="21">
        <v>1042.72</v>
      </c>
      <c r="R109" s="21">
        <v>973.07</v>
      </c>
      <c r="S109" s="21">
        <v>747.71</v>
      </c>
      <c r="T109" s="21">
        <v>722.74</v>
      </c>
      <c r="U109" s="21">
        <v>650.88</v>
      </c>
      <c r="V109" s="21">
        <v>585.91999999999996</v>
      </c>
      <c r="W109" s="21">
        <v>580.76</v>
      </c>
      <c r="X109" s="21">
        <v>653.35</v>
      </c>
      <c r="Y109" s="21">
        <v>589.12</v>
      </c>
      <c r="Z109" s="21">
        <v>707.82</v>
      </c>
      <c r="AA109" s="21">
        <f>SUM(O109:Z109)</f>
        <v>8882.4700000000012</v>
      </c>
      <c r="AB109" s="17"/>
      <c r="AD109" s="21">
        <v>27868.857142856999</v>
      </c>
      <c r="AE109" s="17"/>
      <c r="AF109" s="50">
        <f>IF(AND($AA109="",AD109=""),"",$AA109-AD109)</f>
        <v>-18986.387142856998</v>
      </c>
      <c r="AG109" s="21">
        <v>9013.6200000000008</v>
      </c>
      <c r="AH109" s="17"/>
      <c r="AI109" s="50">
        <f>IF(AND($AA109="",AG109=""),"",$AA109-AG109)</f>
        <v>-131.14999999999964</v>
      </c>
    </row>
    <row r="110" spans="3:35" collapsed="1" x14ac:dyDescent="0.25">
      <c r="C110" s="32"/>
      <c r="H110" s="149"/>
      <c r="I110" s="161"/>
      <c r="J110" s="161"/>
      <c r="L110" s="162"/>
      <c r="M110" s="162"/>
      <c r="N110" s="26" t="s">
        <v>335</v>
      </c>
      <c r="O110" s="178">
        <f t="shared" ref="O110:AA110" si="32">IFERROR(O$104/O108,"")</f>
        <v>34.211204121056021</v>
      </c>
      <c r="P110" s="178">
        <f t="shared" si="32"/>
        <v>37.363770250368184</v>
      </c>
      <c r="Q110" s="178">
        <f t="shared" si="32"/>
        <v>38.661527680448494</v>
      </c>
      <c r="R110" s="178">
        <f t="shared" si="32"/>
        <v>12.696380775049457</v>
      </c>
      <c r="S110" s="178">
        <f t="shared" si="32"/>
        <v>13.603681334483751</v>
      </c>
      <c r="T110" s="178">
        <f t="shared" si="32"/>
        <v>21.811850107906611</v>
      </c>
      <c r="U110" s="178">
        <f t="shared" si="32"/>
        <v>18.926416196223478</v>
      </c>
      <c r="V110" s="178">
        <f t="shared" si="32"/>
        <v>16.291698991466252</v>
      </c>
      <c r="W110" s="178">
        <f t="shared" si="32"/>
        <v>308.36776859504135</v>
      </c>
      <c r="X110" s="178">
        <f t="shared" si="32"/>
        <v>14.708123035901343</v>
      </c>
      <c r="Y110" s="178">
        <f t="shared" si="32"/>
        <v>16.223542904806589</v>
      </c>
      <c r="Z110" s="178">
        <f t="shared" si="32"/>
        <v>18.414540489802885</v>
      </c>
      <c r="AA110" s="178">
        <f t="shared" si="32"/>
        <v>21.1411807223793</v>
      </c>
      <c r="AB110" s="139"/>
      <c r="AD110" s="178">
        <f>IFERROR(AD$104/AD108,"")</f>
        <v>11.205056433407389</v>
      </c>
      <c r="AE110" s="139"/>
      <c r="AF110" s="140">
        <f>IF(AND($AA110="",AD110=""),"",$AA110-AD110)</f>
        <v>9.9361242889719108</v>
      </c>
      <c r="AG110" s="178">
        <f>IFERROR(AG$104/AG108,"")</f>
        <v>17.775484831847127</v>
      </c>
      <c r="AH110" s="139"/>
      <c r="AI110" s="140">
        <f>IF(AND($AA110="",AG110=""),"",$AA110-AG110)</f>
        <v>3.365695890532173</v>
      </c>
    </row>
    <row r="111" spans="3:35" x14ac:dyDescent="0.25">
      <c r="C111" s="32"/>
      <c r="H111" s="149"/>
      <c r="I111" s="161"/>
      <c r="J111" s="161"/>
      <c r="L111" s="162"/>
      <c r="M111" s="162"/>
      <c r="N111" s="26" t="s">
        <v>336</v>
      </c>
      <c r="O111" s="178">
        <f t="shared" ref="O111:AA111" si="33">IFERROR(O$104/O109,"")</f>
        <v>7.7012277319572684</v>
      </c>
      <c r="P111" s="178">
        <f t="shared" si="33"/>
        <v>5.4065573421133948</v>
      </c>
      <c r="Q111" s="178">
        <f t="shared" si="33"/>
        <v>5.2909697713671937</v>
      </c>
      <c r="R111" s="178">
        <f t="shared" si="33"/>
        <v>4.4847749904940031</v>
      </c>
      <c r="S111" s="178">
        <f t="shared" si="33"/>
        <v>5.6933837985315163</v>
      </c>
      <c r="T111" s="178">
        <f t="shared" si="33"/>
        <v>6.1529734067576172</v>
      </c>
      <c r="U111" s="178">
        <f t="shared" si="33"/>
        <v>5.9749877089478858</v>
      </c>
      <c r="V111" s="178">
        <f t="shared" si="33"/>
        <v>5.7345712725286733</v>
      </c>
      <c r="W111" s="178">
        <f t="shared" si="33"/>
        <v>5.1398167917900679</v>
      </c>
      <c r="X111" s="178">
        <f t="shared" si="33"/>
        <v>4.727940613759853</v>
      </c>
      <c r="Y111" s="178">
        <f t="shared" si="33"/>
        <v>5.2824551873981536</v>
      </c>
      <c r="Z111" s="178">
        <f t="shared" si="33"/>
        <v>6.097595433867367</v>
      </c>
      <c r="AA111" s="178">
        <f t="shared" si="33"/>
        <v>5.5978798690004012</v>
      </c>
      <c r="AB111" s="139"/>
      <c r="AD111" s="178">
        <f>IFERROR(AD$104/AD109,"")</f>
        <v>2.5444889841195115</v>
      </c>
      <c r="AE111" s="139"/>
      <c r="AF111" s="140">
        <f>IF(AND($AA111="",AD111=""),"",$AA111-AD111)</f>
        <v>3.0533908848808897</v>
      </c>
      <c r="AG111" s="178">
        <f>IFERROR(AG$104/AG109,"")</f>
        <v>6.2497642456637834</v>
      </c>
      <c r="AH111" s="139"/>
      <c r="AI111" s="140">
        <f>IF(AND($AA111="",AG111=""),"",$AA111-AG111)</f>
        <v>-0.65188437666338217</v>
      </c>
    </row>
    <row r="112" spans="3:35" x14ac:dyDescent="0.25">
      <c r="C112" s="32"/>
      <c r="H112" s="149"/>
      <c r="I112" s="161"/>
      <c r="J112" s="161"/>
      <c r="L112" s="162"/>
      <c r="M112" s="162"/>
      <c r="N112" s="162"/>
      <c r="O112" s="163"/>
      <c r="P112" s="287"/>
      <c r="Q112" s="287"/>
      <c r="R112" s="287"/>
      <c r="S112" s="287"/>
      <c r="T112" s="287"/>
      <c r="U112" s="287"/>
      <c r="V112" s="287"/>
      <c r="W112" s="287"/>
      <c r="X112" s="287"/>
      <c r="Y112" s="287"/>
      <c r="Z112" s="287"/>
      <c r="AA112" s="287"/>
      <c r="AB112" s="55"/>
      <c r="AD112" s="53"/>
      <c r="AE112" s="54"/>
      <c r="AF112" s="55"/>
      <c r="AG112" s="54"/>
      <c r="AH112" s="54"/>
      <c r="AI112" s="55"/>
    </row>
    <row r="113" spans="3:35" x14ac:dyDescent="0.25">
      <c r="C113" s="32"/>
      <c r="H113" s="149"/>
      <c r="I113" s="161"/>
      <c r="J113" s="161"/>
      <c r="L113" s="162"/>
      <c r="M113" s="162"/>
      <c r="N113" s="8" t="s">
        <v>343</v>
      </c>
      <c r="O113" s="53"/>
      <c r="P113" s="54"/>
      <c r="Q113" s="54"/>
      <c r="R113" s="54"/>
      <c r="S113" s="54"/>
      <c r="T113" s="54"/>
      <c r="U113" s="54"/>
      <c r="V113" s="54"/>
      <c r="W113" s="54"/>
      <c r="X113" s="54"/>
      <c r="Y113" s="54"/>
      <c r="Z113" s="54"/>
      <c r="AA113" s="54"/>
      <c r="AB113" s="168"/>
      <c r="AD113" s="167"/>
      <c r="AE113" s="169"/>
      <c r="AF113" s="55"/>
      <c r="AG113" s="54"/>
      <c r="AH113" s="169"/>
      <c r="AI113" s="55"/>
    </row>
    <row r="114" spans="3:35" x14ac:dyDescent="0.25">
      <c r="C114" s="32"/>
      <c r="H114" s="149"/>
      <c r="I114" s="161"/>
      <c r="J114" s="161"/>
      <c r="L114" s="162"/>
      <c r="M114" s="162"/>
      <c r="N114" s="8" t="s">
        <v>337</v>
      </c>
      <c r="O114" s="43"/>
      <c r="P114" s="46"/>
      <c r="Q114" s="46"/>
      <c r="R114" s="46"/>
      <c r="S114" s="46"/>
      <c r="T114" s="46"/>
      <c r="U114" s="46"/>
      <c r="V114" s="46"/>
      <c r="W114" s="46"/>
      <c r="X114" s="46"/>
      <c r="Y114" s="46"/>
      <c r="Z114" s="46"/>
      <c r="AA114" s="46"/>
      <c r="AB114" s="44"/>
      <c r="AD114" s="43"/>
      <c r="AE114" s="46"/>
      <c r="AF114" s="44"/>
      <c r="AG114" s="46"/>
      <c r="AH114" s="46"/>
      <c r="AI114" s="44"/>
    </row>
    <row r="115" spans="3:35" x14ac:dyDescent="0.25">
      <c r="C115" s="32"/>
      <c r="H115" s="149" t="s">
        <v>294</v>
      </c>
      <c r="I115" s="161"/>
      <c r="J115" s="161"/>
      <c r="L115" s="162">
        <v>461200</v>
      </c>
      <c r="M115" s="162"/>
      <c r="N115" s="162" t="s">
        <v>1259</v>
      </c>
      <c r="O115" s="21">
        <v>2143.88</v>
      </c>
      <c r="P115" s="21">
        <v>2474</v>
      </c>
      <c r="Q115" s="21">
        <v>3458</v>
      </c>
      <c r="R115" s="21">
        <v>3306.5</v>
      </c>
      <c r="S115" s="21">
        <v>1845</v>
      </c>
      <c r="T115" s="21">
        <v>1616.5</v>
      </c>
      <c r="U115" s="21">
        <v>1381</v>
      </c>
      <c r="V115" s="21">
        <v>2614</v>
      </c>
      <c r="W115" s="21">
        <v>1978</v>
      </c>
      <c r="X115" s="21">
        <v>1242</v>
      </c>
      <c r="Y115" s="21">
        <v>1849</v>
      </c>
      <c r="Z115" s="21">
        <v>3242</v>
      </c>
      <c r="AA115" s="21">
        <f t="shared" ref="AA115:AA121" si="34">SUM(O115:Z115)</f>
        <v>27149.88</v>
      </c>
      <c r="AB115" s="17">
        <f t="shared" ref="AB115:AB121" si="35">IF(AA115=0,"",IFERROR(AA115/AA$19,""))</f>
        <v>1.6469217667757396E-2</v>
      </c>
      <c r="AD115" s="21">
        <v>30485.187150000002</v>
      </c>
      <c r="AE115" s="17">
        <f t="shared" ref="AE115:AE121" si="36">IF(AD115=0,"",IFERROR(AD115/AD$19,""))</f>
        <v>1.0419585697872925E-2</v>
      </c>
      <c r="AF115" s="50">
        <f t="shared" ref="AF115:AF121" si="37">IF(AND($AA115="",AD115=""),"",$AA115-AD115)</f>
        <v>-3335.3071500000005</v>
      </c>
      <c r="AG115" s="21">
        <v>23091.18</v>
      </c>
      <c r="AH115" s="17">
        <f t="shared" ref="AH115:AH121" si="38">IF(AG115=0,"",IFERROR(AG115/AG$19,""))</f>
        <v>1.1843906560691911E-2</v>
      </c>
      <c r="AI115" s="50">
        <f t="shared" ref="AI115:AI121" si="39">IF(AND($AA115="",AG115=""),"",$AA115-AG115)</f>
        <v>4058.7000000000007</v>
      </c>
    </row>
    <row r="116" spans="3:35" x14ac:dyDescent="0.25">
      <c r="C116" s="32"/>
      <c r="H116" s="149" t="s">
        <v>301</v>
      </c>
      <c r="I116" s="161"/>
      <c r="J116" s="161"/>
      <c r="L116" s="162">
        <v>462200</v>
      </c>
      <c r="M116" s="162"/>
      <c r="N116" s="162" t="s">
        <v>1266</v>
      </c>
      <c r="O116" s="21">
        <v>13736.8</v>
      </c>
      <c r="P116" s="21">
        <v>20086.02</v>
      </c>
      <c r="Q116" s="21">
        <v>20892.54</v>
      </c>
      <c r="R116" s="21">
        <v>16418.78</v>
      </c>
      <c r="S116" s="21">
        <v>14877.4</v>
      </c>
      <c r="T116" s="21">
        <v>13741</v>
      </c>
      <c r="U116" s="21">
        <v>13117.5</v>
      </c>
      <c r="V116" s="21">
        <v>8754.59</v>
      </c>
      <c r="W116" s="21">
        <v>8562</v>
      </c>
      <c r="X116" s="21">
        <v>9753.4</v>
      </c>
      <c r="Y116" s="21">
        <v>6623.2</v>
      </c>
      <c r="Z116" s="21">
        <v>4170.49</v>
      </c>
      <c r="AA116" s="21">
        <f t="shared" si="34"/>
        <v>150733.72</v>
      </c>
      <c r="AB116" s="17">
        <f t="shared" si="35"/>
        <v>9.1435632295641681E-2</v>
      </c>
      <c r="AD116" s="21">
        <v>272772.03578999999</v>
      </c>
      <c r="AE116" s="17">
        <f t="shared" si="36"/>
        <v>9.3231233546721567E-2</v>
      </c>
      <c r="AF116" s="50">
        <f t="shared" si="37"/>
        <v>-122038.31578999999</v>
      </c>
      <c r="AG116" s="21">
        <v>192993.57</v>
      </c>
      <c r="AH116" s="17">
        <f t="shared" si="38"/>
        <v>9.8990082355875864E-2</v>
      </c>
      <c r="AI116" s="50">
        <f t="shared" si="39"/>
        <v>-42259.850000000006</v>
      </c>
    </row>
    <row r="117" spans="3:35" x14ac:dyDescent="0.25">
      <c r="C117" s="32"/>
      <c r="H117" s="149" t="s">
        <v>302</v>
      </c>
      <c r="I117" s="161"/>
      <c r="J117" s="161"/>
      <c r="L117" s="162">
        <v>463200</v>
      </c>
      <c r="M117" s="162"/>
      <c r="N117" s="162" t="s">
        <v>1273</v>
      </c>
      <c r="O117" s="21">
        <v>3313</v>
      </c>
      <c r="P117" s="21">
        <v>2456.1999999999998</v>
      </c>
      <c r="Q117" s="21">
        <v>5981</v>
      </c>
      <c r="R117" s="21">
        <v>2071</v>
      </c>
      <c r="S117" s="21">
        <v>9381</v>
      </c>
      <c r="T117" s="21">
        <v>2057</v>
      </c>
      <c r="U117" s="21">
        <v>1466</v>
      </c>
      <c r="V117" s="21">
        <v>1490</v>
      </c>
      <c r="W117" s="21">
        <v>56</v>
      </c>
      <c r="X117" s="21"/>
      <c r="Y117" s="21"/>
      <c r="Z117" s="21">
        <v>455</v>
      </c>
      <c r="AA117" s="21">
        <f t="shared" si="34"/>
        <v>28726.2</v>
      </c>
      <c r="AB117" s="17">
        <f t="shared" si="35"/>
        <v>1.7425419212443387E-2</v>
      </c>
      <c r="AD117" s="21">
        <v>162324.08305399999</v>
      </c>
      <c r="AE117" s="17">
        <f t="shared" si="36"/>
        <v>5.5481033653742712E-2</v>
      </c>
      <c r="AF117" s="50">
        <f t="shared" si="37"/>
        <v>-133597.88305399998</v>
      </c>
      <c r="AG117" s="21">
        <v>58986.41</v>
      </c>
      <c r="AH117" s="17">
        <f t="shared" si="38"/>
        <v>3.0255254534010949E-2</v>
      </c>
      <c r="AI117" s="50">
        <f t="shared" si="39"/>
        <v>-30260.210000000003</v>
      </c>
    </row>
    <row r="118" spans="3:35" x14ac:dyDescent="0.25">
      <c r="C118" s="32"/>
      <c r="H118" s="149" t="s">
        <v>308</v>
      </c>
      <c r="I118" s="161"/>
      <c r="J118" s="161"/>
      <c r="L118" s="162">
        <v>464200</v>
      </c>
      <c r="M118" s="162"/>
      <c r="N118" s="162" t="s">
        <v>1280</v>
      </c>
      <c r="O118" s="21">
        <v>19181</v>
      </c>
      <c r="P118" s="21">
        <v>23332</v>
      </c>
      <c r="Q118" s="21">
        <v>21510</v>
      </c>
      <c r="R118" s="21">
        <v>15487.91</v>
      </c>
      <c r="S118" s="21">
        <v>13547</v>
      </c>
      <c r="T118" s="21">
        <v>17682.400000000001</v>
      </c>
      <c r="U118" s="21">
        <v>15298.1</v>
      </c>
      <c r="V118" s="21">
        <v>11900.8</v>
      </c>
      <c r="W118" s="21">
        <v>19621</v>
      </c>
      <c r="X118" s="21">
        <v>10427.200000000001</v>
      </c>
      <c r="Y118" s="21">
        <v>14523.5</v>
      </c>
      <c r="Z118" s="21">
        <v>23854.6</v>
      </c>
      <c r="AA118" s="21">
        <f t="shared" si="34"/>
        <v>206365.51</v>
      </c>
      <c r="AB118" s="17">
        <f t="shared" si="35"/>
        <v>0.12518208195792266</v>
      </c>
      <c r="AD118" s="21">
        <v>320695.60435500002</v>
      </c>
      <c r="AE118" s="17">
        <f t="shared" si="36"/>
        <v>0.10961111427876118</v>
      </c>
      <c r="AF118" s="50">
        <f t="shared" si="37"/>
        <v>-114330.09435500001</v>
      </c>
      <c r="AG118" s="21">
        <v>218812.91</v>
      </c>
      <c r="AH118" s="17">
        <f t="shared" si="38"/>
        <v>0.11223331420538442</v>
      </c>
      <c r="AI118" s="50">
        <f t="shared" si="39"/>
        <v>-12447.399999999994</v>
      </c>
    </row>
    <row r="119" spans="3:35" x14ac:dyDescent="0.25">
      <c r="C119" s="32"/>
      <c r="H119" s="149" t="s">
        <v>321</v>
      </c>
      <c r="I119" s="161"/>
      <c r="J119" s="161"/>
      <c r="L119" s="162">
        <v>465200</v>
      </c>
      <c r="M119" s="162"/>
      <c r="N119" s="162" t="s">
        <v>1287</v>
      </c>
      <c r="O119" s="21"/>
      <c r="P119" s="21"/>
      <c r="Q119" s="21"/>
      <c r="R119" s="21"/>
      <c r="S119" s="21"/>
      <c r="T119" s="21"/>
      <c r="U119" s="21"/>
      <c r="V119" s="21"/>
      <c r="W119" s="21"/>
      <c r="X119" s="21"/>
      <c r="Y119" s="21"/>
      <c r="Z119" s="21"/>
      <c r="AA119" s="21">
        <f t="shared" si="34"/>
        <v>0</v>
      </c>
      <c r="AB119" s="17" t="str">
        <f t="shared" si="35"/>
        <v/>
      </c>
      <c r="AD119" s="21"/>
      <c r="AE119" s="17" t="str">
        <f t="shared" si="36"/>
        <v/>
      </c>
      <c r="AF119" s="50">
        <f t="shared" si="37"/>
        <v>0</v>
      </c>
      <c r="AG119" s="21"/>
      <c r="AH119" s="17" t="str">
        <f t="shared" si="38"/>
        <v/>
      </c>
      <c r="AI119" s="50">
        <f t="shared" si="39"/>
        <v>0</v>
      </c>
    </row>
    <row r="120" spans="3:35" x14ac:dyDescent="0.25">
      <c r="C120" s="32"/>
      <c r="H120" s="149" t="s">
        <v>808</v>
      </c>
      <c r="I120" s="161"/>
      <c r="J120" s="161"/>
      <c r="L120" s="162">
        <v>471210</v>
      </c>
      <c r="M120" s="162"/>
      <c r="N120" s="162" t="s">
        <v>1295</v>
      </c>
      <c r="O120" s="21"/>
      <c r="P120" s="21"/>
      <c r="Q120" s="21"/>
      <c r="R120" s="21">
        <v>850</v>
      </c>
      <c r="S120" s="21"/>
      <c r="T120" s="21"/>
      <c r="U120" s="21"/>
      <c r="V120" s="21"/>
      <c r="W120" s="21"/>
      <c r="X120" s="21"/>
      <c r="Y120" s="21">
        <v>4948</v>
      </c>
      <c r="Z120" s="21">
        <v>3694.96</v>
      </c>
      <c r="AA120" s="21">
        <f t="shared" si="34"/>
        <v>9492.9599999999991</v>
      </c>
      <c r="AB120" s="17">
        <f t="shared" si="35"/>
        <v>5.7584646617706682E-3</v>
      </c>
      <c r="AD120" s="21">
        <v>1058.9045000000001</v>
      </c>
      <c r="AE120" s="17">
        <f t="shared" si="36"/>
        <v>3.6192483022408735E-4</v>
      </c>
      <c r="AF120" s="50">
        <f t="shared" si="37"/>
        <v>8434.0554999999986</v>
      </c>
      <c r="AG120" s="21">
        <v>615</v>
      </c>
      <c r="AH120" s="17">
        <f t="shared" si="38"/>
        <v>3.1544522778071646E-4</v>
      </c>
      <c r="AI120" s="50">
        <f t="shared" si="39"/>
        <v>8877.9599999999991</v>
      </c>
    </row>
    <row r="121" spans="3:35" x14ac:dyDescent="0.25">
      <c r="C121" s="32"/>
      <c r="H121" s="149" t="s">
        <v>340</v>
      </c>
      <c r="I121" s="161"/>
      <c r="J121" s="161"/>
      <c r="L121" s="162"/>
      <c r="M121" s="162"/>
      <c r="N121" s="25" t="s">
        <v>1313</v>
      </c>
      <c r="O121" s="164">
        <v>38374.68</v>
      </c>
      <c r="P121" s="164">
        <v>48348.22</v>
      </c>
      <c r="Q121" s="164">
        <v>51841.54</v>
      </c>
      <c r="R121" s="164">
        <v>38134.19</v>
      </c>
      <c r="S121" s="164">
        <v>39650.400000000001</v>
      </c>
      <c r="T121" s="164">
        <v>35096.9</v>
      </c>
      <c r="U121" s="164">
        <v>31262.6</v>
      </c>
      <c r="V121" s="164">
        <v>24759.39</v>
      </c>
      <c r="W121" s="164">
        <v>30217</v>
      </c>
      <c r="X121" s="164">
        <v>21422.6</v>
      </c>
      <c r="Y121" s="164">
        <v>27943.7</v>
      </c>
      <c r="Z121" s="164">
        <v>35417.050000000003</v>
      </c>
      <c r="AA121" s="164">
        <f t="shared" si="34"/>
        <v>422468.26999999996</v>
      </c>
      <c r="AB121" s="175">
        <f t="shared" si="35"/>
        <v>0.25627081579553579</v>
      </c>
      <c r="AD121" s="164">
        <v>787335.81484899996</v>
      </c>
      <c r="AE121" s="175">
        <f t="shared" si="36"/>
        <v>0.26910489200732246</v>
      </c>
      <c r="AF121" s="165">
        <f t="shared" si="37"/>
        <v>-364867.544849</v>
      </c>
      <c r="AG121" s="164">
        <v>494499.07</v>
      </c>
      <c r="AH121" s="175">
        <f t="shared" si="38"/>
        <v>0.25363800288374383</v>
      </c>
      <c r="AI121" s="165">
        <f t="shared" si="39"/>
        <v>-72030.800000000047</v>
      </c>
    </row>
    <row r="122" spans="3:35" x14ac:dyDescent="0.25">
      <c r="C122" s="32"/>
      <c r="H122" s="149"/>
      <c r="I122" s="161"/>
      <c r="J122" s="161"/>
      <c r="L122" s="162"/>
      <c r="M122" s="162"/>
      <c r="N122" s="8"/>
      <c r="O122" s="41"/>
      <c r="P122" s="45"/>
      <c r="Q122" s="45"/>
      <c r="R122" s="45"/>
      <c r="S122" s="45"/>
      <c r="T122" s="45"/>
      <c r="U122" s="45"/>
      <c r="V122" s="45"/>
      <c r="W122" s="45"/>
      <c r="X122" s="45"/>
      <c r="Y122" s="45"/>
      <c r="Z122" s="45"/>
      <c r="AA122" s="45"/>
      <c r="AB122" s="42"/>
      <c r="AD122" s="41"/>
      <c r="AE122" s="45"/>
      <c r="AF122" s="42"/>
      <c r="AG122" s="41"/>
      <c r="AH122" s="45"/>
      <c r="AI122" s="42"/>
    </row>
    <row r="123" spans="3:35" x14ac:dyDescent="0.25">
      <c r="C123" s="32"/>
      <c r="H123" s="149"/>
      <c r="I123" s="161"/>
      <c r="J123" s="161"/>
      <c r="L123" s="162"/>
      <c r="M123" s="162"/>
      <c r="N123" s="8" t="s">
        <v>339</v>
      </c>
      <c r="O123" s="43"/>
      <c r="P123" s="46"/>
      <c r="Q123" s="46"/>
      <c r="R123" s="46"/>
      <c r="S123" s="46"/>
      <c r="T123" s="46"/>
      <c r="U123" s="46"/>
      <c r="V123" s="46"/>
      <c r="W123" s="46"/>
      <c r="X123" s="46"/>
      <c r="Y123" s="46"/>
      <c r="Z123" s="46"/>
      <c r="AA123" s="46"/>
      <c r="AB123" s="44"/>
      <c r="AD123" s="43"/>
      <c r="AE123" s="46"/>
      <c r="AF123" s="44"/>
      <c r="AG123" s="43"/>
      <c r="AH123" s="46"/>
      <c r="AI123" s="44"/>
    </row>
    <row r="124" spans="3:35" x14ac:dyDescent="0.25">
      <c r="C124" s="32"/>
      <c r="H124" s="149" t="s">
        <v>295</v>
      </c>
      <c r="I124" s="161"/>
      <c r="J124" s="161"/>
      <c r="L124" s="162">
        <v>461300</v>
      </c>
      <c r="M124" s="162"/>
      <c r="N124" s="162" t="s">
        <v>1260</v>
      </c>
      <c r="O124" s="21">
        <v>183</v>
      </c>
      <c r="P124" s="21">
        <v>120</v>
      </c>
      <c r="Q124" s="21">
        <v>510</v>
      </c>
      <c r="R124" s="21">
        <v>280</v>
      </c>
      <c r="S124" s="21">
        <v>269</v>
      </c>
      <c r="T124" s="21">
        <v>270</v>
      </c>
      <c r="U124" s="21">
        <v>214</v>
      </c>
      <c r="V124" s="21">
        <v>376</v>
      </c>
      <c r="W124" s="21">
        <v>160.80000000000001</v>
      </c>
      <c r="X124" s="21">
        <v>162</v>
      </c>
      <c r="Y124" s="21">
        <v>312</v>
      </c>
      <c r="Z124" s="21">
        <v>140</v>
      </c>
      <c r="AA124" s="21">
        <f t="shared" ref="AA124:AA130" si="40">SUM(O124:Z124)</f>
        <v>2996.8</v>
      </c>
      <c r="AB124" s="17">
        <f t="shared" ref="AB124:AB130" si="41">IF(AA124=0,"",IFERROR(AA124/AA$19,""))</f>
        <v>1.8178699687341293E-3</v>
      </c>
      <c r="AD124" s="21">
        <v>5312.8874130000004</v>
      </c>
      <c r="AE124" s="17">
        <f t="shared" ref="AE124:AE130" si="42">IF(AD124=0,"",IFERROR(AD124/AD$19,""))</f>
        <v>1.8159011270135464E-3</v>
      </c>
      <c r="AF124" s="50">
        <f t="shared" ref="AF124:AF130" si="43">IF(AND($AA124="",AD124=""),"",$AA124-AD124)</f>
        <v>-2316.0874130000002</v>
      </c>
      <c r="AG124" s="21">
        <v>3568.5</v>
      </c>
      <c r="AH124" s="17">
        <f t="shared" ref="AH124:AH130" si="44">IF(AG124=0,"",IFERROR(AG124/AG$19,""))</f>
        <v>1.8303516997324987E-3</v>
      </c>
      <c r="AI124" s="50">
        <f t="shared" ref="AI124:AI130" si="45">IF(AND($AA124="",AG124=""),"",$AA124-AG124)</f>
        <v>-571.69999999999982</v>
      </c>
    </row>
    <row r="125" spans="3:35" x14ac:dyDescent="0.25">
      <c r="C125" s="32"/>
      <c r="H125" s="149" t="s">
        <v>305</v>
      </c>
      <c r="I125" s="161"/>
      <c r="J125" s="161"/>
      <c r="L125" s="162">
        <v>462300</v>
      </c>
      <c r="M125" s="162"/>
      <c r="N125" s="162" t="s">
        <v>1267</v>
      </c>
      <c r="O125" s="21">
        <v>3690.2</v>
      </c>
      <c r="P125" s="21">
        <v>5207.6000000000004</v>
      </c>
      <c r="Q125" s="21">
        <v>3476</v>
      </c>
      <c r="R125" s="21">
        <v>3603.6</v>
      </c>
      <c r="S125" s="21">
        <v>3709.6</v>
      </c>
      <c r="T125" s="21">
        <v>2024</v>
      </c>
      <c r="U125" s="21">
        <v>2505</v>
      </c>
      <c r="V125" s="21">
        <v>2225.1999999999998</v>
      </c>
      <c r="W125" s="21">
        <v>1469</v>
      </c>
      <c r="X125" s="21">
        <v>2080.5</v>
      </c>
      <c r="Y125" s="21">
        <v>2786</v>
      </c>
      <c r="Z125" s="21">
        <v>1654.6</v>
      </c>
      <c r="AA125" s="21">
        <f t="shared" si="40"/>
        <v>34431.299999999996</v>
      </c>
      <c r="AB125" s="17">
        <f t="shared" si="41"/>
        <v>2.0886153982406373E-2</v>
      </c>
      <c r="AD125" s="21">
        <v>46768.518104000002</v>
      </c>
      <c r="AE125" s="17">
        <f t="shared" si="42"/>
        <v>1.5985094004815691E-2</v>
      </c>
      <c r="AF125" s="50">
        <f t="shared" si="43"/>
        <v>-12337.218104000007</v>
      </c>
      <c r="AG125" s="21">
        <v>35017.199999999997</v>
      </c>
      <c r="AH125" s="17">
        <f t="shared" si="44"/>
        <v>1.7960989642671388E-2</v>
      </c>
      <c r="AI125" s="50">
        <f t="shared" si="45"/>
        <v>-585.90000000000146</v>
      </c>
    </row>
    <row r="126" spans="3:35" x14ac:dyDescent="0.25">
      <c r="C126" s="32"/>
      <c r="H126" s="149" t="s">
        <v>306</v>
      </c>
      <c r="I126" s="161"/>
      <c r="J126" s="161"/>
      <c r="L126" s="162">
        <v>463300</v>
      </c>
      <c r="M126" s="162"/>
      <c r="N126" s="162" t="s">
        <v>1274</v>
      </c>
      <c r="O126" s="21">
        <v>2479</v>
      </c>
      <c r="P126" s="21">
        <v>407</v>
      </c>
      <c r="Q126" s="21">
        <v>1122</v>
      </c>
      <c r="R126" s="21">
        <v>469.12</v>
      </c>
      <c r="S126" s="21">
        <v>849</v>
      </c>
      <c r="T126" s="21">
        <v>340</v>
      </c>
      <c r="U126" s="21">
        <v>314</v>
      </c>
      <c r="V126" s="21">
        <v>178</v>
      </c>
      <c r="W126" s="21"/>
      <c r="X126" s="21"/>
      <c r="Y126" s="21"/>
      <c r="Z126" s="21"/>
      <c r="AA126" s="21">
        <f t="shared" si="40"/>
        <v>6158.12</v>
      </c>
      <c r="AB126" s="17">
        <f t="shared" si="41"/>
        <v>3.7355383782237774E-3</v>
      </c>
      <c r="AD126" s="21">
        <v>26061.770873000001</v>
      </c>
      <c r="AE126" s="17">
        <f t="shared" si="42"/>
        <v>8.9076984737996578E-3</v>
      </c>
      <c r="AF126" s="50">
        <f t="shared" si="43"/>
        <v>-19903.650873000002</v>
      </c>
      <c r="AG126" s="21">
        <v>7182.1</v>
      </c>
      <c r="AH126" s="17">
        <f t="shared" si="44"/>
        <v>3.6838360495022502E-3</v>
      </c>
      <c r="AI126" s="50">
        <f t="shared" si="45"/>
        <v>-1023.9800000000005</v>
      </c>
    </row>
    <row r="127" spans="3:35" x14ac:dyDescent="0.25">
      <c r="C127" s="32"/>
      <c r="H127" s="149" t="s">
        <v>310</v>
      </c>
      <c r="I127" s="161"/>
      <c r="J127" s="161"/>
      <c r="L127" s="162">
        <v>464300</v>
      </c>
      <c r="M127" s="162"/>
      <c r="N127" s="162" t="s">
        <v>1281</v>
      </c>
      <c r="O127" s="21">
        <v>3922</v>
      </c>
      <c r="P127" s="21">
        <v>3050</v>
      </c>
      <c r="Q127" s="21">
        <v>3205</v>
      </c>
      <c r="R127" s="21">
        <v>2985</v>
      </c>
      <c r="S127" s="21">
        <v>2280</v>
      </c>
      <c r="T127" s="21">
        <v>3308.9</v>
      </c>
      <c r="U127" s="21">
        <v>1881</v>
      </c>
      <c r="V127" s="21">
        <v>2042</v>
      </c>
      <c r="W127" s="21">
        <v>2245</v>
      </c>
      <c r="X127" s="21">
        <v>2610</v>
      </c>
      <c r="Y127" s="21">
        <v>3308.5</v>
      </c>
      <c r="Z127" s="21">
        <v>3644.8</v>
      </c>
      <c r="AA127" s="21">
        <f t="shared" si="40"/>
        <v>34482.200000000004</v>
      </c>
      <c r="AB127" s="17">
        <f t="shared" si="41"/>
        <v>2.0917030110746131E-2</v>
      </c>
      <c r="AD127" s="21">
        <v>51328.051586000001</v>
      </c>
      <c r="AE127" s="17">
        <f t="shared" si="42"/>
        <v>1.754350496763046E-2</v>
      </c>
      <c r="AF127" s="50">
        <f t="shared" si="43"/>
        <v>-16845.851585999997</v>
      </c>
      <c r="AG127" s="21">
        <v>37750.5</v>
      </c>
      <c r="AH127" s="17">
        <f t="shared" si="44"/>
        <v>1.9362951335505588E-2</v>
      </c>
      <c r="AI127" s="50">
        <f t="shared" si="45"/>
        <v>-3268.2999999999956</v>
      </c>
    </row>
    <row r="128" spans="3:35" x14ac:dyDescent="0.25">
      <c r="C128" s="32"/>
      <c r="H128" s="149" t="s">
        <v>323</v>
      </c>
      <c r="I128" s="161"/>
      <c r="J128" s="161"/>
      <c r="L128" s="162">
        <v>465300</v>
      </c>
      <c r="M128" s="162"/>
      <c r="N128" s="162" t="s">
        <v>1288</v>
      </c>
      <c r="O128" s="21"/>
      <c r="P128" s="21"/>
      <c r="Q128" s="21"/>
      <c r="R128" s="21"/>
      <c r="S128" s="21"/>
      <c r="T128" s="21"/>
      <c r="U128" s="21"/>
      <c r="V128" s="21"/>
      <c r="W128" s="21"/>
      <c r="X128" s="21"/>
      <c r="Y128" s="21"/>
      <c r="Z128" s="21"/>
      <c r="AA128" s="21">
        <f t="shared" si="40"/>
        <v>0</v>
      </c>
      <c r="AB128" s="17" t="str">
        <f t="shared" si="41"/>
        <v/>
      </c>
      <c r="AD128" s="21"/>
      <c r="AE128" s="17" t="str">
        <f t="shared" si="42"/>
        <v/>
      </c>
      <c r="AF128" s="50">
        <f t="shared" si="43"/>
        <v>0</v>
      </c>
      <c r="AG128" s="21"/>
      <c r="AH128" s="17" t="str">
        <f t="shared" si="44"/>
        <v/>
      </c>
      <c r="AI128" s="50">
        <f t="shared" si="45"/>
        <v>0</v>
      </c>
    </row>
    <row r="129" spans="3:35" x14ac:dyDescent="0.25">
      <c r="C129" s="32"/>
      <c r="H129" s="149" t="s">
        <v>809</v>
      </c>
      <c r="I129" s="161"/>
      <c r="J129" s="161"/>
      <c r="L129" s="162">
        <v>471310</v>
      </c>
      <c r="M129" s="162"/>
      <c r="N129" s="162" t="s">
        <v>1296</v>
      </c>
      <c r="O129" s="21"/>
      <c r="P129" s="21"/>
      <c r="Q129" s="21"/>
      <c r="R129" s="21"/>
      <c r="S129" s="21"/>
      <c r="T129" s="21"/>
      <c r="U129" s="21"/>
      <c r="V129" s="21"/>
      <c r="W129" s="21"/>
      <c r="X129" s="21"/>
      <c r="Y129" s="21">
        <v>20</v>
      </c>
      <c r="Z129" s="21">
        <v>510</v>
      </c>
      <c r="AA129" s="21">
        <f t="shared" si="40"/>
        <v>530</v>
      </c>
      <c r="AB129" s="17">
        <f t="shared" si="41"/>
        <v>3.2149996110153781E-4</v>
      </c>
      <c r="AD129" s="21">
        <v>814.44449999999995</v>
      </c>
      <c r="AE129" s="17">
        <f t="shared" si="42"/>
        <v>2.7837041715229438E-4</v>
      </c>
      <c r="AF129" s="50">
        <f t="shared" si="43"/>
        <v>-284.44449999999995</v>
      </c>
      <c r="AG129" s="21">
        <v>127</v>
      </c>
      <c r="AH129" s="17">
        <f t="shared" si="44"/>
        <v>6.5140721834391863E-5</v>
      </c>
      <c r="AI129" s="50">
        <f t="shared" si="45"/>
        <v>403</v>
      </c>
    </row>
    <row r="130" spans="3:35" x14ac:dyDescent="0.25">
      <c r="C130" s="32"/>
      <c r="H130" s="149" t="s">
        <v>342</v>
      </c>
      <c r="I130" s="161"/>
      <c r="J130" s="161"/>
      <c r="L130" s="162"/>
      <c r="M130" s="162"/>
      <c r="N130" s="25" t="s">
        <v>1314</v>
      </c>
      <c r="O130" s="164">
        <v>10274.200000000001</v>
      </c>
      <c r="P130" s="164">
        <v>8784.6</v>
      </c>
      <c r="Q130" s="164">
        <v>8313</v>
      </c>
      <c r="R130" s="164">
        <v>7337.72</v>
      </c>
      <c r="S130" s="164">
        <v>7107.6</v>
      </c>
      <c r="T130" s="164">
        <v>5942.9</v>
      </c>
      <c r="U130" s="164">
        <v>4914</v>
      </c>
      <c r="V130" s="164">
        <v>4821.2</v>
      </c>
      <c r="W130" s="164">
        <v>3874.8</v>
      </c>
      <c r="X130" s="164">
        <v>4852.5</v>
      </c>
      <c r="Y130" s="164">
        <v>6426.5</v>
      </c>
      <c r="Z130" s="164">
        <v>5949.4</v>
      </c>
      <c r="AA130" s="164">
        <f t="shared" si="40"/>
        <v>78598.42</v>
      </c>
      <c r="AB130" s="175">
        <f t="shared" si="41"/>
        <v>4.7678092401211944E-2</v>
      </c>
      <c r="AD130" s="164">
        <v>130285.67247600001</v>
      </c>
      <c r="AE130" s="175">
        <f t="shared" si="42"/>
        <v>4.4530568990411648E-2</v>
      </c>
      <c r="AF130" s="165">
        <f t="shared" si="43"/>
        <v>-51687.252476000009</v>
      </c>
      <c r="AG130" s="164">
        <v>83645.3</v>
      </c>
      <c r="AH130" s="175">
        <f t="shared" si="44"/>
        <v>4.290326944924612E-2</v>
      </c>
      <c r="AI130" s="165">
        <f t="shared" si="45"/>
        <v>-5046.8800000000047</v>
      </c>
    </row>
    <row r="131" spans="3:35" x14ac:dyDescent="0.25">
      <c r="C131" s="32"/>
      <c r="H131" s="149"/>
      <c r="I131" s="161"/>
      <c r="J131" s="161"/>
      <c r="L131" s="162"/>
      <c r="M131" s="162"/>
      <c r="N131" s="8"/>
      <c r="O131" s="41"/>
      <c r="P131" s="45"/>
      <c r="Q131" s="45"/>
      <c r="R131" s="45"/>
      <c r="S131" s="45"/>
      <c r="T131" s="45"/>
      <c r="U131" s="45"/>
      <c r="V131" s="45"/>
      <c r="W131" s="45"/>
      <c r="X131" s="45"/>
      <c r="Y131" s="45"/>
      <c r="Z131" s="45"/>
      <c r="AA131" s="45"/>
      <c r="AB131" s="42"/>
      <c r="AD131" s="41"/>
      <c r="AE131" s="45"/>
      <c r="AF131" s="42"/>
      <c r="AG131" s="41"/>
      <c r="AH131" s="45"/>
      <c r="AI131" s="42"/>
    </row>
    <row r="132" spans="3:35" x14ac:dyDescent="0.25">
      <c r="C132" s="32"/>
      <c r="H132" s="149"/>
      <c r="I132" s="161"/>
      <c r="J132" s="161"/>
      <c r="L132" s="162"/>
      <c r="M132" s="162"/>
      <c r="N132" s="8" t="s">
        <v>338</v>
      </c>
      <c r="O132" s="43"/>
      <c r="P132" s="46"/>
      <c r="Q132" s="46"/>
      <c r="R132" s="46"/>
      <c r="S132" s="46"/>
      <c r="T132" s="46"/>
      <c r="U132" s="46"/>
      <c r="V132" s="46"/>
      <c r="W132" s="46"/>
      <c r="X132" s="46"/>
      <c r="Y132" s="46"/>
      <c r="Z132" s="46"/>
      <c r="AA132" s="46"/>
      <c r="AB132" s="44"/>
      <c r="AD132" s="43"/>
      <c r="AE132" s="46"/>
      <c r="AF132" s="44"/>
      <c r="AG132" s="43"/>
      <c r="AH132" s="46"/>
      <c r="AI132" s="44"/>
    </row>
    <row r="133" spans="3:35" x14ac:dyDescent="0.25">
      <c r="C133" s="32"/>
      <c r="H133" s="149" t="s">
        <v>296</v>
      </c>
      <c r="I133" s="161"/>
      <c r="J133" s="161"/>
      <c r="L133" s="162">
        <v>461400</v>
      </c>
      <c r="M133" s="162"/>
      <c r="N133" s="162" t="s">
        <v>1261</v>
      </c>
      <c r="O133" s="21">
        <v>2188</v>
      </c>
      <c r="P133" s="21">
        <v>1106</v>
      </c>
      <c r="Q133" s="21">
        <v>2226.34</v>
      </c>
      <c r="R133" s="21">
        <v>1352</v>
      </c>
      <c r="S133" s="21">
        <v>2240</v>
      </c>
      <c r="T133" s="21">
        <v>1634</v>
      </c>
      <c r="U133" s="21">
        <v>1769</v>
      </c>
      <c r="V133" s="21">
        <v>1447</v>
      </c>
      <c r="W133" s="21">
        <v>633</v>
      </c>
      <c r="X133" s="21">
        <v>1004</v>
      </c>
      <c r="Y133" s="21">
        <v>1569</v>
      </c>
      <c r="Z133" s="21">
        <v>1314</v>
      </c>
      <c r="AA133" s="21">
        <f t="shared" ref="AA133:AA139" si="46">SUM(O133:Z133)</f>
        <v>18482.34</v>
      </c>
      <c r="AB133" s="17">
        <f t="shared" ref="AB133:AB139" si="47">IF(AA133=0,"",IFERROR(AA133/AA$19,""))</f>
        <v>1.1211455832198861E-2</v>
      </c>
      <c r="AD133" s="21">
        <v>61904.928943999999</v>
      </c>
      <c r="AE133" s="17">
        <f t="shared" ref="AE133:AE139" si="48">IF(AD133=0,"",IFERROR(AD133/AD$19,""))</f>
        <v>2.1158594470125861E-2</v>
      </c>
      <c r="AF133" s="50">
        <f t="shared" ref="AF133:AF139" si="49">IF(AND($AA133="",AD133=""),"",$AA133-AD133)</f>
        <v>-43422.588944000003</v>
      </c>
      <c r="AG133" s="21">
        <v>43238.2</v>
      </c>
      <c r="AH133" s="17">
        <f t="shared" ref="AH133:AH139" si="50">IF(AG133=0,"",IFERROR(AG133/AG$19,""))</f>
        <v>2.2177697313541748E-2</v>
      </c>
      <c r="AI133" s="50">
        <f t="shared" ref="AI133:AI139" si="51">IF(AND($AA133="",AG133=""),"",$AA133-AG133)</f>
        <v>-24755.859999999997</v>
      </c>
    </row>
    <row r="134" spans="3:35" x14ac:dyDescent="0.25">
      <c r="C134" s="32"/>
      <c r="H134" s="149" t="s">
        <v>303</v>
      </c>
      <c r="I134" s="161"/>
      <c r="J134" s="161"/>
      <c r="L134" s="162">
        <v>462400</v>
      </c>
      <c r="M134" s="162"/>
      <c r="N134" s="162" t="s">
        <v>1268</v>
      </c>
      <c r="O134" s="21">
        <v>2512</v>
      </c>
      <c r="P134" s="21">
        <v>3080</v>
      </c>
      <c r="Q134" s="21">
        <v>1788.4</v>
      </c>
      <c r="R134" s="21">
        <v>1765</v>
      </c>
      <c r="S134" s="21">
        <v>1696.6</v>
      </c>
      <c r="T134" s="21">
        <v>736</v>
      </c>
      <c r="U134" s="21">
        <v>1032.8</v>
      </c>
      <c r="V134" s="21">
        <v>1021.2</v>
      </c>
      <c r="W134" s="21">
        <v>297</v>
      </c>
      <c r="X134" s="21">
        <v>1233.4000000000001</v>
      </c>
      <c r="Y134" s="21">
        <v>1296</v>
      </c>
      <c r="Z134" s="21">
        <v>1252.8</v>
      </c>
      <c r="AA134" s="21">
        <f t="shared" si="46"/>
        <v>17711.2</v>
      </c>
      <c r="AB134" s="17">
        <f t="shared" si="47"/>
        <v>1.0743679454833127E-2</v>
      </c>
      <c r="AD134" s="21">
        <v>25045.878640999999</v>
      </c>
      <c r="AE134" s="17">
        <f t="shared" si="48"/>
        <v>8.560474882255217E-3</v>
      </c>
      <c r="AF134" s="50">
        <f t="shared" si="49"/>
        <v>-7334.6786409999986</v>
      </c>
      <c r="AG134" s="21">
        <v>16776.419999999998</v>
      </c>
      <c r="AH134" s="17">
        <f t="shared" si="50"/>
        <v>8.6049457369836869E-3</v>
      </c>
      <c r="AI134" s="50">
        <f t="shared" si="51"/>
        <v>934.78000000000247</v>
      </c>
    </row>
    <row r="135" spans="3:35" x14ac:dyDescent="0.25">
      <c r="C135" s="32"/>
      <c r="H135" s="149" t="s">
        <v>304</v>
      </c>
      <c r="I135" s="161"/>
      <c r="J135" s="161"/>
      <c r="L135" s="162">
        <v>463400</v>
      </c>
      <c r="M135" s="162"/>
      <c r="N135" s="162" t="s">
        <v>1275</v>
      </c>
      <c r="O135" s="21">
        <v>4697</v>
      </c>
      <c r="P135" s="21">
        <v>2078</v>
      </c>
      <c r="Q135" s="21">
        <v>1384</v>
      </c>
      <c r="R135" s="21">
        <v>2149.89</v>
      </c>
      <c r="S135" s="21">
        <v>3134</v>
      </c>
      <c r="T135" s="21">
        <v>1145</v>
      </c>
      <c r="U135" s="21">
        <v>714.22</v>
      </c>
      <c r="V135" s="21">
        <v>1067</v>
      </c>
      <c r="W135" s="21"/>
      <c r="X135" s="21"/>
      <c r="Y135" s="21"/>
      <c r="Z135" s="21">
        <v>314.79000000000002</v>
      </c>
      <c r="AA135" s="21">
        <f t="shared" si="46"/>
        <v>16683.899999999998</v>
      </c>
      <c r="AB135" s="17">
        <f t="shared" si="47"/>
        <v>1.0120515473626314E-2</v>
      </c>
      <c r="AD135" s="21">
        <v>62868.584944000002</v>
      </c>
      <c r="AE135" s="17">
        <f t="shared" si="48"/>
        <v>2.1487964148122721E-2</v>
      </c>
      <c r="AF135" s="50">
        <f t="shared" si="49"/>
        <v>-46184.684944000008</v>
      </c>
      <c r="AG135" s="21">
        <v>34709.06</v>
      </c>
      <c r="AH135" s="17">
        <f t="shared" si="50"/>
        <v>1.7802938760576512E-2</v>
      </c>
      <c r="AI135" s="50">
        <f t="shared" si="51"/>
        <v>-18025.16</v>
      </c>
    </row>
    <row r="136" spans="3:35" x14ac:dyDescent="0.25">
      <c r="C136" s="32"/>
      <c r="H136" s="149" t="s">
        <v>309</v>
      </c>
      <c r="I136" s="161"/>
      <c r="J136" s="161"/>
      <c r="L136" s="162">
        <v>464400</v>
      </c>
      <c r="M136" s="162"/>
      <c r="N136" s="162" t="s">
        <v>1282</v>
      </c>
      <c r="O136" s="21">
        <v>5217</v>
      </c>
      <c r="P136" s="21">
        <v>5026</v>
      </c>
      <c r="Q136" s="21">
        <v>3810</v>
      </c>
      <c r="R136" s="21">
        <v>2764</v>
      </c>
      <c r="S136" s="21">
        <v>4365</v>
      </c>
      <c r="T136" s="21">
        <v>3798</v>
      </c>
      <c r="U136" s="21">
        <v>2320</v>
      </c>
      <c r="V136" s="21">
        <v>2094</v>
      </c>
      <c r="W136" s="21">
        <v>2630</v>
      </c>
      <c r="X136" s="21">
        <v>2081</v>
      </c>
      <c r="Y136" s="21">
        <v>3838.6</v>
      </c>
      <c r="Z136" s="21">
        <v>5614.43</v>
      </c>
      <c r="AA136" s="21">
        <f t="shared" si="46"/>
        <v>43558.03</v>
      </c>
      <c r="AB136" s="17">
        <f t="shared" si="47"/>
        <v>2.6422462171055882E-2</v>
      </c>
      <c r="AD136" s="21">
        <v>71344.989415999997</v>
      </c>
      <c r="AE136" s="17">
        <f t="shared" si="48"/>
        <v>2.4385129331044589E-2</v>
      </c>
      <c r="AF136" s="50">
        <f t="shared" si="49"/>
        <v>-27786.959415999998</v>
      </c>
      <c r="AG136" s="21">
        <v>47578.9</v>
      </c>
      <c r="AH136" s="17">
        <f t="shared" si="50"/>
        <v>2.4404125118790133E-2</v>
      </c>
      <c r="AI136" s="50">
        <f t="shared" si="51"/>
        <v>-4020.8700000000026</v>
      </c>
    </row>
    <row r="137" spans="3:35" x14ac:dyDescent="0.25">
      <c r="C137" s="32"/>
      <c r="H137" s="149" t="s">
        <v>322</v>
      </c>
      <c r="I137" s="161"/>
      <c r="J137" s="161"/>
      <c r="L137" s="162">
        <v>465400</v>
      </c>
      <c r="M137" s="162"/>
      <c r="N137" s="162" t="s">
        <v>1289</v>
      </c>
      <c r="O137" s="21"/>
      <c r="P137" s="21"/>
      <c r="Q137" s="21"/>
      <c r="R137" s="21"/>
      <c r="S137" s="21"/>
      <c r="T137" s="21"/>
      <c r="U137" s="21"/>
      <c r="V137" s="21"/>
      <c r="W137" s="21"/>
      <c r="X137" s="21"/>
      <c r="Y137" s="21"/>
      <c r="Z137" s="21"/>
      <c r="AA137" s="21">
        <f t="shared" si="46"/>
        <v>0</v>
      </c>
      <c r="AB137" s="17" t="str">
        <f t="shared" si="47"/>
        <v/>
      </c>
      <c r="AD137" s="21"/>
      <c r="AE137" s="17" t="str">
        <f t="shared" si="48"/>
        <v/>
      </c>
      <c r="AF137" s="50">
        <f t="shared" si="49"/>
        <v>0</v>
      </c>
      <c r="AG137" s="21"/>
      <c r="AH137" s="17" t="str">
        <f t="shared" si="50"/>
        <v/>
      </c>
      <c r="AI137" s="50">
        <f t="shared" si="51"/>
        <v>0</v>
      </c>
    </row>
    <row r="138" spans="3:35" x14ac:dyDescent="0.25">
      <c r="C138" s="32"/>
      <c r="H138" s="149" t="s">
        <v>810</v>
      </c>
      <c r="I138" s="161"/>
      <c r="J138" s="161"/>
      <c r="L138" s="162">
        <v>471410</v>
      </c>
      <c r="M138" s="162"/>
      <c r="N138" s="162" t="s">
        <v>1297</v>
      </c>
      <c r="O138" s="21"/>
      <c r="P138" s="21"/>
      <c r="Q138" s="21">
        <v>2338</v>
      </c>
      <c r="R138" s="21"/>
      <c r="S138" s="21"/>
      <c r="T138" s="21"/>
      <c r="U138" s="21"/>
      <c r="V138" s="21"/>
      <c r="W138" s="21">
        <v>144</v>
      </c>
      <c r="X138" s="21"/>
      <c r="Y138" s="21"/>
      <c r="Z138" s="21">
        <v>72</v>
      </c>
      <c r="AA138" s="21">
        <f t="shared" si="46"/>
        <v>2554</v>
      </c>
      <c r="AB138" s="17">
        <f t="shared" si="47"/>
        <v>1.5492658502892973E-3</v>
      </c>
      <c r="AD138" s="21"/>
      <c r="AE138" s="17" t="str">
        <f t="shared" si="48"/>
        <v/>
      </c>
      <c r="AF138" s="50">
        <f t="shared" si="49"/>
        <v>2554</v>
      </c>
      <c r="AG138" s="21">
        <v>52</v>
      </c>
      <c r="AH138" s="17">
        <f t="shared" si="50"/>
        <v>2.6671791617231313E-5</v>
      </c>
      <c r="AI138" s="50">
        <f t="shared" si="51"/>
        <v>2502</v>
      </c>
    </row>
    <row r="139" spans="3:35" x14ac:dyDescent="0.25">
      <c r="C139" s="32"/>
      <c r="H139" s="149" t="s">
        <v>341</v>
      </c>
      <c r="I139" s="161"/>
      <c r="J139" s="161"/>
      <c r="L139" s="162"/>
      <c r="M139" s="162"/>
      <c r="N139" s="25" t="s">
        <v>1315</v>
      </c>
      <c r="O139" s="164">
        <v>14614</v>
      </c>
      <c r="P139" s="164">
        <v>11290</v>
      </c>
      <c r="Q139" s="164">
        <v>11546.74</v>
      </c>
      <c r="R139" s="164">
        <v>8030.89</v>
      </c>
      <c r="S139" s="164">
        <v>11435.6</v>
      </c>
      <c r="T139" s="164">
        <v>7313</v>
      </c>
      <c r="U139" s="164">
        <v>5836.02</v>
      </c>
      <c r="V139" s="164">
        <v>5629.2</v>
      </c>
      <c r="W139" s="164">
        <v>3704</v>
      </c>
      <c r="X139" s="164">
        <v>4318.3999999999996</v>
      </c>
      <c r="Y139" s="164">
        <v>6703.6</v>
      </c>
      <c r="Z139" s="164">
        <v>8568.02</v>
      </c>
      <c r="AA139" s="164">
        <f t="shared" si="46"/>
        <v>98989.47</v>
      </c>
      <c r="AB139" s="175">
        <f t="shared" si="47"/>
        <v>6.0047378782003481E-2</v>
      </c>
      <c r="AD139" s="164">
        <v>221164.381945</v>
      </c>
      <c r="AE139" s="175">
        <f t="shared" si="48"/>
        <v>7.559216283154839E-2</v>
      </c>
      <c r="AF139" s="165">
        <f t="shared" si="49"/>
        <v>-122174.911945</v>
      </c>
      <c r="AG139" s="164">
        <v>142354.57999999999</v>
      </c>
      <c r="AH139" s="175">
        <f t="shared" si="50"/>
        <v>7.3016378721509304E-2</v>
      </c>
      <c r="AI139" s="165">
        <f t="shared" si="51"/>
        <v>-43365.109999999986</v>
      </c>
    </row>
    <row r="140" spans="3:35" x14ac:dyDescent="0.25">
      <c r="C140" s="32"/>
      <c r="H140" s="149"/>
      <c r="I140" s="161"/>
      <c r="J140" s="161"/>
      <c r="L140" s="162"/>
      <c r="M140" s="162"/>
      <c r="O140" s="41"/>
      <c r="P140" s="45"/>
      <c r="Q140" s="45"/>
      <c r="R140" s="45"/>
      <c r="S140" s="45"/>
      <c r="T140" s="45"/>
      <c r="U140" s="45"/>
      <c r="V140" s="45"/>
      <c r="W140" s="45"/>
      <c r="X140" s="45"/>
      <c r="Y140" s="45"/>
      <c r="Z140" s="45"/>
      <c r="AA140" s="45"/>
      <c r="AB140" s="42"/>
      <c r="AD140" s="41"/>
      <c r="AE140" s="45"/>
      <c r="AF140" s="42"/>
      <c r="AG140" s="41"/>
      <c r="AH140" s="45"/>
      <c r="AI140" s="42"/>
    </row>
    <row r="141" spans="3:35" x14ac:dyDescent="0.25">
      <c r="C141" s="32"/>
      <c r="H141" s="15" t="s">
        <v>267</v>
      </c>
      <c r="I141" s="161"/>
      <c r="J141" s="161"/>
      <c r="L141" s="162"/>
      <c r="M141" s="162"/>
      <c r="N141" s="162" t="s">
        <v>1316</v>
      </c>
      <c r="O141" s="21">
        <f t="shared" ref="O141:Z141" si="52">O115+O124+O133</f>
        <v>4514.88</v>
      </c>
      <c r="P141" s="21">
        <f t="shared" si="52"/>
        <v>3700</v>
      </c>
      <c r="Q141" s="21">
        <f t="shared" si="52"/>
        <v>6194.34</v>
      </c>
      <c r="R141" s="21">
        <f t="shared" si="52"/>
        <v>4938.5</v>
      </c>
      <c r="S141" s="21">
        <f t="shared" si="52"/>
        <v>4354</v>
      </c>
      <c r="T141" s="21">
        <f t="shared" si="52"/>
        <v>3520.5</v>
      </c>
      <c r="U141" s="21">
        <f t="shared" si="52"/>
        <v>3364</v>
      </c>
      <c r="V141" s="21">
        <f t="shared" si="52"/>
        <v>4437</v>
      </c>
      <c r="W141" s="21">
        <f t="shared" si="52"/>
        <v>2771.8</v>
      </c>
      <c r="X141" s="21">
        <f t="shared" si="52"/>
        <v>2408</v>
      </c>
      <c r="Y141" s="21">
        <f t="shared" si="52"/>
        <v>3730</v>
      </c>
      <c r="Z141" s="21">
        <f t="shared" si="52"/>
        <v>4696</v>
      </c>
      <c r="AA141" s="21">
        <f t="shared" ref="AA141:AA148" si="53">SUM(O141:Z141)</f>
        <v>48629.020000000004</v>
      </c>
      <c r="AB141" s="17">
        <f t="shared" ref="AB141:AB148" si="54">IF(AA141=0,"",IFERROR(AA141/AA$19,""))</f>
        <v>2.9498543468690387E-2</v>
      </c>
      <c r="AD141" s="21">
        <f t="shared" ref="AD141:AD146" si="55">AD115+AD124+AD133</f>
        <v>97703.003507000001</v>
      </c>
      <c r="AE141" s="17">
        <f t="shared" ref="AE141:AE148" si="56">IF(AD141=0,"",IFERROR(AD141/AD$19,""))</f>
        <v>3.3394081295012333E-2</v>
      </c>
      <c r="AF141" s="50">
        <f t="shared" ref="AF141:AF148" si="57">IF(AND($AA141="",AD141=""),"",$AA141-AD141)</f>
        <v>-49073.983506999997</v>
      </c>
      <c r="AG141" s="21">
        <f t="shared" ref="AG141:AG146" si="58">AG115+AG124+AG133</f>
        <v>69897.88</v>
      </c>
      <c r="AH141" s="17">
        <f t="shared" ref="AH141:AH148" si="59">IF(AG141=0,"",IFERROR(AG141/AG$19,""))</f>
        <v>3.5851955573966157E-2</v>
      </c>
      <c r="AI141" s="50">
        <f t="shared" ref="AI141:AI148" si="60">IF(AND($AA141="",AG141=""),"",$AA141-AG141)</f>
        <v>-21268.86</v>
      </c>
    </row>
    <row r="142" spans="3:35" x14ac:dyDescent="0.25">
      <c r="C142" s="32"/>
      <c r="H142" s="15" t="s">
        <v>268</v>
      </c>
      <c r="I142" s="161"/>
      <c r="J142" s="161"/>
      <c r="L142" s="162"/>
      <c r="M142" s="162"/>
      <c r="N142" s="162" t="s">
        <v>1317</v>
      </c>
      <c r="O142" s="21">
        <f t="shared" ref="O142:Z142" si="61">O116+O125+O134</f>
        <v>19939</v>
      </c>
      <c r="P142" s="21">
        <f t="shared" si="61"/>
        <v>28373.620000000003</v>
      </c>
      <c r="Q142" s="21">
        <f t="shared" si="61"/>
        <v>26156.940000000002</v>
      </c>
      <c r="R142" s="21">
        <f t="shared" si="61"/>
        <v>21787.379999999997</v>
      </c>
      <c r="S142" s="21">
        <f t="shared" si="61"/>
        <v>20283.599999999999</v>
      </c>
      <c r="T142" s="21">
        <f t="shared" si="61"/>
        <v>16501</v>
      </c>
      <c r="U142" s="21">
        <f t="shared" si="61"/>
        <v>16655.3</v>
      </c>
      <c r="V142" s="21">
        <f t="shared" si="61"/>
        <v>12000.990000000002</v>
      </c>
      <c r="W142" s="21">
        <f t="shared" si="61"/>
        <v>10328</v>
      </c>
      <c r="X142" s="21">
        <f t="shared" si="61"/>
        <v>13067.3</v>
      </c>
      <c r="Y142" s="21">
        <f t="shared" si="61"/>
        <v>10705.2</v>
      </c>
      <c r="Z142" s="21">
        <f t="shared" si="61"/>
        <v>7077.89</v>
      </c>
      <c r="AA142" s="21">
        <f t="shared" si="53"/>
        <v>202876.22</v>
      </c>
      <c r="AB142" s="17">
        <f t="shared" si="54"/>
        <v>0.12306546573288119</v>
      </c>
      <c r="AD142" s="21">
        <f t="shared" si="55"/>
        <v>344586.43253500003</v>
      </c>
      <c r="AE142" s="17">
        <f t="shared" si="56"/>
        <v>0.11777680243379249</v>
      </c>
      <c r="AF142" s="50">
        <f t="shared" si="57"/>
        <v>-141710.21253500003</v>
      </c>
      <c r="AG142" s="21">
        <f t="shared" si="58"/>
        <v>244787.19</v>
      </c>
      <c r="AH142" s="17">
        <f t="shared" si="59"/>
        <v>0.12555601773553093</v>
      </c>
      <c r="AI142" s="50">
        <f t="shared" si="60"/>
        <v>-41910.97</v>
      </c>
    </row>
    <row r="143" spans="3:35" x14ac:dyDescent="0.25">
      <c r="C143" s="32"/>
      <c r="H143" s="149" t="s">
        <v>269</v>
      </c>
      <c r="I143" s="161"/>
      <c r="J143" s="161"/>
      <c r="L143" s="162"/>
      <c r="M143" s="162"/>
      <c r="N143" s="162" t="s">
        <v>1318</v>
      </c>
      <c r="O143" s="21">
        <f t="shared" ref="O143:Z143" si="62">O117+O126+O135</f>
        <v>10489</v>
      </c>
      <c r="P143" s="21">
        <f t="shared" si="62"/>
        <v>4941.2</v>
      </c>
      <c r="Q143" s="21">
        <f t="shared" si="62"/>
        <v>8487</v>
      </c>
      <c r="R143" s="21">
        <f t="shared" si="62"/>
        <v>4690.01</v>
      </c>
      <c r="S143" s="21">
        <f t="shared" si="62"/>
        <v>13364</v>
      </c>
      <c r="T143" s="21">
        <f t="shared" si="62"/>
        <v>3542</v>
      </c>
      <c r="U143" s="21">
        <f t="shared" si="62"/>
        <v>2494.2200000000003</v>
      </c>
      <c r="V143" s="21">
        <f t="shared" si="62"/>
        <v>2735</v>
      </c>
      <c r="W143" s="21">
        <f t="shared" si="62"/>
        <v>56</v>
      </c>
      <c r="X143" s="21">
        <f t="shared" si="62"/>
        <v>0</v>
      </c>
      <c r="Y143" s="21">
        <f t="shared" si="62"/>
        <v>0</v>
      </c>
      <c r="Z143" s="21">
        <f t="shared" si="62"/>
        <v>769.79</v>
      </c>
      <c r="AA143" s="21">
        <f t="shared" si="53"/>
        <v>51568.22</v>
      </c>
      <c r="AB143" s="17">
        <f t="shared" si="54"/>
        <v>3.1281473064293477E-2</v>
      </c>
      <c r="AD143" s="21">
        <f t="shared" si="55"/>
        <v>251254.43887099999</v>
      </c>
      <c r="AE143" s="17">
        <f t="shared" si="56"/>
        <v>8.587669627566509E-2</v>
      </c>
      <c r="AF143" s="50">
        <f t="shared" si="57"/>
        <v>-199686.21887099999</v>
      </c>
      <c r="AG143" s="21">
        <f t="shared" si="58"/>
        <v>100877.57</v>
      </c>
      <c r="AH143" s="17">
        <f t="shared" si="59"/>
        <v>5.174202934408971E-2</v>
      </c>
      <c r="AI143" s="50">
        <f t="shared" si="60"/>
        <v>-49309.350000000006</v>
      </c>
    </row>
    <row r="144" spans="3:35" x14ac:dyDescent="0.25">
      <c r="C144" s="32"/>
      <c r="H144" s="149" t="s">
        <v>270</v>
      </c>
      <c r="I144" s="161"/>
      <c r="J144" s="161"/>
      <c r="L144" s="162"/>
      <c r="M144" s="162"/>
      <c r="N144" s="162" t="s">
        <v>1319</v>
      </c>
      <c r="O144" s="21">
        <f t="shared" ref="O144:Z144" si="63">O118+O127+O136</f>
        <v>28320</v>
      </c>
      <c r="P144" s="21">
        <f t="shared" si="63"/>
        <v>31408</v>
      </c>
      <c r="Q144" s="21">
        <f t="shared" si="63"/>
        <v>28525</v>
      </c>
      <c r="R144" s="21">
        <f t="shared" si="63"/>
        <v>21236.91</v>
      </c>
      <c r="S144" s="21">
        <f t="shared" si="63"/>
        <v>20192</v>
      </c>
      <c r="T144" s="21">
        <f t="shared" si="63"/>
        <v>24789.300000000003</v>
      </c>
      <c r="U144" s="21">
        <f t="shared" si="63"/>
        <v>19499.099999999999</v>
      </c>
      <c r="V144" s="21">
        <f t="shared" si="63"/>
        <v>16036.8</v>
      </c>
      <c r="W144" s="21">
        <f t="shared" si="63"/>
        <v>24496</v>
      </c>
      <c r="X144" s="21">
        <f t="shared" si="63"/>
        <v>15118.2</v>
      </c>
      <c r="Y144" s="21">
        <f t="shared" si="63"/>
        <v>21670.6</v>
      </c>
      <c r="Z144" s="21">
        <f t="shared" si="63"/>
        <v>33113.83</v>
      </c>
      <c r="AA144" s="21">
        <f t="shared" si="53"/>
        <v>284405.74000000005</v>
      </c>
      <c r="AB144" s="17">
        <f t="shared" si="54"/>
        <v>0.1725215742397247</v>
      </c>
      <c r="AD144" s="21">
        <f t="shared" si="55"/>
        <v>443368.64535700006</v>
      </c>
      <c r="AE144" s="17">
        <f t="shared" si="56"/>
        <v>0.15153974857743624</v>
      </c>
      <c r="AF144" s="50">
        <f t="shared" si="57"/>
        <v>-158962.90535700001</v>
      </c>
      <c r="AG144" s="21">
        <f t="shared" si="58"/>
        <v>304142.31</v>
      </c>
      <c r="AH144" s="17">
        <f t="shared" si="59"/>
        <v>0.15600039065968013</v>
      </c>
      <c r="AI144" s="50">
        <f t="shared" si="60"/>
        <v>-19736.569999999949</v>
      </c>
    </row>
    <row r="145" spans="3:35" x14ac:dyDescent="0.25">
      <c r="C145" s="32"/>
      <c r="H145" s="149" t="s">
        <v>271</v>
      </c>
      <c r="I145" s="161"/>
      <c r="J145" s="161"/>
      <c r="L145" s="162"/>
      <c r="M145" s="162"/>
      <c r="N145" s="162" t="s">
        <v>1320</v>
      </c>
      <c r="O145" s="21">
        <f t="shared" ref="O145:Z145" si="64">O119+O128+O137</f>
        <v>0</v>
      </c>
      <c r="P145" s="21">
        <f t="shared" si="64"/>
        <v>0</v>
      </c>
      <c r="Q145" s="21">
        <f t="shared" si="64"/>
        <v>0</v>
      </c>
      <c r="R145" s="21">
        <f t="shared" si="64"/>
        <v>0</v>
      </c>
      <c r="S145" s="21">
        <f t="shared" si="64"/>
        <v>0</v>
      </c>
      <c r="T145" s="21">
        <f t="shared" si="64"/>
        <v>0</v>
      </c>
      <c r="U145" s="21">
        <f t="shared" si="64"/>
        <v>0</v>
      </c>
      <c r="V145" s="21">
        <f t="shared" si="64"/>
        <v>0</v>
      </c>
      <c r="W145" s="21">
        <f t="shared" si="64"/>
        <v>0</v>
      </c>
      <c r="X145" s="21">
        <f t="shared" si="64"/>
        <v>0</v>
      </c>
      <c r="Y145" s="21">
        <f t="shared" si="64"/>
        <v>0</v>
      </c>
      <c r="Z145" s="21">
        <f t="shared" si="64"/>
        <v>0</v>
      </c>
      <c r="AA145" s="21">
        <f t="shared" si="53"/>
        <v>0</v>
      </c>
      <c r="AB145" s="17" t="str">
        <f t="shared" si="54"/>
        <v/>
      </c>
      <c r="AD145" s="21">
        <f t="shared" si="55"/>
        <v>0</v>
      </c>
      <c r="AE145" s="17" t="str">
        <f t="shared" si="56"/>
        <v/>
      </c>
      <c r="AF145" s="50">
        <f t="shared" si="57"/>
        <v>0</v>
      </c>
      <c r="AG145" s="21">
        <f t="shared" si="58"/>
        <v>0</v>
      </c>
      <c r="AH145" s="17" t="str">
        <f t="shared" si="59"/>
        <v/>
      </c>
      <c r="AI145" s="50">
        <f t="shared" si="60"/>
        <v>0</v>
      </c>
    </row>
    <row r="146" spans="3:35" x14ac:dyDescent="0.25">
      <c r="C146" s="32"/>
      <c r="H146" s="149" t="s">
        <v>811</v>
      </c>
      <c r="I146" s="161"/>
      <c r="J146" s="161"/>
      <c r="L146" s="162"/>
      <c r="M146" s="162"/>
      <c r="N146" s="162" t="s">
        <v>1298</v>
      </c>
      <c r="O146" s="21">
        <f t="shared" ref="O146:Z146" si="65">O120+O129+O138</f>
        <v>0</v>
      </c>
      <c r="P146" s="21">
        <f t="shared" si="65"/>
        <v>0</v>
      </c>
      <c r="Q146" s="21">
        <f t="shared" si="65"/>
        <v>2338</v>
      </c>
      <c r="R146" s="21">
        <f t="shared" si="65"/>
        <v>850</v>
      </c>
      <c r="S146" s="21">
        <f t="shared" si="65"/>
        <v>0</v>
      </c>
      <c r="T146" s="21">
        <f t="shared" si="65"/>
        <v>0</v>
      </c>
      <c r="U146" s="21">
        <f t="shared" si="65"/>
        <v>0</v>
      </c>
      <c r="V146" s="21">
        <f t="shared" si="65"/>
        <v>0</v>
      </c>
      <c r="W146" s="21">
        <f t="shared" si="65"/>
        <v>144</v>
      </c>
      <c r="X146" s="21">
        <f t="shared" si="65"/>
        <v>0</v>
      </c>
      <c r="Y146" s="21">
        <f t="shared" si="65"/>
        <v>4968</v>
      </c>
      <c r="Z146" s="21">
        <f t="shared" si="65"/>
        <v>4276.96</v>
      </c>
      <c r="AA146" s="21">
        <f t="shared" si="53"/>
        <v>12576.96</v>
      </c>
      <c r="AB146" s="17">
        <f t="shared" si="54"/>
        <v>7.6292304731615038E-3</v>
      </c>
      <c r="AD146" s="21">
        <f t="shared" si="55"/>
        <v>1873.3490000000002</v>
      </c>
      <c r="AE146" s="17">
        <f t="shared" si="56"/>
        <v>6.4029524737638178E-4</v>
      </c>
      <c r="AF146" s="50">
        <f t="shared" si="57"/>
        <v>10703.610999999999</v>
      </c>
      <c r="AG146" s="21">
        <f t="shared" si="58"/>
        <v>794</v>
      </c>
      <c r="AH146" s="17">
        <f t="shared" si="59"/>
        <v>4.0725774123233967E-4</v>
      </c>
      <c r="AI146" s="50">
        <f t="shared" si="60"/>
        <v>11782.96</v>
      </c>
    </row>
    <row r="147" spans="3:35" x14ac:dyDescent="0.25">
      <c r="C147" s="32"/>
      <c r="H147" s="149" t="s">
        <v>351</v>
      </c>
      <c r="I147" s="161"/>
      <c r="J147" s="161"/>
      <c r="L147" s="162">
        <v>467200</v>
      </c>
      <c r="M147" s="162"/>
      <c r="N147" s="162" t="s">
        <v>1306</v>
      </c>
      <c r="O147" s="21">
        <f t="shared" ref="O147:Z147" si="66">O96</f>
        <v>2412.34</v>
      </c>
      <c r="P147" s="21">
        <f t="shared" si="66"/>
        <v>2979.96</v>
      </c>
      <c r="Q147" s="21">
        <f t="shared" si="66"/>
        <v>4543</v>
      </c>
      <c r="R147" s="21">
        <f t="shared" si="66"/>
        <v>2210.63</v>
      </c>
      <c r="S147" s="21">
        <f t="shared" si="66"/>
        <v>2956</v>
      </c>
      <c r="T147" s="21">
        <f t="shared" si="66"/>
        <v>2486</v>
      </c>
      <c r="U147" s="21">
        <f t="shared" si="66"/>
        <v>2531.31</v>
      </c>
      <c r="V147" s="21">
        <f t="shared" si="66"/>
        <v>2954.78</v>
      </c>
      <c r="W147" s="21">
        <f t="shared" si="66"/>
        <v>2044.38</v>
      </c>
      <c r="X147" s="21">
        <f t="shared" si="66"/>
        <v>2888</v>
      </c>
      <c r="Y147" s="21">
        <f t="shared" si="66"/>
        <v>2261.89</v>
      </c>
      <c r="Z147" s="21">
        <f t="shared" si="66"/>
        <v>5406</v>
      </c>
      <c r="AA147" s="21">
        <f t="shared" si="53"/>
        <v>35674.29</v>
      </c>
      <c r="AB147" s="17">
        <f t="shared" si="54"/>
        <v>2.1640156315707509E-2</v>
      </c>
      <c r="AD147" s="21">
        <f>AD96</f>
        <v>33002.400000000001</v>
      </c>
      <c r="AE147" s="17">
        <f t="shared" si="56"/>
        <v>1.1279948302219341E-2</v>
      </c>
      <c r="AF147" s="50">
        <f t="shared" si="57"/>
        <v>2671.8899999999994</v>
      </c>
      <c r="AG147" s="21">
        <f>AG96</f>
        <v>12618.35</v>
      </c>
      <c r="AH147" s="17">
        <f t="shared" si="59"/>
        <v>6.4721923414094371E-3</v>
      </c>
      <c r="AI147" s="50">
        <f t="shared" si="60"/>
        <v>23055.940000000002</v>
      </c>
    </row>
    <row r="148" spans="3:35" x14ac:dyDescent="0.25">
      <c r="C148" s="32"/>
      <c r="H148" s="15" t="s">
        <v>272</v>
      </c>
      <c r="I148" s="161"/>
      <c r="J148" s="161"/>
      <c r="L148" s="162"/>
      <c r="M148" s="162"/>
      <c r="N148" s="25" t="s">
        <v>1212</v>
      </c>
      <c r="O148" s="164">
        <f t="shared" ref="O148:Z148" si="67">SUM(O141:O147)</f>
        <v>65675.22</v>
      </c>
      <c r="P148" s="164">
        <f t="shared" si="67"/>
        <v>71402.780000000013</v>
      </c>
      <c r="Q148" s="164">
        <f t="shared" si="67"/>
        <v>76244.28</v>
      </c>
      <c r="R148" s="164">
        <f t="shared" si="67"/>
        <v>55713.43</v>
      </c>
      <c r="S148" s="164">
        <f t="shared" si="67"/>
        <v>61149.599999999999</v>
      </c>
      <c r="T148" s="164">
        <f t="shared" si="67"/>
        <v>50838.8</v>
      </c>
      <c r="U148" s="164">
        <f t="shared" si="67"/>
        <v>44543.929999999993</v>
      </c>
      <c r="V148" s="164">
        <f t="shared" si="67"/>
        <v>38164.57</v>
      </c>
      <c r="W148" s="164">
        <f t="shared" si="67"/>
        <v>39840.18</v>
      </c>
      <c r="X148" s="164">
        <f t="shared" si="67"/>
        <v>33481.5</v>
      </c>
      <c r="Y148" s="164">
        <f t="shared" si="67"/>
        <v>43335.69</v>
      </c>
      <c r="Z148" s="164">
        <f t="shared" si="67"/>
        <v>55340.47</v>
      </c>
      <c r="AA148" s="164">
        <f t="shared" si="53"/>
        <v>635730.44999999995</v>
      </c>
      <c r="AB148" s="175">
        <f t="shared" si="54"/>
        <v>0.38563644329445873</v>
      </c>
      <c r="AD148" s="164">
        <f>SUM(AD141:AD147)</f>
        <v>1171788.26927</v>
      </c>
      <c r="AE148" s="175">
        <f t="shared" si="56"/>
        <v>0.40050757213150184</v>
      </c>
      <c r="AF148" s="165">
        <f t="shared" si="57"/>
        <v>-536057.81927000009</v>
      </c>
      <c r="AG148" s="164">
        <f>SUM(AG141:AG147)</f>
        <v>733117.29999999993</v>
      </c>
      <c r="AH148" s="175">
        <f t="shared" si="59"/>
        <v>0.37602984339590867</v>
      </c>
      <c r="AI148" s="165">
        <f t="shared" si="60"/>
        <v>-97386.849999999977</v>
      </c>
    </row>
    <row r="149" spans="3:35" x14ac:dyDescent="0.25">
      <c r="C149" s="32"/>
      <c r="H149" s="149"/>
      <c r="I149" s="161"/>
      <c r="J149" s="161"/>
      <c r="O149" s="41"/>
      <c r="P149" s="45"/>
      <c r="Q149" s="45"/>
      <c r="R149" s="45"/>
      <c r="S149" s="45"/>
      <c r="T149" s="45"/>
      <c r="U149" s="45"/>
      <c r="V149" s="45"/>
      <c r="W149" s="45"/>
      <c r="X149" s="45"/>
      <c r="Y149" s="45"/>
      <c r="Z149" s="45"/>
      <c r="AA149" s="45"/>
      <c r="AB149" s="42"/>
      <c r="AD149" s="41"/>
      <c r="AE149" s="45"/>
      <c r="AF149" s="42"/>
      <c r="AG149" s="41"/>
      <c r="AH149" s="45"/>
      <c r="AI149" s="42"/>
    </row>
    <row r="150" spans="3:35" x14ac:dyDescent="0.25">
      <c r="C150" s="32"/>
      <c r="H150" s="149"/>
      <c r="I150" s="161"/>
      <c r="J150" s="161"/>
      <c r="O150" s="43"/>
      <c r="P150" s="46"/>
      <c r="Q150" s="46"/>
      <c r="R150" s="46"/>
      <c r="S150" s="46"/>
      <c r="T150" s="46"/>
      <c r="U150" s="46"/>
      <c r="V150" s="46"/>
      <c r="W150" s="46"/>
      <c r="X150" s="46"/>
      <c r="Y150" s="46"/>
      <c r="Z150" s="46"/>
      <c r="AA150" s="46"/>
      <c r="AB150" s="44"/>
      <c r="AD150" s="43"/>
      <c r="AE150" s="46"/>
      <c r="AF150" s="44"/>
      <c r="AG150" s="43"/>
      <c r="AH150" s="46"/>
      <c r="AI150" s="44"/>
    </row>
    <row r="151" spans="3:35" ht="15" customHeight="1" x14ac:dyDescent="0.25">
      <c r="C151" s="32"/>
      <c r="H151" s="149" t="s">
        <v>281</v>
      </c>
      <c r="I151" s="161"/>
      <c r="J151" s="161"/>
      <c r="N151" s="174" t="s">
        <v>1223</v>
      </c>
      <c r="O151" s="510"/>
      <c r="P151" s="466"/>
      <c r="Q151" s="466"/>
      <c r="R151" s="466"/>
      <c r="S151" s="466"/>
      <c r="T151" s="466"/>
      <c r="U151" s="466"/>
      <c r="V151" s="466"/>
      <c r="W151" s="466"/>
      <c r="X151" s="466"/>
      <c r="Y151" s="466"/>
      <c r="Z151" s="466"/>
      <c r="AA151" s="466"/>
      <c r="AB151" s="511"/>
      <c r="AD151" s="510"/>
      <c r="AE151" s="466"/>
      <c r="AF151" s="466"/>
      <c r="AG151" s="466"/>
      <c r="AH151" s="466"/>
      <c r="AI151" s="511"/>
    </row>
    <row r="152" spans="3:35" x14ac:dyDescent="0.25">
      <c r="C152" s="32"/>
      <c r="H152" s="149">
        <v>561100</v>
      </c>
      <c r="I152" s="161"/>
      <c r="J152" s="161"/>
      <c r="L152" s="162">
        <v>561100</v>
      </c>
      <c r="M152" s="162"/>
      <c r="N152" s="162" t="s">
        <v>1225</v>
      </c>
      <c r="O152" s="21">
        <v>33813.67</v>
      </c>
      <c r="P152" s="21">
        <v>33664.14</v>
      </c>
      <c r="Q152" s="21">
        <v>33197.040000000001</v>
      </c>
      <c r="R152" s="21">
        <v>26118.35</v>
      </c>
      <c r="S152" s="21">
        <v>24604.37</v>
      </c>
      <c r="T152" s="21">
        <v>20973.57</v>
      </c>
      <c r="U152" s="21">
        <v>20449.259999999998</v>
      </c>
      <c r="V152" s="21">
        <v>20667</v>
      </c>
      <c r="W152" s="21">
        <v>12715.37</v>
      </c>
      <c r="X152" s="21">
        <v>17706.330000000002</v>
      </c>
      <c r="Y152" s="21">
        <v>16359.76</v>
      </c>
      <c r="Z152" s="21">
        <v>30452.3</v>
      </c>
      <c r="AA152" s="21">
        <f>SUM(O152:Z152)</f>
        <v>290721.16000000003</v>
      </c>
      <c r="AB152" s="311">
        <v>0.28645073525182202</v>
      </c>
      <c r="AD152" s="21">
        <v>521880.72377500002</v>
      </c>
      <c r="AE152" s="311">
        <v>0.29754259030397301</v>
      </c>
      <c r="AF152" s="50">
        <f t="shared" ref="AF152:AF157" si="68">IF(AND($AA152="",AD152=""),"",$AA152-AD152)</f>
        <v>-231159.56377499999</v>
      </c>
      <c r="AG152" s="21">
        <v>387970.63</v>
      </c>
      <c r="AH152" s="311">
        <v>0.31827253756927698</v>
      </c>
      <c r="AI152" s="50">
        <f t="shared" ref="AI152:AI157" si="69">IF(AND($AA152="",AG152=""),"",$AA152-AG152)</f>
        <v>-97249.469999999972</v>
      </c>
    </row>
    <row r="153" spans="3:35" x14ac:dyDescent="0.25">
      <c r="C153" s="32"/>
      <c r="H153" s="149" t="s">
        <v>756</v>
      </c>
      <c r="I153" s="161"/>
      <c r="J153" s="161"/>
      <c r="L153" s="162"/>
      <c r="M153" s="162"/>
      <c r="N153" s="467" t="s">
        <v>1321</v>
      </c>
      <c r="O153" s="172">
        <v>0.241763073022112</v>
      </c>
      <c r="P153" s="172">
        <v>0.29073503563700298</v>
      </c>
      <c r="Q153" s="172">
        <v>0.29038711091108799</v>
      </c>
      <c r="R153" s="172">
        <v>0.30531026778173498</v>
      </c>
      <c r="S153" s="172">
        <v>0.30240961678601302</v>
      </c>
      <c r="T153" s="172">
        <v>0.28240990779007602</v>
      </c>
      <c r="U153" s="172">
        <v>0.30883561587976899</v>
      </c>
      <c r="V153" s="172">
        <v>0.33894135561782102</v>
      </c>
      <c r="W153" s="172">
        <v>0.24887159636648301</v>
      </c>
      <c r="X153" s="172">
        <v>0.30362496345370799</v>
      </c>
      <c r="Y153" s="172">
        <v>0.28709795167698499</v>
      </c>
      <c r="Z153" s="172">
        <v>0.27638639511992003</v>
      </c>
      <c r="AA153" s="172">
        <v>0.28645073525182202</v>
      </c>
      <c r="AB153" s="311"/>
      <c r="AD153" s="172">
        <v>0.29754259030397301</v>
      </c>
      <c r="AE153" s="311"/>
      <c r="AF153" s="468">
        <f t="shared" si="68"/>
        <v>-1.109185505215099E-2</v>
      </c>
      <c r="AG153" s="172">
        <v>0.31827253756927698</v>
      </c>
      <c r="AH153" s="311"/>
      <c r="AI153" s="468">
        <f t="shared" si="69"/>
        <v>-3.1821802317454961E-2</v>
      </c>
    </row>
    <row r="154" spans="3:35" x14ac:dyDescent="0.25">
      <c r="C154" s="32"/>
      <c r="H154" s="149" t="s">
        <v>770</v>
      </c>
      <c r="I154" s="161"/>
      <c r="J154" s="161"/>
      <c r="L154" s="162"/>
      <c r="M154" s="162"/>
      <c r="N154" s="162" t="s">
        <v>1322</v>
      </c>
      <c r="O154" s="21">
        <v>33189.339999999997</v>
      </c>
      <c r="P154" s="21">
        <v>32851.760000000002</v>
      </c>
      <c r="Q154" s="21">
        <v>32355.15</v>
      </c>
      <c r="R154" s="21">
        <v>25786.65</v>
      </c>
      <c r="S154" s="21">
        <v>23857.71</v>
      </c>
      <c r="T154" s="21">
        <v>20466.060000000001</v>
      </c>
      <c r="U154" s="21">
        <v>19574.240000000002</v>
      </c>
      <c r="V154" s="21">
        <v>19937.490000000002</v>
      </c>
      <c r="W154" s="21">
        <v>12078.16</v>
      </c>
      <c r="X154" s="21">
        <v>16463.62</v>
      </c>
      <c r="Y154" s="21">
        <v>15884.91</v>
      </c>
      <c r="Z154" s="21">
        <v>29886.81</v>
      </c>
      <c r="AA154" s="21">
        <f>SUM(O154:Z154)</f>
        <v>282331.89999999997</v>
      </c>
      <c r="AB154" s="311">
        <v>0.28691611368301501</v>
      </c>
      <c r="AD154" s="21">
        <v>504415.34</v>
      </c>
      <c r="AE154" s="311">
        <v>0.29910842060047399</v>
      </c>
      <c r="AF154" s="50">
        <f t="shared" si="68"/>
        <v>-222083.44000000006</v>
      </c>
      <c r="AG154" s="21">
        <v>374560.41</v>
      </c>
      <c r="AH154" s="311">
        <v>0.32126201110639402</v>
      </c>
      <c r="AI154" s="50">
        <f t="shared" si="69"/>
        <v>-92228.510000000009</v>
      </c>
    </row>
    <row r="155" spans="3:35" x14ac:dyDescent="0.25">
      <c r="C155" s="32"/>
      <c r="H155" s="149" t="s">
        <v>771</v>
      </c>
      <c r="I155" s="161"/>
      <c r="J155" s="161"/>
      <c r="L155" s="162"/>
      <c r="M155" s="162"/>
      <c r="N155" s="467" t="s">
        <v>1323</v>
      </c>
      <c r="O155" s="172">
        <v>0.24230776194581299</v>
      </c>
      <c r="P155" s="172">
        <v>0.29045169759701001</v>
      </c>
      <c r="Q155" s="172">
        <v>0.29096632657053001</v>
      </c>
      <c r="R155" s="172">
        <v>0.30811603491686601</v>
      </c>
      <c r="S155" s="172">
        <v>0.30286843686097598</v>
      </c>
      <c r="T155" s="172">
        <v>0.28785133378743899</v>
      </c>
      <c r="U155" s="172">
        <v>0.31452621193703501</v>
      </c>
      <c r="V155" s="172">
        <v>0.341359428758787</v>
      </c>
      <c r="W155" s="172">
        <v>0.24691084445129499</v>
      </c>
      <c r="X155" s="172">
        <v>0.29464585485421602</v>
      </c>
      <c r="Y155" s="172">
        <v>0.29078755638216902</v>
      </c>
      <c r="Z155" s="172">
        <v>0.27388394127426202</v>
      </c>
      <c r="AA155" s="172">
        <v>0.28691611368301501</v>
      </c>
      <c r="AB155" s="311"/>
      <c r="AD155" s="172">
        <v>0.29910842060047399</v>
      </c>
      <c r="AE155" s="311"/>
      <c r="AF155" s="468">
        <f t="shared" si="68"/>
        <v>-1.2192306917458984E-2</v>
      </c>
      <c r="AG155" s="172">
        <v>0.32126201110639402</v>
      </c>
      <c r="AH155" s="311"/>
      <c r="AI155" s="468">
        <f t="shared" si="69"/>
        <v>-3.4345897423379013E-2</v>
      </c>
    </row>
    <row r="156" spans="3:35" x14ac:dyDescent="0.25">
      <c r="C156" s="32"/>
      <c r="H156" s="473">
        <v>567100</v>
      </c>
      <c r="I156" s="161"/>
      <c r="J156" s="161"/>
      <c r="L156" s="162">
        <v>567100</v>
      </c>
      <c r="M156" s="162"/>
      <c r="N156" s="162" t="s">
        <v>1324</v>
      </c>
      <c r="O156" s="21">
        <v>624.33000000000004</v>
      </c>
      <c r="P156" s="21">
        <v>812.38</v>
      </c>
      <c r="Q156" s="21">
        <v>841.89</v>
      </c>
      <c r="R156" s="21">
        <v>331.7</v>
      </c>
      <c r="S156" s="21">
        <v>746.66</v>
      </c>
      <c r="T156" s="21">
        <v>507.51</v>
      </c>
      <c r="U156" s="21">
        <v>875.02</v>
      </c>
      <c r="V156" s="21">
        <v>729.51</v>
      </c>
      <c r="W156" s="21">
        <v>637.21</v>
      </c>
      <c r="X156" s="21">
        <v>1242.71</v>
      </c>
      <c r="Y156" s="21">
        <v>474.85</v>
      </c>
      <c r="Z156" s="21">
        <v>565.49</v>
      </c>
      <c r="AA156" s="21">
        <f>SUM(O156:Z156)</f>
        <v>8389.26</v>
      </c>
      <c r="AB156" s="311">
        <v>0.27162366928277298</v>
      </c>
      <c r="AD156" s="21">
        <v>17465.383774999998</v>
      </c>
      <c r="AE156" s="311">
        <v>0.258464986644173</v>
      </c>
      <c r="AF156" s="50">
        <f t="shared" si="68"/>
        <v>-9076.1237749999982</v>
      </c>
      <c r="AG156" s="21">
        <v>13410.22</v>
      </c>
      <c r="AH156" s="311">
        <v>0.25261549764059898</v>
      </c>
      <c r="AI156" s="50">
        <f t="shared" si="69"/>
        <v>-5020.9599999999991</v>
      </c>
    </row>
    <row r="157" spans="3:35" x14ac:dyDescent="0.25">
      <c r="C157" s="32"/>
      <c r="H157" s="149" t="s">
        <v>772</v>
      </c>
      <c r="I157" s="161"/>
      <c r="J157" s="161"/>
      <c r="L157" s="162"/>
      <c r="M157" s="162"/>
      <c r="N157" s="467" t="s">
        <v>1325</v>
      </c>
      <c r="O157" s="172">
        <v>0.215956416464891</v>
      </c>
      <c r="P157" s="172">
        <v>0.30267511177347201</v>
      </c>
      <c r="Q157" s="172">
        <v>0.26975008010253099</v>
      </c>
      <c r="R157" s="172">
        <v>0.178761014254534</v>
      </c>
      <c r="S157" s="172">
        <v>0.28844720016997899</v>
      </c>
      <c r="T157" s="172">
        <v>0.16024944742658701</v>
      </c>
      <c r="U157" s="172">
        <v>0.21985371896050501</v>
      </c>
      <c r="V157" s="172">
        <v>0.28396652393927602</v>
      </c>
      <c r="W157" s="172">
        <v>0.292970114942529</v>
      </c>
      <c r="X157" s="172">
        <v>0.50920511864420703</v>
      </c>
      <c r="Y157" s="172">
        <v>0.20154923599320901</v>
      </c>
      <c r="Z157" s="172">
        <v>0.53448960302457504</v>
      </c>
      <c r="AA157" s="172">
        <v>0.27162366928277298</v>
      </c>
      <c r="AB157" s="311"/>
      <c r="AD157" s="172">
        <v>0.258464986644173</v>
      </c>
      <c r="AE157" s="311"/>
      <c r="AF157" s="468">
        <f t="shared" si="68"/>
        <v>1.3158682638599983E-2</v>
      </c>
      <c r="AG157" s="172">
        <v>0.25261549764059898</v>
      </c>
      <c r="AH157" s="311"/>
      <c r="AI157" s="468">
        <f t="shared" si="69"/>
        <v>1.9008171642173999E-2</v>
      </c>
    </row>
    <row r="158" spans="3:35" x14ac:dyDescent="0.25">
      <c r="C158" s="32"/>
      <c r="H158" s="149"/>
      <c r="I158" s="161"/>
      <c r="J158" s="161"/>
      <c r="L158" s="162"/>
      <c r="M158" s="162"/>
      <c r="N158" s="467"/>
      <c r="O158" s="510"/>
      <c r="P158" s="466"/>
      <c r="Q158" s="466"/>
      <c r="R158" s="466"/>
      <c r="S158" s="466"/>
      <c r="T158" s="466"/>
      <c r="U158" s="466"/>
      <c r="V158" s="466"/>
      <c r="W158" s="466"/>
      <c r="X158" s="466"/>
      <c r="Y158" s="466"/>
      <c r="Z158" s="466"/>
      <c r="AA158" s="466"/>
      <c r="AB158" s="511"/>
      <c r="AD158" s="510"/>
      <c r="AE158" s="466"/>
      <c r="AF158" s="466"/>
      <c r="AG158" s="466"/>
      <c r="AH158" s="466"/>
      <c r="AI158" s="511"/>
    </row>
    <row r="159" spans="3:35" x14ac:dyDescent="0.25">
      <c r="C159" s="32"/>
      <c r="H159" s="149" t="s">
        <v>636</v>
      </c>
      <c r="I159" s="161"/>
      <c r="J159" s="161"/>
      <c r="L159" s="162"/>
      <c r="M159" s="162"/>
      <c r="N159" s="162" t="s">
        <v>1226</v>
      </c>
      <c r="O159" s="21">
        <v>15701.27</v>
      </c>
      <c r="P159" s="21">
        <v>17081.43</v>
      </c>
      <c r="Q159" s="21">
        <v>16353.95</v>
      </c>
      <c r="R159" s="21">
        <v>9196.76</v>
      </c>
      <c r="S159" s="21">
        <v>14436.97</v>
      </c>
      <c r="T159" s="21">
        <v>9952.7199999999993</v>
      </c>
      <c r="U159" s="21">
        <v>9407.08</v>
      </c>
      <c r="V159" s="21">
        <v>11227.44</v>
      </c>
      <c r="W159" s="21">
        <v>8610.27</v>
      </c>
      <c r="X159" s="21">
        <v>8012.72</v>
      </c>
      <c r="Y159" s="21">
        <v>8162.03</v>
      </c>
      <c r="Z159" s="21">
        <v>11223.91</v>
      </c>
      <c r="AA159" s="21">
        <f>SUM(O159:Z159)</f>
        <v>139366.54999999999</v>
      </c>
      <c r="AB159" s="311">
        <v>0.21922270673050201</v>
      </c>
      <c r="AD159" s="21">
        <v>239379.02119999999</v>
      </c>
      <c r="AE159" s="311">
        <v>0.20428521728513999</v>
      </c>
      <c r="AF159" s="50">
        <f t="shared" ref="AF159:AF168" si="70">IF(AND($AA159="",AD159=""),"",$AA159-AD159)</f>
        <v>-100012.4712</v>
      </c>
      <c r="AG159" s="21">
        <v>158740.44</v>
      </c>
      <c r="AH159" s="311">
        <v>0.216528023550938</v>
      </c>
      <c r="AI159" s="50">
        <f t="shared" ref="AI159:AI168" si="71">IF(AND($AA159="",AG159=""),"",$AA159-AG159)</f>
        <v>-19373.890000000014</v>
      </c>
    </row>
    <row r="160" spans="3:35" x14ac:dyDescent="0.25">
      <c r="C160" s="32"/>
      <c r="H160" s="149" t="s">
        <v>757</v>
      </c>
      <c r="I160" s="161"/>
      <c r="J160" s="161"/>
      <c r="L160" s="162"/>
      <c r="M160" s="162"/>
      <c r="N160" s="467" t="s">
        <v>1326</v>
      </c>
      <c r="O160" s="172">
        <v>0.23907449415472101</v>
      </c>
      <c r="P160" s="172">
        <v>0.239226399868464</v>
      </c>
      <c r="Q160" s="172">
        <v>0.21449412336243501</v>
      </c>
      <c r="R160" s="172">
        <v>0.16507258662767699</v>
      </c>
      <c r="S160" s="172">
        <v>0.236092631840601</v>
      </c>
      <c r="T160" s="172">
        <v>0.195770159799209</v>
      </c>
      <c r="U160" s="172">
        <v>0.211186574691546</v>
      </c>
      <c r="V160" s="172">
        <v>0.29418489452390001</v>
      </c>
      <c r="W160" s="172">
        <v>0.216120258492808</v>
      </c>
      <c r="X160" s="172">
        <v>0.23931783223571201</v>
      </c>
      <c r="Y160" s="172">
        <v>0.18834429542947201</v>
      </c>
      <c r="Z160" s="172">
        <v>0.20281558866413699</v>
      </c>
      <c r="AA160" s="172">
        <v>0.21922270673050201</v>
      </c>
      <c r="AB160" s="311"/>
      <c r="AD160" s="172">
        <v>0.20428521728513999</v>
      </c>
      <c r="AE160" s="311"/>
      <c r="AF160" s="468">
        <f t="shared" si="70"/>
        <v>1.4937489445362023E-2</v>
      </c>
      <c r="AG160" s="172">
        <v>0.216528023550938</v>
      </c>
      <c r="AH160" s="311"/>
      <c r="AI160" s="468">
        <f t="shared" si="71"/>
        <v>2.6946831795640058E-3</v>
      </c>
    </row>
    <row r="161" spans="3:35" x14ac:dyDescent="0.25">
      <c r="C161" s="32"/>
      <c r="H161" s="149" t="s">
        <v>755</v>
      </c>
      <c r="I161" s="161"/>
      <c r="J161" s="161"/>
      <c r="L161" s="162">
        <v>561300</v>
      </c>
      <c r="M161" s="162"/>
      <c r="N161" s="162" t="s">
        <v>1327</v>
      </c>
      <c r="O161" s="21">
        <v>7850.72</v>
      </c>
      <c r="P161" s="21">
        <v>11450.84</v>
      </c>
      <c r="Q161" s="21">
        <v>12019.95</v>
      </c>
      <c r="R161" s="21">
        <v>6167.85</v>
      </c>
      <c r="S161" s="21">
        <v>8463.44</v>
      </c>
      <c r="T161" s="21">
        <v>6000.59</v>
      </c>
      <c r="U161" s="21">
        <v>5660.9</v>
      </c>
      <c r="V161" s="21">
        <v>6864.93</v>
      </c>
      <c r="W161" s="21">
        <v>6674.78</v>
      </c>
      <c r="X161" s="21">
        <v>4835.37</v>
      </c>
      <c r="Y161" s="21">
        <v>4395.7</v>
      </c>
      <c r="Z161" s="21">
        <v>6721.71</v>
      </c>
      <c r="AA161" s="21">
        <f>SUM(O161:Z161)</f>
        <v>87106.78</v>
      </c>
      <c r="AB161" s="311">
        <v>0.20618537813502499</v>
      </c>
      <c r="AD161" s="21">
        <v>152831.70000000001</v>
      </c>
      <c r="AE161" s="311">
        <v>0.19411247033047899</v>
      </c>
      <c r="AF161" s="50">
        <f t="shared" si="70"/>
        <v>-65724.920000000013</v>
      </c>
      <c r="AG161" s="21">
        <v>94844.94</v>
      </c>
      <c r="AH161" s="311">
        <v>0.191800037156794</v>
      </c>
      <c r="AI161" s="50">
        <f t="shared" si="71"/>
        <v>-7738.1600000000035</v>
      </c>
    </row>
    <row r="162" spans="3:35" x14ac:dyDescent="0.25">
      <c r="C162" s="32"/>
      <c r="H162" s="149" t="s">
        <v>758</v>
      </c>
      <c r="I162" s="161"/>
      <c r="J162" s="161"/>
      <c r="L162" s="162"/>
      <c r="M162" s="162"/>
      <c r="N162" s="467" t="s">
        <v>1328</v>
      </c>
      <c r="O162" s="172">
        <v>0.204580728751354</v>
      </c>
      <c r="P162" s="172">
        <v>0.23684098401140699</v>
      </c>
      <c r="Q162" s="172">
        <v>0.23185943164497</v>
      </c>
      <c r="R162" s="172">
        <v>0.16174068467168201</v>
      </c>
      <c r="S162" s="172">
        <v>0.213451566692896</v>
      </c>
      <c r="T162" s="172">
        <v>0.170972080155227</v>
      </c>
      <c r="U162" s="172">
        <v>0.18107579024137499</v>
      </c>
      <c r="V162" s="172">
        <v>0.27726571615859702</v>
      </c>
      <c r="W162" s="172">
        <v>0.22089486050898499</v>
      </c>
      <c r="X162" s="172">
        <v>0.22571349882833999</v>
      </c>
      <c r="Y162" s="172">
        <v>0.157305582295831</v>
      </c>
      <c r="Z162" s="172">
        <v>0.18978740465397301</v>
      </c>
      <c r="AA162" s="172">
        <v>0.20618537813502499</v>
      </c>
      <c r="AB162" s="311"/>
      <c r="AD162" s="172">
        <v>0.19411247033047899</v>
      </c>
      <c r="AE162" s="311"/>
      <c r="AF162" s="468">
        <f t="shared" si="70"/>
        <v>1.2072907804546007E-2</v>
      </c>
      <c r="AG162" s="172">
        <v>0.191800037156794</v>
      </c>
      <c r="AH162" s="311"/>
      <c r="AI162" s="468">
        <f t="shared" si="71"/>
        <v>1.4385340978230993E-2</v>
      </c>
    </row>
    <row r="163" spans="3:35" x14ac:dyDescent="0.25">
      <c r="C163" s="32"/>
      <c r="H163" s="149">
        <v>561400</v>
      </c>
      <c r="I163" s="161"/>
      <c r="J163" s="161"/>
      <c r="L163" s="162">
        <v>561400</v>
      </c>
      <c r="M163" s="162"/>
      <c r="N163" s="162" t="s">
        <v>1329</v>
      </c>
      <c r="O163" s="21">
        <v>2172.7800000000002</v>
      </c>
      <c r="P163" s="21">
        <v>1074.1300000000001</v>
      </c>
      <c r="Q163" s="21">
        <v>1501.56</v>
      </c>
      <c r="R163" s="21">
        <v>1129.47</v>
      </c>
      <c r="S163" s="21">
        <v>2129.38</v>
      </c>
      <c r="T163" s="21">
        <v>782</v>
      </c>
      <c r="U163" s="21">
        <v>921.53</v>
      </c>
      <c r="V163" s="21">
        <v>1231.93</v>
      </c>
      <c r="W163" s="21">
        <v>784.86</v>
      </c>
      <c r="X163" s="21">
        <v>906.57</v>
      </c>
      <c r="Y163" s="21">
        <v>798.03</v>
      </c>
      <c r="Z163" s="21">
        <v>1235.94</v>
      </c>
      <c r="AA163" s="21">
        <f>SUM(O163:Z163)</f>
        <v>14668.180000000002</v>
      </c>
      <c r="AB163" s="311">
        <v>0.1866218175887</v>
      </c>
      <c r="AD163" s="21">
        <v>25964.06</v>
      </c>
      <c r="AE163" s="311">
        <v>0.19928561219794</v>
      </c>
      <c r="AF163" s="50">
        <f t="shared" si="70"/>
        <v>-11295.88</v>
      </c>
      <c r="AG163" s="21">
        <v>18305.93</v>
      </c>
      <c r="AH163" s="311">
        <v>0.21885186615386601</v>
      </c>
      <c r="AI163" s="50">
        <f t="shared" si="71"/>
        <v>-3637.7499999999982</v>
      </c>
    </row>
    <row r="164" spans="3:35" x14ac:dyDescent="0.25">
      <c r="C164" s="32"/>
      <c r="H164" s="149" t="s">
        <v>759</v>
      </c>
      <c r="I164" s="161"/>
      <c r="J164" s="161"/>
      <c r="L164" s="162"/>
      <c r="M164" s="162"/>
      <c r="N164" s="467" t="s">
        <v>1330</v>
      </c>
      <c r="O164" s="172">
        <v>0.21147923925950399</v>
      </c>
      <c r="P164" s="172">
        <v>0.122274207135214</v>
      </c>
      <c r="Q164" s="172">
        <v>0.18062793215445699</v>
      </c>
      <c r="R164" s="172">
        <v>0.15392656029393301</v>
      </c>
      <c r="S164" s="172">
        <v>0.29959198604310899</v>
      </c>
      <c r="T164" s="172">
        <v>0.131585589526999</v>
      </c>
      <c r="U164" s="172">
        <v>0.187531542531543</v>
      </c>
      <c r="V164" s="172">
        <v>0.25552352111507498</v>
      </c>
      <c r="W164" s="172">
        <v>0.202554970579127</v>
      </c>
      <c r="X164" s="172">
        <v>0.18682534775888701</v>
      </c>
      <c r="Y164" s="172">
        <v>0.124178012915273</v>
      </c>
      <c r="Z164" s="172">
        <v>0.20774195717215199</v>
      </c>
      <c r="AA164" s="172">
        <v>0.1866218175887</v>
      </c>
      <c r="AB164" s="311"/>
      <c r="AD164" s="172">
        <v>0.19928561219794</v>
      </c>
      <c r="AE164" s="311"/>
      <c r="AF164" s="468">
        <f t="shared" si="70"/>
        <v>-1.2663794609239998E-2</v>
      </c>
      <c r="AG164" s="172">
        <v>0.21885186615386601</v>
      </c>
      <c r="AH164" s="311"/>
      <c r="AI164" s="468">
        <f t="shared" si="71"/>
        <v>-3.2230048565166008E-2</v>
      </c>
    </row>
    <row r="165" spans="3:35" x14ac:dyDescent="0.25">
      <c r="C165" s="32"/>
      <c r="H165" s="149">
        <v>561500</v>
      </c>
      <c r="I165" s="161"/>
      <c r="J165" s="161"/>
      <c r="L165" s="162">
        <v>561500</v>
      </c>
      <c r="M165" s="162"/>
      <c r="N165" s="162" t="s">
        <v>1331</v>
      </c>
      <c r="O165" s="21">
        <v>5394.54</v>
      </c>
      <c r="P165" s="21">
        <v>3584.28</v>
      </c>
      <c r="Q165" s="21">
        <v>1467.2</v>
      </c>
      <c r="R165" s="21">
        <v>1555</v>
      </c>
      <c r="S165" s="21">
        <v>2803.61</v>
      </c>
      <c r="T165" s="21">
        <v>2499.54</v>
      </c>
      <c r="U165" s="21">
        <v>2068.65</v>
      </c>
      <c r="V165" s="21">
        <v>2338.7199999999998</v>
      </c>
      <c r="W165" s="21">
        <v>639.65</v>
      </c>
      <c r="X165" s="21">
        <v>1281.9000000000001</v>
      </c>
      <c r="Y165" s="21">
        <v>1624.6</v>
      </c>
      <c r="Z165" s="21">
        <v>1872.17</v>
      </c>
      <c r="AA165" s="21">
        <f>SUM(O165:Z165)</f>
        <v>27129.860000000008</v>
      </c>
      <c r="AB165" s="311">
        <v>0.27406814078305503</v>
      </c>
      <c r="AD165" s="21">
        <v>51078.57</v>
      </c>
      <c r="AE165" s="311">
        <v>0.230952966073454</v>
      </c>
      <c r="AF165" s="50">
        <f t="shared" si="70"/>
        <v>-23948.709999999992</v>
      </c>
      <c r="AG165" s="21">
        <v>41650.199999999997</v>
      </c>
      <c r="AH165" s="311">
        <v>0.29258068128190901</v>
      </c>
      <c r="AI165" s="50">
        <f t="shared" si="71"/>
        <v>-14520.339999999989</v>
      </c>
    </row>
    <row r="166" spans="3:35" x14ac:dyDescent="0.25">
      <c r="C166" s="32"/>
      <c r="H166" s="149" t="s">
        <v>760</v>
      </c>
      <c r="I166" s="161"/>
      <c r="J166" s="161"/>
      <c r="L166" s="162"/>
      <c r="M166" s="162"/>
      <c r="N166" s="467" t="s">
        <v>1332</v>
      </c>
      <c r="O166" s="172">
        <v>0.36913507595456402</v>
      </c>
      <c r="P166" s="172">
        <v>0.31747387068201899</v>
      </c>
      <c r="Q166" s="172">
        <v>0.12706616759362399</v>
      </c>
      <c r="R166" s="172">
        <v>0.193627356370216</v>
      </c>
      <c r="S166" s="172">
        <v>0.24516509846444401</v>
      </c>
      <c r="T166" s="172">
        <v>0.34179406536305201</v>
      </c>
      <c r="U166" s="172">
        <v>0.354462459004596</v>
      </c>
      <c r="V166" s="172">
        <v>0.41546223264407001</v>
      </c>
      <c r="W166" s="172">
        <v>0.172691684665227</v>
      </c>
      <c r="X166" s="172">
        <v>0.29684605409410902</v>
      </c>
      <c r="Y166" s="172">
        <v>0.24234739542932199</v>
      </c>
      <c r="Z166" s="172">
        <v>0.21850672617477601</v>
      </c>
      <c r="AA166" s="172">
        <v>0.27406814078305503</v>
      </c>
      <c r="AB166" s="311"/>
      <c r="AD166" s="172">
        <v>0.230952966073454</v>
      </c>
      <c r="AE166" s="311"/>
      <c r="AF166" s="468">
        <f t="shared" si="70"/>
        <v>4.3115174709601023E-2</v>
      </c>
      <c r="AG166" s="172">
        <v>0.29258068128190901</v>
      </c>
      <c r="AH166" s="311"/>
      <c r="AI166" s="468">
        <f t="shared" si="71"/>
        <v>-1.851254049885398E-2</v>
      </c>
    </row>
    <row r="167" spans="3:35" x14ac:dyDescent="0.25">
      <c r="C167" s="32"/>
      <c r="H167" s="149">
        <v>567200</v>
      </c>
      <c r="I167" s="161"/>
      <c r="J167" s="161"/>
      <c r="L167" s="162">
        <v>567200</v>
      </c>
      <c r="M167" s="162"/>
      <c r="N167" s="162" t="s">
        <v>1333</v>
      </c>
      <c r="O167" s="21">
        <v>283.23</v>
      </c>
      <c r="P167" s="21">
        <v>972.18</v>
      </c>
      <c r="Q167" s="21">
        <v>1365.24</v>
      </c>
      <c r="R167" s="21">
        <v>344.44</v>
      </c>
      <c r="S167" s="21">
        <v>1040.54</v>
      </c>
      <c r="T167" s="21">
        <v>670.59</v>
      </c>
      <c r="U167" s="21">
        <v>756</v>
      </c>
      <c r="V167" s="21">
        <v>791.86</v>
      </c>
      <c r="W167" s="21">
        <v>510.98</v>
      </c>
      <c r="X167" s="21">
        <v>988.88</v>
      </c>
      <c r="Y167" s="21">
        <v>1343.7</v>
      </c>
      <c r="Z167" s="21">
        <v>1394.09</v>
      </c>
      <c r="AA167" s="21">
        <f>SUM(O167:Z167)</f>
        <v>10461.73</v>
      </c>
      <c r="AB167" s="311">
        <v>0.29325685248396</v>
      </c>
      <c r="AD167" s="21">
        <v>9504.6911999999993</v>
      </c>
      <c r="AE167" s="311">
        <v>0.28799999999999998</v>
      </c>
      <c r="AF167" s="50">
        <f t="shared" si="70"/>
        <v>957.03880000000026</v>
      </c>
      <c r="AG167" s="21">
        <v>3939.37</v>
      </c>
      <c r="AH167" s="311">
        <v>0.31219374957898599</v>
      </c>
      <c r="AI167" s="50">
        <f t="shared" si="71"/>
        <v>6522.36</v>
      </c>
    </row>
    <row r="168" spans="3:35" x14ac:dyDescent="0.25">
      <c r="C168" s="32"/>
      <c r="H168" s="149"/>
      <c r="I168" s="161"/>
      <c r="J168" s="161"/>
      <c r="L168" s="162"/>
      <c r="M168" s="162"/>
      <c r="N168" s="467" t="s">
        <v>761</v>
      </c>
      <c r="O168" s="172">
        <f t="shared" ref="O168:AA168" si="72">IFERROR(O167/O96,"")</f>
        <v>0.11740882296856994</v>
      </c>
      <c r="P168" s="172">
        <f t="shared" si="72"/>
        <v>0.32623927837957556</v>
      </c>
      <c r="Q168" s="172">
        <f t="shared" si="72"/>
        <v>0.3005150781421968</v>
      </c>
      <c r="R168" s="172">
        <f t="shared" si="72"/>
        <v>0.15581078697023021</v>
      </c>
      <c r="S168" s="172">
        <f t="shared" si="72"/>
        <v>0.35200947225981055</v>
      </c>
      <c r="T168" s="172">
        <f t="shared" si="72"/>
        <v>0.26974658085277553</v>
      </c>
      <c r="U168" s="172">
        <f t="shared" si="72"/>
        <v>0.29865958732830039</v>
      </c>
      <c r="V168" s="172">
        <f t="shared" si="72"/>
        <v>0.26799287933450205</v>
      </c>
      <c r="W168" s="172">
        <f t="shared" si="72"/>
        <v>0.24994374822684629</v>
      </c>
      <c r="X168" s="172">
        <f t="shared" si="72"/>
        <v>0.34240997229916897</v>
      </c>
      <c r="Y168" s="172">
        <f t="shared" si="72"/>
        <v>0.59406071913311442</v>
      </c>
      <c r="Z168" s="172">
        <f t="shared" si="72"/>
        <v>0.25787828338882723</v>
      </c>
      <c r="AA168" s="172">
        <f t="shared" si="72"/>
        <v>0.29325685248395972</v>
      </c>
      <c r="AB168" s="311"/>
      <c r="AD168" s="172">
        <f>IFERROR(AD167/AD96,"")</f>
        <v>0.28799999999999998</v>
      </c>
      <c r="AE168" s="311"/>
      <c r="AF168" s="468">
        <f t="shared" si="70"/>
        <v>5.2568524839597397E-3</v>
      </c>
      <c r="AG168" s="172">
        <f>IFERROR(AG167/AG96,"")</f>
        <v>0.31219374957898616</v>
      </c>
      <c r="AH168" s="311"/>
      <c r="AI168" s="468">
        <f t="shared" si="71"/>
        <v>-1.8936897095026439E-2</v>
      </c>
    </row>
    <row r="169" spans="3:35" x14ac:dyDescent="0.25">
      <c r="C169" s="32"/>
      <c r="H169" s="149"/>
      <c r="I169" s="161"/>
      <c r="J169" s="161"/>
      <c r="L169" s="162"/>
      <c r="M169" s="162"/>
      <c r="N169" s="467"/>
      <c r="O169" s="510"/>
      <c r="P169" s="466"/>
      <c r="Q169" s="466"/>
      <c r="R169" s="466"/>
      <c r="S169" s="466"/>
      <c r="T169" s="466"/>
      <c r="U169" s="466"/>
      <c r="V169" s="466"/>
      <c r="W169" s="466"/>
      <c r="X169" s="466"/>
      <c r="Y169" s="466"/>
      <c r="Z169" s="466"/>
      <c r="AA169" s="466"/>
      <c r="AB169" s="511"/>
      <c r="AD169" s="510"/>
      <c r="AE169" s="466"/>
      <c r="AF169" s="466"/>
      <c r="AG169" s="466"/>
      <c r="AH169" s="466"/>
      <c r="AI169" s="511"/>
    </row>
    <row r="170" spans="3:35" x14ac:dyDescent="0.25">
      <c r="C170" s="32"/>
      <c r="H170" s="149" t="s">
        <v>286</v>
      </c>
      <c r="I170" s="161"/>
      <c r="J170" s="161"/>
      <c r="L170" s="162"/>
      <c r="M170" s="162"/>
      <c r="N170" s="162" t="s">
        <v>1227</v>
      </c>
      <c r="O170" s="21">
        <v>49514.94</v>
      </c>
      <c r="P170" s="21">
        <v>50745.57</v>
      </c>
      <c r="Q170" s="21">
        <v>49550.99</v>
      </c>
      <c r="R170" s="21">
        <v>35315.11</v>
      </c>
      <c r="S170" s="21">
        <v>39041.339999999997</v>
      </c>
      <c r="T170" s="21">
        <v>30926.29</v>
      </c>
      <c r="U170" s="21">
        <v>29856.34</v>
      </c>
      <c r="V170" s="21">
        <v>31894.44</v>
      </c>
      <c r="W170" s="21">
        <v>21325.64</v>
      </c>
      <c r="X170" s="21">
        <v>25719.05</v>
      </c>
      <c r="Y170" s="21">
        <v>24521.79</v>
      </c>
      <c r="Z170" s="21">
        <v>41676.21</v>
      </c>
      <c r="AA170" s="21">
        <f>SUM(O170:Z170)</f>
        <v>430087.71</v>
      </c>
      <c r="AB170" s="311">
        <v>0.260892796292924</v>
      </c>
      <c r="AD170" s="21">
        <v>761259.74497500004</v>
      </c>
      <c r="AE170" s="311">
        <v>0.26019230625283901</v>
      </c>
      <c r="AF170" s="50">
        <f>IF(AND($AA170="",AD170=""),"",$AA170-AD170)</f>
        <v>-331172.03497500002</v>
      </c>
      <c r="AG170" s="21">
        <v>546711.06999999995</v>
      </c>
      <c r="AH170" s="311">
        <v>0.28041853334372202</v>
      </c>
      <c r="AI170" s="50">
        <f>IF(AND($AA170="",AG170=""),"",$AA170-AG170)</f>
        <v>-116623.35999999993</v>
      </c>
    </row>
    <row r="171" spans="3:35" x14ac:dyDescent="0.25">
      <c r="C171" s="32"/>
      <c r="H171" s="149"/>
      <c r="I171" s="161"/>
      <c r="J171" s="161"/>
      <c r="L171" s="162"/>
      <c r="M171" s="162"/>
      <c r="N171" s="467" t="s">
        <v>762</v>
      </c>
      <c r="O171" s="172">
        <f t="shared" ref="O171:AA171" si="73">IFERROR(O170/O102,"")</f>
        <v>0.2411839993328769</v>
      </c>
      <c r="P171" s="172">
        <f t="shared" si="73"/>
        <v>0.27158491095572307</v>
      </c>
      <c r="Q171" s="172">
        <f t="shared" si="73"/>
        <v>0.26002251314425584</v>
      </c>
      <c r="R171" s="172">
        <f t="shared" si="73"/>
        <v>0.25023703889195115</v>
      </c>
      <c r="S171" s="172">
        <f t="shared" si="73"/>
        <v>0.27497224312459168</v>
      </c>
      <c r="T171" s="172">
        <f t="shared" si="73"/>
        <v>0.24720225480617472</v>
      </c>
      <c r="U171" s="172">
        <f t="shared" si="73"/>
        <v>0.26956495045482248</v>
      </c>
      <c r="V171" s="172">
        <f t="shared" si="73"/>
        <v>0.32288380848214815</v>
      </c>
      <c r="W171" s="172">
        <f t="shared" si="73"/>
        <v>0.23452224386348211</v>
      </c>
      <c r="X171" s="172">
        <f t="shared" si="73"/>
        <v>0.28054390003367308</v>
      </c>
      <c r="Y171" s="172">
        <f t="shared" si="73"/>
        <v>0.24539298789686442</v>
      </c>
      <c r="Z171" s="172">
        <f t="shared" si="73"/>
        <v>0.25178859869077352</v>
      </c>
      <c r="AA171" s="172">
        <f t="shared" si="73"/>
        <v>0.26089279629292356</v>
      </c>
      <c r="AB171" s="311"/>
      <c r="AD171" s="172">
        <f>IFERROR(AD170/AD102,"")</f>
        <v>0.26019230625283857</v>
      </c>
      <c r="AE171" s="311"/>
      <c r="AF171" s="468">
        <f>IF(AND($AA171="",AD171=""),"",$AA171-AD171)</f>
        <v>7.0049004008498894E-4</v>
      </c>
      <c r="AG171" s="172">
        <f>IFERROR(AG170/AG102,"")</f>
        <v>0.2804185333437223</v>
      </c>
      <c r="AH171" s="311"/>
      <c r="AI171" s="468">
        <f>IF(AND($AA171="",AG171=""),"",$AA171-AG171)</f>
        <v>-1.9525737050798742E-2</v>
      </c>
    </row>
    <row r="173" spans="3:35" x14ac:dyDescent="0.25">
      <c r="C173" s="32"/>
      <c r="H173" s="149"/>
      <c r="I173" s="161"/>
      <c r="J173" s="161"/>
      <c r="N173" s="26" t="str">
        <f>N102&amp;" - Check"</f>
        <v>Total Food &amp; Beverage Revenue - Check</v>
      </c>
      <c r="O173" s="139">
        <f t="shared" ref="O173:AA173" si="74">O39+O48+O57+O66+O75+O84+O90+O97+O99-O102</f>
        <v>0</v>
      </c>
      <c r="P173" s="139">
        <f t="shared" si="74"/>
        <v>0</v>
      </c>
      <c r="Q173" s="139">
        <f t="shared" si="74"/>
        <v>0</v>
      </c>
      <c r="R173" s="139">
        <f t="shared" si="74"/>
        <v>0</v>
      </c>
      <c r="S173" s="139">
        <f t="shared" si="74"/>
        <v>0</v>
      </c>
      <c r="T173" s="139">
        <f t="shared" si="74"/>
        <v>0</v>
      </c>
      <c r="U173" s="139">
        <f t="shared" si="74"/>
        <v>0</v>
      </c>
      <c r="V173" s="139">
        <f t="shared" si="74"/>
        <v>0</v>
      </c>
      <c r="W173" s="139">
        <f t="shared" si="74"/>
        <v>0</v>
      </c>
      <c r="X173" s="139">
        <f t="shared" si="74"/>
        <v>0</v>
      </c>
      <c r="Y173" s="139">
        <f t="shared" si="74"/>
        <v>0</v>
      </c>
      <c r="Z173" s="139">
        <f t="shared" si="74"/>
        <v>0</v>
      </c>
      <c r="AA173" s="139">
        <f t="shared" si="74"/>
        <v>0</v>
      </c>
      <c r="AB173" s="17"/>
      <c r="AD173" s="139">
        <f>AD39+AD48+AD57+AD66+AD75+AD97+AD99-AD102</f>
        <v>-41435</v>
      </c>
      <c r="AE173" s="17"/>
      <c r="AF173" s="21"/>
      <c r="AG173" s="139">
        <f>AG39+AG48+AG57+AG66+AG75+AG97+AG99-AG102</f>
        <v>-2329</v>
      </c>
      <c r="AH173" s="17"/>
      <c r="AI173" s="21"/>
    </row>
    <row r="174" spans="3:35" x14ac:dyDescent="0.25">
      <c r="C174" s="32"/>
      <c r="H174" s="149"/>
      <c r="I174" s="161"/>
      <c r="J174" s="161"/>
      <c r="N174" s="26" t="str">
        <f>N104&amp;" - Check"</f>
        <v>Total Customers (excl Mini Bar) - Check</v>
      </c>
      <c r="O174" s="139">
        <f t="shared" ref="O174:AA174" si="75">O40+O49+O58+O67+O76+O85+O91-O104</f>
        <v>0</v>
      </c>
      <c r="P174" s="139">
        <f t="shared" si="75"/>
        <v>0</v>
      </c>
      <c r="Q174" s="139">
        <f t="shared" si="75"/>
        <v>0</v>
      </c>
      <c r="R174" s="139">
        <f t="shared" si="75"/>
        <v>0</v>
      </c>
      <c r="S174" s="139">
        <f t="shared" si="75"/>
        <v>0</v>
      </c>
      <c r="T174" s="139">
        <f t="shared" si="75"/>
        <v>0</v>
      </c>
      <c r="U174" s="139">
        <f t="shared" si="75"/>
        <v>0</v>
      </c>
      <c r="V174" s="139">
        <f t="shared" si="75"/>
        <v>0</v>
      </c>
      <c r="W174" s="139">
        <f t="shared" si="75"/>
        <v>0</v>
      </c>
      <c r="X174" s="139">
        <f t="shared" si="75"/>
        <v>0</v>
      </c>
      <c r="Y174" s="139">
        <f t="shared" si="75"/>
        <v>0</v>
      </c>
      <c r="Z174" s="139">
        <f t="shared" si="75"/>
        <v>0</v>
      </c>
      <c r="AA174" s="139">
        <f t="shared" si="75"/>
        <v>0</v>
      </c>
      <c r="AB174" s="17"/>
      <c r="AD174" s="139">
        <f>AD40+AD49+AD58+AD67+AD76-AD104</f>
        <v>-513</v>
      </c>
      <c r="AE174" s="17"/>
      <c r="AF174" s="21"/>
      <c r="AG174" s="139">
        <f>AG40+AG49+AG58+AG67+AG76-AG104</f>
        <v>-186</v>
      </c>
      <c r="AH174" s="17"/>
      <c r="AI174" s="21"/>
    </row>
    <row r="175" spans="3:35" x14ac:dyDescent="0.25">
      <c r="H175" s="149"/>
      <c r="I175" s="161"/>
      <c r="J175" s="161"/>
      <c r="N175" s="26" t="s">
        <v>768</v>
      </c>
      <c r="O175" s="139">
        <f t="shared" ref="O175:AA175" si="76">(O152+O159)-O170</f>
        <v>0</v>
      </c>
      <c r="P175" s="139">
        <f t="shared" si="76"/>
        <v>0</v>
      </c>
      <c r="Q175" s="139">
        <f t="shared" si="76"/>
        <v>0</v>
      </c>
      <c r="R175" s="139">
        <f t="shared" si="76"/>
        <v>0</v>
      </c>
      <c r="S175" s="139">
        <f t="shared" si="76"/>
        <v>0</v>
      </c>
      <c r="T175" s="139">
        <f t="shared" si="76"/>
        <v>0</v>
      </c>
      <c r="U175" s="139">
        <f t="shared" si="76"/>
        <v>0</v>
      </c>
      <c r="V175" s="139">
        <f t="shared" si="76"/>
        <v>0</v>
      </c>
      <c r="W175" s="139">
        <f t="shared" si="76"/>
        <v>0</v>
      </c>
      <c r="X175" s="139">
        <f t="shared" si="76"/>
        <v>0</v>
      </c>
      <c r="Y175" s="139">
        <f t="shared" si="76"/>
        <v>0</v>
      </c>
      <c r="Z175" s="139">
        <f t="shared" si="76"/>
        <v>0</v>
      </c>
      <c r="AA175" s="139">
        <f t="shared" si="76"/>
        <v>0</v>
      </c>
      <c r="AB175" s="17"/>
      <c r="AD175" s="139">
        <f>(AD152+AD159)-AD170</f>
        <v>0</v>
      </c>
      <c r="AE175" s="17"/>
      <c r="AF175" s="21"/>
      <c r="AG175" s="139">
        <f>(AG152+AG159)-AG170</f>
        <v>0</v>
      </c>
      <c r="AH175" s="17"/>
      <c r="AI175" s="21"/>
    </row>
    <row r="185" spans="9:34" x14ac:dyDescent="0.25">
      <c r="I185" s="76"/>
      <c r="J185" s="1"/>
      <c r="K185" s="76"/>
      <c r="L185" s="76"/>
      <c r="M185" s="76"/>
      <c r="O185" s="76"/>
      <c r="P185" s="76"/>
      <c r="Q185" s="76"/>
      <c r="R185" s="76"/>
      <c r="S185" s="76"/>
      <c r="T185" s="76"/>
      <c r="U185" s="76"/>
      <c r="V185" s="76"/>
      <c r="W185" s="76"/>
      <c r="X185" s="76"/>
      <c r="Y185" s="76"/>
      <c r="Z185" s="76"/>
      <c r="AA185" s="76"/>
      <c r="AD185" s="76"/>
      <c r="AF185" s="76"/>
      <c r="AH185" s="76"/>
    </row>
    <row r="189" spans="9:34" x14ac:dyDescent="0.25">
      <c r="I189" s="76"/>
      <c r="J189" s="1"/>
      <c r="K189" s="76"/>
      <c r="L189" s="76"/>
      <c r="M189" s="76"/>
      <c r="O189" s="76"/>
      <c r="P189" s="76"/>
      <c r="Q189" s="76"/>
      <c r="R189" s="76"/>
      <c r="S189" s="76"/>
      <c r="T189" s="76"/>
      <c r="U189" s="76"/>
      <c r="V189" s="76"/>
      <c r="W189" s="76"/>
      <c r="X189" s="76"/>
      <c r="Y189" s="76"/>
      <c r="Z189" s="76"/>
      <c r="AA189" s="76"/>
      <c r="AD189" s="76"/>
      <c r="AF189" s="76"/>
      <c r="AH189" s="76"/>
    </row>
    <row r="226" spans="5:5" x14ac:dyDescent="0.25">
      <c r="E226" s="76"/>
    </row>
    <row r="230" spans="5:5" x14ac:dyDescent="0.25">
      <c r="E230" s="76"/>
    </row>
  </sheetData>
  <mergeCells count="2">
    <mergeCell ref="AD31:AE31"/>
    <mergeCell ref="AG31:AH31"/>
  </mergeCells>
  <conditionalFormatting sqref="AD42 AF42:AG42 O42:AA42">
    <cfRule type="expression" dxfId="332" priority="13">
      <formula>ROUND(O41,2)&lt;&gt;ROUND(O42,2)</formula>
    </cfRule>
  </conditionalFormatting>
  <conditionalFormatting sqref="N42">
    <cfRule type="expression" dxfId="331" priority="12">
      <formula>$G42&lt;&gt;0</formula>
    </cfRule>
  </conditionalFormatting>
  <conditionalFormatting sqref="O51:AA51 AD51 AF51:AG51">
    <cfRule type="expression" dxfId="330" priority="15">
      <formula>ROUND(O50,2)&lt;&gt;ROUND(O51,2)</formula>
    </cfRule>
  </conditionalFormatting>
  <conditionalFormatting sqref="N51">
    <cfRule type="expression" dxfId="329" priority="14">
      <formula>$G51&lt;&gt;0</formula>
    </cfRule>
  </conditionalFormatting>
  <conditionalFormatting sqref="O60:AA60 AD60 AF60:AG60">
    <cfRule type="expression" dxfId="328" priority="17">
      <formula>ROUND(O59,2)&lt;&gt;ROUND(O60,2)</formula>
    </cfRule>
  </conditionalFormatting>
  <conditionalFormatting sqref="N60">
    <cfRule type="expression" dxfId="327" priority="16">
      <formula>$G60&lt;&gt;0</formula>
    </cfRule>
  </conditionalFormatting>
  <conditionalFormatting sqref="O69:AA69 AD69 AF69:AG69">
    <cfRule type="expression" dxfId="326" priority="19">
      <formula>ROUND(O68,2)&lt;&gt;ROUND(O69,2)</formula>
    </cfRule>
  </conditionalFormatting>
  <conditionalFormatting sqref="N69">
    <cfRule type="expression" dxfId="325" priority="18">
      <formula>$G69&lt;&gt;0</formula>
    </cfRule>
  </conditionalFormatting>
  <conditionalFormatting sqref="N93">
    <cfRule type="expression" dxfId="324" priority="20">
      <formula>$G93&lt;&gt;0</formula>
    </cfRule>
  </conditionalFormatting>
  <conditionalFormatting sqref="O93:AA93 AD93 AF93:AG93">
    <cfRule type="expression" dxfId="323" priority="21">
      <formula>ROUND(O77,2)&lt;&gt;ROUND(O93,2)</formula>
    </cfRule>
  </conditionalFormatting>
  <conditionalFormatting sqref="AI42">
    <cfRule type="expression" dxfId="322" priority="11">
      <formula>ROUND(AI41,2)&lt;&gt;ROUND(AI42,2)</formula>
    </cfRule>
  </conditionalFormatting>
  <conditionalFormatting sqref="AI51">
    <cfRule type="expression" dxfId="321" priority="10">
      <formula>ROUND(AI50,2)&lt;&gt;ROUND(AI51,2)</formula>
    </cfRule>
  </conditionalFormatting>
  <conditionalFormatting sqref="AI60">
    <cfRule type="expression" dxfId="320" priority="9">
      <formula>ROUND(AI59,2)&lt;&gt;ROUND(AI60,2)</formula>
    </cfRule>
  </conditionalFormatting>
  <conditionalFormatting sqref="AI69">
    <cfRule type="expression" dxfId="319" priority="8">
      <formula>ROUND(AI68,2)&lt;&gt;ROUND(AI69,2)</formula>
    </cfRule>
  </conditionalFormatting>
  <conditionalFormatting sqref="AI93">
    <cfRule type="expression" dxfId="318" priority="7">
      <formula>ROUND(AI77,2)&lt;&gt;ROUND(AI93,2)</formula>
    </cfRule>
  </conditionalFormatting>
  <conditionalFormatting sqref="O78:AA78 AD78 AF78:AG78">
    <cfRule type="expression" dxfId="317" priority="6">
      <formula>ROUND(O77,2)&lt;&gt;ROUND(O78,2)</formula>
    </cfRule>
  </conditionalFormatting>
  <conditionalFormatting sqref="AI87">
    <cfRule type="expression" dxfId="316" priority="1">
      <formula>ROUND(AI86,2)&lt;&gt;ROUND(AI87,2)</formula>
    </cfRule>
  </conditionalFormatting>
  <conditionalFormatting sqref="N78">
    <cfRule type="expression" dxfId="315" priority="5">
      <formula>$G78&lt;&gt;0</formula>
    </cfRule>
  </conditionalFormatting>
  <conditionalFormatting sqref="AI78">
    <cfRule type="expression" dxfId="314" priority="4">
      <formula>ROUND(AI77,2)&lt;&gt;ROUND(AI78,2)</formula>
    </cfRule>
  </conditionalFormatting>
  <conditionalFormatting sqref="O87:AA87 AD87 AF87:AG87">
    <cfRule type="expression" dxfId="313" priority="3">
      <formula>ROUND(O86,2)&lt;&gt;ROUND(O87,2)</formula>
    </cfRule>
  </conditionalFormatting>
  <conditionalFormatting sqref="N87">
    <cfRule type="expression" dxfId="312" priority="2">
      <formula>$G87&lt;&gt;0</formula>
    </cfRule>
  </conditionalFormatting>
  <dataValidations count="2">
    <dataValidation type="list" allowBlank="1" sqref="B29" xr:uid="{00000000-0002-0000-0D00-000000000000}">
      <formula1>"SELF,ALL,BAS,DEP,BASMEMBERS,MEMBERS,NOEXPAND,GDEP"</formula1>
    </dataValidation>
    <dataValidation type="list" allowBlank="1" sqref="B28" xr:uid="{00000000-0002-0000-0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6900"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6900" r:id="rId5" name="FPMExcelClientSheetOptionstb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6" tint="0.39997558519241921"/>
    <pageSetUpPr fitToPage="1"/>
  </sheetPr>
  <dimension ref="A1:AO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725</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D2140</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D2140</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v>42046.04</v>
      </c>
      <c r="P35" s="310">
        <v>35310.639999999999</v>
      </c>
      <c r="Q35" s="310">
        <v>45660.22</v>
      </c>
      <c r="R35" s="310">
        <v>39847.199999999997</v>
      </c>
      <c r="S35" s="310">
        <v>30824.42</v>
      </c>
      <c r="T35" s="310">
        <v>33722.17</v>
      </c>
      <c r="U35" s="310">
        <v>32263.02</v>
      </c>
      <c r="V35" s="310">
        <v>30635.23</v>
      </c>
      <c r="W35" s="310">
        <v>23265.599999999999</v>
      </c>
      <c r="X35" s="310">
        <v>22337.919999999998</v>
      </c>
      <c r="Y35" s="310">
        <v>26327.37</v>
      </c>
      <c r="Z35" s="310">
        <v>37691.620000000003</v>
      </c>
      <c r="AA35" s="310" t="e">
        <f t="shared" ref="AA35:AA58" ca="1" si="0">IF($I35="B1","",SUM(O35:Z35))</f>
        <v>#NAME?</v>
      </c>
      <c r="AB35" s="311" t="e">
        <f t="shared" ref="AB35:AB58" ca="1" si="1">IF(AA35=0,"",IFERROR(AA35/AA$19,""))</f>
        <v>#NAME?</v>
      </c>
      <c r="AC35" s="328"/>
      <c r="AD35" s="310">
        <v>626554.28649299999</v>
      </c>
      <c r="AE35" s="311" t="str">
        <f t="shared" ref="AE35:AE58" ca="1" si="2">IF(AD35=0,"",IFERROR(AD35/AD$19,""))</f>
        <v/>
      </c>
      <c r="AF35" s="312" t="e">
        <f t="shared" ref="AF35:AF58" ca="1" si="3">IF(AND($AA35="",AD35=""),"",$AA35-AD35)</f>
        <v>#NAME?</v>
      </c>
      <c r="AG35" s="310">
        <v>480784.08</v>
      </c>
      <c r="AH35" s="311" t="str">
        <f ca="1">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v>19514.900000000001</v>
      </c>
      <c r="P37" s="310">
        <v>15544.5</v>
      </c>
      <c r="Q37" s="310">
        <v>18386</v>
      </c>
      <c r="R37" s="310">
        <v>15317.99</v>
      </c>
      <c r="S37" s="310">
        <v>9881.64</v>
      </c>
      <c r="T37" s="310">
        <v>10621.1</v>
      </c>
      <c r="U37" s="310">
        <v>10042.02</v>
      </c>
      <c r="V37" s="310">
        <v>8974</v>
      </c>
      <c r="W37" s="310">
        <v>1137.18</v>
      </c>
      <c r="X37" s="310">
        <v>-212.96</v>
      </c>
      <c r="Y37" s="310">
        <v>-59.77</v>
      </c>
      <c r="Z37" s="310">
        <v>-79.83</v>
      </c>
      <c r="AA37" s="310" t="e">
        <f t="shared" ca="1" si="0"/>
        <v>#NAME?</v>
      </c>
      <c r="AB37" s="311" t="e">
        <f t="shared" ca="1" si="1"/>
        <v>#NAME?</v>
      </c>
      <c r="AC37" s="328"/>
      <c r="AD37" s="310">
        <v>343621.27695500001</v>
      </c>
      <c r="AE37" s="311" t="str">
        <f t="shared" ca="1" si="2"/>
        <v/>
      </c>
      <c r="AF37" s="312" t="e">
        <f t="shared" ca="1" si="3"/>
        <v>#NAME?</v>
      </c>
      <c r="AG37" s="310">
        <v>224392.67</v>
      </c>
      <c r="AH37" s="311" t="str">
        <f t="shared" ca="1"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61560.94</v>
      </c>
      <c r="P40" s="134">
        <v>50855.14</v>
      </c>
      <c r="Q40" s="134">
        <v>64046.22</v>
      </c>
      <c r="R40" s="134">
        <v>55165.19</v>
      </c>
      <c r="S40" s="134">
        <v>40706.06</v>
      </c>
      <c r="T40" s="134">
        <v>44343.27</v>
      </c>
      <c r="U40" s="134">
        <v>42305.04</v>
      </c>
      <c r="V40" s="134">
        <v>39609.230000000003</v>
      </c>
      <c r="W40" s="134">
        <v>24402.78</v>
      </c>
      <c r="X40" s="134">
        <v>22124.959999999999</v>
      </c>
      <c r="Y40" s="134">
        <v>26267.599999999999</v>
      </c>
      <c r="Z40" s="134">
        <v>37611.79</v>
      </c>
      <c r="AA40" s="134" t="e">
        <f t="shared" ca="1" si="0"/>
        <v>#NAME?</v>
      </c>
      <c r="AB40" s="135" t="e">
        <f t="shared" ca="1" si="1"/>
        <v>#NAME?</v>
      </c>
      <c r="AC40" s="137"/>
      <c r="AD40" s="134">
        <v>970175.563448</v>
      </c>
      <c r="AE40" s="135" t="str">
        <f t="shared" ca="1" si="2"/>
        <v/>
      </c>
      <c r="AF40" s="136" t="e">
        <f t="shared" ca="1" si="3"/>
        <v>#NAME?</v>
      </c>
      <c r="AG40" s="134">
        <v>705176.75</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v>4514.88</v>
      </c>
      <c r="P42" s="310">
        <v>3584</v>
      </c>
      <c r="Q42" s="310">
        <v>6194.34</v>
      </c>
      <c r="R42" s="310">
        <v>4938.5</v>
      </c>
      <c r="S42" s="310">
        <v>4354</v>
      </c>
      <c r="T42" s="310">
        <v>3520.5</v>
      </c>
      <c r="U42" s="310">
        <v>3364</v>
      </c>
      <c r="V42" s="310">
        <v>3267</v>
      </c>
      <c r="W42" s="310">
        <v>2771.8</v>
      </c>
      <c r="X42" s="310">
        <v>2408</v>
      </c>
      <c r="Y42" s="310">
        <v>3730</v>
      </c>
      <c r="Z42" s="310">
        <v>3081</v>
      </c>
      <c r="AA42" s="310" t="e">
        <f t="shared" ca="1" si="0"/>
        <v>#NAME?</v>
      </c>
      <c r="AB42" s="311" t="e">
        <f t="shared" ca="1" si="1"/>
        <v>#NAME?</v>
      </c>
      <c r="AC42" s="328"/>
      <c r="AD42" s="310">
        <v>97703.003507000001</v>
      </c>
      <c r="AE42" s="311" t="str">
        <f t="shared" ca="1" si="2"/>
        <v/>
      </c>
      <c r="AF42" s="312" t="e">
        <f t="shared" ca="1" si="3"/>
        <v>#NAME?</v>
      </c>
      <c r="AG42" s="310">
        <v>69983.88</v>
      </c>
      <c r="AH42" s="311" t="str">
        <f t="shared" ca="1"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v>6899</v>
      </c>
      <c r="P44" s="310">
        <v>4677.2</v>
      </c>
      <c r="Q44" s="310">
        <v>5512</v>
      </c>
      <c r="R44" s="310">
        <v>4640.01</v>
      </c>
      <c r="S44" s="310">
        <v>3370</v>
      </c>
      <c r="T44" s="310">
        <v>2815</v>
      </c>
      <c r="U44" s="310">
        <v>2494.2199999999998</v>
      </c>
      <c r="V44" s="310">
        <v>2735</v>
      </c>
      <c r="W44" s="310">
        <v>56</v>
      </c>
      <c r="X44" s="310"/>
      <c r="Y44" s="310"/>
      <c r="Z44" s="310"/>
      <c r="AA44" s="310" t="e">
        <f t="shared" ca="1" si="0"/>
        <v>#NAME?</v>
      </c>
      <c r="AB44" s="311" t="e">
        <f t="shared" ca="1" si="1"/>
        <v>#NAME?</v>
      </c>
      <c r="AC44" s="328"/>
      <c r="AD44" s="310">
        <v>138836.74304500001</v>
      </c>
      <c r="AE44" s="311" t="str">
        <f t="shared" ca="1" si="2"/>
        <v/>
      </c>
      <c r="AF44" s="312" t="e">
        <f t="shared" ca="1" si="3"/>
        <v>#NAME?</v>
      </c>
      <c r="AG44" s="310">
        <v>85012.57</v>
      </c>
      <c r="AH44" s="311" t="str">
        <f t="shared" ca="1"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11413.88</v>
      </c>
      <c r="P47" s="134">
        <v>8261.2000000000007</v>
      </c>
      <c r="Q47" s="134">
        <v>11706.34</v>
      </c>
      <c r="R47" s="134">
        <v>9578.51</v>
      </c>
      <c r="S47" s="134">
        <v>7724</v>
      </c>
      <c r="T47" s="134">
        <v>6335.5</v>
      </c>
      <c r="U47" s="134">
        <v>5858.22</v>
      </c>
      <c r="V47" s="134">
        <v>6002</v>
      </c>
      <c r="W47" s="134">
        <v>2827.8</v>
      </c>
      <c r="X47" s="134">
        <v>2408</v>
      </c>
      <c r="Y47" s="134">
        <v>3730</v>
      </c>
      <c r="Z47" s="134">
        <v>3081</v>
      </c>
      <c r="AA47" s="134" t="e">
        <f t="shared" ca="1" si="0"/>
        <v>#NAME?</v>
      </c>
      <c r="AB47" s="135" t="e">
        <f t="shared" ca="1" si="1"/>
        <v>#NAME?</v>
      </c>
      <c r="AC47" s="137"/>
      <c r="AD47" s="134">
        <v>236539.746552</v>
      </c>
      <c r="AE47" s="135" t="str">
        <f t="shared" ca="1" si="2"/>
        <v/>
      </c>
      <c r="AF47" s="136" t="e">
        <f t="shared" ca="1" si="3"/>
        <v>#NAME?</v>
      </c>
      <c r="AG47" s="134">
        <v>154996.45000000001</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v>-56</v>
      </c>
      <c r="Q48" s="47"/>
      <c r="R48" s="47">
        <v>-133.71</v>
      </c>
      <c r="S48" s="47">
        <v>-527.83000000000004</v>
      </c>
      <c r="T48" s="47"/>
      <c r="U48" s="47"/>
      <c r="V48" s="47">
        <v>-105.94</v>
      </c>
      <c r="W48" s="47"/>
      <c r="X48" s="47"/>
      <c r="Y48" s="47">
        <v>-10.18</v>
      </c>
      <c r="Z48" s="47"/>
      <c r="AA48" s="47" t="e">
        <f t="shared" ca="1" si="0"/>
        <v>#NAME?</v>
      </c>
      <c r="AB48" s="48" t="e">
        <f t="shared" ca="1" si="1"/>
        <v>#NAME?</v>
      </c>
      <c r="AC48" s="54"/>
      <c r="AD48" s="47"/>
      <c r="AE48" s="48" t="str">
        <f t="shared" si="2"/>
        <v/>
      </c>
      <c r="AF48" s="150" t="e">
        <f t="shared" ca="1" si="3"/>
        <v>#NAME?</v>
      </c>
      <c r="AG48" s="47">
        <v>-931.3</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72974.820000000007</v>
      </c>
      <c r="P49" s="134">
        <v>59060.34</v>
      </c>
      <c r="Q49" s="134">
        <v>75752.56</v>
      </c>
      <c r="R49" s="134">
        <v>64609.99</v>
      </c>
      <c r="S49" s="134">
        <v>47902.23</v>
      </c>
      <c r="T49" s="134">
        <v>50678.77</v>
      </c>
      <c r="U49" s="134">
        <v>48163.26</v>
      </c>
      <c r="V49" s="134">
        <v>45505.29</v>
      </c>
      <c r="W49" s="134">
        <v>27230.58</v>
      </c>
      <c r="X49" s="134">
        <v>24532.959999999999</v>
      </c>
      <c r="Y49" s="134">
        <v>29987.42</v>
      </c>
      <c r="Z49" s="134">
        <v>40692.79</v>
      </c>
      <c r="AA49" s="134" t="e">
        <f t="shared" ca="1" si="0"/>
        <v>#NAME?</v>
      </c>
      <c r="AB49" s="135" t="e">
        <f t="shared" ca="1" si="1"/>
        <v>#NAME?</v>
      </c>
      <c r="AC49" s="137"/>
      <c r="AD49" s="134">
        <v>1206715.31</v>
      </c>
      <c r="AE49" s="135" t="str">
        <f t="shared" ca="1" si="2"/>
        <v/>
      </c>
      <c r="AF49" s="136" t="e">
        <f t="shared" ca="1" si="3"/>
        <v>#NAME?</v>
      </c>
      <c r="AG49" s="134">
        <v>859241.9</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13904.16</v>
      </c>
      <c r="P54" s="310">
        <v>11699.31</v>
      </c>
      <c r="Q54" s="310">
        <v>14429.39</v>
      </c>
      <c r="R54" s="310">
        <v>12430.67</v>
      </c>
      <c r="S54" s="310">
        <v>9226.08</v>
      </c>
      <c r="T54" s="310">
        <v>9788.67</v>
      </c>
      <c r="U54" s="310">
        <v>9505.17</v>
      </c>
      <c r="V54" s="310">
        <v>8911.41</v>
      </c>
      <c r="W54" s="310">
        <v>5348.24</v>
      </c>
      <c r="X54" s="310">
        <v>5168.1499999999996</v>
      </c>
      <c r="Y54" s="310">
        <v>5917.89</v>
      </c>
      <c r="Z54" s="310">
        <v>7938.25</v>
      </c>
      <c r="AA54" s="310" t="e">
        <f t="shared" ca="1" si="0"/>
        <v>#NAME?</v>
      </c>
      <c r="AB54" s="311" t="e">
        <f t="shared" ca="1" si="1"/>
        <v>#NAME?</v>
      </c>
      <c r="AC54" s="328"/>
      <c r="AD54" s="310">
        <v>217208.75580000001</v>
      </c>
      <c r="AE54" s="311" t="str">
        <f t="shared" ca="1" si="2"/>
        <v/>
      </c>
      <c r="AF54" s="312" t="e">
        <f t="shared" ca="1" si="3"/>
        <v>#NAME?</v>
      </c>
      <c r="AG54" s="310">
        <v>159872.54</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314</v>
      </c>
      <c r="P55" s="310">
        <v>178</v>
      </c>
      <c r="Q55" s="310">
        <v>321</v>
      </c>
      <c r="R55" s="310">
        <v>190</v>
      </c>
      <c r="S55" s="310">
        <v>282</v>
      </c>
      <c r="T55" s="310">
        <v>290</v>
      </c>
      <c r="U55" s="310">
        <v>235</v>
      </c>
      <c r="V55" s="310">
        <v>134</v>
      </c>
      <c r="W55" s="310">
        <v>173</v>
      </c>
      <c r="X55" s="310">
        <v>121</v>
      </c>
      <c r="Y55" s="310">
        <v>119</v>
      </c>
      <c r="Z55" s="310">
        <v>232</v>
      </c>
      <c r="AA55" s="310" t="e">
        <f t="shared" ca="1" si="0"/>
        <v>#NAME?</v>
      </c>
      <c r="AB55" s="311" t="e">
        <f t="shared" ca="1" si="1"/>
        <v>#NAME?</v>
      </c>
      <c r="AC55" s="328"/>
      <c r="AD55" s="310"/>
      <c r="AE55" s="311" t="str">
        <f t="shared" si="2"/>
        <v/>
      </c>
      <c r="AF55" s="312" t="e">
        <f t="shared" ca="1" si="3"/>
        <v>#NAME?</v>
      </c>
      <c r="AG55" s="310">
        <v>3707</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14218.16</v>
      </c>
      <c r="P57" s="36">
        <v>11877.31</v>
      </c>
      <c r="Q57" s="36">
        <v>14750.39</v>
      </c>
      <c r="R57" s="36">
        <v>12620.67</v>
      </c>
      <c r="S57" s="36">
        <v>9508.08</v>
      </c>
      <c r="T57" s="36">
        <v>10078.67</v>
      </c>
      <c r="U57" s="36">
        <v>9740.17</v>
      </c>
      <c r="V57" s="36">
        <v>9045.41</v>
      </c>
      <c r="W57" s="36">
        <v>5521.24</v>
      </c>
      <c r="X57" s="36">
        <v>5289.15</v>
      </c>
      <c r="Y57" s="36">
        <v>6036.89</v>
      </c>
      <c r="Z57" s="36">
        <v>8170.25</v>
      </c>
      <c r="AA57" s="36" t="e">
        <f t="shared" ca="1" si="0"/>
        <v>#NAME?</v>
      </c>
      <c r="AB57" s="37" t="e">
        <f t="shared" ca="1" si="1"/>
        <v>#NAME?</v>
      </c>
      <c r="AC57" s="35"/>
      <c r="AD57" s="36">
        <v>217208.75580000001</v>
      </c>
      <c r="AE57" s="37" t="str">
        <f t="shared" ca="1" si="2"/>
        <v/>
      </c>
      <c r="AF57" s="58" t="e">
        <f t="shared" ca="1" si="3"/>
        <v>#NAME?</v>
      </c>
      <c r="AG57" s="36">
        <v>163579.54</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87192.98</v>
      </c>
      <c r="P58" s="134">
        <v>70937.649999999994</v>
      </c>
      <c r="Q58" s="134">
        <v>90502.95</v>
      </c>
      <c r="R58" s="134">
        <v>77230.66</v>
      </c>
      <c r="S58" s="134">
        <v>57410.31</v>
      </c>
      <c r="T58" s="134">
        <v>60757.440000000002</v>
      </c>
      <c r="U58" s="134">
        <v>57903.43</v>
      </c>
      <c r="V58" s="134">
        <v>54550.7</v>
      </c>
      <c r="W58" s="134">
        <v>32751.82</v>
      </c>
      <c r="X58" s="134">
        <v>29822.11</v>
      </c>
      <c r="Y58" s="134">
        <v>36024.31</v>
      </c>
      <c r="Z58" s="134">
        <v>48863.040000000001</v>
      </c>
      <c r="AA58" s="134" t="e">
        <f t="shared" ca="1" si="0"/>
        <v>#NAME?</v>
      </c>
      <c r="AB58" s="135" t="e">
        <f t="shared" ca="1" si="1"/>
        <v>#NAME?</v>
      </c>
      <c r="AC58" s="137"/>
      <c r="AD58" s="134">
        <v>1423924.0658</v>
      </c>
      <c r="AE58" s="135" t="str">
        <f t="shared" ca="1" si="2"/>
        <v/>
      </c>
      <c r="AF58" s="136" t="e">
        <f t="shared" ca="1" si="3"/>
        <v>#NAME?</v>
      </c>
      <c r="AG58" s="134">
        <v>1022821.44</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16397.04</v>
      </c>
      <c r="P62" s="310">
        <v>18240.59</v>
      </c>
      <c r="Q62" s="310">
        <v>23025.119999999999</v>
      </c>
      <c r="R62" s="310">
        <v>19184.13</v>
      </c>
      <c r="S62" s="310">
        <v>15038.65</v>
      </c>
      <c r="T62" s="310">
        <v>15271.19</v>
      </c>
      <c r="U62" s="310">
        <v>14704.61</v>
      </c>
      <c r="V62" s="310">
        <v>15503.05</v>
      </c>
      <c r="W62" s="310">
        <v>6350.35</v>
      </c>
      <c r="X62" s="310">
        <v>8554.9599999999991</v>
      </c>
      <c r="Y62" s="310">
        <v>9531.52</v>
      </c>
      <c r="Z62" s="310">
        <v>14469.45</v>
      </c>
      <c r="AA62" s="310" t="e">
        <f t="shared" ref="AA62:AA70" ca="1" si="12">IF($I62="B1","",SUM(O62:Z62))</f>
        <v>#NAME?</v>
      </c>
      <c r="AB62" s="311" t="e">
        <f ca="1">IF(AA62=0,"",IFERROR(AA62/_xll.EVGTS($B$1,1,_xll.EVPRO($B$1,$H62,"COSBASIS"),$B$3,$B$5,$B$6,$B$7,$B$9,AA$16,AA$17,AA$11),""))</f>
        <v>#NAME?</v>
      </c>
      <c r="AC62" s="328"/>
      <c r="AD62" s="310">
        <v>318418</v>
      </c>
      <c r="AE62" s="311" t="str">
        <f ca="1">IF(AD62=0,"",IFERROR(AD62/_xll.EVGTS($B$1,1,_xll.EVPRO($B$1,$H62,"COSBASIS"),$B$3,$B$5,$B$6,$B$7,$B$9,AD$16,AD$17,AD$18),""))</f>
        <v/>
      </c>
      <c r="AF62" s="312" t="e">
        <f t="shared" ref="AF62:AF70" ca="1" si="13">IF(AND($AA62="",AD62=""),"",$AA62-AD62)</f>
        <v>#NAME?</v>
      </c>
      <c r="AG62" s="310">
        <v>258956.42</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4062.6</v>
      </c>
      <c r="P63" s="324">
        <v>2921.95</v>
      </c>
      <c r="Q63" s="324">
        <v>3295.13</v>
      </c>
      <c r="R63" s="324">
        <v>323</v>
      </c>
      <c r="S63" s="324">
        <v>3622.11</v>
      </c>
      <c r="T63" s="324">
        <v>1110.21</v>
      </c>
      <c r="U63" s="324">
        <v>1613.52</v>
      </c>
      <c r="V63" s="324">
        <v>4778.03</v>
      </c>
      <c r="W63" s="324">
        <v>1289.1600000000001</v>
      </c>
      <c r="X63" s="324">
        <v>1565.03</v>
      </c>
      <c r="Y63" s="324">
        <v>-349.02</v>
      </c>
      <c r="Z63" s="324">
        <v>1004.61</v>
      </c>
      <c r="AA63" s="324" t="e">
        <f t="shared" ca="1" si="12"/>
        <v>#NAME?</v>
      </c>
      <c r="AB63" s="325" t="e">
        <f ca="1">IF(AA63=0,"",IFERROR(AA63/_xll.EVGTS($B$1,1,_xll.EVPRO($B$1,$H63,"COSBASIS"),$B$3,$B$5,$B$6,$B$7,$B$9,AA$16,AA$17,AA$11),""))</f>
        <v>#NAME?</v>
      </c>
      <c r="AC63" s="290"/>
      <c r="AD63" s="324">
        <v>36129.43</v>
      </c>
      <c r="AE63" s="325" t="str">
        <f ca="1">IF(AD63=0,"",IFERROR(AD63/_xll.EVGTS($B$1,1,_xll.EVPRO($B$1,$H63,"COSBASIS"),$B$3,$B$5,$B$6,$B$7,$B$9,AD$16,AD$17,AD$18),""))</f>
        <v/>
      </c>
      <c r="AF63" s="326" t="e">
        <f t="shared" ca="1" si="13"/>
        <v>#NAME?</v>
      </c>
      <c r="AG63" s="324">
        <v>30318.23</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20459.64</v>
      </c>
      <c r="P64" s="134">
        <v>21162.54</v>
      </c>
      <c r="Q64" s="134">
        <v>26320.25</v>
      </c>
      <c r="R64" s="134">
        <v>19507.13</v>
      </c>
      <c r="S64" s="134">
        <v>18660.759999999998</v>
      </c>
      <c r="T64" s="134">
        <v>16381.4</v>
      </c>
      <c r="U64" s="134">
        <v>16318.13</v>
      </c>
      <c r="V64" s="134">
        <v>20281.080000000002</v>
      </c>
      <c r="W64" s="134">
        <v>7639.51</v>
      </c>
      <c r="X64" s="134">
        <v>10119.99</v>
      </c>
      <c r="Y64" s="134">
        <v>9182.5</v>
      </c>
      <c r="Z64" s="134">
        <v>15474.06</v>
      </c>
      <c r="AA64" s="134" t="e">
        <f t="shared" ca="1" si="12"/>
        <v>#NAME?</v>
      </c>
      <c r="AB64" s="135" t="e">
        <f ca="1">IF(AA64=0,"",IFERROR(AA64/_xll.EVGTS($B$1,1,_xll.EVPRO($B$1,$H64,"COSBASIS"),$B$3,$B$5,$B$6,$B$7,$B$9,AA$16,AA$17,AA$11),""))</f>
        <v>#NAME?</v>
      </c>
      <c r="AC64" s="137"/>
      <c r="AD64" s="134">
        <v>354547.43</v>
      </c>
      <c r="AE64" s="135" t="str">
        <f ca="1">IF(AD64=0,"",IFERROR(AD64/_xll.EVGTS($B$1,1,_xll.EVPRO($B$1,$H64,"COSBASIS"),$B$3,$B$5,$B$6,$B$7,$B$9,AD$16,AD$17,AD$18),""))</f>
        <v/>
      </c>
      <c r="AF64" s="136" t="e">
        <f t="shared" ca="1" si="13"/>
        <v>#NAME?</v>
      </c>
      <c r="AG64" s="134">
        <v>289274.65000000002</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20459.64</v>
      </c>
      <c r="P70" s="134">
        <v>21162.54</v>
      </c>
      <c r="Q70" s="134">
        <v>26320.25</v>
      </c>
      <c r="R70" s="134">
        <v>19507.13</v>
      </c>
      <c r="S70" s="134">
        <v>18660.759999999998</v>
      </c>
      <c r="T70" s="134">
        <v>16381.4</v>
      </c>
      <c r="U70" s="134">
        <v>16318.13</v>
      </c>
      <c r="V70" s="134">
        <v>20281.080000000002</v>
      </c>
      <c r="W70" s="134">
        <v>7639.51</v>
      </c>
      <c r="X70" s="134">
        <v>10119.99</v>
      </c>
      <c r="Y70" s="134">
        <v>9182.5</v>
      </c>
      <c r="Z70" s="134">
        <v>15474.06</v>
      </c>
      <c r="AA70" s="134" t="e">
        <f t="shared" ca="1" si="12"/>
        <v>#NAME?</v>
      </c>
      <c r="AB70" s="135" t="e">
        <f ca="1">IF(AA70=0,"",IFERROR(AA70/_xll.EVGTS($B$1,1,_xll.EVPRO($B$1,$H70,"COSBASIS"),$B$3,$B$5,$B$6,$B$7,$B$9,AA$16,AA$17,AA$11),""))</f>
        <v>#NAME?</v>
      </c>
      <c r="AC70" s="137"/>
      <c r="AD70" s="134">
        <v>354547.43</v>
      </c>
      <c r="AE70" s="135" t="str">
        <f ca="1">IF(AD70=0,"",IFERROR(AD70/_xll.EVGTS($B$1,1,_xll.EVPRO($B$1,$H70,"COSBASIS"),$B$3,$B$5,$B$6,$B$7,$B$9,AD$16,AD$17,AD$18),""))</f>
        <v/>
      </c>
      <c r="AF70" s="136" t="e">
        <f t="shared" ca="1" si="13"/>
        <v>#NAME?</v>
      </c>
      <c r="AG70" s="134">
        <v>289274.65000000002</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66733.34</v>
      </c>
      <c r="P72" s="164">
        <f t="shared" ref="P72:Y72" si="22">SUMIF($H$35:$H$70,"400000",P35:P70)-SUMIF($H$35:$H$70,"500001",P35:P70)</f>
        <v>49775.109999999993</v>
      </c>
      <c r="Q72" s="164">
        <f t="shared" si="22"/>
        <v>64182.7</v>
      </c>
      <c r="R72" s="164">
        <f t="shared" si="22"/>
        <v>57723.53</v>
      </c>
      <c r="S72" s="164">
        <f t="shared" si="22"/>
        <v>38749.550000000003</v>
      </c>
      <c r="T72" s="164">
        <f t="shared" si="22"/>
        <v>44376.04</v>
      </c>
      <c r="U72" s="164">
        <f t="shared" si="22"/>
        <v>41585.300000000003</v>
      </c>
      <c r="V72" s="164">
        <f t="shared" si="22"/>
        <v>34269.619999999995</v>
      </c>
      <c r="W72" s="164">
        <f t="shared" si="22"/>
        <v>25112.309999999998</v>
      </c>
      <c r="X72" s="164">
        <f t="shared" si="22"/>
        <v>19702.120000000003</v>
      </c>
      <c r="Y72" s="164">
        <f t="shared" si="22"/>
        <v>26841.809999999998</v>
      </c>
      <c r="Z72" s="164">
        <f>SUMIF($H$35:$H$70,"400000",Z35:Z70)-SUMIF($H$35:$H$70,"500001",Z35:Z70)</f>
        <v>33388.980000000003</v>
      </c>
      <c r="AA72" s="134" t="e">
        <f ca="1">IF($I72="B1","",SUM(O72:Z72))</f>
        <v>#NAME?</v>
      </c>
      <c r="AB72" s="135" t="e">
        <f ca="1">IF(AA72=0,"",IFERROR(AA72/AA$19,""))</f>
        <v>#NAME?</v>
      </c>
      <c r="AD72" s="164">
        <f>SUMIF($H$35:$H$70,"400000",AD35:AD70)-SUMIF($H$35:$H$70,"500001",AD35:AD70)</f>
        <v>1069376.6358</v>
      </c>
      <c r="AE72" s="135" t="str">
        <f ca="1">IF(AD72=0,"",IFERROR(AD72/AD$19,""))</f>
        <v/>
      </c>
      <c r="AF72" s="165" t="e">
        <f t="shared" ca="1" si="21"/>
        <v>#NAME?</v>
      </c>
      <c r="AG72" s="164">
        <f>SUMIF($H$35:$H$70,"400000",AG35:AG70)-SUMIF($H$35:$H$70,"500001",AG35:AG70)</f>
        <v>733546.78999999992</v>
      </c>
      <c r="AH72" s="135" t="str">
        <f ca="1">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x14ac:dyDescent="0.25">
      <c r="A76" s="1" t="s">
        <v>108</v>
      </c>
      <c r="C76" s="25" t="s">
        <v>101</v>
      </c>
      <c r="D76" s="1" t="s">
        <v>106</v>
      </c>
      <c r="F76" s="1" t="s">
        <v>98</v>
      </c>
      <c r="H76" s="15" t="s">
        <v>883</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v>11743.97</v>
      </c>
      <c r="P76" s="38">
        <v>10000</v>
      </c>
      <c r="Q76" s="38">
        <v>15087.28</v>
      </c>
      <c r="R76" s="38">
        <v>15793.34</v>
      </c>
      <c r="S76" s="38">
        <v>13797.03</v>
      </c>
      <c r="T76" s="38">
        <v>14842.77</v>
      </c>
      <c r="U76" s="38">
        <v>14589.54</v>
      </c>
      <c r="V76" s="38">
        <v>15539.9</v>
      </c>
      <c r="W76" s="38">
        <v>9439.33</v>
      </c>
      <c r="X76" s="38">
        <v>5493.34</v>
      </c>
      <c r="Y76" s="38">
        <v>5239.8999999999996</v>
      </c>
      <c r="Z76" s="38">
        <v>5239.8999999999996</v>
      </c>
      <c r="AA76" s="310" t="e">
        <f t="shared" ref="AA76:AA90" ca="1" si="23">IF($I76="B1","",SUM(O76:Z76))</f>
        <v>#NAME?</v>
      </c>
      <c r="AB76" s="39" t="e">
        <f t="shared" ref="AB76:AB90" ca="1" si="24">IF(AA76=0,"",IFERROR(AA76/AA$19,""))</f>
        <v>#NAME?</v>
      </c>
      <c r="AD76" s="38">
        <v>207274.08396146001</v>
      </c>
      <c r="AE76" s="39" t="str">
        <f t="shared" ref="AE76:AE90" ca="1" si="25">IF(AD76=0,"",IFERROR(AD76/AD$19,""))</f>
        <v/>
      </c>
      <c r="AF76" s="132" t="e">
        <f t="shared" ref="AF76:AF90" ca="1" si="26">IF(AND($AA76="",AD76=""),"",$AA76-AD76)</f>
        <v>#NAME?</v>
      </c>
      <c r="AG76" s="38">
        <v>151855.14000000001</v>
      </c>
      <c r="AH76" s="39" t="str">
        <f ca="1">IF(AG76=0,"",IFERROR(AG76/AG$19,""))</f>
        <v/>
      </c>
      <c r="AI76" s="132" t="e">
        <f ca="1">IF(AND($AA76="",AG76=""),"",$AA76-AG76)</f>
        <v>#NAME?</v>
      </c>
      <c r="AJ76" s="350">
        <f ca="1">IFERROR(AA76/AA$20,0)</f>
        <v>0</v>
      </c>
      <c r="AK76" s="351">
        <f ca="1">IFERROR(AD76/AD$20,0)</f>
        <v>0</v>
      </c>
      <c r="AL76" s="352">
        <f ca="1">IFERROR(AG76/AG$20,0)</f>
        <v>0</v>
      </c>
      <c r="AM76" s="387">
        <f ca="1">+IFERROR(ROUND(($AB76-AE76)*100,2)&amp;" pts.",0)</f>
        <v>0</v>
      </c>
      <c r="AN76" s="386">
        <f ca="1">+IFERROR(ROUND(($AB76-AH76)*100,2)&amp;" pts.",0)</f>
        <v>0</v>
      </c>
    </row>
    <row r="77" spans="1:40" x14ac:dyDescent="0.25">
      <c r="A77" s="1" t="s">
        <v>108</v>
      </c>
      <c r="C77" s="151" t="s">
        <v>101</v>
      </c>
      <c r="D77" s="1" t="s">
        <v>107</v>
      </c>
      <c r="F77" s="1" t="s">
        <v>99</v>
      </c>
      <c r="H77" s="15" t="s">
        <v>884</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v>11603.08</v>
      </c>
      <c r="P77" s="38">
        <v>13333.32</v>
      </c>
      <c r="Q77" s="38">
        <v>13083.43</v>
      </c>
      <c r="R77" s="38">
        <v>13733.32</v>
      </c>
      <c r="S77" s="38">
        <v>13099.75</v>
      </c>
      <c r="T77" s="38">
        <v>10952.23</v>
      </c>
      <c r="U77" s="38">
        <v>6649.1</v>
      </c>
      <c r="V77" s="38">
        <v>6649.1</v>
      </c>
      <c r="W77" s="38">
        <v>7401.63</v>
      </c>
      <c r="X77" s="38">
        <v>8154.48</v>
      </c>
      <c r="Y77" s="38">
        <v>11183</v>
      </c>
      <c r="Z77" s="38">
        <v>11811</v>
      </c>
      <c r="AA77" s="310" t="e">
        <f t="shared" ca="1" si="23"/>
        <v>#NAME?</v>
      </c>
      <c r="AB77" s="39" t="e">
        <f t="shared" ca="1" si="24"/>
        <v>#NAME?</v>
      </c>
      <c r="AD77" s="38">
        <v>146001.36230773601</v>
      </c>
      <c r="AE77" s="39" t="str">
        <f t="shared" ca="1" si="25"/>
        <v/>
      </c>
      <c r="AF77" s="132" t="e">
        <f t="shared" ca="1" si="26"/>
        <v>#NAME?</v>
      </c>
      <c r="AG77" s="38">
        <v>130965.18</v>
      </c>
      <c r="AH77" s="39" t="str">
        <f ca="1">IF(AG77=0,"",IFERROR(AG77/AG$19,""))</f>
        <v/>
      </c>
      <c r="AI77" s="132" t="e">
        <f ca="1">IF(AND($AA77="",AG77=""),"",$AA77-AG77)</f>
        <v>#NAME?</v>
      </c>
      <c r="AJ77" s="350">
        <f ca="1">IFERROR(AA77/AA$20,0)</f>
        <v>0</v>
      </c>
      <c r="AK77" s="351">
        <f ca="1">IFERROR(AD77/AD$20,0)</f>
        <v>0</v>
      </c>
      <c r="AL77" s="352">
        <f ca="1">IFERROR(AG77/AG$20,0)</f>
        <v>0</v>
      </c>
      <c r="AM77" s="387">
        <f ca="1">+IFERROR(ROUND(($AB77-AE77)*100,2)&amp;" pts.",0)</f>
        <v>0</v>
      </c>
      <c r="AN77" s="386">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t="shared" ca="1" si="23"/>
        <v>#NAME?</v>
      </c>
      <c r="AB78" s="39" t="e">
        <f t="shared" ca="1" si="24"/>
        <v>#NAME?</v>
      </c>
      <c r="AD78" s="38"/>
      <c r="AE78" s="39" t="str">
        <f t="shared" si="25"/>
        <v/>
      </c>
      <c r="AF78" s="132" t="e">
        <f t="shared" ca="1" si="26"/>
        <v>#NAME?</v>
      </c>
      <c r="AG78" s="38"/>
      <c r="AH78" s="39" t="str">
        <f>IF(AG78=0,"",IFERROR(AG78/AG$19,""))</f>
        <v/>
      </c>
      <c r="AI78" s="132" t="e">
        <f ca="1">IF(AND($AA78="",AG78=""),"",$AA78-AG78)</f>
        <v>#NAME?</v>
      </c>
      <c r="AJ78" s="350">
        <f ca="1">IFERROR(AA78/AA$20,0)</f>
        <v>0</v>
      </c>
      <c r="AK78" s="351">
        <f ca="1">IFERROR(AD78/AD$20,0)</f>
        <v>0</v>
      </c>
      <c r="AL78" s="352">
        <f ca="1">IFERROR(AG78/AG$20,0)</f>
        <v>0</v>
      </c>
      <c r="AM78" s="387">
        <f ca="1">+IFERROR(ROUND(($AB78-AE78)*100,2)&amp;" pts.",0)</f>
        <v>0</v>
      </c>
      <c r="AN78" s="386">
        <f ca="1">+IFERROR(ROUND(($AB78-AH78)*100,2)&amp;" pts.",0)</f>
        <v>0</v>
      </c>
    </row>
    <row r="79" spans="1:40" x14ac:dyDescent="0.25">
      <c r="C79" s="32"/>
      <c r="H79" s="15" t="s">
        <v>882</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v>2164.02</v>
      </c>
      <c r="P79" s="47">
        <v>2019.7</v>
      </c>
      <c r="Q79" s="47">
        <v>2283.1999999999998</v>
      </c>
      <c r="R79" s="47">
        <v>7178.23</v>
      </c>
      <c r="S79" s="47">
        <v>7149.33</v>
      </c>
      <c r="T79" s="47">
        <v>5078.4799999999996</v>
      </c>
      <c r="U79" s="47">
        <v>5808.76</v>
      </c>
      <c r="V79" s="47">
        <v>5746.26</v>
      </c>
      <c r="W79" s="47">
        <v>242</v>
      </c>
      <c r="X79" s="47">
        <v>6012.01</v>
      </c>
      <c r="Y79" s="47">
        <v>5030.13</v>
      </c>
      <c r="Z79" s="47">
        <v>6873.88</v>
      </c>
      <c r="AA79" s="324" t="e">
        <f t="shared" ca="1" si="23"/>
        <v>#NAME?</v>
      </c>
      <c r="AB79" s="48" t="e">
        <f t="shared" ca="1" si="24"/>
        <v>#NAME?</v>
      </c>
      <c r="AD79" s="47">
        <v>131015.714285715</v>
      </c>
      <c r="AE79" s="48" t="str">
        <f t="shared" ca="1" si="25"/>
        <v/>
      </c>
      <c r="AF79" s="150" t="e">
        <f t="shared" ca="1" si="26"/>
        <v>#NAME?</v>
      </c>
      <c r="AG79" s="47">
        <v>50685.42</v>
      </c>
      <c r="AH79" s="48" t="str">
        <f ca="1">IF(AG79=0,"",IFERROR(AG79/AG$19,""))</f>
        <v/>
      </c>
      <c r="AI79" s="150" t="e">
        <f ca="1">IF(AND($AA79="",AG79=""),"",$AA79-AG79)</f>
        <v>#NAME?</v>
      </c>
      <c r="AJ79" s="350">
        <f ca="1">IFERROR(AA79/AA$20,0)</f>
        <v>0</v>
      </c>
      <c r="AK79" s="351">
        <f ca="1">IFERROR(AD79/AD$20,0)</f>
        <v>0</v>
      </c>
      <c r="AL79" s="352">
        <f ca="1">IFERROR(AG79/AG$20,0)</f>
        <v>0</v>
      </c>
      <c r="AM79" s="387">
        <f ca="1">+IFERROR(ROUND(($AB79-AE79)*100,2)&amp;" pts.",0)</f>
        <v>0</v>
      </c>
      <c r="AN79" s="386">
        <f ca="1">+IFERROR(ROUND(($AB79-AH79)*100,2)&amp;" pts.",0)</f>
        <v>0</v>
      </c>
    </row>
    <row r="80" spans="1:40" x14ac:dyDescent="0.25">
      <c r="A80" s="4" t="e">
        <f ca="1">_xll.EVDRE($B$1,A83:B90,A93:B99)</f>
        <v>#NAME?</v>
      </c>
      <c r="H80" s="15" t="s">
        <v>863</v>
      </c>
      <c r="I80" s="161" t="e">
        <f ca="1">_xll.EVPRO($B$1,$H80,"STYLE")</f>
        <v>#NAME?</v>
      </c>
      <c r="J80" s="161" t="e">
        <f ca="1">_xll.EVPRO($B$1,$H80,"CALC")</f>
        <v>#NAME?</v>
      </c>
      <c r="K80" s="68" t="e">
        <f t="shared" ref="K80:K90" ca="1" si="27">IF(AND(I80&gt;="T3"),"&gt;","")</f>
        <v>#NAME?</v>
      </c>
      <c r="L80" s="162" t="e">
        <f ca="1">_xll.EVPRO($B$1,H80,"JDEID")</f>
        <v>#NAME?</v>
      </c>
      <c r="M80" s="162" t="e">
        <f ca="1">IF(AND(I80="N",J80="N"),_xll.EVPRO($B$1,H80,"PSFTID"),"")</f>
        <v>#NAME?</v>
      </c>
      <c r="N80" s="162" t="e">
        <f ca="1">IF(_xll.EVDES(H80,$B$1)="#NODATA","",_xll.EVDES(H80,$B$1))</f>
        <v>#NAME?</v>
      </c>
      <c r="O80" s="47">
        <v>-11349.57</v>
      </c>
      <c r="P80" s="47">
        <v>3567.72</v>
      </c>
      <c r="Q80" s="47">
        <v>7766.62</v>
      </c>
      <c r="R80" s="47">
        <v>7062.86</v>
      </c>
      <c r="S80" s="47">
        <v>4718.37</v>
      </c>
      <c r="T80" s="47">
        <v>10465.86</v>
      </c>
      <c r="U80" s="47">
        <v>5548.02</v>
      </c>
      <c r="V80" s="47">
        <v>3836.13</v>
      </c>
      <c r="W80" s="47">
        <v>4023.81</v>
      </c>
      <c r="X80" s="47">
        <v>4043.73</v>
      </c>
      <c r="Y80" s="47">
        <v>2515.61</v>
      </c>
      <c r="Z80" s="47">
        <v>-900.6</v>
      </c>
      <c r="AA80" s="324" t="e">
        <f t="shared" ca="1" si="23"/>
        <v>#NAME?</v>
      </c>
      <c r="AB80" s="48" t="e">
        <f t="shared" ca="1" si="24"/>
        <v>#NAME?</v>
      </c>
      <c r="AD80" s="47">
        <v>103475.9</v>
      </c>
      <c r="AE80" s="48" t="str">
        <f t="shared" ca="1" si="25"/>
        <v/>
      </c>
      <c r="AF80" s="150" t="e">
        <f t="shared" ca="1" si="26"/>
        <v>#NAME?</v>
      </c>
      <c r="AG80" s="47">
        <v>57714.98</v>
      </c>
      <c r="AH80" s="48" t="str">
        <f t="shared" ref="AH80:AH90" ca="1" si="28">IF(AG80=0,"",IFERROR(AG80/AG$19,""))</f>
        <v/>
      </c>
      <c r="AI80" s="150" t="e">
        <f t="shared" ref="AI80:AI90" ca="1" si="29">IF(AND($AA80="",AG80=""),"",$AA80-AG80)</f>
        <v>#NAME?</v>
      </c>
      <c r="AJ80" s="357">
        <f t="shared" ref="AJ80:AJ90" ca="1" si="30">IFERROR(AA80/AA$20,0)</f>
        <v>0</v>
      </c>
      <c r="AK80" s="358">
        <f t="shared" ref="AK80:AK90" ca="1" si="31">IFERROR(AD80/AD$20,0)</f>
        <v>0</v>
      </c>
      <c r="AL80" s="359">
        <f t="shared" ref="AL80:AL90" ca="1" si="32">IFERROR(AG80/AG$20,0)</f>
        <v>0</v>
      </c>
      <c r="AM80" s="388">
        <f t="shared" ref="AM80:AM90" ca="1" si="33">+IFERROR(ROUND(($AB80-AE80)*100,2)&amp;" pts.",0)</f>
        <v>0</v>
      </c>
      <c r="AN80" s="389">
        <f t="shared" ref="AN80:AN90" ca="1" si="34">+IFERROR(ROUND(($AB80-AH80)*100,2)&amp;" pts.",0)</f>
        <v>0</v>
      </c>
    </row>
    <row r="81" spans="1:40" x14ac:dyDescent="0.25">
      <c r="H81" s="15" t="s">
        <v>848</v>
      </c>
      <c r="I81" s="479" t="e">
        <f ca="1">_xll.EVPRO($B$1,$H81,"STYLE")</f>
        <v>#NAME?</v>
      </c>
      <c r="J81" s="479" t="e">
        <f ca="1">_xll.EVPRO($B$1,$H81,"CALC")</f>
        <v>#NAME?</v>
      </c>
      <c r="K81" s="480" t="e">
        <f t="shared" ca="1" si="27"/>
        <v>#NAME?</v>
      </c>
      <c r="L81" s="170" t="e">
        <f ca="1">_xll.EVPRO($B$1,H81,"JDEID")</f>
        <v>#NAME?</v>
      </c>
      <c r="M81" s="170" t="e">
        <f ca="1">IF(AND(I81="N",J81="N"),_xll.EVPRO($B$1,H81,"PSFTID"),"")</f>
        <v>#NAME?</v>
      </c>
      <c r="N81" s="170" t="e">
        <f ca="1">IF(_xll.EVDES(H81,$B$1)="#NODATA","",_xll.EVDES(H81,$B$1))</f>
        <v>#NAME?</v>
      </c>
      <c r="O81" s="134">
        <v>14161.5</v>
      </c>
      <c r="P81" s="134">
        <v>28920.74</v>
      </c>
      <c r="Q81" s="134">
        <v>38220.53</v>
      </c>
      <c r="R81" s="134">
        <v>43767.75</v>
      </c>
      <c r="S81" s="134">
        <v>38764.480000000003</v>
      </c>
      <c r="T81" s="134">
        <v>41339.339999999997</v>
      </c>
      <c r="U81" s="134">
        <v>32595.42</v>
      </c>
      <c r="V81" s="134">
        <v>31771.39</v>
      </c>
      <c r="W81" s="134">
        <v>21106.77</v>
      </c>
      <c r="X81" s="134">
        <v>23703.56</v>
      </c>
      <c r="Y81" s="134">
        <v>23968.639999999999</v>
      </c>
      <c r="Z81" s="134">
        <v>23024.18</v>
      </c>
      <c r="AA81" s="134" t="e">
        <f t="shared" ca="1" si="23"/>
        <v>#NAME?</v>
      </c>
      <c r="AB81" s="135" t="e">
        <f t="shared" ca="1" si="24"/>
        <v>#NAME?</v>
      </c>
      <c r="AC81" s="137"/>
      <c r="AD81" s="134">
        <v>587767.06055491103</v>
      </c>
      <c r="AE81" s="135" t="str">
        <f t="shared" ca="1" si="25"/>
        <v/>
      </c>
      <c r="AF81" s="136" t="e">
        <f t="shared" ca="1" si="26"/>
        <v>#NAME?</v>
      </c>
      <c r="AG81" s="134">
        <v>391220.72</v>
      </c>
      <c r="AH81" s="135" t="str">
        <f t="shared" ca="1" si="28"/>
        <v/>
      </c>
      <c r="AI81" s="136" t="e">
        <f t="shared" ca="1" si="29"/>
        <v>#NAME?</v>
      </c>
      <c r="AJ81" s="360">
        <f t="shared" ca="1" si="30"/>
        <v>0</v>
      </c>
      <c r="AK81" s="361">
        <f t="shared" ca="1" si="31"/>
        <v>0</v>
      </c>
      <c r="AL81" s="363">
        <f t="shared" ca="1" si="32"/>
        <v>0</v>
      </c>
      <c r="AM81" s="405">
        <f t="shared" ca="1" si="33"/>
        <v>0</v>
      </c>
      <c r="AN81" s="522">
        <f t="shared" ca="1" si="34"/>
        <v>0</v>
      </c>
    </row>
    <row r="82" spans="1:40" x14ac:dyDescent="0.25">
      <c r="A82" s="3" t="s">
        <v>0</v>
      </c>
      <c r="B82" s="5" t="s">
        <v>1</v>
      </c>
      <c r="H82" s="15" t="s">
        <v>864</v>
      </c>
      <c r="I82" s="161" t="e">
        <f ca="1">_xll.EVPRO($B$1,$H82,"STYLE")</f>
        <v>#NAME?</v>
      </c>
      <c r="J82" s="161" t="e">
        <f ca="1">_xll.EVPRO($B$1,$H82,"CALC")</f>
        <v>#NAME?</v>
      </c>
      <c r="K82" s="68" t="e">
        <f t="shared" ca="1" si="27"/>
        <v>#NAME?</v>
      </c>
      <c r="L82" s="162" t="e">
        <f ca="1">_xll.EVPRO($B$1,H82,"JDEID")</f>
        <v>#NAME?</v>
      </c>
      <c r="M82" s="162" t="e">
        <f ca="1">IF(AND(I82="N",J82="N"),_xll.EVPRO($B$1,H82,"PSFTID"),"")</f>
        <v>#NAME?</v>
      </c>
      <c r="N82" s="162" t="e">
        <f ca="1">IF(_xll.EVDES(H82,$B$1)="#NODATA","",_xll.EVDES(H82,$B$1))</f>
        <v>#NAME?</v>
      </c>
      <c r="O82" s="47">
        <v>13904</v>
      </c>
      <c r="P82" s="47">
        <v>11699.8</v>
      </c>
      <c r="Q82" s="47">
        <v>14429.08</v>
      </c>
      <c r="R82" s="47">
        <v>12430.67</v>
      </c>
      <c r="S82" s="47">
        <v>9226.08</v>
      </c>
      <c r="T82" s="47">
        <v>9788.64</v>
      </c>
      <c r="U82" s="47">
        <v>9505.17</v>
      </c>
      <c r="V82" s="47">
        <v>8911.41</v>
      </c>
      <c r="W82" s="47">
        <v>5348.24</v>
      </c>
      <c r="X82" s="47">
        <v>5168.2700000000004</v>
      </c>
      <c r="Y82" s="47">
        <v>5917.89</v>
      </c>
      <c r="Z82" s="47">
        <v>7938.25</v>
      </c>
      <c r="AA82" s="47" t="e">
        <f t="shared" ca="1" si="23"/>
        <v>#NAME?</v>
      </c>
      <c r="AB82" s="48" t="e">
        <f t="shared" ca="1" si="24"/>
        <v>#NAME?</v>
      </c>
      <c r="AD82" s="47">
        <v>217208.75580000001</v>
      </c>
      <c r="AE82" s="48" t="str">
        <f t="shared" ca="1" si="25"/>
        <v/>
      </c>
      <c r="AF82" s="150" t="e">
        <f t="shared" ca="1" si="26"/>
        <v>#NAME?</v>
      </c>
      <c r="AG82" s="47">
        <v>159872.54</v>
      </c>
      <c r="AH82" s="48" t="str">
        <f t="shared" ca="1" si="28"/>
        <v/>
      </c>
      <c r="AI82" s="150" t="e">
        <f t="shared" ca="1" si="29"/>
        <v>#NAME?</v>
      </c>
      <c r="AJ82" s="353">
        <f t="shared" ca="1" si="30"/>
        <v>0</v>
      </c>
      <c r="AK82" s="354">
        <f t="shared" ca="1" si="31"/>
        <v>0</v>
      </c>
      <c r="AL82" s="356">
        <f t="shared" ca="1" si="32"/>
        <v>0</v>
      </c>
      <c r="AM82" s="390">
        <f t="shared" ca="1" si="33"/>
        <v>0</v>
      </c>
      <c r="AN82" s="391">
        <f t="shared" ca="1" si="34"/>
        <v>0</v>
      </c>
    </row>
    <row r="83" spans="1:40" x14ac:dyDescent="0.25">
      <c r="A83" s="6" t="s">
        <v>2</v>
      </c>
      <c r="B83" s="7" t="e">
        <f ca="1">_xll.EVRNG($B$2:$B$10)</f>
        <v>#NAME?</v>
      </c>
      <c r="H83" s="15" t="s">
        <v>865</v>
      </c>
      <c r="I83" s="161" t="e">
        <f ca="1">_xll.EVPRO($B$1,$H83,"STYLE")</f>
        <v>#NAME?</v>
      </c>
      <c r="J83" s="161" t="e">
        <f ca="1">_xll.EVPRO($B$1,$H83,"CALC")</f>
        <v>#NAME?</v>
      </c>
      <c r="K83" s="68" t="e">
        <f t="shared" ca="1" si="27"/>
        <v>#NAME?</v>
      </c>
      <c r="L83" s="162" t="e">
        <f ca="1">_xll.EVPRO($B$1,H83,"JDEID")</f>
        <v>#NAME?</v>
      </c>
      <c r="M83" s="162" t="e">
        <f ca="1">IF(AND(I83="N",J83="N"),_xll.EVPRO($B$1,H83,"PSFTID"),"")</f>
        <v>#NAME?</v>
      </c>
      <c r="N83" s="162" t="e">
        <f ca="1">IF(_xll.EVDES(H83,$B$1)="#NODATA","",_xll.EVDES(H83,$B$1))</f>
        <v>#NAME?</v>
      </c>
      <c r="O83" s="47">
        <v>42282.89</v>
      </c>
      <c r="P83" s="47">
        <v>34363.31</v>
      </c>
      <c r="Q83" s="47">
        <v>32412.240000000002</v>
      </c>
      <c r="R83" s="47">
        <v>29789.09</v>
      </c>
      <c r="S83" s="47">
        <v>34178.769999999997</v>
      </c>
      <c r="T83" s="47">
        <v>23055.43</v>
      </c>
      <c r="U83" s="47">
        <v>34526.58</v>
      </c>
      <c r="V83" s="47">
        <v>43155.74</v>
      </c>
      <c r="W83" s="47">
        <v>31883.72</v>
      </c>
      <c r="X83" s="47">
        <v>28312.720000000001</v>
      </c>
      <c r="Y83" s="47">
        <v>34620.81</v>
      </c>
      <c r="Z83" s="47">
        <v>40482.050000000003</v>
      </c>
      <c r="AA83" s="324" t="e">
        <f t="shared" ca="1" si="23"/>
        <v>#NAME?</v>
      </c>
      <c r="AB83" s="48" t="e">
        <f t="shared" ca="1" si="24"/>
        <v>#NAME?</v>
      </c>
      <c r="AD83" s="47">
        <v>332553.41342526599</v>
      </c>
      <c r="AE83" s="48" t="str">
        <f t="shared" ca="1" si="25"/>
        <v/>
      </c>
      <c r="AF83" s="150" t="e">
        <f t="shared" ca="1" si="26"/>
        <v>#NAME?</v>
      </c>
      <c r="AG83" s="47">
        <v>644141.5</v>
      </c>
      <c r="AH83" s="48" t="str">
        <f t="shared" ca="1" si="28"/>
        <v/>
      </c>
      <c r="AI83" s="150" t="e">
        <f t="shared" ca="1" si="29"/>
        <v>#NAME?</v>
      </c>
      <c r="AJ83" s="350">
        <f t="shared" ca="1" si="30"/>
        <v>0</v>
      </c>
      <c r="AK83" s="351">
        <f t="shared" ca="1" si="31"/>
        <v>0</v>
      </c>
      <c r="AL83" s="352">
        <f t="shared" ca="1" si="32"/>
        <v>0</v>
      </c>
      <c r="AM83" s="387">
        <f t="shared" ca="1" si="33"/>
        <v>0</v>
      </c>
      <c r="AN83" s="386">
        <f t="shared" ca="1" si="34"/>
        <v>0</v>
      </c>
    </row>
    <row r="84" spans="1:40" x14ac:dyDescent="0.25">
      <c r="A84" s="6" t="s">
        <v>3</v>
      </c>
      <c r="B84" s="7" t="e">
        <f ca="1">_xll.EVRNG($O$16:$AN$18)</f>
        <v>#NAME?</v>
      </c>
      <c r="H84" s="15" t="s">
        <v>849</v>
      </c>
      <c r="I84" s="161" t="e">
        <f ca="1">_xll.EVPRO($B$1,$H84,"STYLE")</f>
        <v>#NAME?</v>
      </c>
      <c r="J84" s="161" t="e">
        <f ca="1">_xll.EVPRO($B$1,$H84,"CALC")</f>
        <v>#NAME?</v>
      </c>
      <c r="K84" s="68" t="e">
        <f t="shared" ca="1" si="27"/>
        <v>#NAME?</v>
      </c>
      <c r="L84" s="162" t="e">
        <f ca="1">_xll.EVPRO($B$1,H84,"JDEID")</f>
        <v>#NAME?</v>
      </c>
      <c r="M84" s="162" t="e">
        <f ca="1">IF(AND(I84="N",J84="N"),_xll.EVPRO($B$1,H84,"PSFTID"),"")</f>
        <v>#NAME?</v>
      </c>
      <c r="N84" s="162" t="e">
        <f ca="1">IF(_xll.EVDES(H84,$B$1)="#NODATA","",_xll.EVDES(H84,$B$1))</f>
        <v>#NAME?</v>
      </c>
      <c r="O84" s="47">
        <v>3354.17</v>
      </c>
      <c r="P84" s="47">
        <v>1754.52</v>
      </c>
      <c r="Q84" s="47">
        <v>3148.39</v>
      </c>
      <c r="R84" s="47">
        <v>8516.2900000000009</v>
      </c>
      <c r="S84" s="47">
        <v>-5000</v>
      </c>
      <c r="T84" s="47"/>
      <c r="U84" s="47"/>
      <c r="V84" s="47"/>
      <c r="W84" s="47"/>
      <c r="X84" s="47"/>
      <c r="Y84" s="47"/>
      <c r="Z84" s="47"/>
      <c r="AA84" s="324" t="e">
        <f t="shared" ca="1" si="23"/>
        <v>#NAME?</v>
      </c>
      <c r="AB84" s="48" t="e">
        <f t="shared" ca="1" si="24"/>
        <v>#NAME?</v>
      </c>
      <c r="AD84" s="47">
        <v>74462.131813831307</v>
      </c>
      <c r="AE84" s="48" t="str">
        <f t="shared" ca="1" si="25"/>
        <v/>
      </c>
      <c r="AF84" s="150" t="e">
        <f t="shared" ca="1" si="26"/>
        <v>#NAME?</v>
      </c>
      <c r="AG84" s="47">
        <v>47122.77</v>
      </c>
      <c r="AH84" s="48" t="str">
        <f t="shared" ca="1" si="28"/>
        <v/>
      </c>
      <c r="AI84" s="150" t="e">
        <f t="shared" ca="1" si="29"/>
        <v>#NAME?</v>
      </c>
      <c r="AJ84" s="357">
        <f t="shared" ca="1" si="30"/>
        <v>0</v>
      </c>
      <c r="AK84" s="358">
        <f t="shared" ca="1" si="31"/>
        <v>0</v>
      </c>
      <c r="AL84" s="359">
        <f t="shared" ca="1" si="32"/>
        <v>0</v>
      </c>
      <c r="AM84" s="388">
        <f t="shared" ca="1" si="33"/>
        <v>0</v>
      </c>
      <c r="AN84" s="389">
        <f t="shared" ca="1" si="34"/>
        <v>0</v>
      </c>
    </row>
    <row r="85" spans="1:40" x14ac:dyDescent="0.25">
      <c r="A85" s="6" t="s">
        <v>4</v>
      </c>
      <c r="B85" s="7" t="e">
        <f ca="1">_xll.EVRNG(H76:H77,H79:H90,H93:H118)</f>
        <v>#NAME?</v>
      </c>
      <c r="H85" s="15" t="s">
        <v>850</v>
      </c>
      <c r="I85" s="479" t="e">
        <f ca="1">_xll.EVPRO($B$1,$H85,"STYLE")</f>
        <v>#NAME?</v>
      </c>
      <c r="J85" s="479" t="e">
        <f ca="1">_xll.EVPRO($B$1,$H85,"CALC")</f>
        <v>#NAME?</v>
      </c>
      <c r="K85" s="480" t="e">
        <f t="shared" ca="1" si="27"/>
        <v>#NAME?</v>
      </c>
      <c r="L85" s="170" t="e">
        <f ca="1">_xll.EVPRO($B$1,H85,"JDEID")</f>
        <v>#NAME?</v>
      </c>
      <c r="M85" s="170" t="e">
        <f ca="1">IF(AND(I85="N",J85="N"),_xll.EVPRO($B$1,H85,"PSFTID"),"")</f>
        <v>#NAME?</v>
      </c>
      <c r="N85" s="170" t="e">
        <f ca="1">IF(_xll.EVDES(H85,$B$1)="#NODATA","",_xll.EVDES(H85,$B$1))</f>
        <v>#NAME?</v>
      </c>
      <c r="O85" s="134">
        <v>73702.559999999998</v>
      </c>
      <c r="P85" s="134">
        <v>76738.37</v>
      </c>
      <c r="Q85" s="134">
        <v>88210.240000000005</v>
      </c>
      <c r="R85" s="134">
        <v>94503.8</v>
      </c>
      <c r="S85" s="134">
        <v>77169.33</v>
      </c>
      <c r="T85" s="134">
        <v>74183.41</v>
      </c>
      <c r="U85" s="134">
        <v>76627.17</v>
      </c>
      <c r="V85" s="134">
        <v>83838.539999999994</v>
      </c>
      <c r="W85" s="134">
        <v>58338.73</v>
      </c>
      <c r="X85" s="134">
        <v>57184.55</v>
      </c>
      <c r="Y85" s="134">
        <v>64507.34</v>
      </c>
      <c r="Z85" s="134">
        <v>71444.479999999996</v>
      </c>
      <c r="AA85" s="134" t="e">
        <f t="shared" ca="1" si="23"/>
        <v>#NAME?</v>
      </c>
      <c r="AB85" s="135" t="e">
        <f t="shared" ca="1" si="24"/>
        <v>#NAME?</v>
      </c>
      <c r="AC85" s="137"/>
      <c r="AD85" s="134">
        <v>1211991.3615940099</v>
      </c>
      <c r="AE85" s="135" t="str">
        <f t="shared" ca="1" si="25"/>
        <v/>
      </c>
      <c r="AF85" s="136" t="e">
        <f t="shared" ca="1" si="26"/>
        <v>#NAME?</v>
      </c>
      <c r="AG85" s="134">
        <v>1242357.53</v>
      </c>
      <c r="AH85" s="135" t="str">
        <f t="shared" ca="1" si="28"/>
        <v/>
      </c>
      <c r="AI85" s="136" t="e">
        <f t="shared" ca="1" si="29"/>
        <v>#NAME?</v>
      </c>
      <c r="AJ85" s="360">
        <f t="shared" ca="1" si="30"/>
        <v>0</v>
      </c>
      <c r="AK85" s="361">
        <f t="shared" ca="1" si="31"/>
        <v>0</v>
      </c>
      <c r="AL85" s="363">
        <f t="shared" ca="1" si="32"/>
        <v>0</v>
      </c>
      <c r="AM85" s="405">
        <f t="shared" ca="1" si="33"/>
        <v>0</v>
      </c>
      <c r="AN85" s="522">
        <f t="shared" ca="1" si="34"/>
        <v>0</v>
      </c>
    </row>
    <row r="86" spans="1:40" x14ac:dyDescent="0.25">
      <c r="A86" s="6" t="s">
        <v>5</v>
      </c>
      <c r="B86" s="7"/>
      <c r="H86" s="15" t="s">
        <v>851</v>
      </c>
      <c r="I86" s="161" t="e">
        <f ca="1">_xll.EVPRO($B$1,$H86,"STYLE")</f>
        <v>#NAME?</v>
      </c>
      <c r="J86" s="161" t="e">
        <f ca="1">_xll.EVPRO($B$1,$H86,"CALC")</f>
        <v>#NAME?</v>
      </c>
      <c r="K86" s="68" t="e">
        <f t="shared" ca="1" si="27"/>
        <v>#NAME?</v>
      </c>
      <c r="L86" s="162" t="e">
        <f ca="1">_xll.EVPRO($B$1,H86,"JDEID")</f>
        <v>#NAME?</v>
      </c>
      <c r="M86" s="162" t="e">
        <f ca="1">IF(AND(I86="N",J86="N"),_xll.EVPRO($B$1,H86,"PSFTID"),"")</f>
        <v>#NAME?</v>
      </c>
      <c r="N86" s="162" t="e">
        <f ca="1">IF(_xll.EVDES(H86,$B$1)="#NODATA","",_xll.EVDES(H86,$B$1))</f>
        <v>#NAME?</v>
      </c>
      <c r="O86" s="47">
        <v>5449.45</v>
      </c>
      <c r="P86" s="47">
        <v>5311.38</v>
      </c>
      <c r="Q86" s="47">
        <v>5713.56</v>
      </c>
      <c r="R86" s="47">
        <v>5706.99</v>
      </c>
      <c r="S86" s="47">
        <v>4325.55</v>
      </c>
      <c r="T86" s="47">
        <v>4193.41</v>
      </c>
      <c r="U86" s="47">
        <v>3715.62</v>
      </c>
      <c r="V86" s="47">
        <v>3435.74</v>
      </c>
      <c r="W86" s="47">
        <v>2800.99</v>
      </c>
      <c r="X86" s="47">
        <v>2698.93</v>
      </c>
      <c r="Y86" s="47">
        <v>2008.88</v>
      </c>
      <c r="Z86" s="47">
        <v>2733.89</v>
      </c>
      <c r="AA86" s="47" t="e">
        <f t="shared" ca="1" si="23"/>
        <v>#NAME?</v>
      </c>
      <c r="AB86" s="48" t="e">
        <f t="shared" ca="1" si="24"/>
        <v>#NAME?</v>
      </c>
      <c r="AD86" s="47">
        <v>65839.744716232803</v>
      </c>
      <c r="AE86" s="48" t="str">
        <f t="shared" ca="1" si="25"/>
        <v/>
      </c>
      <c r="AF86" s="150" t="e">
        <f t="shared" ca="1" si="26"/>
        <v>#NAME?</v>
      </c>
      <c r="AG86" s="47">
        <v>60333.97</v>
      </c>
      <c r="AH86" s="48" t="str">
        <f t="shared" ca="1" si="28"/>
        <v/>
      </c>
      <c r="AI86" s="150" t="e">
        <f t="shared" ca="1" si="29"/>
        <v>#NAME?</v>
      </c>
      <c r="AJ86" s="353">
        <f t="shared" ca="1" si="30"/>
        <v>0</v>
      </c>
      <c r="AK86" s="354">
        <f t="shared" ca="1" si="31"/>
        <v>0</v>
      </c>
      <c r="AL86" s="356">
        <f t="shared" ca="1" si="32"/>
        <v>0</v>
      </c>
      <c r="AM86" s="390">
        <f t="shared" ca="1" si="33"/>
        <v>0</v>
      </c>
      <c r="AN86" s="391">
        <f t="shared" ca="1" si="34"/>
        <v>0</v>
      </c>
    </row>
    <row r="87" spans="1:40" x14ac:dyDescent="0.25">
      <c r="A87" s="6" t="s">
        <v>6</v>
      </c>
      <c r="B87" s="7"/>
      <c r="H87" s="15" t="s">
        <v>852</v>
      </c>
      <c r="I87" s="161" t="e">
        <f ca="1">_xll.EVPRO($B$1,$H87,"STYLE")</f>
        <v>#NAME?</v>
      </c>
      <c r="J87" s="161" t="e">
        <f ca="1">_xll.EVPRO($B$1,$H87,"CALC")</f>
        <v>#NAME?</v>
      </c>
      <c r="K87" s="68" t="e">
        <f t="shared" ca="1" si="27"/>
        <v>#NAME?</v>
      </c>
      <c r="L87" s="162" t="e">
        <f ca="1">_xll.EVPRO($B$1,H87,"JDEID")</f>
        <v>#NAME?</v>
      </c>
      <c r="M87" s="162" t="e">
        <f ca="1">IF(AND(I87="N",J87="N"),_xll.EVPRO($B$1,H87,"PSFTID"),"")</f>
        <v>#NAME?</v>
      </c>
      <c r="N87" s="162" t="e">
        <f ca="1">IF(_xll.EVDES(H87,$B$1)="#NODATA","",_xll.EVDES(H87,$B$1))</f>
        <v>#NAME?</v>
      </c>
      <c r="O87" s="47">
        <v>5946.28</v>
      </c>
      <c r="P87" s="47">
        <v>2205.88</v>
      </c>
      <c r="Q87" s="47">
        <v>3990.8</v>
      </c>
      <c r="R87" s="47">
        <v>2493.33</v>
      </c>
      <c r="S87" s="47">
        <v>4452.0200000000004</v>
      </c>
      <c r="T87" s="47">
        <v>2260.6799999999998</v>
      </c>
      <c r="U87" s="47">
        <v>4188.87</v>
      </c>
      <c r="V87" s="47">
        <v>2535.46</v>
      </c>
      <c r="W87" s="47">
        <v>-607.4</v>
      </c>
      <c r="X87" s="47">
        <v>5168.32</v>
      </c>
      <c r="Y87" s="47">
        <v>2944.38</v>
      </c>
      <c r="Z87" s="47">
        <v>1241.44</v>
      </c>
      <c r="AA87" s="324" t="e">
        <f t="shared" ca="1" si="23"/>
        <v>#NAME?</v>
      </c>
      <c r="AB87" s="48" t="e">
        <f t="shared" ca="1" si="24"/>
        <v>#NAME?</v>
      </c>
      <c r="AD87" s="47">
        <v>41700.4799446861</v>
      </c>
      <c r="AE87" s="48" t="str">
        <f t="shared" ca="1" si="25"/>
        <v/>
      </c>
      <c r="AF87" s="150" t="e">
        <f t="shared" ca="1" si="26"/>
        <v>#NAME?</v>
      </c>
      <c r="AG87" s="47">
        <v>28914.35</v>
      </c>
      <c r="AH87" s="48" t="str">
        <f t="shared" ca="1" si="28"/>
        <v/>
      </c>
      <c r="AI87" s="150" t="e">
        <f t="shared" ca="1" si="29"/>
        <v>#NAME?</v>
      </c>
      <c r="AJ87" s="350">
        <f t="shared" ca="1" si="30"/>
        <v>0</v>
      </c>
      <c r="AK87" s="351">
        <f t="shared" ca="1" si="31"/>
        <v>0</v>
      </c>
      <c r="AL87" s="352">
        <f t="shared" ca="1" si="32"/>
        <v>0</v>
      </c>
      <c r="AM87" s="387">
        <f t="shared" ca="1" si="33"/>
        <v>0</v>
      </c>
      <c r="AN87" s="386">
        <f t="shared" ca="1" si="34"/>
        <v>0</v>
      </c>
    </row>
    <row r="88" spans="1:40" x14ac:dyDescent="0.25">
      <c r="A88" s="6" t="s">
        <v>7</v>
      </c>
      <c r="B88" s="7" t="e">
        <f ca="1">_xll.EVRNG(A102:F108)</f>
        <v>#NAME?</v>
      </c>
      <c r="H88" s="15" t="s">
        <v>853</v>
      </c>
      <c r="I88" s="161" t="e">
        <f ca="1">_xll.EVPRO($B$1,$H88,"STYLE")</f>
        <v>#NAME?</v>
      </c>
      <c r="J88" s="161" t="e">
        <f ca="1">_xll.EVPRO($B$1,$H88,"CALC")</f>
        <v>#NAME?</v>
      </c>
      <c r="K88" s="68" t="e">
        <f t="shared" ca="1" si="27"/>
        <v>#NAME?</v>
      </c>
      <c r="L88" s="162" t="e">
        <f ca="1">_xll.EVPRO($B$1,H88,"JDEID")</f>
        <v>#NAME?</v>
      </c>
      <c r="M88" s="162" t="e">
        <f ca="1">IF(AND(I88="N",J88="N"),_xll.EVPRO($B$1,H88,"PSFTID"),"")</f>
        <v>#NAME?</v>
      </c>
      <c r="N88" s="162" t="e">
        <f ca="1">IF(_xll.EVDES(H88,$B$1)="#NODATA","",_xll.EVDES(H88,$B$1))</f>
        <v>#NAME?</v>
      </c>
      <c r="O88" s="47">
        <v>11948.01</v>
      </c>
      <c r="P88" s="47">
        <v>11285.03</v>
      </c>
      <c r="Q88" s="47">
        <v>10938.64</v>
      </c>
      <c r="R88" s="47">
        <v>12305.04</v>
      </c>
      <c r="S88" s="47">
        <v>13403.75</v>
      </c>
      <c r="T88" s="47">
        <v>9373.9599999999991</v>
      </c>
      <c r="U88" s="47">
        <v>11502.52</v>
      </c>
      <c r="V88" s="47">
        <v>11477.34</v>
      </c>
      <c r="W88" s="47">
        <v>8445.65</v>
      </c>
      <c r="X88" s="47">
        <v>7524.48</v>
      </c>
      <c r="Y88" s="47">
        <v>6293.22</v>
      </c>
      <c r="Z88" s="47">
        <v>3665.19</v>
      </c>
      <c r="AA88" s="324" t="e">
        <f t="shared" ca="1" si="23"/>
        <v>#NAME?</v>
      </c>
      <c r="AB88" s="48" t="e">
        <f t="shared" ca="1" si="24"/>
        <v>#NAME?</v>
      </c>
      <c r="AD88" s="47">
        <v>54673.106759963397</v>
      </c>
      <c r="AE88" s="48" t="str">
        <f t="shared" ca="1" si="25"/>
        <v/>
      </c>
      <c r="AF88" s="150" t="e">
        <f t="shared" ca="1" si="26"/>
        <v>#NAME?</v>
      </c>
      <c r="AG88" s="47">
        <v>49501.08</v>
      </c>
      <c r="AH88" s="48" t="str">
        <f t="shared" ca="1" si="28"/>
        <v/>
      </c>
      <c r="AI88" s="150" t="e">
        <f t="shared" ca="1" si="29"/>
        <v>#NAME?</v>
      </c>
      <c r="AJ88" s="357">
        <f t="shared" ca="1" si="30"/>
        <v>0</v>
      </c>
      <c r="AK88" s="358">
        <f t="shared" ca="1" si="31"/>
        <v>0</v>
      </c>
      <c r="AL88" s="359">
        <f t="shared" ca="1" si="32"/>
        <v>0</v>
      </c>
      <c r="AM88" s="388">
        <f t="shared" ca="1" si="33"/>
        <v>0</v>
      </c>
      <c r="AN88" s="389">
        <f t="shared" ca="1" si="34"/>
        <v>0</v>
      </c>
    </row>
    <row r="89" spans="1:40" x14ac:dyDescent="0.25">
      <c r="A89" s="6" t="s">
        <v>47</v>
      </c>
      <c r="B89" s="7" t="e">
        <f ca="1">_xll.EVRNG($A$125:$B$146)</f>
        <v>#NAME?</v>
      </c>
      <c r="H89" s="15" t="s">
        <v>854</v>
      </c>
      <c r="I89" s="479" t="e">
        <f ca="1">_xll.EVPRO($B$1,$H89,"STYLE")</f>
        <v>#NAME?</v>
      </c>
      <c r="J89" s="479" t="e">
        <f ca="1">_xll.EVPRO($B$1,$H89,"CALC")</f>
        <v>#NAME?</v>
      </c>
      <c r="K89" s="480" t="e">
        <f t="shared" ca="1" si="27"/>
        <v>#NAME?</v>
      </c>
      <c r="L89" s="170" t="e">
        <f ca="1">_xll.EVPRO($B$1,H89,"JDEID")</f>
        <v>#NAME?</v>
      </c>
      <c r="M89" s="170" t="e">
        <f ca="1">IF(AND(I89="N",J89="N"),_xll.EVPRO($B$1,H89,"PSFTID"),"")</f>
        <v>#NAME?</v>
      </c>
      <c r="N89" s="170" t="e">
        <f ca="1">IF(_xll.EVDES(H89,$B$1)="#NODATA","",_xll.EVDES(H89,$B$1))</f>
        <v>#NAME?</v>
      </c>
      <c r="O89" s="36">
        <v>23343.74</v>
      </c>
      <c r="P89" s="36">
        <v>18802.29</v>
      </c>
      <c r="Q89" s="36">
        <v>20643</v>
      </c>
      <c r="R89" s="36">
        <v>20505.36</v>
      </c>
      <c r="S89" s="36">
        <v>22181.32</v>
      </c>
      <c r="T89" s="36">
        <v>15828.05</v>
      </c>
      <c r="U89" s="36">
        <v>19407.009999999998</v>
      </c>
      <c r="V89" s="36">
        <v>17448.54</v>
      </c>
      <c r="W89" s="36">
        <v>10639.24</v>
      </c>
      <c r="X89" s="36">
        <v>15391.73</v>
      </c>
      <c r="Y89" s="36">
        <v>11246.48</v>
      </c>
      <c r="Z89" s="36">
        <v>7640.52</v>
      </c>
      <c r="AA89" s="36" t="e">
        <f t="shared" ca="1" si="23"/>
        <v>#NAME?</v>
      </c>
      <c r="AB89" s="37" t="e">
        <f t="shared" ca="1" si="24"/>
        <v>#NAME?</v>
      </c>
      <c r="AC89" s="35"/>
      <c r="AD89" s="36">
        <v>162213.33142088199</v>
      </c>
      <c r="AE89" s="37" t="str">
        <f t="shared" ca="1" si="25"/>
        <v/>
      </c>
      <c r="AF89" s="58" t="e">
        <f t="shared" ca="1" si="26"/>
        <v>#NAME?</v>
      </c>
      <c r="AG89" s="36">
        <v>138749.4</v>
      </c>
      <c r="AH89" s="37" t="str">
        <f t="shared" ca="1" si="28"/>
        <v/>
      </c>
      <c r="AI89" s="58" t="e">
        <f t="shared" ca="1" si="29"/>
        <v>#NAME?</v>
      </c>
      <c r="AJ89" s="372">
        <f t="shared" ca="1" si="30"/>
        <v>0</v>
      </c>
      <c r="AK89" s="373">
        <f t="shared" ca="1" si="31"/>
        <v>0</v>
      </c>
      <c r="AL89" s="375">
        <f t="shared" ca="1" si="32"/>
        <v>0</v>
      </c>
      <c r="AM89" s="407">
        <f t="shared" ca="1" si="33"/>
        <v>0</v>
      </c>
      <c r="AN89" s="524">
        <f t="shared" ca="1" si="34"/>
        <v>0</v>
      </c>
    </row>
    <row r="90" spans="1:40" x14ac:dyDescent="0.25">
      <c r="A90" s="6" t="s">
        <v>8</v>
      </c>
      <c r="B90" s="7"/>
      <c r="H90" s="15" t="s">
        <v>76</v>
      </c>
      <c r="I90" s="479" t="e">
        <f ca="1">_xll.EVPRO($B$1,$H90,"STYLE")</f>
        <v>#NAME?</v>
      </c>
      <c r="J90" s="479" t="e">
        <f ca="1">_xll.EVPRO($B$1,$H90,"CALC")</f>
        <v>#NAME?</v>
      </c>
      <c r="K90" s="480" t="e">
        <f t="shared" ca="1" si="27"/>
        <v>#NAME?</v>
      </c>
      <c r="L90" s="170" t="e">
        <f ca="1">_xll.EVPRO($B$1,H90,"JDEID")</f>
        <v>#NAME?</v>
      </c>
      <c r="M90" s="170" t="e">
        <f ca="1">IF(AND(I90="N",J90="N"),_xll.EVPRO($B$1,H90,"PSFTID"),"")</f>
        <v>#NAME?</v>
      </c>
      <c r="N90" s="170" t="e">
        <f ca="1">IF(_xll.EVDES(H90,$B$1)="#NODATA","",_xll.EVDES(H90,$B$1))</f>
        <v>#NAME?</v>
      </c>
      <c r="O90" s="36">
        <v>97046.3</v>
      </c>
      <c r="P90" s="36">
        <v>95540.66</v>
      </c>
      <c r="Q90" s="36">
        <v>108853.24</v>
      </c>
      <c r="R90" s="36">
        <v>115009.16</v>
      </c>
      <c r="S90" s="36">
        <v>99350.65</v>
      </c>
      <c r="T90" s="36">
        <v>90011.46</v>
      </c>
      <c r="U90" s="36">
        <v>96034.18</v>
      </c>
      <c r="V90" s="36">
        <v>101287.08</v>
      </c>
      <c r="W90" s="36">
        <v>68977.97</v>
      </c>
      <c r="X90" s="36">
        <v>72576.28</v>
      </c>
      <c r="Y90" s="36">
        <v>75753.820000000007</v>
      </c>
      <c r="Z90" s="36">
        <v>79085</v>
      </c>
      <c r="AA90" s="36" t="e">
        <f t="shared" ca="1" si="23"/>
        <v>#NAME?</v>
      </c>
      <c r="AB90" s="37" t="e">
        <f t="shared" ca="1" si="24"/>
        <v>#NAME?</v>
      </c>
      <c r="AC90" s="35"/>
      <c r="AD90" s="36">
        <v>1374204.69301489</v>
      </c>
      <c r="AE90" s="37" t="str">
        <f t="shared" ca="1" si="25"/>
        <v/>
      </c>
      <c r="AF90" s="58" t="e">
        <f t="shared" ca="1" si="26"/>
        <v>#NAME?</v>
      </c>
      <c r="AG90" s="36">
        <v>1381106.93</v>
      </c>
      <c r="AH90" s="37" t="str">
        <f t="shared" ca="1" si="28"/>
        <v/>
      </c>
      <c r="AI90" s="58" t="e">
        <f t="shared" ca="1" si="29"/>
        <v>#NAME?</v>
      </c>
      <c r="AJ90" s="364">
        <f t="shared" ca="1" si="30"/>
        <v>0</v>
      </c>
      <c r="AK90" s="365">
        <f t="shared" ca="1" si="31"/>
        <v>0</v>
      </c>
      <c r="AL90" s="367">
        <f t="shared" ca="1" si="32"/>
        <v>0</v>
      </c>
      <c r="AM90" s="414">
        <f t="shared" ca="1" si="33"/>
        <v>0</v>
      </c>
      <c r="AN90" s="523">
        <f t="shared" ca="1" si="34"/>
        <v>0</v>
      </c>
    </row>
    <row r="91" spans="1:40" x14ac:dyDescent="0.25">
      <c r="G91" s="14"/>
      <c r="O91" s="41"/>
      <c r="P91" s="45"/>
      <c r="Q91" s="45"/>
      <c r="R91" s="45"/>
      <c r="S91" s="45"/>
      <c r="T91" s="45"/>
      <c r="U91" s="45"/>
      <c r="V91" s="45"/>
      <c r="W91" s="45"/>
      <c r="X91" s="45"/>
      <c r="Y91" s="45"/>
      <c r="Z91" s="45"/>
      <c r="AA91" s="45"/>
      <c r="AB91" s="42"/>
      <c r="AD91" s="41"/>
      <c r="AE91" s="45"/>
      <c r="AF91" s="42"/>
      <c r="AG91" s="41"/>
      <c r="AH91" s="45"/>
      <c r="AI91" s="42"/>
    </row>
    <row r="92" spans="1:40" x14ac:dyDescent="0.25">
      <c r="A92" s="3" t="s">
        <v>9</v>
      </c>
      <c r="B92" s="5" t="s">
        <v>10</v>
      </c>
      <c r="H92" s="1" t="s">
        <v>82</v>
      </c>
      <c r="I92" s="11" t="e">
        <f ca="1">_xll.EVPRO($B$1,$H92,"STYLE")</f>
        <v>#NAME?</v>
      </c>
      <c r="J92" s="11" t="e">
        <f ca="1">_xll.EVPRO($B$1,$H92,"CALC")</f>
        <v>#NAME?</v>
      </c>
      <c r="N92" s="40" t="e">
        <f ca="1">IF(_xll.EVDES(H92,$B$1)="#NODATA","",_xll.EVDES(H92,$B$1))</f>
        <v>#NAME?</v>
      </c>
      <c r="O92" s="43"/>
      <c r="P92" s="46"/>
      <c r="Q92" s="46"/>
      <c r="R92" s="46"/>
      <c r="S92" s="46"/>
      <c r="T92" s="46"/>
      <c r="U92" s="46"/>
      <c r="V92" s="46"/>
      <c r="W92" s="46"/>
      <c r="X92" s="46"/>
      <c r="Y92" s="46"/>
      <c r="Z92" s="46"/>
      <c r="AA92" s="46"/>
      <c r="AB92" s="44"/>
      <c r="AD92" s="43"/>
      <c r="AE92" s="46"/>
      <c r="AF92" s="44"/>
      <c r="AG92" s="43"/>
      <c r="AH92" s="46"/>
      <c r="AI92" s="44"/>
    </row>
    <row r="93" spans="1:40" x14ac:dyDescent="0.25">
      <c r="A93" s="6" t="s">
        <v>11</v>
      </c>
      <c r="B93" s="7" t="s">
        <v>21</v>
      </c>
      <c r="H93" s="15" t="s">
        <v>829</v>
      </c>
      <c r="I93" s="161" t="e">
        <f ca="1">_xll.EVPRO($B$1,$H93,"STYLE")</f>
        <v>#NAME?</v>
      </c>
      <c r="J93" s="161" t="e">
        <f ca="1">_xll.EVPRO($B$1,$H93,"CALC")</f>
        <v>#NAME?</v>
      </c>
      <c r="K93" s="68" t="e">
        <f ca="1">IF(AND(I93&lt;&gt;"B1",J93="Y"),"&gt;","")</f>
        <v>#NAME?</v>
      </c>
      <c r="L93" s="162" t="e">
        <f ca="1">_xll.EVPRO($B$1,H93,"JDEID")</f>
        <v>#NAME?</v>
      </c>
      <c r="M93" s="162" t="e">
        <f ca="1">IF(AND(I93="N",J93="N"),_xll.EVPRO($B$1,H93,"PSFTID"),"")</f>
        <v>#NAME?</v>
      </c>
      <c r="N93" s="162" t="e">
        <f ca="1">IF(_xll.EVDES(H93,$B$1)="#NODATA","",_xll.EVDES(H93,$B$1))</f>
        <v>#NAME?</v>
      </c>
      <c r="O93" s="21"/>
      <c r="P93" s="21"/>
      <c r="Q93" s="21">
        <v>35</v>
      </c>
      <c r="R93" s="21"/>
      <c r="S93" s="21"/>
      <c r="T93" s="21"/>
      <c r="U93" s="21"/>
      <c r="V93" s="21"/>
      <c r="W93" s="21"/>
      <c r="X93" s="21"/>
      <c r="Y93" s="21"/>
      <c r="Z93" s="21"/>
      <c r="AA93" s="310" t="e">
        <f t="shared" ref="AA93:AA119" ca="1" si="35">IF($I93="B1","",SUM(O93:Z93))</f>
        <v>#NAME?</v>
      </c>
      <c r="AB93" s="17" t="e">
        <f t="shared" ref="AB93:AB119" ca="1" si="36">IF(AA93=0,"",IFERROR(AA93/AA$19,""))</f>
        <v>#NAME?</v>
      </c>
      <c r="AD93" s="21"/>
      <c r="AE93" s="17" t="str">
        <f t="shared" ref="AE93:AE119" si="37">IF(AD93=0,"",IFERROR(AD93/AD$19,""))</f>
        <v/>
      </c>
      <c r="AF93" s="50" t="e">
        <f t="shared" ref="AF93:AF119" ca="1" si="38">IF(AND($AA93="",AD93=""),"",$AA93-AD93)</f>
        <v>#NAME?</v>
      </c>
      <c r="AG93" s="21">
        <v>5385.3</v>
      </c>
      <c r="AH93" s="17" t="str">
        <f ca="1">IF(AG93=0,"",IFERROR(AG93/AG$19,""))</f>
        <v/>
      </c>
      <c r="AI93" s="50" t="e">
        <f ca="1">IF(AND($AA93="",AG93=""),"",$AA93-AG93)</f>
        <v>#NAME?</v>
      </c>
      <c r="AJ93" s="350">
        <f ca="1">IFERROR(AA93/AA$20,0)</f>
        <v>0</v>
      </c>
      <c r="AK93" s="351">
        <f ca="1">IFERROR(AD93/AD$20,0)</f>
        <v>0</v>
      </c>
      <c r="AL93" s="352">
        <f ca="1">IFERROR(AG93/AG$20,0)</f>
        <v>0</v>
      </c>
      <c r="AM93" s="387">
        <f ca="1">+IFERROR(ROUND(($AB93-AE93)*100,2)&amp;" pts.",0)</f>
        <v>0</v>
      </c>
      <c r="AN93" s="386">
        <f ca="1">+IFERROR(ROUND(($AB93-AH93)*100,2)&amp;" pts.",0)</f>
        <v>0</v>
      </c>
    </row>
    <row r="94" spans="1:40" x14ac:dyDescent="0.25">
      <c r="A94" s="6" t="s">
        <v>12</v>
      </c>
      <c r="B94" s="7" t="s">
        <v>22</v>
      </c>
      <c r="H94" s="15" t="s">
        <v>830</v>
      </c>
      <c r="I94" s="161" t="e">
        <f ca="1">_xll.EVPRO($B$1,$H94,"STYLE")</f>
        <v>#NAME?</v>
      </c>
      <c r="J94" s="161" t="e">
        <f ca="1">_xll.EVPRO($B$1,$H94,"CALC")</f>
        <v>#NAME?</v>
      </c>
      <c r="K94" s="68" t="e">
        <f t="shared" ref="K94:K118" ca="1" si="39">IF(AND(I94&lt;&gt;"B1",J94="Y"),"&gt;","")</f>
        <v>#NAME?</v>
      </c>
      <c r="L94" s="162" t="e">
        <f ca="1">_xll.EVPRO($B$1,H94,"JDEID")</f>
        <v>#NAME?</v>
      </c>
      <c r="M94" s="162" t="e">
        <f ca="1">IF(AND(I94="N",J94="N"),_xll.EVPRO($B$1,H94,"PSFTID"),"")</f>
        <v>#NAME?</v>
      </c>
      <c r="N94" s="162" t="e">
        <f ca="1">IF(_xll.EVDES(H94,$B$1)="#NODATA","",_xll.EVDES(H94,$B$1))</f>
        <v>#NAME?</v>
      </c>
      <c r="O94" s="21"/>
      <c r="P94" s="21"/>
      <c r="Q94" s="21"/>
      <c r="R94" s="21"/>
      <c r="S94" s="21"/>
      <c r="T94" s="21">
        <v>34.299999999999997</v>
      </c>
      <c r="U94" s="21"/>
      <c r="V94" s="21"/>
      <c r="W94" s="21"/>
      <c r="X94" s="21"/>
      <c r="Y94" s="21"/>
      <c r="Z94" s="21"/>
      <c r="AA94" s="310" t="e">
        <f t="shared" ca="1" si="35"/>
        <v>#NAME?</v>
      </c>
      <c r="AB94" s="17" t="e">
        <f t="shared" ca="1" si="36"/>
        <v>#NAME?</v>
      </c>
      <c r="AD94" s="21"/>
      <c r="AE94" s="17" t="str">
        <f t="shared" si="37"/>
        <v/>
      </c>
      <c r="AF94" s="50" t="e">
        <f t="shared" ca="1" si="38"/>
        <v>#NAME?</v>
      </c>
      <c r="AG94" s="21"/>
      <c r="AH94" s="17" t="str">
        <f t="shared" ref="AH94:AH118" si="40">IF(AG94=0,"",IFERROR(AG94/AG$19,""))</f>
        <v/>
      </c>
      <c r="AI94" s="50" t="e">
        <f t="shared" ref="AI94:AI118" ca="1" si="41">IF(AND($AA94="",AG94=""),"",$AA94-AG94)</f>
        <v>#NAME?</v>
      </c>
      <c r="AJ94" s="350">
        <f t="shared" ref="AJ94:AJ118" ca="1" si="42">IFERROR(AA94/AA$20,0)</f>
        <v>0</v>
      </c>
      <c r="AK94" s="351">
        <f t="shared" ref="AK94:AK118" ca="1" si="43">IFERROR(AD94/AD$20,0)</f>
        <v>0</v>
      </c>
      <c r="AL94" s="352">
        <f t="shared" ref="AL94:AL118" ca="1" si="44">IFERROR(AG94/AG$20,0)</f>
        <v>0</v>
      </c>
      <c r="AM94" s="387">
        <f t="shared" ref="AM94:AM118" ca="1" si="45">+IFERROR(ROUND(($AB94-AE94)*100,2)&amp;" pts.",0)</f>
        <v>0</v>
      </c>
      <c r="AN94" s="386">
        <f t="shared" ref="AN94:AN118" ca="1" si="46">+IFERROR(ROUND(($AB94-AH94)*100,2)&amp;" pts.",0)</f>
        <v>0</v>
      </c>
    </row>
    <row r="95" spans="1:40" x14ac:dyDescent="0.25">
      <c r="A95" s="6" t="s">
        <v>13</v>
      </c>
      <c r="B95" s="7" t="s">
        <v>737</v>
      </c>
      <c r="H95" s="15" t="s">
        <v>869</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v>455</v>
      </c>
      <c r="R95" s="21">
        <v>546</v>
      </c>
      <c r="S95" s="21">
        <v>-546</v>
      </c>
      <c r="T95" s="21"/>
      <c r="U95" s="21">
        <v>498</v>
      </c>
      <c r="V95" s="21">
        <v>-238</v>
      </c>
      <c r="W95" s="21">
        <v>239.23</v>
      </c>
      <c r="X95" s="21">
        <v>492</v>
      </c>
      <c r="Y95" s="21">
        <v>-896.75</v>
      </c>
      <c r="Z95" s="21"/>
      <c r="AA95" s="310" t="e">
        <f t="shared" ca="1" si="35"/>
        <v>#NAME?</v>
      </c>
      <c r="AB95" s="17" t="e">
        <f t="shared" ca="1" si="36"/>
        <v>#NAME?</v>
      </c>
      <c r="AD95" s="21">
        <v>6292.9894549999999</v>
      </c>
      <c r="AE95" s="17" t="str">
        <f t="shared" ca="1" si="37"/>
        <v/>
      </c>
      <c r="AF95" s="50" t="e">
        <f t="shared" ca="1" si="38"/>
        <v>#NAME?</v>
      </c>
      <c r="AG95" s="21">
        <v>4717.66</v>
      </c>
      <c r="AH95" s="17" t="str">
        <f t="shared" ca="1" si="40"/>
        <v/>
      </c>
      <c r="AI95" s="50" t="e">
        <f t="shared" ca="1" si="41"/>
        <v>#NAME?</v>
      </c>
      <c r="AJ95" s="350">
        <f t="shared" ca="1" si="42"/>
        <v>0</v>
      </c>
      <c r="AK95" s="351">
        <f t="shared" ca="1" si="43"/>
        <v>0</v>
      </c>
      <c r="AL95" s="352">
        <f t="shared" ca="1" si="44"/>
        <v>0</v>
      </c>
      <c r="AM95" s="387">
        <f t="shared" ca="1" si="45"/>
        <v>0</v>
      </c>
      <c r="AN95" s="386">
        <f t="shared" ca="1" si="46"/>
        <v>0</v>
      </c>
    </row>
    <row r="96" spans="1:40" x14ac:dyDescent="0.25">
      <c r="A96" s="6" t="s">
        <v>14</v>
      </c>
      <c r="B96" s="7"/>
      <c r="H96" s="15" t="s">
        <v>832</v>
      </c>
      <c r="I96" s="161" t="e">
        <f ca="1">_xll.EVPRO($B$1,$H96,"STYLE")</f>
        <v>#NAME?</v>
      </c>
      <c r="J96" s="161" t="e">
        <f ca="1">_xll.EVPRO($B$1,$H96,"CALC")</f>
        <v>#NAME?</v>
      </c>
      <c r="K96" s="68" t="e">
        <f t="shared" ca="1" si="39"/>
        <v>#NAME?</v>
      </c>
      <c r="L96" s="162" t="e">
        <f ca="1">_xll.EVPRO($B$1,H96,"JDEID")</f>
        <v>#NAME?</v>
      </c>
      <c r="M96" s="162" t="e">
        <f ca="1">IF(AND(I96="N",J96="N"),_xll.EVPRO($B$1,H96,"PSFTID"),"")</f>
        <v>#NAME?</v>
      </c>
      <c r="N96" s="162" t="e">
        <f ca="1">IF(_xll.EVDES(H96,$B$1)="#NODATA","",_xll.EVDES(H96,$B$1))</f>
        <v>#NAME?</v>
      </c>
      <c r="O96" s="21">
        <v>1134.6300000000001</v>
      </c>
      <c r="P96" s="21">
        <v>976.47</v>
      </c>
      <c r="Q96" s="21">
        <v>2796.31</v>
      </c>
      <c r="R96" s="21">
        <v>2345.14</v>
      </c>
      <c r="S96" s="21">
        <v>2600.39</v>
      </c>
      <c r="T96" s="21">
        <v>2077.12</v>
      </c>
      <c r="U96" s="21">
        <v>-1565.57</v>
      </c>
      <c r="V96" s="21">
        <v>656.96</v>
      </c>
      <c r="W96" s="21">
        <v>1972.8</v>
      </c>
      <c r="X96" s="21">
        <v>1074.3900000000001</v>
      </c>
      <c r="Y96" s="21">
        <v>1480.11</v>
      </c>
      <c r="Z96" s="21">
        <v>3589.61</v>
      </c>
      <c r="AA96" s="310" t="e">
        <f t="shared" ca="1" si="35"/>
        <v>#NAME?</v>
      </c>
      <c r="AB96" s="17" t="e">
        <f t="shared" ca="1" si="36"/>
        <v>#NAME?</v>
      </c>
      <c r="AD96" s="21">
        <v>28572.2</v>
      </c>
      <c r="AE96" s="17" t="str">
        <f t="shared" ca="1" si="37"/>
        <v/>
      </c>
      <c r="AF96" s="50" t="e">
        <f t="shared" ca="1" si="38"/>
        <v>#NAME?</v>
      </c>
      <c r="AG96" s="21">
        <v>31891.919999999998</v>
      </c>
      <c r="AH96" s="17" t="str">
        <f t="shared" ca="1" si="40"/>
        <v/>
      </c>
      <c r="AI96" s="50" t="e">
        <f t="shared" ca="1" si="41"/>
        <v>#NAME?</v>
      </c>
      <c r="AJ96" s="350">
        <f t="shared" ca="1" si="42"/>
        <v>0</v>
      </c>
      <c r="AK96" s="351">
        <f t="shared" ca="1" si="43"/>
        <v>0</v>
      </c>
      <c r="AL96" s="352">
        <f t="shared" ca="1" si="44"/>
        <v>0</v>
      </c>
      <c r="AM96" s="387">
        <f t="shared" ca="1" si="45"/>
        <v>0</v>
      </c>
      <c r="AN96" s="386">
        <f t="shared" ca="1" si="46"/>
        <v>0</v>
      </c>
    </row>
    <row r="97" spans="1:40" x14ac:dyDescent="0.25">
      <c r="A97" s="6" t="s">
        <v>15</v>
      </c>
      <c r="B97" s="7"/>
      <c r="H97" s="15" t="s">
        <v>856</v>
      </c>
      <c r="I97" s="161" t="e">
        <f ca="1">_xll.EVPRO($B$1,$H97,"STYLE")</f>
        <v>#NAME?</v>
      </c>
      <c r="J97" s="161" t="e">
        <f ca="1">_xll.EVPRO($B$1,$H97,"CALC")</f>
        <v>#NAME?</v>
      </c>
      <c r="K97" s="68" t="e">
        <f t="shared" ca="1" si="39"/>
        <v>#NAME?</v>
      </c>
      <c r="L97" s="162" t="e">
        <f ca="1">_xll.EVPRO($B$1,H97,"JDEID")</f>
        <v>#NAME?</v>
      </c>
      <c r="M97" s="162" t="e">
        <f ca="1">IF(AND(I97="N",J97="N"),_xll.EVPRO($B$1,H97,"PSFTID"),"")</f>
        <v>#NAME?</v>
      </c>
      <c r="N97" s="162" t="e">
        <f ca="1">IF(_xll.EVDES(H97,$B$1)="#NODATA","",_xll.EVDES(H97,$B$1))</f>
        <v>#NAME?</v>
      </c>
      <c r="O97" s="21">
        <v>681.25</v>
      </c>
      <c r="P97" s="21">
        <v>53.05</v>
      </c>
      <c r="Q97" s="21">
        <v>990.97</v>
      </c>
      <c r="R97" s="21">
        <v>350.89</v>
      </c>
      <c r="S97" s="21">
        <v>747.8</v>
      </c>
      <c r="T97" s="21">
        <v>279.56</v>
      </c>
      <c r="U97" s="21">
        <v>917</v>
      </c>
      <c r="V97" s="21">
        <v>419.3</v>
      </c>
      <c r="W97" s="21">
        <v>150.08000000000001</v>
      </c>
      <c r="X97" s="21">
        <v>922.42</v>
      </c>
      <c r="Y97" s="21">
        <v>-415.34</v>
      </c>
      <c r="Z97" s="21">
        <v>1261.6600000000001</v>
      </c>
      <c r="AA97" s="310" t="e">
        <f t="shared" ca="1" si="35"/>
        <v>#NAME?</v>
      </c>
      <c r="AB97" s="17" t="e">
        <f t="shared" ca="1" si="36"/>
        <v>#NAME?</v>
      </c>
      <c r="AD97" s="21">
        <v>12331.16</v>
      </c>
      <c r="AE97" s="17" t="str">
        <f t="shared" ca="1" si="37"/>
        <v/>
      </c>
      <c r="AF97" s="50" t="e">
        <f t="shared" ca="1" si="38"/>
        <v>#NAME?</v>
      </c>
      <c r="AG97" s="21">
        <v>10785.78</v>
      </c>
      <c r="AH97" s="17" t="str">
        <f t="shared" ca="1" si="40"/>
        <v/>
      </c>
      <c r="AI97" s="50" t="e">
        <f t="shared" ca="1" si="41"/>
        <v>#NAME?</v>
      </c>
      <c r="AJ97" s="350">
        <f t="shared" ca="1" si="42"/>
        <v>0</v>
      </c>
      <c r="AK97" s="351">
        <f t="shared" ca="1" si="43"/>
        <v>0</v>
      </c>
      <c r="AL97" s="352">
        <f t="shared" ca="1" si="44"/>
        <v>0</v>
      </c>
      <c r="AM97" s="387">
        <f t="shared" ca="1" si="45"/>
        <v>0</v>
      </c>
      <c r="AN97" s="386">
        <f t="shared" ca="1" si="46"/>
        <v>0</v>
      </c>
    </row>
    <row r="98" spans="1:40" x14ac:dyDescent="0.25">
      <c r="A98" s="6" t="s">
        <v>16</v>
      </c>
      <c r="B98" s="7" t="s">
        <v>78</v>
      </c>
      <c r="H98" s="15" t="s">
        <v>870</v>
      </c>
      <c r="I98" s="161" t="e">
        <f ca="1">_xll.EVPRO($B$1,$H98,"STYLE")</f>
        <v>#NAME?</v>
      </c>
      <c r="J98" s="161" t="e">
        <f ca="1">_xll.EVPRO($B$1,$H98,"CALC")</f>
        <v>#NAME?</v>
      </c>
      <c r="K98" s="68" t="e">
        <f t="shared" ca="1" si="39"/>
        <v>#NAME?</v>
      </c>
      <c r="L98" s="162" t="e">
        <f ca="1">_xll.EVPRO($B$1,H98,"JDEID")</f>
        <v>#NAME?</v>
      </c>
      <c r="M98" s="162" t="e">
        <f ca="1">IF(AND(I98="N",J98="N"),_xll.EVPRO($B$1,H98,"PSFTID"),"")</f>
        <v>#NAME?</v>
      </c>
      <c r="N98" s="162" t="e">
        <f ca="1">IF(_xll.EVDES(H98,$B$1)="#NODATA","",_xll.EVDES(H98,$B$1))</f>
        <v>#NAME?</v>
      </c>
      <c r="O98" s="21">
        <v>613.76</v>
      </c>
      <c r="P98" s="21">
        <v>572.13</v>
      </c>
      <c r="Q98" s="21">
        <v>1234.08</v>
      </c>
      <c r="R98" s="21">
        <v>760.73</v>
      </c>
      <c r="S98" s="21">
        <v>442.59</v>
      </c>
      <c r="T98" s="21">
        <v>336.79</v>
      </c>
      <c r="U98" s="21">
        <v>810.32</v>
      </c>
      <c r="V98" s="21">
        <v>257.99</v>
      </c>
      <c r="W98" s="21">
        <v>1023.27</v>
      </c>
      <c r="X98" s="21">
        <v>845.1</v>
      </c>
      <c r="Y98" s="21">
        <v>342.87</v>
      </c>
      <c r="Z98" s="21">
        <v>967.39</v>
      </c>
      <c r="AA98" s="310" t="e">
        <f t="shared" ca="1" si="35"/>
        <v>#NAME?</v>
      </c>
      <c r="AB98" s="17" t="e">
        <f t="shared" ca="1" si="36"/>
        <v>#NAME?</v>
      </c>
      <c r="AD98" s="21">
        <v>10827.36</v>
      </c>
      <c r="AE98" s="17" t="str">
        <f t="shared" ca="1" si="37"/>
        <v/>
      </c>
      <c r="AF98" s="50" t="e">
        <f t="shared" ca="1" si="38"/>
        <v>#NAME?</v>
      </c>
      <c r="AG98" s="21">
        <v>9300.4699999999993</v>
      </c>
      <c r="AH98" s="17" t="str">
        <f t="shared" ca="1" si="40"/>
        <v/>
      </c>
      <c r="AI98" s="50" t="e">
        <f t="shared" ca="1" si="41"/>
        <v>#NAME?</v>
      </c>
      <c r="AJ98" s="350">
        <f t="shared" ca="1" si="42"/>
        <v>0</v>
      </c>
      <c r="AK98" s="351">
        <f t="shared" ca="1" si="43"/>
        <v>0</v>
      </c>
      <c r="AL98" s="352">
        <f t="shared" ca="1" si="44"/>
        <v>0</v>
      </c>
      <c r="AM98" s="387">
        <f t="shared" ca="1" si="45"/>
        <v>0</v>
      </c>
      <c r="AN98" s="386">
        <f t="shared" ca="1" si="46"/>
        <v>0</v>
      </c>
    </row>
    <row r="99" spans="1:40" x14ac:dyDescent="0.25">
      <c r="A99" s="6" t="s">
        <v>17</v>
      </c>
      <c r="B99" s="7"/>
      <c r="H99" s="15" t="s">
        <v>871</v>
      </c>
      <c r="I99" s="161" t="e">
        <f ca="1">_xll.EVPRO($B$1,$H99,"STYLE")</f>
        <v>#NAME?</v>
      </c>
      <c r="J99" s="161" t="e">
        <f ca="1">_xll.EVPRO($B$1,$H99,"CALC")</f>
        <v>#NAME?</v>
      </c>
      <c r="K99" s="68" t="e">
        <f t="shared" ca="1" si="39"/>
        <v>#NAME?</v>
      </c>
      <c r="L99" s="162" t="e">
        <f ca="1">_xll.EVPRO($B$1,H99,"JDEID")</f>
        <v>#NAME?</v>
      </c>
      <c r="M99" s="162" t="e">
        <f ca="1">IF(AND(I99="N",J99="N"),_xll.EVPRO($B$1,H99,"PSFTID"),"")</f>
        <v>#NAME?</v>
      </c>
      <c r="N99" s="162" t="e">
        <f ca="1">IF(_xll.EVDES(H99,$B$1)="#NODATA","",_xll.EVDES(H99,$B$1))</f>
        <v>#NAME?</v>
      </c>
      <c r="O99" s="21"/>
      <c r="P99" s="21"/>
      <c r="Q99" s="21">
        <v>279.85000000000002</v>
      </c>
      <c r="R99" s="21"/>
      <c r="S99" s="21"/>
      <c r="T99" s="21"/>
      <c r="U99" s="21"/>
      <c r="V99" s="21"/>
      <c r="W99" s="21"/>
      <c r="X99" s="21"/>
      <c r="Y99" s="21"/>
      <c r="Z99" s="21"/>
      <c r="AA99" s="310" t="e">
        <f t="shared" ca="1" si="35"/>
        <v>#NAME?</v>
      </c>
      <c r="AB99" s="17" t="e">
        <f t="shared" ca="1" si="36"/>
        <v>#NAME?</v>
      </c>
      <c r="AD99" s="21"/>
      <c r="AE99" s="17" t="str">
        <f t="shared" si="37"/>
        <v/>
      </c>
      <c r="AF99" s="50" t="e">
        <f t="shared" ca="1" si="38"/>
        <v>#NAME?</v>
      </c>
      <c r="AG99" s="21">
        <v>73.790000000000006</v>
      </c>
      <c r="AH99" s="17" t="str">
        <f t="shared" ca="1" si="40"/>
        <v/>
      </c>
      <c r="AI99" s="50" t="e">
        <f t="shared" ca="1" si="41"/>
        <v>#NAME?</v>
      </c>
      <c r="AJ99" s="350">
        <f t="shared" ca="1" si="42"/>
        <v>0</v>
      </c>
      <c r="AK99" s="351">
        <f t="shared" ca="1" si="43"/>
        <v>0</v>
      </c>
      <c r="AL99" s="352">
        <f t="shared" ca="1" si="44"/>
        <v>0</v>
      </c>
      <c r="AM99" s="387">
        <f t="shared" ca="1" si="45"/>
        <v>0</v>
      </c>
      <c r="AN99" s="386">
        <f t="shared" ca="1" si="46"/>
        <v>0</v>
      </c>
    </row>
    <row r="100" spans="1:40" x14ac:dyDescent="0.25">
      <c r="H100" s="15" t="s">
        <v>872</v>
      </c>
      <c r="I100" s="161" t="e">
        <f ca="1">_xll.EVPRO($B$1,$H100,"STYLE")</f>
        <v>#NAME?</v>
      </c>
      <c r="J100" s="161" t="e">
        <f ca="1">_xll.EVPRO($B$1,$H100,"CALC")</f>
        <v>#NAME?</v>
      </c>
      <c r="K100" s="68" t="e">
        <f t="shared" ca="1" si="39"/>
        <v>#NAME?</v>
      </c>
      <c r="L100" s="162" t="e">
        <f ca="1">_xll.EVPRO($B$1,H100,"JDEID")</f>
        <v>#NAME?</v>
      </c>
      <c r="M100" s="162" t="e">
        <f ca="1">IF(AND(I100="N",J100="N"),_xll.EVPRO($B$1,H100,"PSFTID"),"")</f>
        <v>#NAME?</v>
      </c>
      <c r="N100" s="162" t="e">
        <f ca="1">IF(_xll.EVDES(H100,$B$1)="#NODATA","",_xll.EVDES(H100,$B$1))</f>
        <v>#NAME?</v>
      </c>
      <c r="O100" s="21">
        <v>2006.15</v>
      </c>
      <c r="P100" s="21">
        <v>1307.49</v>
      </c>
      <c r="Q100" s="21">
        <v>1815.17</v>
      </c>
      <c r="R100" s="21">
        <v>2056.15</v>
      </c>
      <c r="S100" s="21">
        <v>1117.19</v>
      </c>
      <c r="T100" s="21">
        <v>1310.0899999999999</v>
      </c>
      <c r="U100" s="21">
        <v>1134.99</v>
      </c>
      <c r="V100" s="21">
        <v>1483.17</v>
      </c>
      <c r="W100" s="21">
        <v>672.98</v>
      </c>
      <c r="X100" s="21">
        <v>1219.73</v>
      </c>
      <c r="Y100" s="21">
        <v>522.35</v>
      </c>
      <c r="Z100" s="21">
        <v>1965.47</v>
      </c>
      <c r="AA100" s="310" t="e">
        <f t="shared" ca="1" si="35"/>
        <v>#NAME?</v>
      </c>
      <c r="AB100" s="17" t="e">
        <f t="shared" ca="1" si="36"/>
        <v>#NAME?</v>
      </c>
      <c r="AD100" s="21">
        <v>15038</v>
      </c>
      <c r="AE100" s="17" t="str">
        <f t="shared" ca="1" si="37"/>
        <v/>
      </c>
      <c r="AF100" s="50" t="e">
        <f t="shared" ca="1" si="38"/>
        <v>#NAME?</v>
      </c>
      <c r="AG100" s="21">
        <v>28989.49</v>
      </c>
      <c r="AH100" s="17" t="str">
        <f t="shared" ca="1" si="40"/>
        <v/>
      </c>
      <c r="AI100" s="50" t="e">
        <f t="shared" ca="1" si="41"/>
        <v>#NAME?</v>
      </c>
      <c r="AJ100" s="350">
        <f t="shared" ca="1" si="42"/>
        <v>0</v>
      </c>
      <c r="AK100" s="351">
        <f t="shared" ca="1" si="43"/>
        <v>0</v>
      </c>
      <c r="AL100" s="352">
        <f t="shared" ca="1" si="44"/>
        <v>0</v>
      </c>
      <c r="AM100" s="387">
        <f t="shared" ca="1" si="45"/>
        <v>0</v>
      </c>
      <c r="AN100" s="386">
        <f t="shared" ca="1" si="46"/>
        <v>0</v>
      </c>
    </row>
    <row r="101" spans="1:40" x14ac:dyDescent="0.25">
      <c r="A101" s="22" t="s">
        <v>92</v>
      </c>
      <c r="B101" s="23" t="s">
        <v>93</v>
      </c>
      <c r="C101" s="23" t="s">
        <v>94</v>
      </c>
      <c r="D101" s="23" t="s">
        <v>95</v>
      </c>
      <c r="E101" s="23" t="s">
        <v>96</v>
      </c>
      <c r="F101" s="24" t="s">
        <v>97</v>
      </c>
      <c r="H101" s="15" t="s">
        <v>858</v>
      </c>
      <c r="I101" s="161" t="e">
        <f ca="1">_xll.EVPRO($B$1,$H101,"STYLE")</f>
        <v>#NAME?</v>
      </c>
      <c r="J101" s="161" t="e">
        <f ca="1">_xll.EVPRO($B$1,$H101,"CALC")</f>
        <v>#NAME?</v>
      </c>
      <c r="K101" s="68" t="e">
        <f t="shared" ca="1" si="39"/>
        <v>#NAME?</v>
      </c>
      <c r="L101" s="162" t="e">
        <f ca="1">_xll.EVPRO($B$1,H101,"JDEID")</f>
        <v>#NAME?</v>
      </c>
      <c r="M101" s="162" t="e">
        <f ca="1">IF(AND(I101="N",J101="N"),_xll.EVPRO($B$1,H101,"PSFTID"),"")</f>
        <v>#NAME?</v>
      </c>
      <c r="N101" s="162" t="e">
        <f ca="1">IF(_xll.EVDES(H101,$B$1)="#NODATA","",_xll.EVDES(H101,$B$1))</f>
        <v>#NAME?</v>
      </c>
      <c r="O101" s="21">
        <v>221.32</v>
      </c>
      <c r="P101" s="21">
        <v>500</v>
      </c>
      <c r="Q101" s="21">
        <v>200</v>
      </c>
      <c r="R101" s="21">
        <v>200</v>
      </c>
      <c r="S101" s="21"/>
      <c r="T101" s="21">
        <v>-335.81</v>
      </c>
      <c r="U101" s="21">
        <v>9.6199999999999992</v>
      </c>
      <c r="V101" s="21"/>
      <c r="W101" s="21"/>
      <c r="X101" s="21">
        <v>207.46</v>
      </c>
      <c r="Y101" s="21">
        <v>-207.46</v>
      </c>
      <c r="Z101" s="21">
        <v>30.18</v>
      </c>
      <c r="AA101" s="310" t="e">
        <f t="shared" ca="1" si="35"/>
        <v>#NAME?</v>
      </c>
      <c r="AB101" s="17" t="e">
        <f t="shared" ca="1" si="36"/>
        <v>#NAME?</v>
      </c>
      <c r="AD101" s="21">
        <v>2035</v>
      </c>
      <c r="AE101" s="17" t="str">
        <f t="shared" ca="1" si="37"/>
        <v/>
      </c>
      <c r="AF101" s="50" t="e">
        <f t="shared" ca="1" si="38"/>
        <v>#NAME?</v>
      </c>
      <c r="AG101" s="21">
        <v>1822.13</v>
      </c>
      <c r="AH101" s="17" t="str">
        <f t="shared" ca="1" si="40"/>
        <v/>
      </c>
      <c r="AI101" s="50" t="e">
        <f t="shared" ca="1" si="41"/>
        <v>#NAME?</v>
      </c>
      <c r="AJ101" s="350">
        <f t="shared" ca="1" si="42"/>
        <v>0</v>
      </c>
      <c r="AK101" s="351">
        <f t="shared" ca="1" si="43"/>
        <v>0</v>
      </c>
      <c r="AL101" s="352">
        <f t="shared" ca="1" si="44"/>
        <v>0</v>
      </c>
      <c r="AM101" s="387">
        <f t="shared" ca="1" si="45"/>
        <v>0</v>
      </c>
      <c r="AN101" s="386">
        <f t="shared" ca="1" si="46"/>
        <v>0</v>
      </c>
    </row>
    <row r="102" spans="1:40" x14ac:dyDescent="0.25">
      <c r="H102" s="15" t="s">
        <v>873</v>
      </c>
      <c r="I102" s="161" t="e">
        <f ca="1">_xll.EVPRO($B$1,$H102,"STYLE")</f>
        <v>#NAME?</v>
      </c>
      <c r="J102" s="161" t="e">
        <f ca="1">_xll.EVPRO($B$1,$H102,"CALC")</f>
        <v>#NAME?</v>
      </c>
      <c r="K102" s="68" t="e">
        <f t="shared" ca="1" si="39"/>
        <v>#NAME?</v>
      </c>
      <c r="L102" s="162" t="e">
        <f ca="1">_xll.EVPRO($B$1,H102,"JDEID")</f>
        <v>#NAME?</v>
      </c>
      <c r="M102" s="162" t="e">
        <f ca="1">IF(AND(I102="N",J102="N"),_xll.EVPRO($B$1,H102,"PSFTID"),"")</f>
        <v>#NAME?</v>
      </c>
      <c r="N102" s="162" t="e">
        <f ca="1">IF(_xll.EVDES(H102,$B$1)="#NODATA","",_xll.EVDES(H102,$B$1))</f>
        <v>#NAME?</v>
      </c>
      <c r="O102" s="21">
        <v>315.66000000000003</v>
      </c>
      <c r="P102" s="21">
        <v>-57.06</v>
      </c>
      <c r="Q102" s="21">
        <v>444</v>
      </c>
      <c r="R102" s="21">
        <v>189</v>
      </c>
      <c r="S102" s="21">
        <v>182</v>
      </c>
      <c r="T102" s="21">
        <v>410</v>
      </c>
      <c r="U102" s="21">
        <v>-2</v>
      </c>
      <c r="V102" s="21">
        <v>122</v>
      </c>
      <c r="W102" s="21">
        <v>399.42</v>
      </c>
      <c r="X102" s="21">
        <v>-67</v>
      </c>
      <c r="Y102" s="21">
        <v>-148</v>
      </c>
      <c r="Z102" s="21">
        <v>74</v>
      </c>
      <c r="AA102" s="310" t="e">
        <f t="shared" ca="1" si="35"/>
        <v>#NAME?</v>
      </c>
      <c r="AB102" s="17" t="e">
        <f t="shared" ca="1" si="36"/>
        <v>#NAME?</v>
      </c>
      <c r="AD102" s="21">
        <v>5559.96</v>
      </c>
      <c r="AE102" s="17" t="str">
        <f t="shared" ca="1" si="37"/>
        <v/>
      </c>
      <c r="AF102" s="50" t="e">
        <f t="shared" ca="1" si="38"/>
        <v>#NAME?</v>
      </c>
      <c r="AG102" s="21">
        <v>4861.8</v>
      </c>
      <c r="AH102" s="17" t="str">
        <f t="shared" ca="1" si="40"/>
        <v/>
      </c>
      <c r="AI102" s="50" t="e">
        <f t="shared" ca="1" si="41"/>
        <v>#NAME?</v>
      </c>
      <c r="AJ102" s="350">
        <f t="shared" ca="1" si="42"/>
        <v>0</v>
      </c>
      <c r="AK102" s="351">
        <f t="shared" ca="1" si="43"/>
        <v>0</v>
      </c>
      <c r="AL102" s="352">
        <f t="shared" ca="1" si="44"/>
        <v>0</v>
      </c>
      <c r="AM102" s="387">
        <f t="shared" ca="1" si="45"/>
        <v>0</v>
      </c>
      <c r="AN102" s="386">
        <f t="shared" ca="1" si="46"/>
        <v>0</v>
      </c>
    </row>
    <row r="103" spans="1:40" x14ac:dyDescent="0.25">
      <c r="A103" s="1" t="s">
        <v>108</v>
      </c>
      <c r="C103" s="26" t="s">
        <v>101</v>
      </c>
      <c r="D103" s="1" t="s">
        <v>106</v>
      </c>
      <c r="F103" s="1" t="s">
        <v>98</v>
      </c>
      <c r="H103" s="15" t="s">
        <v>833</v>
      </c>
      <c r="I103" s="161" t="e">
        <f ca="1">_xll.EVPRO($B$1,$H103,"STYLE")</f>
        <v>#NAME?</v>
      </c>
      <c r="J103" s="161" t="e">
        <f ca="1">_xll.EVPRO($B$1,$H103,"CALC")</f>
        <v>#NAME?</v>
      </c>
      <c r="K103" s="68" t="e">
        <f t="shared" ca="1" si="39"/>
        <v>#NAME?</v>
      </c>
      <c r="L103" s="162" t="e">
        <f ca="1">_xll.EVPRO($B$1,H103,"JDEID")</f>
        <v>#NAME?</v>
      </c>
      <c r="M103" s="162" t="e">
        <f ca="1">IF(AND(I103="N",J103="N"),_xll.EVPRO($B$1,H103,"PSFTID"),"")</f>
        <v>#NAME?</v>
      </c>
      <c r="N103" s="162" t="e">
        <f ca="1">IF(_xll.EVDES(H103,$B$1)="#NODATA","",_xll.EVDES(H103,$B$1))</f>
        <v>#NAME?</v>
      </c>
      <c r="O103" s="21">
        <v>4815</v>
      </c>
      <c r="P103" s="21">
        <v>4800</v>
      </c>
      <c r="Q103" s="21">
        <v>5876.58</v>
      </c>
      <c r="R103" s="21">
        <v>5285.47</v>
      </c>
      <c r="S103" s="21">
        <v>4794</v>
      </c>
      <c r="T103" s="21">
        <v>6206</v>
      </c>
      <c r="U103" s="21">
        <v>4794</v>
      </c>
      <c r="V103" s="21">
        <v>6074.2</v>
      </c>
      <c r="W103" s="21">
        <v>6364.38</v>
      </c>
      <c r="X103" s="21">
        <v>4756.49</v>
      </c>
      <c r="Y103" s="21">
        <v>4644</v>
      </c>
      <c r="Z103" s="21">
        <v>5564</v>
      </c>
      <c r="AA103" s="310" t="e">
        <f t="shared" ca="1" si="35"/>
        <v>#NAME?</v>
      </c>
      <c r="AB103" s="17" t="e">
        <f t="shared" ca="1" si="36"/>
        <v>#NAME?</v>
      </c>
      <c r="AD103" s="21">
        <v>62760</v>
      </c>
      <c r="AE103" s="17" t="str">
        <f t="shared" ca="1" si="37"/>
        <v/>
      </c>
      <c r="AF103" s="50" t="e">
        <f t="shared" ca="1" si="38"/>
        <v>#NAME?</v>
      </c>
      <c r="AG103" s="21">
        <v>71899</v>
      </c>
      <c r="AH103" s="17" t="str">
        <f t="shared" ca="1" si="40"/>
        <v/>
      </c>
      <c r="AI103" s="50" t="e">
        <f t="shared" ca="1" si="41"/>
        <v>#NAME?</v>
      </c>
      <c r="AJ103" s="350">
        <f t="shared" ca="1" si="42"/>
        <v>0</v>
      </c>
      <c r="AK103" s="351">
        <f t="shared" ca="1" si="43"/>
        <v>0</v>
      </c>
      <c r="AL103" s="352">
        <f t="shared" ca="1" si="44"/>
        <v>0</v>
      </c>
      <c r="AM103" s="387">
        <f t="shared" ca="1" si="45"/>
        <v>0</v>
      </c>
      <c r="AN103" s="386">
        <f t="shared" ca="1" si="46"/>
        <v>0</v>
      </c>
    </row>
    <row r="104" spans="1:40" x14ac:dyDescent="0.25">
      <c r="A104" s="1" t="s">
        <v>100</v>
      </c>
      <c r="C104" s="8" t="s">
        <v>101</v>
      </c>
      <c r="D104" s="1" t="s">
        <v>106</v>
      </c>
      <c r="F104" s="1" t="s">
        <v>98</v>
      </c>
      <c r="H104" s="15" t="s">
        <v>834</v>
      </c>
      <c r="I104" s="161" t="e">
        <f ca="1">_xll.EVPRO($B$1,$H104,"STYLE")</f>
        <v>#NAME?</v>
      </c>
      <c r="J104" s="161" t="e">
        <f ca="1">_xll.EVPRO($B$1,$H104,"CALC")</f>
        <v>#NAME?</v>
      </c>
      <c r="K104" s="68" t="e">
        <f t="shared" ca="1" si="39"/>
        <v>#NAME?</v>
      </c>
      <c r="L104" s="162" t="e">
        <f ca="1">_xll.EVPRO($B$1,H104,"JDEID")</f>
        <v>#NAME?</v>
      </c>
      <c r="M104" s="162" t="e">
        <f ca="1">IF(AND(I104="N",J104="N"),_xll.EVPRO($B$1,H104,"PSFTID"),"")</f>
        <v>#NAME?</v>
      </c>
      <c r="N104" s="162" t="e">
        <f ca="1">IF(_xll.EVDES(H104,$B$1)="#NODATA","",_xll.EVDES(H104,$B$1))</f>
        <v>#NAME?</v>
      </c>
      <c r="O104" s="21">
        <v>60.01</v>
      </c>
      <c r="P104" s="21">
        <v>95.21</v>
      </c>
      <c r="Q104" s="21">
        <v>19.57</v>
      </c>
      <c r="R104" s="21"/>
      <c r="S104" s="21">
        <v>1874.74</v>
      </c>
      <c r="T104" s="21">
        <v>243.55</v>
      </c>
      <c r="U104" s="21"/>
      <c r="V104" s="21"/>
      <c r="W104" s="21">
        <v>1119.24</v>
      </c>
      <c r="X104" s="21">
        <v>31.71</v>
      </c>
      <c r="Y104" s="21">
        <v>179.52</v>
      </c>
      <c r="Z104" s="21"/>
      <c r="AA104" s="310" t="e">
        <f t="shared" ca="1" si="35"/>
        <v>#NAME?</v>
      </c>
      <c r="AB104" s="17" t="e">
        <f t="shared" ca="1" si="36"/>
        <v>#NAME?</v>
      </c>
      <c r="AD104" s="21">
        <v>4250</v>
      </c>
      <c r="AE104" s="17" t="str">
        <f t="shared" ca="1" si="37"/>
        <v/>
      </c>
      <c r="AF104" s="50" t="e">
        <f t="shared" ca="1" si="38"/>
        <v>#NAME?</v>
      </c>
      <c r="AG104" s="21">
        <v>13298.15</v>
      </c>
      <c r="AH104" s="17" t="str">
        <f t="shared" ca="1" si="40"/>
        <v/>
      </c>
      <c r="AI104" s="50" t="e">
        <f t="shared" ca="1" si="41"/>
        <v>#NAME?</v>
      </c>
      <c r="AJ104" s="350">
        <f t="shared" ca="1" si="42"/>
        <v>0</v>
      </c>
      <c r="AK104" s="351">
        <f t="shared" ca="1" si="43"/>
        <v>0</v>
      </c>
      <c r="AL104" s="352">
        <f t="shared" ca="1" si="44"/>
        <v>0</v>
      </c>
      <c r="AM104" s="387">
        <f t="shared" ca="1" si="45"/>
        <v>0</v>
      </c>
      <c r="AN104" s="386">
        <f t="shared" ca="1" si="46"/>
        <v>0</v>
      </c>
    </row>
    <row r="105" spans="1:40" x14ac:dyDescent="0.25">
      <c r="A105" s="1" t="s">
        <v>109</v>
      </c>
      <c r="C105" s="25" t="s">
        <v>101</v>
      </c>
      <c r="D105" s="1" t="s">
        <v>106</v>
      </c>
      <c r="F105" s="1" t="s">
        <v>98</v>
      </c>
      <c r="G105" s="14"/>
      <c r="H105" s="15" t="s">
        <v>835</v>
      </c>
      <c r="I105" s="161" t="e">
        <f ca="1">_xll.EVPRO($B$1,$H105,"STYLE")</f>
        <v>#NAME?</v>
      </c>
      <c r="J105" s="161" t="e">
        <f ca="1">_xll.EVPRO($B$1,$H105,"CALC")</f>
        <v>#NAME?</v>
      </c>
      <c r="K105" s="68" t="e">
        <f t="shared" ca="1" si="39"/>
        <v>#NAME?</v>
      </c>
      <c r="L105" s="162" t="e">
        <f ca="1">_xll.EVPRO($B$1,H105,"JDEID")</f>
        <v>#NAME?</v>
      </c>
      <c r="M105" s="162" t="e">
        <f ca="1">IF(AND(I105="N",J105="N"),_xll.EVPRO($B$1,H105,"PSFTID"),"")</f>
        <v>#NAME?</v>
      </c>
      <c r="N105" s="162" t="e">
        <f ca="1">IF(_xll.EVDES(H105,$B$1)="#NODATA","",_xll.EVDES(H105,$B$1))</f>
        <v>#NAME?</v>
      </c>
      <c r="O105" s="21"/>
      <c r="P105" s="21"/>
      <c r="Q105" s="21"/>
      <c r="R105" s="21"/>
      <c r="S105" s="21"/>
      <c r="T105" s="21"/>
      <c r="U105" s="21"/>
      <c r="V105" s="21"/>
      <c r="W105" s="21"/>
      <c r="X105" s="21"/>
      <c r="Y105" s="21"/>
      <c r="Z105" s="21"/>
      <c r="AA105" s="310" t="e">
        <f t="shared" ca="1" si="35"/>
        <v>#NAME?</v>
      </c>
      <c r="AB105" s="17" t="e">
        <f t="shared" ca="1" si="36"/>
        <v>#NAME?</v>
      </c>
      <c r="AD105" s="21">
        <v>2200</v>
      </c>
      <c r="AE105" s="17" t="str">
        <f t="shared" ca="1" si="37"/>
        <v/>
      </c>
      <c r="AF105" s="50" t="e">
        <f t="shared" ca="1" si="38"/>
        <v>#NAME?</v>
      </c>
      <c r="AG105" s="21">
        <v>4303.71</v>
      </c>
      <c r="AH105" s="17" t="str">
        <f t="shared" ca="1" si="40"/>
        <v/>
      </c>
      <c r="AI105" s="50" t="e">
        <f t="shared" ca="1" si="41"/>
        <v>#NAME?</v>
      </c>
      <c r="AJ105" s="350">
        <f t="shared" ca="1" si="42"/>
        <v>0</v>
      </c>
      <c r="AK105" s="351">
        <f t="shared" ca="1" si="43"/>
        <v>0</v>
      </c>
      <c r="AL105" s="352">
        <f t="shared" ca="1" si="44"/>
        <v>0</v>
      </c>
      <c r="AM105" s="387">
        <f t="shared" ca="1" si="45"/>
        <v>0</v>
      </c>
      <c r="AN105" s="386">
        <f t="shared" ca="1" si="46"/>
        <v>0</v>
      </c>
    </row>
    <row r="106" spans="1:40" x14ac:dyDescent="0.25">
      <c r="A106" s="1" t="s">
        <v>109</v>
      </c>
      <c r="C106" s="151" t="s">
        <v>101</v>
      </c>
      <c r="D106" s="1" t="s">
        <v>107</v>
      </c>
      <c r="F106" s="1" t="s">
        <v>99</v>
      </c>
      <c r="H106" s="15" t="s">
        <v>874</v>
      </c>
      <c r="I106" s="161" t="e">
        <f ca="1">_xll.EVPRO($B$1,$H106,"STYLE")</f>
        <v>#NAME?</v>
      </c>
      <c r="J106" s="161" t="e">
        <f ca="1">_xll.EVPRO($B$1,$H106,"CALC")</f>
        <v>#NAME?</v>
      </c>
      <c r="K106" s="68" t="e">
        <f t="shared" ca="1" si="39"/>
        <v>#NAME?</v>
      </c>
      <c r="L106" s="162" t="e">
        <f ca="1">_xll.EVPRO($B$1,H106,"JDEID")</f>
        <v>#NAME?</v>
      </c>
      <c r="M106" s="162" t="e">
        <f ca="1">IF(AND(I106="N",J106="N"),_xll.EVPRO($B$1,H106,"PSFTID"),"")</f>
        <v>#NAME?</v>
      </c>
      <c r="N106" s="162" t="e">
        <f ca="1">IF(_xll.EVDES(H106,$B$1)="#NODATA","",_xll.EVDES(H106,$B$1))</f>
        <v>#NAME?</v>
      </c>
      <c r="O106" s="21"/>
      <c r="P106" s="21"/>
      <c r="Q106" s="21"/>
      <c r="R106" s="21"/>
      <c r="S106" s="21"/>
      <c r="T106" s="21"/>
      <c r="U106" s="21"/>
      <c r="V106" s="21">
        <v>139.12</v>
      </c>
      <c r="W106" s="21"/>
      <c r="X106" s="21">
        <v>55.98</v>
      </c>
      <c r="Y106" s="21"/>
      <c r="Z106" s="21"/>
      <c r="AA106" s="310" t="e">
        <f t="shared" ca="1" si="35"/>
        <v>#NAME?</v>
      </c>
      <c r="AB106" s="17" t="e">
        <f t="shared" ca="1" si="36"/>
        <v>#NAME?</v>
      </c>
      <c r="AD106" s="21">
        <v>545</v>
      </c>
      <c r="AE106" s="17" t="str">
        <f t="shared" ca="1" si="37"/>
        <v/>
      </c>
      <c r="AF106" s="50" t="e">
        <f t="shared" ca="1" si="38"/>
        <v>#NAME?</v>
      </c>
      <c r="AG106" s="21">
        <v>1489.11</v>
      </c>
      <c r="AH106" s="17" t="str">
        <f t="shared" ca="1" si="40"/>
        <v/>
      </c>
      <c r="AI106" s="50" t="e">
        <f t="shared" ca="1" si="41"/>
        <v>#NAME?</v>
      </c>
      <c r="AJ106" s="350">
        <f t="shared" ca="1" si="42"/>
        <v>0</v>
      </c>
      <c r="AK106" s="351">
        <f t="shared" ca="1" si="43"/>
        <v>0</v>
      </c>
      <c r="AL106" s="352">
        <f t="shared" ca="1" si="44"/>
        <v>0</v>
      </c>
      <c r="AM106" s="387">
        <f t="shared" ca="1" si="45"/>
        <v>0</v>
      </c>
      <c r="AN106" s="386">
        <f t="shared" ca="1" si="46"/>
        <v>0</v>
      </c>
    </row>
    <row r="107" spans="1:40" x14ac:dyDescent="0.25">
      <c r="A107" s="1" t="s">
        <v>110</v>
      </c>
      <c r="C107" s="25" t="s">
        <v>101</v>
      </c>
      <c r="D107" s="1" t="s">
        <v>106</v>
      </c>
      <c r="F107" s="1" t="s">
        <v>98</v>
      </c>
      <c r="H107" s="15" t="s">
        <v>875</v>
      </c>
      <c r="I107" s="161" t="e">
        <f ca="1">_xll.EVPRO($B$1,$H107,"STYLE")</f>
        <v>#NAME?</v>
      </c>
      <c r="J107" s="161" t="e">
        <f ca="1">_xll.EVPRO($B$1,$H107,"CALC")</f>
        <v>#NAME?</v>
      </c>
      <c r="K107" s="68" t="e">
        <f t="shared" ca="1" si="39"/>
        <v>#NAME?</v>
      </c>
      <c r="L107" s="162" t="e">
        <f ca="1">_xll.EVPRO($B$1,H107,"JDEID")</f>
        <v>#NAME?</v>
      </c>
      <c r="M107" s="162" t="e">
        <f ca="1">IF(AND(I107="N",J107="N"),_xll.EVPRO($B$1,H107,"PSFTID"),"")</f>
        <v>#NAME?</v>
      </c>
      <c r="N107" s="162" t="e">
        <f ca="1">IF(_xll.EVDES(H107,$B$1)="#NODATA","",_xll.EVDES(H107,$B$1))</f>
        <v>#NAME?</v>
      </c>
      <c r="O107" s="21"/>
      <c r="P107" s="21"/>
      <c r="Q107" s="21">
        <v>352</v>
      </c>
      <c r="R107" s="21"/>
      <c r="S107" s="21">
        <v>-72</v>
      </c>
      <c r="T107" s="21"/>
      <c r="U107" s="21"/>
      <c r="V107" s="21"/>
      <c r="W107" s="21"/>
      <c r="X107" s="21"/>
      <c r="Y107" s="21"/>
      <c r="Z107" s="21"/>
      <c r="AA107" s="310" t="e">
        <f t="shared" ca="1" si="35"/>
        <v>#NAME?</v>
      </c>
      <c r="AB107" s="17" t="e">
        <f t="shared" ca="1" si="36"/>
        <v>#NAME?</v>
      </c>
      <c r="AD107" s="21">
        <v>704</v>
      </c>
      <c r="AE107" s="17" t="str">
        <f t="shared" ca="1" si="37"/>
        <v/>
      </c>
      <c r="AF107" s="50" t="e">
        <f t="shared" ca="1" si="38"/>
        <v>#NAME?</v>
      </c>
      <c r="AG107" s="21"/>
      <c r="AH107" s="17" t="str">
        <f t="shared" si="40"/>
        <v/>
      </c>
      <c r="AI107" s="50" t="e">
        <f t="shared" ca="1" si="41"/>
        <v>#NAME?</v>
      </c>
      <c r="AJ107" s="350">
        <f t="shared" ca="1" si="42"/>
        <v>0</v>
      </c>
      <c r="AK107" s="351">
        <f t="shared" ca="1" si="43"/>
        <v>0</v>
      </c>
      <c r="AL107" s="352">
        <f t="shared" ca="1" si="44"/>
        <v>0</v>
      </c>
      <c r="AM107" s="387">
        <f t="shared" ca="1" si="45"/>
        <v>0</v>
      </c>
      <c r="AN107" s="386">
        <f t="shared" ca="1" si="46"/>
        <v>0</v>
      </c>
    </row>
    <row r="108" spans="1:40" x14ac:dyDescent="0.25">
      <c r="A108" s="1" t="s">
        <v>110</v>
      </c>
      <c r="C108" s="29" t="s">
        <v>101</v>
      </c>
      <c r="D108" s="1" t="s">
        <v>107</v>
      </c>
      <c r="F108" s="1" t="s">
        <v>99</v>
      </c>
      <c r="H108" s="15" t="s">
        <v>859</v>
      </c>
      <c r="I108" s="161" t="e">
        <f ca="1">_xll.EVPRO($B$1,$H108,"STYLE")</f>
        <v>#NAME?</v>
      </c>
      <c r="J108" s="161" t="e">
        <f ca="1">_xll.EVPRO($B$1,$H108,"CALC")</f>
        <v>#NAME?</v>
      </c>
      <c r="K108" s="68" t="e">
        <f t="shared" ca="1" si="39"/>
        <v>#NAME?</v>
      </c>
      <c r="L108" s="162" t="e">
        <f ca="1">_xll.EVPRO($B$1,H108,"JDEID")</f>
        <v>#NAME?</v>
      </c>
      <c r="M108" s="162" t="e">
        <f ca="1">IF(AND(I108="N",J108="N"),_xll.EVPRO($B$1,H108,"PSFTID"),"")</f>
        <v>#NAME?</v>
      </c>
      <c r="N108" s="162" t="e">
        <f ca="1">IF(_xll.EVDES(H108,$B$1)="#NODATA","",_xll.EVDES(H108,$B$1))</f>
        <v>#NAME?</v>
      </c>
      <c r="O108" s="21"/>
      <c r="P108" s="21"/>
      <c r="Q108" s="21">
        <v>97.2</v>
      </c>
      <c r="R108" s="21">
        <v>90.4</v>
      </c>
      <c r="S108" s="21">
        <v>-819.85</v>
      </c>
      <c r="T108" s="21">
        <v>99.95</v>
      </c>
      <c r="U108" s="21">
        <v>868.54</v>
      </c>
      <c r="V108" s="21">
        <v>184.03</v>
      </c>
      <c r="W108" s="21"/>
      <c r="X108" s="21">
        <v>603.72</v>
      </c>
      <c r="Y108" s="21"/>
      <c r="Z108" s="21">
        <v>448.13</v>
      </c>
      <c r="AA108" s="310" t="e">
        <f t="shared" ca="1" si="35"/>
        <v>#NAME?</v>
      </c>
      <c r="AB108" s="17" t="e">
        <f t="shared" ca="1" si="36"/>
        <v>#NAME?</v>
      </c>
      <c r="AD108" s="21">
        <v>3800</v>
      </c>
      <c r="AE108" s="17" t="str">
        <f t="shared" ca="1" si="37"/>
        <v/>
      </c>
      <c r="AF108" s="50" t="e">
        <f t="shared" ca="1" si="38"/>
        <v>#NAME?</v>
      </c>
      <c r="AG108" s="21">
        <v>1646.12</v>
      </c>
      <c r="AH108" s="17" t="str">
        <f t="shared" ca="1" si="40"/>
        <v/>
      </c>
      <c r="AI108" s="50" t="e">
        <f t="shared" ca="1" si="41"/>
        <v>#NAME?</v>
      </c>
      <c r="AJ108" s="350">
        <f t="shared" ca="1" si="42"/>
        <v>0</v>
      </c>
      <c r="AK108" s="351">
        <f t="shared" ca="1" si="43"/>
        <v>0</v>
      </c>
      <c r="AL108" s="352">
        <f t="shared" ca="1" si="44"/>
        <v>0</v>
      </c>
      <c r="AM108" s="387">
        <f t="shared" ca="1" si="45"/>
        <v>0</v>
      </c>
      <c r="AN108" s="386">
        <f t="shared" ca="1" si="46"/>
        <v>0</v>
      </c>
    </row>
    <row r="109" spans="1:40" x14ac:dyDescent="0.25">
      <c r="C109" s="32"/>
      <c r="H109" s="15" t="s">
        <v>876</v>
      </c>
      <c r="I109" s="161" t="e">
        <f ca="1">_xll.EVPRO($B$1,$H109,"STYLE")</f>
        <v>#NAME?</v>
      </c>
      <c r="J109" s="161" t="e">
        <f ca="1">_xll.EVPRO($B$1,$H109,"CALC")</f>
        <v>#NAME?</v>
      </c>
      <c r="K109" s="68" t="e">
        <f t="shared" ca="1" si="39"/>
        <v>#NAME?</v>
      </c>
      <c r="L109" s="162" t="e">
        <f ca="1">_xll.EVPRO($B$1,H109,"JDEID")</f>
        <v>#NAME?</v>
      </c>
      <c r="M109" s="162" t="e">
        <f ca="1">IF(AND(I109="N",J109="N"),_xll.EVPRO($B$1,H109,"PSFTID"),"")</f>
        <v>#NAME?</v>
      </c>
      <c r="N109" s="162" t="e">
        <f ca="1">IF(_xll.EVDES(H109,$B$1)="#NODATA","",_xll.EVDES(H109,$B$1))</f>
        <v>#NAME?</v>
      </c>
      <c r="O109" s="21">
        <v>144.26</v>
      </c>
      <c r="P109" s="21">
        <v>185.42</v>
      </c>
      <c r="Q109" s="21">
        <v>268.73</v>
      </c>
      <c r="R109" s="21">
        <v>220.08</v>
      </c>
      <c r="S109" s="21">
        <v>146.63999999999999</v>
      </c>
      <c r="T109" s="21">
        <v>235.62</v>
      </c>
      <c r="U109" s="21">
        <v>120.49</v>
      </c>
      <c r="V109" s="21">
        <v>93.88</v>
      </c>
      <c r="W109" s="21">
        <v>128.74</v>
      </c>
      <c r="X109" s="21">
        <v>73.510000000000005</v>
      </c>
      <c r="Y109" s="21">
        <v>146.29</v>
      </c>
      <c r="Z109" s="21">
        <v>28.56</v>
      </c>
      <c r="AA109" s="310" t="e">
        <f t="shared" ca="1" si="35"/>
        <v>#NAME?</v>
      </c>
      <c r="AB109" s="17" t="e">
        <f t="shared" ca="1" si="36"/>
        <v>#NAME?</v>
      </c>
      <c r="AD109" s="21">
        <v>2406.08</v>
      </c>
      <c r="AE109" s="17" t="str">
        <f t="shared" ca="1" si="37"/>
        <v/>
      </c>
      <c r="AF109" s="50" t="e">
        <f t="shared" ca="1" si="38"/>
        <v>#NAME?</v>
      </c>
      <c r="AG109" s="21">
        <v>2532.52</v>
      </c>
      <c r="AH109" s="17" t="str">
        <f t="shared" ca="1" si="40"/>
        <v/>
      </c>
      <c r="AI109" s="50" t="e">
        <f t="shared" ca="1" si="41"/>
        <v>#NAME?</v>
      </c>
      <c r="AJ109" s="350">
        <f t="shared" ca="1" si="42"/>
        <v>0</v>
      </c>
      <c r="AK109" s="351">
        <f t="shared" ca="1" si="43"/>
        <v>0</v>
      </c>
      <c r="AL109" s="352">
        <f t="shared" ca="1" si="44"/>
        <v>0</v>
      </c>
      <c r="AM109" s="387">
        <f t="shared" ca="1" si="45"/>
        <v>0</v>
      </c>
      <c r="AN109" s="386">
        <f t="shared" ca="1" si="46"/>
        <v>0</v>
      </c>
    </row>
    <row r="110" spans="1:40" x14ac:dyDescent="0.25">
      <c r="H110" s="15" t="s">
        <v>860</v>
      </c>
      <c r="I110" s="161" t="e">
        <f ca="1">_xll.EVPRO($B$1,$H110,"STYLE")</f>
        <v>#NAME?</v>
      </c>
      <c r="J110" s="161" t="e">
        <f ca="1">_xll.EVPRO($B$1,$H110,"CALC")</f>
        <v>#NAME?</v>
      </c>
      <c r="K110" s="68" t="e">
        <f t="shared" ca="1" si="39"/>
        <v>#NAME?</v>
      </c>
      <c r="L110" s="162" t="e">
        <f ca="1">_xll.EVPRO($B$1,H110,"JDEID")</f>
        <v>#NAME?</v>
      </c>
      <c r="M110" s="162" t="e">
        <f ca="1">IF(AND(I110="N",J110="N"),_xll.EVPRO($B$1,H110,"PSFTID"),"")</f>
        <v>#NAME?</v>
      </c>
      <c r="N110" s="162" t="e">
        <f ca="1">IF(_xll.EVDES(H110,$B$1)="#NODATA","",_xll.EVDES(H110,$B$1))</f>
        <v>#NAME?</v>
      </c>
      <c r="O110" s="21">
        <v>2020.74</v>
      </c>
      <c r="P110" s="21">
        <v>1614.51</v>
      </c>
      <c r="Q110" s="21">
        <v>2436.87</v>
      </c>
      <c r="R110" s="21">
        <v>2064.29</v>
      </c>
      <c r="S110" s="21">
        <v>1988.21</v>
      </c>
      <c r="T110" s="21">
        <v>2005.84</v>
      </c>
      <c r="U110" s="21">
        <v>1783.06</v>
      </c>
      <c r="V110" s="21">
        <v>1834.25</v>
      </c>
      <c r="W110" s="21">
        <v>1199.49</v>
      </c>
      <c r="X110" s="21">
        <v>2008.57</v>
      </c>
      <c r="Y110" s="21">
        <v>1896.07</v>
      </c>
      <c r="Z110" s="21">
        <v>2299.0500000000002</v>
      </c>
      <c r="AA110" s="310" t="e">
        <f t="shared" ca="1" si="35"/>
        <v>#NAME?</v>
      </c>
      <c r="AB110" s="17" t="e">
        <f t="shared" ca="1" si="36"/>
        <v>#NAME?</v>
      </c>
      <c r="AD110" s="21">
        <v>20000</v>
      </c>
      <c r="AE110" s="17" t="str">
        <f t="shared" ca="1" si="37"/>
        <v/>
      </c>
      <c r="AF110" s="50" t="e">
        <f t="shared" ca="1" si="38"/>
        <v>#NAME?</v>
      </c>
      <c r="AG110" s="21">
        <v>19194.21</v>
      </c>
      <c r="AH110" s="17" t="str">
        <f t="shared" ca="1" si="40"/>
        <v/>
      </c>
      <c r="AI110" s="50" t="e">
        <f t="shared" ca="1" si="41"/>
        <v>#NAME?</v>
      </c>
      <c r="AJ110" s="350">
        <f t="shared" ca="1" si="42"/>
        <v>0</v>
      </c>
      <c r="AK110" s="351">
        <f t="shared" ca="1" si="43"/>
        <v>0</v>
      </c>
      <c r="AL110" s="352">
        <f t="shared" ca="1" si="44"/>
        <v>0</v>
      </c>
      <c r="AM110" s="387">
        <f t="shared" ca="1" si="45"/>
        <v>0</v>
      </c>
      <c r="AN110" s="386">
        <f t="shared" ca="1" si="46"/>
        <v>0</v>
      </c>
    </row>
    <row r="111" spans="1:40" x14ac:dyDescent="0.25">
      <c r="A111" s="4" t="e">
        <f ca="1">_xll.EVDRE($B$1,A114:B121)</f>
        <v>#NAME?</v>
      </c>
      <c r="B111" s="1" t="s">
        <v>736</v>
      </c>
      <c r="G111" s="14"/>
      <c r="H111" s="15" t="s">
        <v>877</v>
      </c>
      <c r="I111" s="161" t="e">
        <f ca="1">_xll.EVPRO($B$1,$H111,"STYLE")</f>
        <v>#NAME?</v>
      </c>
      <c r="J111" s="161" t="e">
        <f ca="1">_xll.EVPRO($B$1,$H111,"CALC")</f>
        <v>#NAME?</v>
      </c>
      <c r="K111" s="68" t="e">
        <f t="shared" ca="1" si="39"/>
        <v>#NAME?</v>
      </c>
      <c r="L111" s="162" t="e">
        <f ca="1">_xll.EVPRO($B$1,H111,"JDEID")</f>
        <v>#NAME?</v>
      </c>
      <c r="M111" s="162" t="e">
        <f ca="1">IF(AND(I111="N",J111="N"),_xll.EVPRO($B$1,H111,"PSFTID"),"")</f>
        <v>#NAME?</v>
      </c>
      <c r="N111" s="162" t="e">
        <f ca="1">IF(_xll.EVDES(H111,$B$1)="#NODATA","",_xll.EVDES(H111,$B$1))</f>
        <v>#NAME?</v>
      </c>
      <c r="O111" s="21"/>
      <c r="P111" s="21">
        <v>396.94</v>
      </c>
      <c r="Q111" s="21">
        <v>255.73</v>
      </c>
      <c r="R111" s="21"/>
      <c r="S111" s="21"/>
      <c r="T111" s="21"/>
      <c r="U111" s="21"/>
      <c r="V111" s="21">
        <v>-797.94</v>
      </c>
      <c r="W111" s="21"/>
      <c r="X111" s="21">
        <v>8.35</v>
      </c>
      <c r="Y111" s="21">
        <v>681.74</v>
      </c>
      <c r="Z111" s="21">
        <v>-288.45999999999998</v>
      </c>
      <c r="AA111" s="310" t="e">
        <f t="shared" ca="1" si="35"/>
        <v>#NAME?</v>
      </c>
      <c r="AB111" s="17" t="e">
        <f t="shared" ca="1" si="36"/>
        <v>#NAME?</v>
      </c>
      <c r="AD111" s="21">
        <v>500</v>
      </c>
      <c r="AE111" s="17" t="str">
        <f t="shared" ca="1" si="37"/>
        <v/>
      </c>
      <c r="AF111" s="50" t="e">
        <f t="shared" ca="1" si="38"/>
        <v>#NAME?</v>
      </c>
      <c r="AG111" s="21">
        <v>890.72</v>
      </c>
      <c r="AH111" s="17" t="str">
        <f t="shared" ca="1" si="40"/>
        <v/>
      </c>
      <c r="AI111" s="50" t="e">
        <f t="shared" ca="1" si="41"/>
        <v>#NAME?</v>
      </c>
      <c r="AJ111" s="350">
        <f t="shared" ca="1" si="42"/>
        <v>0</v>
      </c>
      <c r="AK111" s="351">
        <f t="shared" ca="1" si="43"/>
        <v>0</v>
      </c>
      <c r="AL111" s="352">
        <f t="shared" ca="1" si="44"/>
        <v>0</v>
      </c>
      <c r="AM111" s="387">
        <f t="shared" ca="1" si="45"/>
        <v>0</v>
      </c>
      <c r="AN111" s="386">
        <f t="shared" ca="1" si="46"/>
        <v>0</v>
      </c>
    </row>
    <row r="112" spans="1:40" x14ac:dyDescent="0.25">
      <c r="H112" s="15" t="s">
        <v>878</v>
      </c>
      <c r="I112" s="161" t="e">
        <f ca="1">_xll.EVPRO($B$1,$H112,"STYLE")</f>
        <v>#NAME?</v>
      </c>
      <c r="J112" s="161" t="e">
        <f ca="1">_xll.EVPRO($B$1,$H112,"CALC")</f>
        <v>#NAME?</v>
      </c>
      <c r="K112" s="68" t="e">
        <f t="shared" ca="1" si="39"/>
        <v>#NAME?</v>
      </c>
      <c r="L112" s="162" t="e">
        <f ca="1">_xll.EVPRO($B$1,H112,"JDEID")</f>
        <v>#NAME?</v>
      </c>
      <c r="M112" s="162" t="e">
        <f ca="1">IF(AND(I112="N",J112="N"),_xll.EVPRO($B$1,H112,"PSFTID"),"")</f>
        <v>#NAME?</v>
      </c>
      <c r="N112" s="162" t="e">
        <f ca="1">IF(_xll.EVDES(H112,$B$1)="#NODATA","",_xll.EVDES(H112,$B$1))</f>
        <v>#NAME?</v>
      </c>
      <c r="O112" s="21">
        <v>1163.71</v>
      </c>
      <c r="P112" s="21">
        <v>340.26</v>
      </c>
      <c r="Q112" s="21">
        <v>220.96</v>
      </c>
      <c r="R112" s="21">
        <v>253.35</v>
      </c>
      <c r="S112" s="21">
        <v>641.96</v>
      </c>
      <c r="T112" s="21">
        <v>160.31</v>
      </c>
      <c r="U112" s="21"/>
      <c r="V112" s="21"/>
      <c r="W112" s="21"/>
      <c r="X112" s="21"/>
      <c r="Y112" s="21">
        <v>641.79</v>
      </c>
      <c r="Z112" s="21">
        <v>-199.05</v>
      </c>
      <c r="AA112" s="310" t="e">
        <f t="shared" ca="1" si="35"/>
        <v>#NAME?</v>
      </c>
      <c r="AB112" s="17" t="e">
        <f t="shared" ca="1" si="36"/>
        <v>#NAME?</v>
      </c>
      <c r="AD112" s="21">
        <v>400</v>
      </c>
      <c r="AE112" s="17" t="str">
        <f t="shared" ca="1" si="37"/>
        <v/>
      </c>
      <c r="AF112" s="50" t="e">
        <f t="shared" ca="1" si="38"/>
        <v>#NAME?</v>
      </c>
      <c r="AG112" s="21">
        <v>4856.28</v>
      </c>
      <c r="AH112" s="17" t="str">
        <f t="shared" ca="1" si="40"/>
        <v/>
      </c>
      <c r="AI112" s="50" t="e">
        <f t="shared" ca="1" si="41"/>
        <v>#NAME?</v>
      </c>
      <c r="AJ112" s="350">
        <f t="shared" ca="1" si="42"/>
        <v>0</v>
      </c>
      <c r="AK112" s="351">
        <f t="shared" ca="1" si="43"/>
        <v>0</v>
      </c>
      <c r="AL112" s="352">
        <f t="shared" ca="1" si="44"/>
        <v>0</v>
      </c>
      <c r="AM112" s="387">
        <f t="shared" ca="1" si="45"/>
        <v>0</v>
      </c>
      <c r="AN112" s="386">
        <f t="shared" ca="1" si="46"/>
        <v>0</v>
      </c>
    </row>
    <row r="113" spans="1:40" x14ac:dyDescent="0.25">
      <c r="A113" s="3" t="s">
        <v>0</v>
      </c>
      <c r="B113" s="5" t="s">
        <v>1</v>
      </c>
      <c r="H113" s="15" t="s">
        <v>879</v>
      </c>
      <c r="I113" s="161" t="e">
        <f ca="1">_xll.EVPRO($B$1,$H113,"STYLE")</f>
        <v>#NAME?</v>
      </c>
      <c r="J113" s="161" t="e">
        <f ca="1">_xll.EVPRO($B$1,$H113,"CALC")</f>
        <v>#NAME?</v>
      </c>
      <c r="K113" s="68" t="e">
        <f t="shared" ca="1" si="39"/>
        <v>#NAME?</v>
      </c>
      <c r="L113" s="162" t="e">
        <f ca="1">_xll.EVPRO($B$1,H113,"JDEID")</f>
        <v>#NAME?</v>
      </c>
      <c r="M113" s="162" t="e">
        <f ca="1">IF(AND(I113="N",J113="N"),_xll.EVPRO($B$1,H113,"PSFTID"),"")</f>
        <v>#NAME?</v>
      </c>
      <c r="N113" s="162" t="e">
        <f ca="1">IF(_xll.EVDES(H113,$B$1)="#NODATA","",_xll.EVDES(H113,$B$1))</f>
        <v>#NAME?</v>
      </c>
      <c r="O113" s="21"/>
      <c r="P113" s="21"/>
      <c r="Q113" s="21">
        <v>279.8</v>
      </c>
      <c r="R113" s="21"/>
      <c r="S113" s="21"/>
      <c r="T113" s="21"/>
      <c r="U113" s="21"/>
      <c r="V113" s="21"/>
      <c r="W113" s="21"/>
      <c r="X113" s="21"/>
      <c r="Y113" s="21"/>
      <c r="Z113" s="21"/>
      <c r="AA113" s="310" t="e">
        <f t="shared" ca="1" si="35"/>
        <v>#NAME?</v>
      </c>
      <c r="AB113" s="17" t="e">
        <f t="shared" ca="1" si="36"/>
        <v>#NAME?</v>
      </c>
      <c r="AD113" s="21">
        <v>800</v>
      </c>
      <c r="AE113" s="17" t="str">
        <f t="shared" ca="1" si="37"/>
        <v/>
      </c>
      <c r="AF113" s="50" t="e">
        <f t="shared" ca="1" si="38"/>
        <v>#NAME?</v>
      </c>
      <c r="AG113" s="21">
        <v>1583.86</v>
      </c>
      <c r="AH113" s="17" t="str">
        <f t="shared" ca="1" si="40"/>
        <v/>
      </c>
      <c r="AI113" s="50" t="e">
        <f t="shared" ca="1" si="41"/>
        <v>#NAME?</v>
      </c>
      <c r="AJ113" s="350">
        <f t="shared" ca="1" si="42"/>
        <v>0</v>
      </c>
      <c r="AK113" s="351">
        <f t="shared" ca="1" si="43"/>
        <v>0</v>
      </c>
      <c r="AL113" s="352">
        <f t="shared" ca="1" si="44"/>
        <v>0</v>
      </c>
      <c r="AM113" s="387">
        <f t="shared" ca="1" si="45"/>
        <v>0</v>
      </c>
      <c r="AN113" s="386">
        <f t="shared" ca="1" si="46"/>
        <v>0</v>
      </c>
    </row>
    <row r="114" spans="1:40" x14ac:dyDescent="0.25">
      <c r="A114" s="6" t="s">
        <v>2</v>
      </c>
      <c r="B114" s="7" t="e">
        <f ca="1">_xll.EVRNG($B$2:$B$10)</f>
        <v>#NAME?</v>
      </c>
      <c r="H114" s="15" t="s">
        <v>880</v>
      </c>
      <c r="I114" s="161" t="e">
        <f ca="1">_xll.EVPRO($B$1,$H114,"STYLE")</f>
        <v>#NAME?</v>
      </c>
      <c r="J114" s="161" t="e">
        <f ca="1">_xll.EVPRO($B$1,$H114,"CALC")</f>
        <v>#NAME?</v>
      </c>
      <c r="K114" s="68" t="e">
        <f t="shared" ca="1" si="39"/>
        <v>#NAME?</v>
      </c>
      <c r="L114" s="162" t="e">
        <f ca="1">_xll.EVPRO($B$1,H114,"JDEID")</f>
        <v>#NAME?</v>
      </c>
      <c r="M114" s="162" t="e">
        <f ca="1">IF(AND(I114="N",J114="N"),_xll.EVPRO($B$1,H114,"PSFTID"),"")</f>
        <v>#NAME?</v>
      </c>
      <c r="N114" s="162" t="e">
        <f ca="1">IF(_xll.EVDES(H114,$B$1)="#NODATA","",_xll.EVDES(H114,$B$1))</f>
        <v>#NAME?</v>
      </c>
      <c r="O114" s="21"/>
      <c r="P114" s="21"/>
      <c r="Q114" s="21"/>
      <c r="R114" s="21">
        <v>500</v>
      </c>
      <c r="S114" s="21">
        <v>-500</v>
      </c>
      <c r="T114" s="21">
        <v>115.55</v>
      </c>
      <c r="U114" s="21"/>
      <c r="V114" s="21"/>
      <c r="W114" s="21"/>
      <c r="X114" s="21"/>
      <c r="Y114" s="21"/>
      <c r="Z114" s="21"/>
      <c r="AA114" s="310" t="e">
        <f t="shared" ca="1" si="35"/>
        <v>#NAME?</v>
      </c>
      <c r="AB114" s="17" t="e">
        <f t="shared" ca="1" si="36"/>
        <v>#NAME?</v>
      </c>
      <c r="AD114" s="21">
        <v>1000</v>
      </c>
      <c r="AE114" s="17" t="str">
        <f t="shared" ca="1" si="37"/>
        <v/>
      </c>
      <c r="AF114" s="50" t="e">
        <f t="shared" ca="1" si="38"/>
        <v>#NAME?</v>
      </c>
      <c r="AG114" s="21">
        <v>302.8</v>
      </c>
      <c r="AH114" s="17" t="str">
        <f t="shared" ca="1" si="40"/>
        <v/>
      </c>
      <c r="AI114" s="50" t="e">
        <f t="shared" ca="1" si="41"/>
        <v>#NAME?</v>
      </c>
      <c r="AJ114" s="350">
        <f t="shared" ca="1" si="42"/>
        <v>0</v>
      </c>
      <c r="AK114" s="351">
        <f t="shared" ca="1" si="43"/>
        <v>0</v>
      </c>
      <c r="AL114" s="352">
        <f t="shared" ca="1" si="44"/>
        <v>0</v>
      </c>
      <c r="AM114" s="387">
        <f t="shared" ca="1" si="45"/>
        <v>0</v>
      </c>
      <c r="AN114" s="386">
        <f t="shared" ca="1" si="46"/>
        <v>0</v>
      </c>
    </row>
    <row r="115" spans="1:40" x14ac:dyDescent="0.25">
      <c r="A115" s="6" t="s">
        <v>3</v>
      </c>
      <c r="B115" s="7" t="e">
        <f ca="1">_xll.EVRNG($O$16:$AN$18)</f>
        <v>#NAME?</v>
      </c>
      <c r="H115" s="15" t="s">
        <v>861</v>
      </c>
      <c r="I115" s="161" t="e">
        <f ca="1">_xll.EVPRO($B$1,$H115,"STYLE")</f>
        <v>#NAME?</v>
      </c>
      <c r="J115" s="161" t="e">
        <f ca="1">_xll.EVPRO($B$1,$H115,"CALC")</f>
        <v>#NAME?</v>
      </c>
      <c r="K115" s="68" t="e">
        <f t="shared" ca="1" si="39"/>
        <v>#NAME?</v>
      </c>
      <c r="L115" s="162" t="e">
        <f ca="1">_xll.EVPRO($B$1,H115,"JDEID")</f>
        <v>#NAME?</v>
      </c>
      <c r="M115" s="162" t="e">
        <f ca="1">IF(AND(I115="N",J115="N"),_xll.EVPRO($B$1,H115,"PSFTID"),"")</f>
        <v>#NAME?</v>
      </c>
      <c r="N115" s="162" t="e">
        <f ca="1">IF(_xll.EVDES(H115,$B$1)="#NODATA","",_xll.EVDES(H115,$B$1))</f>
        <v>#NAME?</v>
      </c>
      <c r="O115" s="21"/>
      <c r="P115" s="21"/>
      <c r="Q115" s="21"/>
      <c r="R115" s="21"/>
      <c r="S115" s="21"/>
      <c r="T115" s="21"/>
      <c r="U115" s="21">
        <v>85.6</v>
      </c>
      <c r="V115" s="21"/>
      <c r="W115" s="21">
        <v>3104.1</v>
      </c>
      <c r="X115" s="21"/>
      <c r="Y115" s="21"/>
      <c r="Z115" s="21"/>
      <c r="AA115" s="310" t="e">
        <f t="shared" ca="1" si="35"/>
        <v>#NAME?</v>
      </c>
      <c r="AB115" s="17" t="e">
        <f t="shared" ca="1" si="36"/>
        <v>#NAME?</v>
      </c>
      <c r="AD115" s="21"/>
      <c r="AE115" s="17" t="str">
        <f t="shared" si="37"/>
        <v/>
      </c>
      <c r="AF115" s="50" t="e">
        <f t="shared" ca="1" si="38"/>
        <v>#NAME?</v>
      </c>
      <c r="AG115" s="21">
        <v>1377.57</v>
      </c>
      <c r="AH115" s="17" t="str">
        <f t="shared" ca="1" si="40"/>
        <v/>
      </c>
      <c r="AI115" s="50" t="e">
        <f t="shared" ca="1" si="41"/>
        <v>#NAME?</v>
      </c>
      <c r="AJ115" s="350">
        <f t="shared" ca="1" si="42"/>
        <v>0</v>
      </c>
      <c r="AK115" s="351">
        <f t="shared" ca="1" si="43"/>
        <v>0</v>
      </c>
      <c r="AL115" s="352">
        <f t="shared" ca="1" si="44"/>
        <v>0</v>
      </c>
      <c r="AM115" s="387">
        <f t="shared" ca="1" si="45"/>
        <v>0</v>
      </c>
      <c r="AN115" s="386">
        <f t="shared" ca="1" si="46"/>
        <v>0</v>
      </c>
    </row>
    <row r="116" spans="1:40" x14ac:dyDescent="0.25">
      <c r="A116" s="6" t="s">
        <v>4</v>
      </c>
      <c r="B116" s="7" t="e">
        <f ca="1">_xll.EVRNG(H119:H122)</f>
        <v>#NAME?</v>
      </c>
      <c r="H116" s="15" t="s">
        <v>881</v>
      </c>
      <c r="I116" s="161" t="e">
        <f ca="1">_xll.EVPRO($B$1,$H116,"STYLE")</f>
        <v>#NAME?</v>
      </c>
      <c r="J116" s="161" t="e">
        <f ca="1">_xll.EVPRO($B$1,$H116,"CALC")</f>
        <v>#NAME?</v>
      </c>
      <c r="K116" s="68" t="e">
        <f t="shared" ca="1" si="39"/>
        <v>#NAME?</v>
      </c>
      <c r="L116" s="162" t="e">
        <f ca="1">_xll.EVPRO($B$1,H116,"JDEID")</f>
        <v>#NAME?</v>
      </c>
      <c r="M116" s="162" t="e">
        <f ca="1">IF(AND(I116="N",J116="N"),_xll.EVPRO($B$1,H116,"PSFTID"),"")</f>
        <v>#NAME?</v>
      </c>
      <c r="N116" s="162" t="e">
        <f ca="1">IF(_xll.EVDES(H116,$B$1)="#NODATA","",_xll.EVDES(H116,$B$1))</f>
        <v>#NAME?</v>
      </c>
      <c r="O116" s="21"/>
      <c r="P116" s="21">
        <v>1700</v>
      </c>
      <c r="Q116" s="21">
        <v>400</v>
      </c>
      <c r="R116" s="21"/>
      <c r="S116" s="21"/>
      <c r="T116" s="21">
        <v>717</v>
      </c>
      <c r="U116" s="21">
        <v>-717</v>
      </c>
      <c r="V116" s="21">
        <v>400</v>
      </c>
      <c r="W116" s="21"/>
      <c r="X116" s="21">
        <v>250</v>
      </c>
      <c r="Y116" s="21"/>
      <c r="Z116" s="21">
        <v>983</v>
      </c>
      <c r="AA116" s="310" t="e">
        <f t="shared" ca="1" si="35"/>
        <v>#NAME?</v>
      </c>
      <c r="AB116" s="17" t="e">
        <f t="shared" ca="1" si="36"/>
        <v>#NAME?</v>
      </c>
      <c r="AD116" s="21">
        <v>3150</v>
      </c>
      <c r="AE116" s="17" t="str">
        <f t="shared" ca="1" si="37"/>
        <v/>
      </c>
      <c r="AF116" s="50" t="e">
        <f t="shared" ca="1" si="38"/>
        <v>#NAME?</v>
      </c>
      <c r="AG116" s="21">
        <v>10748.63</v>
      </c>
      <c r="AH116" s="17" t="str">
        <f t="shared" ca="1" si="40"/>
        <v/>
      </c>
      <c r="AI116" s="50" t="e">
        <f t="shared" ca="1" si="41"/>
        <v>#NAME?</v>
      </c>
      <c r="AJ116" s="350">
        <f t="shared" ca="1" si="42"/>
        <v>0</v>
      </c>
      <c r="AK116" s="351">
        <f t="shared" ca="1" si="43"/>
        <v>0</v>
      </c>
      <c r="AL116" s="352">
        <f t="shared" ca="1" si="44"/>
        <v>0</v>
      </c>
      <c r="AM116" s="387">
        <f t="shared" ca="1" si="45"/>
        <v>0</v>
      </c>
      <c r="AN116" s="386">
        <f t="shared" ca="1" si="46"/>
        <v>0</v>
      </c>
    </row>
    <row r="117" spans="1:40" x14ac:dyDescent="0.25">
      <c r="A117" s="6" t="s">
        <v>5</v>
      </c>
      <c r="B117" s="7"/>
      <c r="H117" s="15" t="s">
        <v>841</v>
      </c>
      <c r="I117" s="161" t="e">
        <f ca="1">_xll.EVPRO($B$1,$H117,"STYLE")</f>
        <v>#NAME?</v>
      </c>
      <c r="J117" s="161" t="e">
        <f ca="1">_xll.EVPRO($B$1,$H117,"CALC")</f>
        <v>#NAME?</v>
      </c>
      <c r="K117" s="68" t="e">
        <f t="shared" ca="1" si="39"/>
        <v>#NAME?</v>
      </c>
      <c r="L117" s="162" t="e">
        <f ca="1">_xll.EVPRO($B$1,H117,"JDEID")</f>
        <v>#NAME?</v>
      </c>
      <c r="M117" s="162" t="e">
        <f ca="1">IF(AND(I117="N",J117="N"),_xll.EVPRO($B$1,H117,"PSFTID"),"")</f>
        <v>#NAME?</v>
      </c>
      <c r="N117" s="162" t="e">
        <f ca="1">IF(_xll.EVDES(H117,$B$1)="#NODATA","",_xll.EVDES(H117,$B$1))</f>
        <v>#NAME?</v>
      </c>
      <c r="O117" s="21"/>
      <c r="P117" s="21"/>
      <c r="Q117" s="21">
        <v>2404</v>
      </c>
      <c r="R117" s="21">
        <v>96</v>
      </c>
      <c r="S117" s="21"/>
      <c r="T117" s="21"/>
      <c r="U117" s="21"/>
      <c r="V117" s="21"/>
      <c r="W117" s="21"/>
      <c r="X117" s="21"/>
      <c r="Y117" s="21">
        <v>323</v>
      </c>
      <c r="Z117" s="21"/>
      <c r="AA117" s="310" t="e">
        <f t="shared" ca="1" si="35"/>
        <v>#NAME?</v>
      </c>
      <c r="AB117" s="17" t="e">
        <f t="shared" ca="1" si="36"/>
        <v>#NAME?</v>
      </c>
      <c r="AD117" s="21">
        <v>1870</v>
      </c>
      <c r="AE117" s="17" t="str">
        <f t="shared" ca="1" si="37"/>
        <v/>
      </c>
      <c r="AF117" s="50" t="e">
        <f t="shared" ca="1" si="38"/>
        <v>#NAME?</v>
      </c>
      <c r="AG117" s="21">
        <v>1870</v>
      </c>
      <c r="AH117" s="17" t="str">
        <f t="shared" ca="1" si="40"/>
        <v/>
      </c>
      <c r="AI117" s="50" t="e">
        <f t="shared" ca="1" si="41"/>
        <v>#NAME?</v>
      </c>
      <c r="AJ117" s="350">
        <f t="shared" ca="1" si="42"/>
        <v>0</v>
      </c>
      <c r="AK117" s="351">
        <f t="shared" ca="1" si="43"/>
        <v>0</v>
      </c>
      <c r="AL117" s="352">
        <f t="shared" ca="1" si="44"/>
        <v>0</v>
      </c>
      <c r="AM117" s="387">
        <f t="shared" ca="1" si="45"/>
        <v>0</v>
      </c>
      <c r="AN117" s="386">
        <f t="shared" ca="1" si="46"/>
        <v>0</v>
      </c>
    </row>
    <row r="118" spans="1:40" x14ac:dyDescent="0.25">
      <c r="A118" s="6" t="s">
        <v>6</v>
      </c>
      <c r="B118" s="7"/>
      <c r="H118" s="15" t="s">
        <v>844</v>
      </c>
      <c r="I118" s="161" t="e">
        <f ca="1">_xll.EVPRO($B$1,$H118,"STYLE")</f>
        <v>#NAME?</v>
      </c>
      <c r="J118" s="161" t="e">
        <f ca="1">_xll.EVPRO($B$1,$H118,"CALC")</f>
        <v>#NAME?</v>
      </c>
      <c r="K118" s="68" t="e">
        <f t="shared" ca="1" si="39"/>
        <v>#NAME?</v>
      </c>
      <c r="L118" s="162" t="e">
        <f ca="1">_xll.EVPRO($B$1,H118,"JDEID")</f>
        <v>#NAME?</v>
      </c>
      <c r="M118" s="162" t="e">
        <f ca="1">IF(AND(I118="N",J118="N"),_xll.EVPRO($B$1,H118,"PSFTID"),"")</f>
        <v>#NAME?</v>
      </c>
      <c r="N118" s="162" t="e">
        <f ca="1">IF(_xll.EVDES(H118,$B$1)="#NODATA","",_xll.EVDES(H118,$B$1))</f>
        <v>#NAME?</v>
      </c>
      <c r="O118" s="21"/>
      <c r="P118" s="21"/>
      <c r="Q118" s="21"/>
      <c r="R118" s="21">
        <v>52.11</v>
      </c>
      <c r="S118" s="21">
        <v>667.91</v>
      </c>
      <c r="T118" s="21"/>
      <c r="U118" s="21"/>
      <c r="V118" s="21">
        <v>423.66</v>
      </c>
      <c r="W118" s="21">
        <v>51.08</v>
      </c>
      <c r="X118" s="21"/>
      <c r="Y118" s="21"/>
      <c r="Z118" s="21"/>
      <c r="AA118" s="310" t="e">
        <f t="shared" ca="1" si="35"/>
        <v>#NAME?</v>
      </c>
      <c r="AB118" s="17" t="e">
        <f t="shared" ca="1" si="36"/>
        <v>#NAME?</v>
      </c>
      <c r="AD118" s="21"/>
      <c r="AE118" s="17" t="str">
        <f t="shared" si="37"/>
        <v/>
      </c>
      <c r="AF118" s="50" t="e">
        <f t="shared" ca="1" si="38"/>
        <v>#NAME?</v>
      </c>
      <c r="AG118" s="21">
        <v>152.38999999999999</v>
      </c>
      <c r="AH118" s="17" t="str">
        <f t="shared" ca="1" si="40"/>
        <v/>
      </c>
      <c r="AI118" s="50" t="e">
        <f t="shared" ca="1" si="41"/>
        <v>#NAME?</v>
      </c>
      <c r="AJ118" s="350">
        <f t="shared" ca="1" si="42"/>
        <v>0</v>
      </c>
      <c r="AK118" s="351">
        <f t="shared" ca="1" si="43"/>
        <v>0</v>
      </c>
      <c r="AL118" s="352">
        <f t="shared" ca="1" si="44"/>
        <v>0</v>
      </c>
      <c r="AM118" s="387">
        <f t="shared" ca="1" si="45"/>
        <v>0</v>
      </c>
      <c r="AN118" s="386">
        <f t="shared" ca="1" si="46"/>
        <v>0</v>
      </c>
    </row>
    <row r="119" spans="1:40" x14ac:dyDescent="0.25">
      <c r="A119" s="6" t="s">
        <v>7</v>
      </c>
      <c r="B119" s="7"/>
      <c r="H119" s="15" t="s">
        <v>79</v>
      </c>
      <c r="I119" s="27" t="e">
        <f ca="1">_xll.EVPRO($B$1,$H119,"STYLE")</f>
        <v>#NAME?</v>
      </c>
      <c r="J119" s="27" t="e">
        <f ca="1">_xll.EVPRO($B$1,$H119,"CALC")</f>
        <v>#NAME?</v>
      </c>
      <c r="K119" s="26"/>
      <c r="L119" s="26"/>
      <c r="M119" s="26"/>
      <c r="N119" s="25" t="e">
        <f ca="1">IF(_xll.EVDES(H119,$B$1)="#NODATA","",_xll.EVDES(H119,$B$1))</f>
        <v>#NAME?</v>
      </c>
      <c r="O119" s="33">
        <v>13176.49</v>
      </c>
      <c r="P119" s="33">
        <v>12484.42</v>
      </c>
      <c r="Q119" s="33">
        <v>20861.82</v>
      </c>
      <c r="R119" s="33">
        <v>15009.61</v>
      </c>
      <c r="S119" s="33">
        <v>13265.58</v>
      </c>
      <c r="T119" s="33">
        <v>13895.87</v>
      </c>
      <c r="U119" s="33">
        <v>8737.0499999999993</v>
      </c>
      <c r="V119" s="33">
        <v>11052.62</v>
      </c>
      <c r="W119" s="33">
        <v>16424.810000000001</v>
      </c>
      <c r="X119" s="33">
        <v>12482.43</v>
      </c>
      <c r="Y119" s="33">
        <v>9190.19</v>
      </c>
      <c r="Z119" s="33">
        <v>16723.54</v>
      </c>
      <c r="AA119" s="33" t="e">
        <f t="shared" ca="1" si="35"/>
        <v>#NAME?</v>
      </c>
      <c r="AB119" s="34" t="e">
        <f t="shared" ca="1" si="36"/>
        <v>#NAME?</v>
      </c>
      <c r="AD119" s="33">
        <v>185041.74945500001</v>
      </c>
      <c r="AE119" s="34" t="str">
        <f t="shared" ca="1" si="37"/>
        <v/>
      </c>
      <c r="AF119" s="52" t="e">
        <f t="shared" ca="1" si="38"/>
        <v>#NAME?</v>
      </c>
      <c r="AG119" s="33">
        <v>233973.41</v>
      </c>
      <c r="AH119" s="34" t="str">
        <f ca="1">IF(AG119=0,"",IFERROR(AG119/AG$19,""))</f>
        <v/>
      </c>
      <c r="AI119" s="52" t="e">
        <f ca="1">IF(AND($AA119="",AG119=""),"",$AA119-AG119)</f>
        <v>#NAME?</v>
      </c>
      <c r="AJ119" s="415">
        <f ca="1">IFERROR(AA119/AA$20,0)</f>
        <v>0</v>
      </c>
      <c r="AK119" s="416">
        <f ca="1">IFERROR(AD119/AD$20,0)</f>
        <v>0</v>
      </c>
      <c r="AL119" s="417">
        <f ca="1">IFERROR(AG119/AG$20,0)</f>
        <v>0</v>
      </c>
      <c r="AM119" s="418">
        <f ca="1">+IFERROR(ROUND(($AB119-AE119)*100,2)&amp;" pts.",0)</f>
        <v>0</v>
      </c>
      <c r="AN119" s="419">
        <f ca="1">+IFERROR(ROUND(($AB119-AH119)*100,2)&amp;" pts.",0)</f>
        <v>0</v>
      </c>
    </row>
    <row r="120" spans="1:40" x14ac:dyDescent="0.25">
      <c r="A120" s="6" t="s">
        <v>47</v>
      </c>
      <c r="B120" s="7" t="e">
        <f ca="1">_xll.EVRNG($A$125:$B$146)</f>
        <v>#NAME?</v>
      </c>
    </row>
    <row r="121" spans="1:40" x14ac:dyDescent="0.25">
      <c r="A121" s="6" t="s">
        <v>8</v>
      </c>
      <c r="B121" s="7"/>
      <c r="H121" s="15" t="s">
        <v>80</v>
      </c>
      <c r="I121" s="27" t="e">
        <f ca="1">_xll.EVPRO($B$1,$H121,"STYLE")</f>
        <v>#NAME?</v>
      </c>
      <c r="J121" s="27" t="e">
        <f ca="1">_xll.EVPRO($B$1,$H121,"CALC")</f>
        <v>#NAME?</v>
      </c>
      <c r="K121" s="25"/>
      <c r="L121" s="25"/>
      <c r="M121" s="25"/>
      <c r="N121" s="25" t="e">
        <f ca="1">IF(_xll.EVDES(H121,$B$1)="#NODATA","",_xll.EVDES(H121,$B$1))</f>
        <v>#NAME?</v>
      </c>
      <c r="O121" s="36">
        <v>110222.79</v>
      </c>
      <c r="P121" s="36">
        <v>108025.08</v>
      </c>
      <c r="Q121" s="36">
        <v>129715.06</v>
      </c>
      <c r="R121" s="36">
        <v>130018.77</v>
      </c>
      <c r="S121" s="36">
        <v>112616.23</v>
      </c>
      <c r="T121" s="36">
        <v>103907.33</v>
      </c>
      <c r="U121" s="36">
        <v>104771.23</v>
      </c>
      <c r="V121" s="36">
        <v>112339.7</v>
      </c>
      <c r="W121" s="36">
        <v>85402.78</v>
      </c>
      <c r="X121" s="36">
        <v>85058.71</v>
      </c>
      <c r="Y121" s="36">
        <v>84944.01</v>
      </c>
      <c r="Z121" s="36">
        <v>95808.54</v>
      </c>
      <c r="AA121" s="36" t="e">
        <f ca="1">IF($I121="B1","",SUM(O121:Z121))</f>
        <v>#NAME?</v>
      </c>
      <c r="AB121" s="37" t="e">
        <f ca="1">IF(AA121=0,"",IFERROR(AA121/AA$19,""))</f>
        <v>#NAME?</v>
      </c>
      <c r="AD121" s="36">
        <v>1559246.44246989</v>
      </c>
      <c r="AE121" s="37" t="str">
        <f ca="1">IF(AD121=0,"",IFERROR(AD121/AD$19,""))</f>
        <v/>
      </c>
      <c r="AF121" s="59" t="e">
        <f ca="1">IF(AND($AA121="",AD121=""),"",$AA121-AD121)</f>
        <v>#NAME?</v>
      </c>
      <c r="AG121" s="60">
        <v>1615080.34</v>
      </c>
      <c r="AH121" s="61" t="str">
        <f ca="1">IF(AG121=0,"",IFERROR(AG121/AG$19,""))</f>
        <v/>
      </c>
      <c r="AI121" s="59" t="e">
        <f ca="1">IF(AND($AA121="",AG121=""),"",$AA121-AG121)</f>
        <v>#NAME?</v>
      </c>
      <c r="AJ121" s="425">
        <f ca="1">IFERROR(AA121/AA$20,0)</f>
        <v>0</v>
      </c>
      <c r="AK121" s="426">
        <f ca="1">IFERROR(AD121/AD$20,0)</f>
        <v>0</v>
      </c>
      <c r="AL121" s="427">
        <f ca="1">IFERROR(AG121/AG$20,0)</f>
        <v>0</v>
      </c>
      <c r="AM121" s="428">
        <f ca="1">+IFERROR(ROUND(($AB121-AE121)*100,2)&amp;" pts.",0)</f>
        <v>0</v>
      </c>
      <c r="AN121" s="429">
        <f ca="1">+IFERROR(ROUND(($AB121-AH121)*100,2)&amp;" pts.",0)</f>
        <v>0</v>
      </c>
    </row>
    <row r="122" spans="1:40" ht="15.75" thickBot="1" x14ac:dyDescent="0.3">
      <c r="H122" s="15" t="s">
        <v>81</v>
      </c>
      <c r="I122" s="27" t="e">
        <f ca="1">_xll.EVPRO($B$1,$H122,"STYLE")</f>
        <v>#NAME?</v>
      </c>
      <c r="J122" s="27" t="e">
        <f ca="1">_xll.EVPRO($B$1,$H122,"CALC")</f>
        <v>#NAME?</v>
      </c>
      <c r="K122" s="25"/>
      <c r="L122" s="25"/>
      <c r="M122" s="25"/>
      <c r="N122" s="25" t="e">
        <f ca="1">IF(_xll.EVDES(H122,$B$1)="#NODATA","",_xll.EVDES(H122,$B$1))</f>
        <v>#NAME?</v>
      </c>
      <c r="O122" s="62">
        <v>-43489.45</v>
      </c>
      <c r="P122" s="62">
        <v>-58249.97</v>
      </c>
      <c r="Q122" s="62">
        <v>-65532.36</v>
      </c>
      <c r="R122" s="62">
        <v>-72295.240000000005</v>
      </c>
      <c r="S122" s="62">
        <v>-73866.679999999993</v>
      </c>
      <c r="T122" s="62">
        <v>-59531.29</v>
      </c>
      <c r="U122" s="62">
        <v>-63185.93</v>
      </c>
      <c r="V122" s="62">
        <v>-78070.080000000002</v>
      </c>
      <c r="W122" s="62">
        <v>-60290.47</v>
      </c>
      <c r="X122" s="62">
        <v>-65356.59</v>
      </c>
      <c r="Y122" s="62">
        <v>-58102.2</v>
      </c>
      <c r="Z122" s="62">
        <v>-62419.56</v>
      </c>
      <c r="AA122" s="62" t="e">
        <f ca="1">IF($I122="B1","",SUM(O122:Z122))</f>
        <v>#NAME?</v>
      </c>
      <c r="AB122" s="63" t="e">
        <f ca="1">IF(AA122=0,"",IFERROR(AA122/AA$19,""))</f>
        <v>#NAME?</v>
      </c>
      <c r="AD122" s="62">
        <v>-489869.806669891</v>
      </c>
      <c r="AE122" s="63" t="str">
        <f ca="1">IF(AD122=0,"",IFERROR(AD122/AD$19,""))</f>
        <v/>
      </c>
      <c r="AF122" s="64" t="e">
        <f ca="1">IF(AND($AA122="",AD122=""),"",$AA122-AD122)</f>
        <v>#NAME?</v>
      </c>
      <c r="AG122" s="62">
        <v>-881533.55</v>
      </c>
      <c r="AH122" s="63" t="str">
        <f ca="1">IF(AG122=0,"",IFERROR(AG122/AG$19,""))</f>
        <v/>
      </c>
      <c r="AI122" s="64" t="e">
        <f ca="1">IF(AND($AA122="",AG122=""),"",$AA122-AG122)</f>
        <v>#NAME?</v>
      </c>
      <c r="AJ122" s="430">
        <f ca="1">IFERROR(AA122/AA$20,0)</f>
        <v>0</v>
      </c>
      <c r="AK122" s="431">
        <f ca="1">IFERROR(AD122/AD$20,0)</f>
        <v>0</v>
      </c>
      <c r="AL122" s="432">
        <f ca="1">IFERROR(AG122/AG$20,0)</f>
        <v>0</v>
      </c>
      <c r="AM122" s="433">
        <f ca="1">+IFERROR(ROUND(($AB122-AE122)*100,2)&amp;" pts.",0)</f>
        <v>0</v>
      </c>
      <c r="AN122" s="434">
        <f ca="1">+IFERROR(ROUND(($AB122-AH122)*100,2)&amp;" pts.",0)</f>
        <v>0</v>
      </c>
    </row>
    <row r="123" spans="1:40" ht="15.75" thickTop="1" x14ac:dyDescent="0.25"/>
    <row r="124" spans="1:40" x14ac:dyDescent="0.25">
      <c r="A124" s="3" t="s">
        <v>23</v>
      </c>
      <c r="B124" s="5" t="s">
        <v>24</v>
      </c>
      <c r="N124" s="26" t="e">
        <f ca="1">N121&amp;" - Check"</f>
        <v>#NAME?</v>
      </c>
      <c r="O124" s="139">
        <f t="shared" ref="O124:AA124" si="47">SUMIF($H$35:$H$122,"600000",O$35:O$122)+SUMIF($H$35:$H$122,"700000",O$35:O$122)-SUMIF($H$35:$H$122,"TOTDEPTEXP",O$35:O$122)</f>
        <v>0</v>
      </c>
      <c r="P124" s="139">
        <f t="shared" si="47"/>
        <v>0</v>
      </c>
      <c r="Q124" s="139">
        <f t="shared" si="47"/>
        <v>0</v>
      </c>
      <c r="R124" s="139">
        <f t="shared" si="47"/>
        <v>0</v>
      </c>
      <c r="S124" s="139">
        <f t="shared" si="47"/>
        <v>0</v>
      </c>
      <c r="T124" s="139">
        <f t="shared" si="47"/>
        <v>0</v>
      </c>
      <c r="U124" s="139">
        <f t="shared" si="47"/>
        <v>0</v>
      </c>
      <c r="V124" s="139">
        <f t="shared" si="47"/>
        <v>0</v>
      </c>
      <c r="W124" s="139">
        <f t="shared" si="47"/>
        <v>0</v>
      </c>
      <c r="X124" s="139">
        <f t="shared" si="47"/>
        <v>0</v>
      </c>
      <c r="Y124" s="139">
        <f t="shared" si="47"/>
        <v>0</v>
      </c>
      <c r="Z124" s="139">
        <f t="shared" si="47"/>
        <v>0</v>
      </c>
      <c r="AA124" s="139" t="e">
        <f t="shared" ca="1" si="47"/>
        <v>#NAME?</v>
      </c>
      <c r="AB124" s="17"/>
      <c r="AD124" s="139">
        <f>SUMIF($H$35:$H$122,"600000",AD$35:AD$122)+SUMIF($H$35:$H$122,"700000",AD$35:AD$122)-SUMIF($H$35:$H$122,"TOTDEPTEXP",AD$35:AD$122)</f>
        <v>0</v>
      </c>
      <c r="AE124" s="17"/>
      <c r="AF124" s="21"/>
      <c r="AG124" s="139">
        <f>SUMIF($H$35:$H$122,"600000",AG$35:AG$122)+SUMIF($H$35:$H$122,"700000",AG$35:AG$122)-SUMIF($H$35:$H$122,"TOTDEPTEXP",AG$35:AG$122)</f>
        <v>0</v>
      </c>
      <c r="AH124" s="17"/>
      <c r="AI124" s="21"/>
    </row>
    <row r="125" spans="1:40" x14ac:dyDescent="0.25">
      <c r="A125" s="6" t="s">
        <v>25</v>
      </c>
      <c r="B125" s="7"/>
      <c r="N125" s="26" t="e">
        <f ca="1">N122&amp;" - Check"</f>
        <v>#NAME?</v>
      </c>
      <c r="O125" s="139">
        <f t="shared" ref="O125:AA125" si="48">SUMIF($H$35:$H$122,"KPI_GP",O$35:O$122)-SUMIF($H$35:$H$122,"TOTDEPTEXP",O$35:O$122)-SUMIF($H$35:$H$122,"TOTDEPTPL",O$35:O$122)</f>
        <v>0</v>
      </c>
      <c r="P125" s="139">
        <f t="shared" si="48"/>
        <v>0</v>
      </c>
      <c r="Q125" s="139">
        <f t="shared" si="48"/>
        <v>0</v>
      </c>
      <c r="R125" s="139">
        <f t="shared" si="48"/>
        <v>0</v>
      </c>
      <c r="S125" s="139">
        <f t="shared" si="48"/>
        <v>0</v>
      </c>
      <c r="T125" s="139">
        <f t="shared" si="48"/>
        <v>0</v>
      </c>
      <c r="U125" s="139">
        <f t="shared" si="48"/>
        <v>0</v>
      </c>
      <c r="V125" s="139">
        <f t="shared" si="48"/>
        <v>0</v>
      </c>
      <c r="W125" s="139">
        <f t="shared" si="48"/>
        <v>0</v>
      </c>
      <c r="X125" s="139">
        <f t="shared" si="48"/>
        <v>0</v>
      </c>
      <c r="Y125" s="139">
        <f t="shared" si="48"/>
        <v>0</v>
      </c>
      <c r="Z125" s="139">
        <f t="shared" si="48"/>
        <v>0</v>
      </c>
      <c r="AA125" s="139" t="e">
        <f t="shared" ca="1" si="48"/>
        <v>#NAME?</v>
      </c>
      <c r="AB125" s="17"/>
      <c r="AD125" s="139">
        <f>SUMIF($H$35:$H$122,"KPI_GP",AD$35:AD$122)-SUMIF($H$35:$H$122,"TOTDEPTEXP",AD$35:AD$122)-SUMIF($H$35:$H$122,"TOTDEPTPL",AD$35:AD$122)</f>
        <v>1.0477378964424133E-9</v>
      </c>
      <c r="AE125" s="17"/>
      <c r="AF125" s="21"/>
      <c r="AG125" s="139">
        <f>SUMIF($H$35:$H$122,"KPI_GP",AG$35:AG$122)-SUMIF($H$35:$H$122,"TOTDEPTEXP",AG$35:AG$122)-SUMIF($H$35:$H$122,"TOTDEPTPL",AG$35:AG$122)</f>
        <v>0</v>
      </c>
      <c r="AH125" s="17"/>
      <c r="AI125" s="21"/>
    </row>
    <row r="126" spans="1:40" x14ac:dyDescent="0.25">
      <c r="A126" s="6" t="s">
        <v>26</v>
      </c>
      <c r="B126" s="7"/>
    </row>
    <row r="127" spans="1:40" x14ac:dyDescent="0.25">
      <c r="A127" s="6" t="s">
        <v>27</v>
      </c>
      <c r="B127" s="7"/>
      <c r="O127" s="166"/>
      <c r="P127" s="166"/>
      <c r="Q127" s="166"/>
      <c r="R127" s="166"/>
      <c r="S127" s="166"/>
      <c r="T127" s="166"/>
      <c r="U127" s="166"/>
      <c r="V127" s="166"/>
      <c r="W127" s="166"/>
      <c r="X127" s="166"/>
      <c r="Y127" s="166"/>
      <c r="Z127" s="166"/>
      <c r="AA127" s="166"/>
      <c r="AD127" s="166"/>
      <c r="AG127" s="166"/>
    </row>
    <row r="128" spans="1:40" x14ac:dyDescent="0.25">
      <c r="A128" s="6" t="s">
        <v>28</v>
      </c>
      <c r="B128" s="7"/>
    </row>
    <row r="129" spans="1:33" x14ac:dyDescent="0.25">
      <c r="A129" s="6" t="s">
        <v>29</v>
      </c>
      <c r="B129" s="7"/>
      <c r="O129" s="166"/>
      <c r="P129" s="166"/>
      <c r="Q129" s="166"/>
      <c r="R129" s="166"/>
      <c r="S129" s="166"/>
      <c r="T129" s="166"/>
      <c r="U129" s="166"/>
      <c r="V129" s="166"/>
      <c r="W129" s="166"/>
      <c r="X129" s="166"/>
      <c r="Y129" s="166"/>
      <c r="Z129" s="166"/>
      <c r="AA129" s="166"/>
      <c r="AD129" s="166"/>
      <c r="AG129" s="166"/>
    </row>
    <row r="130" spans="1:33" x14ac:dyDescent="0.25">
      <c r="A130" s="6" t="s">
        <v>30</v>
      </c>
      <c r="B130" s="7" t="s">
        <v>78</v>
      </c>
    </row>
    <row r="131" spans="1:33" x14ac:dyDescent="0.25">
      <c r="A131" s="6" t="s">
        <v>31</v>
      </c>
      <c r="B131" s="7" t="s">
        <v>78</v>
      </c>
    </row>
    <row r="132" spans="1:33" x14ac:dyDescent="0.25">
      <c r="A132" s="6" t="s">
        <v>32</v>
      </c>
      <c r="B132" s="7"/>
      <c r="H132" s="11"/>
      <c r="J132" s="1"/>
    </row>
    <row r="133" spans="1:33" x14ac:dyDescent="0.25">
      <c r="A133" s="6" t="s">
        <v>33</v>
      </c>
      <c r="B133" s="7"/>
      <c r="H133" s="11"/>
      <c r="J133" s="1"/>
    </row>
    <row r="134" spans="1:33" x14ac:dyDescent="0.25">
      <c r="A134" s="6" t="s">
        <v>34</v>
      </c>
      <c r="B134" s="7"/>
      <c r="H134" s="11"/>
      <c r="J134" s="1"/>
    </row>
    <row r="135" spans="1:33" x14ac:dyDescent="0.25">
      <c r="A135" s="6" t="s">
        <v>35</v>
      </c>
      <c r="B135" s="7"/>
      <c r="H135" s="11"/>
      <c r="J135" s="1"/>
    </row>
    <row r="136" spans="1:33" x14ac:dyDescent="0.25">
      <c r="A136" s="6" t="s">
        <v>36</v>
      </c>
      <c r="B136" s="7"/>
      <c r="H136" s="11"/>
      <c r="J136" s="1"/>
    </row>
    <row r="137" spans="1:33" x14ac:dyDescent="0.25">
      <c r="A137" s="6" t="s">
        <v>37</v>
      </c>
      <c r="B137" s="7"/>
      <c r="H137" s="11"/>
      <c r="J137" s="1"/>
    </row>
    <row r="138" spans="1:33" x14ac:dyDescent="0.25">
      <c r="A138" s="6" t="s">
        <v>38</v>
      </c>
      <c r="B138" s="7"/>
      <c r="H138" s="11"/>
      <c r="J138" s="1"/>
    </row>
    <row r="139" spans="1:33" x14ac:dyDescent="0.25">
      <c r="A139" s="6" t="s">
        <v>39</v>
      </c>
      <c r="B139" s="7"/>
      <c r="H139" s="11"/>
      <c r="J139" s="1"/>
    </row>
    <row r="140" spans="1:33" x14ac:dyDescent="0.25">
      <c r="A140" s="6" t="s">
        <v>40</v>
      </c>
      <c r="B140" s="7"/>
      <c r="H140" s="11"/>
      <c r="J140" s="1"/>
    </row>
    <row r="141" spans="1:33" x14ac:dyDescent="0.25">
      <c r="A141" s="6" t="s">
        <v>41</v>
      </c>
      <c r="B141" s="7"/>
      <c r="H141" s="11"/>
      <c r="J141" s="1"/>
    </row>
    <row r="142" spans="1:33" x14ac:dyDescent="0.25">
      <c r="A142" s="6" t="s">
        <v>42</v>
      </c>
      <c r="B142" s="7"/>
      <c r="H142" s="11"/>
      <c r="J142" s="1"/>
    </row>
    <row r="143" spans="1:33" x14ac:dyDescent="0.25">
      <c r="A143" s="6" t="s">
        <v>43</v>
      </c>
      <c r="B143" s="7"/>
      <c r="H143" s="11"/>
      <c r="J143" s="1"/>
    </row>
    <row r="144" spans="1:33" x14ac:dyDescent="0.25">
      <c r="A144" s="6" t="s">
        <v>44</v>
      </c>
      <c r="B144" s="7"/>
      <c r="H144" s="11"/>
      <c r="J144" s="1"/>
    </row>
    <row r="145" spans="1:10" x14ac:dyDescent="0.25">
      <c r="A145" s="6" t="s">
        <v>45</v>
      </c>
      <c r="B145" s="7"/>
      <c r="H145" s="11"/>
      <c r="J145" s="1"/>
    </row>
    <row r="146" spans="1:10" x14ac:dyDescent="0.25">
      <c r="A146" s="6" t="s">
        <v>46</v>
      </c>
      <c r="B146" s="7"/>
      <c r="H146" s="11"/>
      <c r="J146" s="1"/>
    </row>
    <row r="147" spans="1:10" x14ac:dyDescent="0.25">
      <c r="H147" s="11"/>
      <c r="J147" s="1"/>
    </row>
    <row r="148" spans="1:10" x14ac:dyDescent="0.25">
      <c r="H148" s="11"/>
      <c r="J148" s="1"/>
    </row>
    <row r="149" spans="1:10" x14ac:dyDescent="0.25">
      <c r="H149" s="11"/>
      <c r="J149" s="1"/>
    </row>
    <row r="150" spans="1:10" x14ac:dyDescent="0.25">
      <c r="H150" s="11"/>
      <c r="J150" s="1"/>
    </row>
    <row r="151" spans="1:10" x14ac:dyDescent="0.25">
      <c r="H151" s="11"/>
      <c r="J151" s="1"/>
    </row>
    <row r="152" spans="1:10" x14ac:dyDescent="0.25">
      <c r="H152" s="11"/>
      <c r="J152" s="1"/>
    </row>
    <row r="153" spans="1:10" x14ac:dyDescent="0.25">
      <c r="H153" s="11"/>
      <c r="J153" s="1"/>
    </row>
    <row r="154" spans="1:10" x14ac:dyDescent="0.25">
      <c r="H154" s="11"/>
      <c r="J154" s="1"/>
    </row>
    <row r="163" spans="5:5" x14ac:dyDescent="0.25">
      <c r="E163" s="76"/>
    </row>
    <row r="167" spans="5:5" x14ac:dyDescent="0.25">
      <c r="E167" s="76"/>
    </row>
    <row r="190" spans="7:7" x14ac:dyDescent="0.25">
      <c r="G190" s="76"/>
    </row>
    <row r="194" spans="7:34" x14ac:dyDescent="0.25">
      <c r="G194" s="76"/>
    </row>
    <row r="195" spans="7:34" x14ac:dyDescent="0.25">
      <c r="I195" s="76"/>
      <c r="J195" s="1"/>
      <c r="K195" s="76"/>
      <c r="L195" s="76"/>
      <c r="M195" s="76"/>
      <c r="O195" s="76"/>
      <c r="P195" s="76"/>
      <c r="Q195" s="76"/>
      <c r="R195" s="76"/>
      <c r="S195" s="76"/>
      <c r="T195" s="76"/>
      <c r="U195" s="76"/>
      <c r="V195" s="76"/>
      <c r="W195" s="76"/>
      <c r="X195" s="76"/>
      <c r="Y195" s="76"/>
      <c r="Z195" s="76"/>
      <c r="AA195" s="76"/>
      <c r="AD195" s="76"/>
      <c r="AF195" s="76"/>
      <c r="AH195" s="76"/>
    </row>
    <row r="199" spans="7:34" x14ac:dyDescent="0.25">
      <c r="I199" s="76"/>
      <c r="J199" s="1"/>
      <c r="K199" s="76"/>
      <c r="L199" s="76"/>
      <c r="M199" s="76"/>
      <c r="O199" s="76"/>
      <c r="P199" s="76"/>
      <c r="Q199" s="76"/>
      <c r="R199" s="76"/>
      <c r="S199" s="76"/>
      <c r="T199" s="76"/>
      <c r="U199" s="76"/>
      <c r="V199" s="76"/>
      <c r="W199" s="76"/>
      <c r="X199" s="76"/>
      <c r="Y199" s="76"/>
      <c r="Z199" s="76"/>
      <c r="AA199" s="76"/>
      <c r="AD199" s="76"/>
      <c r="AF199" s="76"/>
      <c r="AH199" s="76"/>
    </row>
  </sheetData>
  <mergeCells count="2">
    <mergeCell ref="AD31:AE31"/>
    <mergeCell ref="AG31:AH31"/>
  </mergeCells>
  <dataValidations disablePrompts="1" count="2">
    <dataValidation type="list" allowBlank="1" sqref="B28 B61 B94" xr:uid="{00000000-0002-0000-0E00-000000000000}">
      <formula1>"ACCOUNT,BUSINESSUNIT,CATEGORY,DATASRC,DEPARTMENT,INTCO,MEASURES,RPTCURRENCY,TIME"</formula1>
    </dataValidation>
    <dataValidation type="list" allowBlank="1" sqref="B29 B62 B95"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0248" r:id="rId7" name="FPMExcelClientSheetOptionstb1">
          <controlPr defaultSize="0" autoLine="0" r:id="rId8">
            <anchor moveWithCells="1" sizeWithCells="1">
              <from>
                <xdr:col>0</xdr:col>
                <xdr:colOff>0</xdr:colOff>
                <xdr:row>0</xdr:row>
                <xdr:rowOff>0</xdr:rowOff>
              </from>
              <to>
                <xdr:col>13</xdr:col>
                <xdr:colOff>885825</xdr:colOff>
                <xdr:row>0</xdr:row>
                <xdr:rowOff>0</xdr:rowOff>
              </to>
            </anchor>
          </controlPr>
        </control>
      </mc:Choice>
      <mc:Fallback>
        <control shapeId="10248" r:id="rId7" name="FPMExcelClientSheetOptionstb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tabColor theme="6" tint="0.39997558519241921"/>
    <pageSetUpPr fitToPage="1"/>
  </sheetPr>
  <dimension ref="A1:AO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t="s">
        <v>1334</v>
      </c>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725</v>
      </c>
      <c r="C6" s="1" t="s">
        <v>1336</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1337</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1338</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1339</v>
      </c>
      <c r="G19" s="18" t="str">
        <f>$B$6</f>
        <v>D2140</v>
      </c>
      <c r="H19" s="18">
        <v>400000</v>
      </c>
      <c r="I19" s="19"/>
      <c r="J19" s="19"/>
      <c r="K19" s="18"/>
      <c r="L19" s="18"/>
      <c r="M19" s="18"/>
      <c r="N19" s="18" t="s">
        <v>1003</v>
      </c>
      <c r="O19" s="20">
        <v>87192.98</v>
      </c>
      <c r="P19" s="20">
        <v>70937.649999999994</v>
      </c>
      <c r="Q19" s="20">
        <v>90502.95</v>
      </c>
      <c r="R19" s="20">
        <v>77230.66</v>
      </c>
      <c r="S19" s="20">
        <v>57410.31</v>
      </c>
      <c r="T19" s="20">
        <v>60757.440000000002</v>
      </c>
      <c r="U19" s="20">
        <v>57903.43</v>
      </c>
      <c r="V19" s="20">
        <v>54550.7</v>
      </c>
      <c r="W19" s="20">
        <v>32751.82</v>
      </c>
      <c r="X19" s="20">
        <v>29822.11</v>
      </c>
      <c r="Y19" s="20">
        <v>36024.31</v>
      </c>
      <c r="Z19" s="20">
        <v>48863.040000000001</v>
      </c>
      <c r="AA19" s="20">
        <f>SUM(O19:Z19)</f>
        <v>703947.39999999991</v>
      </c>
      <c r="AB19" s="18"/>
      <c r="AC19" s="18"/>
      <c r="AD19" s="20">
        <v>1423924.0658</v>
      </c>
      <c r="AE19" s="18"/>
      <c r="AF19" s="18"/>
      <c r="AG19" s="20">
        <v>1022821.44</v>
      </c>
      <c r="AH19" s="18"/>
      <c r="AI19" s="18"/>
    </row>
    <row r="20" spans="1:40" hidden="1" outlineLevel="1" x14ac:dyDescent="0.25">
      <c r="A20" s="6" t="s">
        <v>5</v>
      </c>
      <c r="B20" s="7"/>
      <c r="G20" s="18" t="str">
        <f>$B$6</f>
        <v>D2140</v>
      </c>
      <c r="H20" s="18">
        <v>946000</v>
      </c>
      <c r="I20" s="19"/>
      <c r="J20" s="19"/>
      <c r="K20" s="18"/>
      <c r="L20" s="19"/>
      <c r="M20" s="19"/>
      <c r="N20" s="18" t="s">
        <v>1196</v>
      </c>
      <c r="O20" s="20">
        <v>2410</v>
      </c>
      <c r="P20" s="20">
        <v>2096</v>
      </c>
      <c r="Q20" s="20">
        <v>2331</v>
      </c>
      <c r="R20" s="20">
        <v>2145</v>
      </c>
      <c r="S20" s="20">
        <v>1573</v>
      </c>
      <c r="T20" s="20">
        <v>1769</v>
      </c>
      <c r="U20" s="20">
        <v>1785</v>
      </c>
      <c r="V20" s="20">
        <v>1585</v>
      </c>
      <c r="W20" s="20">
        <v>1056</v>
      </c>
      <c r="X20" s="20">
        <v>1161</v>
      </c>
      <c r="Y20" s="20">
        <v>1196</v>
      </c>
      <c r="Z20" s="20">
        <v>1655</v>
      </c>
      <c r="AA20" s="20">
        <f>SUM(O20:Z20)</f>
        <v>20762</v>
      </c>
      <c r="AB20" s="18"/>
      <c r="AC20" s="18"/>
      <c r="AD20" s="20">
        <v>30076</v>
      </c>
      <c r="AE20" s="18"/>
      <c r="AF20" s="18"/>
      <c r="AG20" s="20">
        <v>26720</v>
      </c>
      <c r="AH20" s="18"/>
      <c r="AI20" s="18"/>
    </row>
    <row r="21" spans="1:40" hidden="1" outlineLevel="1" x14ac:dyDescent="0.25">
      <c r="A21" s="6" t="s">
        <v>6</v>
      </c>
      <c r="B21" s="7"/>
      <c r="I21" s="1"/>
      <c r="J21" s="1"/>
    </row>
    <row r="22" spans="1:40" hidden="1" outlineLevel="1" x14ac:dyDescent="0.25">
      <c r="A22" s="6" t="s">
        <v>7</v>
      </c>
      <c r="B22" s="16" t="s">
        <v>1340</v>
      </c>
      <c r="I22" s="1"/>
      <c r="J22" s="1"/>
    </row>
    <row r="23" spans="1:40" hidden="1" outlineLevel="1" x14ac:dyDescent="0.25">
      <c r="A23" s="6" t="s">
        <v>47</v>
      </c>
      <c r="B23" s="16" t="s">
        <v>1341</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1334</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v>42046.04</v>
      </c>
      <c r="P35" s="310">
        <v>35310.639999999999</v>
      </c>
      <c r="Q35" s="310">
        <v>45660.22</v>
      </c>
      <c r="R35" s="310">
        <v>39847.199999999997</v>
      </c>
      <c r="S35" s="310">
        <v>30824.42</v>
      </c>
      <c r="T35" s="310">
        <v>33722.17</v>
      </c>
      <c r="U35" s="310">
        <v>32263.02</v>
      </c>
      <c r="V35" s="310">
        <v>30635.23</v>
      </c>
      <c r="W35" s="310">
        <v>23265.599999999999</v>
      </c>
      <c r="X35" s="310">
        <v>22337.919999999998</v>
      </c>
      <c r="Y35" s="310">
        <v>26327.37</v>
      </c>
      <c r="Z35" s="310">
        <v>37691.620000000003</v>
      </c>
      <c r="AA35" s="310">
        <f t="shared" ref="AA35:AA58" si="1">IF($I35="B1","",SUM(O35:Z35))</f>
        <v>399931.4499999999</v>
      </c>
      <c r="AB35" s="311">
        <f t="shared" ref="AB35:AB58" si="2">IF(AA35=0,"",IFERROR(AA35/AA$19,""))</f>
        <v>0.56812689414010187</v>
      </c>
      <c r="AC35" s="328"/>
      <c r="AD35" s="310">
        <v>626554.28649299999</v>
      </c>
      <c r="AE35" s="311">
        <f t="shared" ref="AE35:AE58" si="3">IF(AD35=0,"",IFERROR(AD35/AD$19,""))</f>
        <v>0.4400194515576113</v>
      </c>
      <c r="AF35" s="312">
        <f t="shared" ref="AF35:AF58" si="4">IF(AND($AA35="",AD35=""),"",$AA35-AD35)</f>
        <v>-226622.8364930001</v>
      </c>
      <c r="AG35" s="310">
        <v>480784.08</v>
      </c>
      <c r="AH35" s="311">
        <f t="shared" ref="AH35:AH58" si="5">IF(AG35=0,"",IFERROR(AG35/AG$19,""))</f>
        <v>0.47005670901853608</v>
      </c>
      <c r="AI35" s="313">
        <f t="shared" ref="AI35:AI58" si="6">IF(AND($AA35="",AG35=""),"",$AA35-AG35)</f>
        <v>-80852.630000000121</v>
      </c>
      <c r="AJ35" s="399">
        <f t="shared" ref="AJ35:AJ58" si="7">IFERROR(AA35/AA$20,0)</f>
        <v>19.262664964839605</v>
      </c>
      <c r="AK35" s="400">
        <f t="shared" ref="AK35:AK58" si="8">IFERROR(AD35/AD$20,0)</f>
        <v>20.832367551968346</v>
      </c>
      <c r="AL35" s="401">
        <f t="shared" ref="AL35:AL58" si="9">IFERROR(AG35/AG$20,0)</f>
        <v>17.99341616766467</v>
      </c>
      <c r="AM35" s="402" t="str">
        <f t="shared" ref="AM35:AM58" si="10">+IFERROR(ROUND(($AB35-AE35)*100,2)&amp;" pts.",0)</f>
        <v>12.81 pts.</v>
      </c>
      <c r="AN35" s="403" t="str">
        <f t="shared" ref="AN35:AN58" si="11">+IFERROR(ROUND(($AB35-AH35)*100,2)&amp;" pts.",0)</f>
        <v>9.81 pts.</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v>19514.900000000001</v>
      </c>
      <c r="P37" s="310">
        <v>15544.5</v>
      </c>
      <c r="Q37" s="310">
        <v>18386</v>
      </c>
      <c r="R37" s="310">
        <v>15317.99</v>
      </c>
      <c r="S37" s="310">
        <v>9881.64</v>
      </c>
      <c r="T37" s="310">
        <v>10621.1</v>
      </c>
      <c r="U37" s="310">
        <v>10042.02</v>
      </c>
      <c r="V37" s="310">
        <v>8974</v>
      </c>
      <c r="W37" s="310">
        <v>1137.18</v>
      </c>
      <c r="X37" s="310">
        <v>-212.96</v>
      </c>
      <c r="Y37" s="310">
        <v>-59.77</v>
      </c>
      <c r="Z37" s="310">
        <v>-79.83</v>
      </c>
      <c r="AA37" s="310">
        <f t="shared" si="1"/>
        <v>109066.76999999999</v>
      </c>
      <c r="AB37" s="311">
        <f t="shared" si="2"/>
        <v>0.15493596538605015</v>
      </c>
      <c r="AC37" s="328"/>
      <c r="AD37" s="310">
        <v>343621.27695500001</v>
      </c>
      <c r="AE37" s="311">
        <f t="shared" si="3"/>
        <v>0.24131994479771929</v>
      </c>
      <c r="AF37" s="312">
        <f t="shared" si="4"/>
        <v>-234554.50695500002</v>
      </c>
      <c r="AG37" s="310">
        <v>224392.67</v>
      </c>
      <c r="AH37" s="311">
        <f t="shared" si="5"/>
        <v>0.21938596633250085</v>
      </c>
      <c r="AI37" s="313">
        <f t="shared" si="6"/>
        <v>-115325.90000000002</v>
      </c>
      <c r="AJ37" s="399">
        <f t="shared" si="7"/>
        <v>5.2531918890280318</v>
      </c>
      <c r="AK37" s="400">
        <f t="shared" si="8"/>
        <v>11.425098981081261</v>
      </c>
      <c r="AL37" s="401">
        <f t="shared" si="9"/>
        <v>8.3979292664670666</v>
      </c>
      <c r="AM37" s="402" t="str">
        <f t="shared" si="10"/>
        <v>-8.64 pts.</v>
      </c>
      <c r="AN37" s="403" t="str">
        <f t="shared" si="11"/>
        <v>-6.45 pts.</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v>61560.94</v>
      </c>
      <c r="P40" s="134">
        <v>50855.14</v>
      </c>
      <c r="Q40" s="134">
        <v>64046.22</v>
      </c>
      <c r="R40" s="134">
        <v>55165.19</v>
      </c>
      <c r="S40" s="134">
        <v>40706.06</v>
      </c>
      <c r="T40" s="134">
        <v>44343.27</v>
      </c>
      <c r="U40" s="134">
        <v>42305.04</v>
      </c>
      <c r="V40" s="134">
        <v>39609.230000000003</v>
      </c>
      <c r="W40" s="134">
        <v>24402.78</v>
      </c>
      <c r="X40" s="134">
        <v>22124.959999999999</v>
      </c>
      <c r="Y40" s="134">
        <v>26267.599999999999</v>
      </c>
      <c r="Z40" s="134">
        <v>37611.79</v>
      </c>
      <c r="AA40" s="134">
        <f t="shared" si="1"/>
        <v>508998.22</v>
      </c>
      <c r="AB40" s="135">
        <f t="shared" si="2"/>
        <v>0.72306285952615212</v>
      </c>
      <c r="AC40" s="137"/>
      <c r="AD40" s="134">
        <v>970175.563448</v>
      </c>
      <c r="AE40" s="135">
        <f t="shared" si="3"/>
        <v>0.68133939635533058</v>
      </c>
      <c r="AF40" s="136">
        <f t="shared" si="4"/>
        <v>-461177.34344800003</v>
      </c>
      <c r="AG40" s="134">
        <v>705176.75</v>
      </c>
      <c r="AH40" s="135">
        <f t="shared" si="5"/>
        <v>0.68944267535103687</v>
      </c>
      <c r="AI40" s="291">
        <f t="shared" si="6"/>
        <v>-196178.53000000003</v>
      </c>
      <c r="AJ40" s="360">
        <f t="shared" si="7"/>
        <v>24.515856853867643</v>
      </c>
      <c r="AK40" s="361">
        <f t="shared" si="8"/>
        <v>32.257466533049609</v>
      </c>
      <c r="AL40" s="363">
        <f t="shared" si="9"/>
        <v>26.391345434131736</v>
      </c>
      <c r="AM40" s="405" t="str">
        <f t="shared" si="10"/>
        <v>4.17 pts.</v>
      </c>
      <c r="AN40" s="406" t="str">
        <f t="shared" si="11"/>
        <v>3.36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v>4514.88</v>
      </c>
      <c r="P42" s="310">
        <v>3584</v>
      </c>
      <c r="Q42" s="310">
        <v>6194.34</v>
      </c>
      <c r="R42" s="310">
        <v>4938.5</v>
      </c>
      <c r="S42" s="310">
        <v>4354</v>
      </c>
      <c r="T42" s="310">
        <v>3520.5</v>
      </c>
      <c r="U42" s="310">
        <v>3364</v>
      </c>
      <c r="V42" s="310">
        <v>3267</v>
      </c>
      <c r="W42" s="310">
        <v>2771.8</v>
      </c>
      <c r="X42" s="310">
        <v>2408</v>
      </c>
      <c r="Y42" s="310">
        <v>3730</v>
      </c>
      <c r="Z42" s="310">
        <v>3081</v>
      </c>
      <c r="AA42" s="310">
        <f t="shared" si="1"/>
        <v>45728.020000000004</v>
      </c>
      <c r="AB42" s="311">
        <f t="shared" si="2"/>
        <v>6.4959427366306083E-2</v>
      </c>
      <c r="AC42" s="328"/>
      <c r="AD42" s="310">
        <v>97703.003507000001</v>
      </c>
      <c r="AE42" s="311">
        <f t="shared" si="3"/>
        <v>6.8615318649107707E-2</v>
      </c>
      <c r="AF42" s="312">
        <f t="shared" si="4"/>
        <v>-51974.983506999997</v>
      </c>
      <c r="AG42" s="310">
        <v>69983.88</v>
      </c>
      <c r="AH42" s="311">
        <f t="shared" si="5"/>
        <v>6.8422382698587164E-2</v>
      </c>
      <c r="AI42" s="313">
        <f t="shared" si="6"/>
        <v>-24255.86</v>
      </c>
      <c r="AJ42" s="399">
        <f t="shared" si="7"/>
        <v>2.202486272998748</v>
      </c>
      <c r="AK42" s="400">
        <f t="shared" si="8"/>
        <v>3.2485371561045353</v>
      </c>
      <c r="AL42" s="401">
        <f t="shared" si="9"/>
        <v>2.6191571856287426</v>
      </c>
      <c r="AM42" s="402" t="str">
        <f t="shared" si="10"/>
        <v>-0.37 pts.</v>
      </c>
      <c r="AN42" s="403" t="str">
        <f t="shared" si="11"/>
        <v>-0.35 pts.</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c r="Y43" s="310"/>
      <c r="Z43" s="310"/>
      <c r="AA43" s="310">
        <f t="shared" si="1"/>
        <v>0</v>
      </c>
      <c r="AB43" s="311" t="str">
        <f t="shared" si="2"/>
        <v/>
      </c>
      <c r="AC43" s="328"/>
      <c r="AD43" s="310"/>
      <c r="AE43" s="311" t="str">
        <f t="shared" si="3"/>
        <v/>
      </c>
      <c r="AF43" s="312">
        <f t="shared" si="4"/>
        <v>0</v>
      </c>
      <c r="AG43" s="310"/>
      <c r="AH43" s="311" t="str">
        <f t="shared" si="5"/>
        <v/>
      </c>
      <c r="AI43" s="313">
        <f t="shared" si="6"/>
        <v>0</v>
      </c>
      <c r="AJ43" s="399">
        <f t="shared" si="7"/>
        <v>0</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v>6899</v>
      </c>
      <c r="P44" s="310">
        <v>4677.2</v>
      </c>
      <c r="Q44" s="310">
        <v>5512</v>
      </c>
      <c r="R44" s="310">
        <v>4640.01</v>
      </c>
      <c r="S44" s="310">
        <v>3370</v>
      </c>
      <c r="T44" s="310">
        <v>2815</v>
      </c>
      <c r="U44" s="310">
        <v>2494.2199999999998</v>
      </c>
      <c r="V44" s="310">
        <v>2735</v>
      </c>
      <c r="W44" s="310">
        <v>56</v>
      </c>
      <c r="X44" s="310"/>
      <c r="Y44" s="310"/>
      <c r="Z44" s="310"/>
      <c r="AA44" s="310">
        <f t="shared" si="1"/>
        <v>33198.43</v>
      </c>
      <c r="AB44" s="311">
        <f t="shared" si="2"/>
        <v>4.7160384426450049E-2</v>
      </c>
      <c r="AC44" s="328"/>
      <c r="AD44" s="310">
        <v>138836.74304500001</v>
      </c>
      <c r="AE44" s="311">
        <f t="shared" si="3"/>
        <v>9.7502912114205809E-2</v>
      </c>
      <c r="AF44" s="312">
        <f t="shared" si="4"/>
        <v>-105638.31304500002</v>
      </c>
      <c r="AG44" s="310">
        <v>85012.57</v>
      </c>
      <c r="AH44" s="311">
        <f t="shared" si="5"/>
        <v>8.3115748922900967E-2</v>
      </c>
      <c r="AI44" s="313">
        <f t="shared" si="6"/>
        <v>-51814.140000000007</v>
      </c>
      <c r="AJ44" s="399">
        <f t="shared" si="7"/>
        <v>1.5989996146806666</v>
      </c>
      <c r="AK44" s="400">
        <f t="shared" si="8"/>
        <v>4.6161970689253895</v>
      </c>
      <c r="AL44" s="401">
        <f t="shared" si="9"/>
        <v>3.1816081586826348</v>
      </c>
      <c r="AM44" s="402" t="str">
        <f t="shared" si="10"/>
        <v>-5.03 pts.</v>
      </c>
      <c r="AN44" s="403" t="str">
        <f t="shared" si="11"/>
        <v>-3.6 pts.</v>
      </c>
    </row>
    <row r="45" spans="1:40" x14ac:dyDescent="0.25">
      <c r="H45" s="15" t="s">
        <v>270</v>
      </c>
      <c r="I45" s="161" t="s">
        <v>1058</v>
      </c>
      <c r="J45" s="161" t="s">
        <v>78</v>
      </c>
      <c r="K45" s="68" t="str">
        <f t="shared" si="0"/>
        <v>&gt;</v>
      </c>
      <c r="L45" s="162"/>
      <c r="M45" s="162"/>
      <c r="N45" s="162" t="s">
        <v>1319</v>
      </c>
      <c r="O45" s="309"/>
      <c r="P45" s="310"/>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v>11413.88</v>
      </c>
      <c r="P47" s="134">
        <v>8261.2000000000007</v>
      </c>
      <c r="Q47" s="134">
        <v>11706.34</v>
      </c>
      <c r="R47" s="134">
        <v>9578.51</v>
      </c>
      <c r="S47" s="134">
        <v>7724</v>
      </c>
      <c r="T47" s="134">
        <v>6335.5</v>
      </c>
      <c r="U47" s="134">
        <v>5858.22</v>
      </c>
      <c r="V47" s="134">
        <v>6002</v>
      </c>
      <c r="W47" s="134">
        <v>2827.8</v>
      </c>
      <c r="X47" s="134">
        <v>2408</v>
      </c>
      <c r="Y47" s="134">
        <v>3730</v>
      </c>
      <c r="Z47" s="134">
        <v>3081</v>
      </c>
      <c r="AA47" s="134">
        <f t="shared" si="1"/>
        <v>78926.45</v>
      </c>
      <c r="AB47" s="135">
        <f t="shared" si="2"/>
        <v>0.11211981179275611</v>
      </c>
      <c r="AC47" s="137"/>
      <c r="AD47" s="134">
        <v>236539.746552</v>
      </c>
      <c r="AE47" s="135">
        <f t="shared" si="3"/>
        <v>0.1661182307633135</v>
      </c>
      <c r="AF47" s="136">
        <f t="shared" si="4"/>
        <v>-157613.29655199999</v>
      </c>
      <c r="AG47" s="134">
        <v>154996.45000000001</v>
      </c>
      <c r="AH47" s="135">
        <f t="shared" si="5"/>
        <v>0.15153813162148813</v>
      </c>
      <c r="AI47" s="291">
        <f t="shared" si="6"/>
        <v>-76070.000000000015</v>
      </c>
      <c r="AJ47" s="360">
        <f t="shared" si="7"/>
        <v>3.801485887679414</v>
      </c>
      <c r="AK47" s="361">
        <f t="shared" si="8"/>
        <v>7.8647342250299239</v>
      </c>
      <c r="AL47" s="363">
        <f t="shared" si="9"/>
        <v>5.8007653443113778</v>
      </c>
      <c r="AM47" s="405" t="str">
        <f t="shared" si="10"/>
        <v>-5.4 pts.</v>
      </c>
      <c r="AN47" s="406" t="str">
        <f t="shared" si="11"/>
        <v>-3.94 pts.</v>
      </c>
    </row>
    <row r="48" spans="1:40" x14ac:dyDescent="0.25">
      <c r="H48" s="15" t="s">
        <v>486</v>
      </c>
      <c r="I48" s="161" t="s">
        <v>1058</v>
      </c>
      <c r="J48" s="161" t="s">
        <v>78</v>
      </c>
      <c r="K48" s="68" t="str">
        <f t="shared" si="0"/>
        <v>&gt;</v>
      </c>
      <c r="L48" s="162"/>
      <c r="M48" s="162"/>
      <c r="N48" s="162" t="s">
        <v>1213</v>
      </c>
      <c r="O48" s="330"/>
      <c r="P48" s="47">
        <v>-56</v>
      </c>
      <c r="Q48" s="47"/>
      <c r="R48" s="47">
        <v>-133.71</v>
      </c>
      <c r="S48" s="47">
        <v>-527.83000000000004</v>
      </c>
      <c r="T48" s="47"/>
      <c r="U48" s="47"/>
      <c r="V48" s="47">
        <v>-105.94</v>
      </c>
      <c r="W48" s="47"/>
      <c r="X48" s="47"/>
      <c r="Y48" s="47">
        <v>-10.18</v>
      </c>
      <c r="Z48" s="47"/>
      <c r="AA48" s="47">
        <f t="shared" si="1"/>
        <v>-833.66</v>
      </c>
      <c r="AB48" s="48">
        <f t="shared" si="2"/>
        <v>-1.184264619771307E-3</v>
      </c>
      <c r="AC48" s="54"/>
      <c r="AD48" s="47"/>
      <c r="AE48" s="48" t="str">
        <f t="shared" si="3"/>
        <v/>
      </c>
      <c r="AF48" s="150">
        <f t="shared" si="4"/>
        <v>-833.66</v>
      </c>
      <c r="AG48" s="47">
        <v>-931.3</v>
      </c>
      <c r="AH48" s="48">
        <f t="shared" si="5"/>
        <v>-9.1052060856291789E-4</v>
      </c>
      <c r="AI48" s="331">
        <f t="shared" si="6"/>
        <v>97.639999999999986</v>
      </c>
      <c r="AJ48" s="420">
        <f t="shared" si="7"/>
        <v>-4.0153164435025528E-2</v>
      </c>
      <c r="AK48" s="421">
        <f t="shared" si="8"/>
        <v>0</v>
      </c>
      <c r="AL48" s="422">
        <f t="shared" si="9"/>
        <v>-3.4854041916167665E-2</v>
      </c>
      <c r="AM48" s="423">
        <f t="shared" si="10"/>
        <v>0</v>
      </c>
      <c r="AN48" s="424" t="str">
        <f t="shared" si="11"/>
        <v>-0.03 pts.</v>
      </c>
    </row>
    <row r="49" spans="1:40" x14ac:dyDescent="0.25">
      <c r="A49" s="3" t="s">
        <v>0</v>
      </c>
      <c r="B49" s="5" t="s">
        <v>1</v>
      </c>
      <c r="H49" s="15" t="s">
        <v>273</v>
      </c>
      <c r="I49" s="479" t="s">
        <v>1064</v>
      </c>
      <c r="J49" s="479" t="s">
        <v>78</v>
      </c>
      <c r="K49" s="480" t="str">
        <f t="shared" si="0"/>
        <v/>
      </c>
      <c r="L49" s="170"/>
      <c r="M49" s="170"/>
      <c r="N49" s="170" t="s">
        <v>1214</v>
      </c>
      <c r="O49" s="224">
        <v>72974.820000000007</v>
      </c>
      <c r="P49" s="134">
        <v>59060.34</v>
      </c>
      <c r="Q49" s="134">
        <v>75752.56</v>
      </c>
      <c r="R49" s="134">
        <v>64609.99</v>
      </c>
      <c r="S49" s="134">
        <v>47902.23</v>
      </c>
      <c r="T49" s="134">
        <v>50678.77</v>
      </c>
      <c r="U49" s="134">
        <v>48163.26</v>
      </c>
      <c r="V49" s="134">
        <v>45505.29</v>
      </c>
      <c r="W49" s="134">
        <v>27230.58</v>
      </c>
      <c r="X49" s="134">
        <v>24532.959999999999</v>
      </c>
      <c r="Y49" s="134">
        <v>29987.42</v>
      </c>
      <c r="Z49" s="134">
        <v>40692.79</v>
      </c>
      <c r="AA49" s="134">
        <f t="shared" si="1"/>
        <v>587091.01000000013</v>
      </c>
      <c r="AB49" s="135">
        <f t="shared" si="2"/>
        <v>0.83399840669913716</v>
      </c>
      <c r="AC49" s="137"/>
      <c r="AD49" s="134">
        <v>1206715.31</v>
      </c>
      <c r="AE49" s="135">
        <f t="shared" si="3"/>
        <v>0.84745762711864414</v>
      </c>
      <c r="AF49" s="136">
        <f t="shared" si="4"/>
        <v>-619624.29999999993</v>
      </c>
      <c r="AG49" s="134">
        <v>859241.9</v>
      </c>
      <c r="AH49" s="135">
        <f t="shared" si="5"/>
        <v>0.84007028636396208</v>
      </c>
      <c r="AI49" s="291">
        <f t="shared" si="6"/>
        <v>-272150.8899999999</v>
      </c>
      <c r="AJ49" s="360">
        <f t="shared" si="7"/>
        <v>28.277189577112036</v>
      </c>
      <c r="AK49" s="361">
        <f t="shared" si="8"/>
        <v>40.122200758079536</v>
      </c>
      <c r="AL49" s="363">
        <f t="shared" si="9"/>
        <v>32.157256736526946</v>
      </c>
      <c r="AM49" s="405" t="str">
        <f t="shared" si="10"/>
        <v>-1.35 pts.</v>
      </c>
      <c r="AN49" s="406" t="str">
        <f t="shared" si="11"/>
        <v>-0.61 pts.</v>
      </c>
    </row>
    <row r="50" spans="1:40" x14ac:dyDescent="0.25">
      <c r="A50" s="6" t="s">
        <v>2</v>
      </c>
      <c r="B50" s="16" t="s">
        <v>1337</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1338</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1342</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v>13904.16</v>
      </c>
      <c r="P54" s="310">
        <v>11699.31</v>
      </c>
      <c r="Q54" s="310">
        <v>14429.39</v>
      </c>
      <c r="R54" s="310">
        <v>12430.67</v>
      </c>
      <c r="S54" s="310">
        <v>9226.08</v>
      </c>
      <c r="T54" s="310">
        <v>9788.67</v>
      </c>
      <c r="U54" s="310">
        <v>9505.17</v>
      </c>
      <c r="V54" s="310">
        <v>8911.41</v>
      </c>
      <c r="W54" s="310">
        <v>5348.24</v>
      </c>
      <c r="X54" s="310">
        <v>5168.1499999999996</v>
      </c>
      <c r="Y54" s="310">
        <v>5917.89</v>
      </c>
      <c r="Z54" s="310">
        <v>7938.25</v>
      </c>
      <c r="AA54" s="310">
        <f t="shared" si="1"/>
        <v>114267.39</v>
      </c>
      <c r="AB54" s="311">
        <f t="shared" si="2"/>
        <v>0.16232376169014903</v>
      </c>
      <c r="AC54" s="328"/>
      <c r="AD54" s="310">
        <v>217208.75580000001</v>
      </c>
      <c r="AE54" s="311">
        <f t="shared" si="3"/>
        <v>0.15254237288135594</v>
      </c>
      <c r="AF54" s="312">
        <f t="shared" si="4"/>
        <v>-102941.36580000001</v>
      </c>
      <c r="AG54" s="310">
        <v>159872.54</v>
      </c>
      <c r="AH54" s="311">
        <f t="shared" si="5"/>
        <v>0.15630542511897288</v>
      </c>
      <c r="AI54" s="313">
        <f t="shared" si="6"/>
        <v>-45605.150000000009</v>
      </c>
      <c r="AJ54" s="399">
        <f t="shared" si="7"/>
        <v>5.5036793179847798</v>
      </c>
      <c r="AK54" s="400">
        <f t="shared" si="8"/>
        <v>7.2219961364543162</v>
      </c>
      <c r="AL54" s="401">
        <f t="shared" si="9"/>
        <v>5.9832537425149708</v>
      </c>
      <c r="AM54" s="402" t="str">
        <f t="shared" si="10"/>
        <v>0.98 pts.</v>
      </c>
      <c r="AN54" s="403" t="str">
        <f t="shared" si="11"/>
        <v>0.6 pts.</v>
      </c>
    </row>
    <row r="55" spans="1:40" x14ac:dyDescent="0.25">
      <c r="A55" s="6" t="s">
        <v>7</v>
      </c>
      <c r="B55" s="16" t="s">
        <v>1343</v>
      </c>
      <c r="F55" s="152"/>
      <c r="H55" s="15" t="s">
        <v>283</v>
      </c>
      <c r="I55" s="161" t="s">
        <v>1058</v>
      </c>
      <c r="J55" s="161" t="s">
        <v>78</v>
      </c>
      <c r="K55" s="68" t="str">
        <f t="shared" si="0"/>
        <v>&gt;</v>
      </c>
      <c r="L55" s="162"/>
      <c r="M55" s="162"/>
      <c r="N55" s="162" t="s">
        <v>1220</v>
      </c>
      <c r="O55" s="309">
        <v>314</v>
      </c>
      <c r="P55" s="310">
        <v>178</v>
      </c>
      <c r="Q55" s="310">
        <v>321</v>
      </c>
      <c r="R55" s="310">
        <v>190</v>
      </c>
      <c r="S55" s="310">
        <v>282</v>
      </c>
      <c r="T55" s="310">
        <v>290</v>
      </c>
      <c r="U55" s="310">
        <v>235</v>
      </c>
      <c r="V55" s="310">
        <v>134</v>
      </c>
      <c r="W55" s="310">
        <v>173</v>
      </c>
      <c r="X55" s="310">
        <v>121</v>
      </c>
      <c r="Y55" s="310">
        <v>119</v>
      </c>
      <c r="Z55" s="310">
        <v>232</v>
      </c>
      <c r="AA55" s="310">
        <f t="shared" si="1"/>
        <v>2589</v>
      </c>
      <c r="AB55" s="311">
        <f t="shared" si="2"/>
        <v>3.6778316107140964E-3</v>
      </c>
      <c r="AC55" s="328"/>
      <c r="AD55" s="310"/>
      <c r="AE55" s="311" t="str">
        <f t="shared" si="3"/>
        <v/>
      </c>
      <c r="AF55" s="312">
        <f t="shared" si="4"/>
        <v>2589</v>
      </c>
      <c r="AG55" s="310">
        <v>3707</v>
      </c>
      <c r="AH55" s="311">
        <f t="shared" si="5"/>
        <v>3.6242885170651097E-3</v>
      </c>
      <c r="AI55" s="313">
        <f t="shared" si="6"/>
        <v>-1118</v>
      </c>
      <c r="AJ55" s="399">
        <f t="shared" si="7"/>
        <v>0.12469896927078317</v>
      </c>
      <c r="AK55" s="400">
        <f t="shared" si="8"/>
        <v>0</v>
      </c>
      <c r="AL55" s="401">
        <f t="shared" si="9"/>
        <v>0.13873502994011977</v>
      </c>
      <c r="AM55" s="402">
        <f t="shared" si="10"/>
        <v>0</v>
      </c>
      <c r="AN55" s="403" t="str">
        <f t="shared" si="11"/>
        <v>0.01 pts.</v>
      </c>
    </row>
    <row r="56" spans="1:40" x14ac:dyDescent="0.25">
      <c r="A56" s="6" t="s">
        <v>47</v>
      </c>
      <c r="B56" s="16" t="s">
        <v>1341</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v>14218.16</v>
      </c>
      <c r="P57" s="36">
        <v>11877.31</v>
      </c>
      <c r="Q57" s="36">
        <v>14750.39</v>
      </c>
      <c r="R57" s="36">
        <v>12620.67</v>
      </c>
      <c r="S57" s="36">
        <v>9508.08</v>
      </c>
      <c r="T57" s="36">
        <v>10078.67</v>
      </c>
      <c r="U57" s="36">
        <v>9740.17</v>
      </c>
      <c r="V57" s="36">
        <v>9045.41</v>
      </c>
      <c r="W57" s="36">
        <v>5521.24</v>
      </c>
      <c r="X57" s="36">
        <v>5289.15</v>
      </c>
      <c r="Y57" s="36">
        <v>6036.89</v>
      </c>
      <c r="Z57" s="36">
        <v>8170.25</v>
      </c>
      <c r="AA57" s="36">
        <f t="shared" si="1"/>
        <v>116856.39</v>
      </c>
      <c r="AB57" s="37">
        <f t="shared" si="2"/>
        <v>0.16600159330086312</v>
      </c>
      <c r="AC57" s="35"/>
      <c r="AD57" s="36">
        <v>217208.75580000001</v>
      </c>
      <c r="AE57" s="37">
        <f t="shared" si="3"/>
        <v>0.15254237288135594</v>
      </c>
      <c r="AF57" s="58">
        <f t="shared" si="4"/>
        <v>-100352.36580000001</v>
      </c>
      <c r="AG57" s="36">
        <v>163579.54</v>
      </c>
      <c r="AH57" s="37">
        <f t="shared" si="5"/>
        <v>0.159929713636038</v>
      </c>
      <c r="AI57" s="292">
        <f t="shared" si="6"/>
        <v>-46723.150000000009</v>
      </c>
      <c r="AJ57" s="372">
        <f t="shared" si="7"/>
        <v>5.628378287255563</v>
      </c>
      <c r="AK57" s="373">
        <f t="shared" si="8"/>
        <v>7.2219961364543162</v>
      </c>
      <c r="AL57" s="375">
        <f t="shared" si="9"/>
        <v>6.1219887724550901</v>
      </c>
      <c r="AM57" s="407" t="str">
        <f t="shared" si="10"/>
        <v>1.35 pts.</v>
      </c>
      <c r="AN57" s="408" t="str">
        <f t="shared" si="11"/>
        <v>0.61 pts.</v>
      </c>
    </row>
    <row r="58" spans="1:40" x14ac:dyDescent="0.25">
      <c r="G58" s="14"/>
      <c r="H58" s="15" t="s">
        <v>280</v>
      </c>
      <c r="I58" s="479" t="s">
        <v>1012</v>
      </c>
      <c r="J58" s="479" t="s">
        <v>78</v>
      </c>
      <c r="K58" s="480" t="str">
        <f t="shared" si="0"/>
        <v/>
      </c>
      <c r="L58" s="170">
        <v>400000</v>
      </c>
      <c r="M58" s="170"/>
      <c r="N58" s="170" t="s">
        <v>1003</v>
      </c>
      <c r="O58" s="224">
        <v>87192.98</v>
      </c>
      <c r="P58" s="134">
        <v>70937.649999999994</v>
      </c>
      <c r="Q58" s="134">
        <v>90502.95</v>
      </c>
      <c r="R58" s="134">
        <v>77230.66</v>
      </c>
      <c r="S58" s="134">
        <v>57410.31</v>
      </c>
      <c r="T58" s="134">
        <v>60757.440000000002</v>
      </c>
      <c r="U58" s="134">
        <v>57903.43</v>
      </c>
      <c r="V58" s="134">
        <v>54550.7</v>
      </c>
      <c r="W58" s="134">
        <v>32751.82</v>
      </c>
      <c r="X58" s="134">
        <v>29822.11</v>
      </c>
      <c r="Y58" s="134">
        <v>36024.31</v>
      </c>
      <c r="Z58" s="134">
        <v>48863.040000000001</v>
      </c>
      <c r="AA58" s="134">
        <f t="shared" si="1"/>
        <v>703947.39999999991</v>
      </c>
      <c r="AB58" s="135">
        <f t="shared" si="2"/>
        <v>1</v>
      </c>
      <c r="AC58" s="137"/>
      <c r="AD58" s="134">
        <v>1423924.0658</v>
      </c>
      <c r="AE58" s="135">
        <f t="shared" si="3"/>
        <v>1</v>
      </c>
      <c r="AF58" s="136">
        <f t="shared" si="4"/>
        <v>-719976.66580000008</v>
      </c>
      <c r="AG58" s="134">
        <v>1022821.44</v>
      </c>
      <c r="AH58" s="135">
        <f t="shared" si="5"/>
        <v>1</v>
      </c>
      <c r="AI58" s="291">
        <f t="shared" si="6"/>
        <v>-318874.04000000004</v>
      </c>
      <c r="AJ58" s="360">
        <f t="shared" si="7"/>
        <v>33.90556786436759</v>
      </c>
      <c r="AK58" s="361">
        <f t="shared" si="8"/>
        <v>47.344196894533844</v>
      </c>
      <c r="AL58" s="363">
        <f t="shared" si="9"/>
        <v>38.279245508982036</v>
      </c>
      <c r="AM58" s="405" t="str">
        <f t="shared" si="10"/>
        <v>0 pts.</v>
      </c>
      <c r="AN58" s="406" t="str">
        <f t="shared" si="11"/>
        <v>0 pts.</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v>16397.04</v>
      </c>
      <c r="P62" s="310">
        <v>18240.59</v>
      </c>
      <c r="Q62" s="310">
        <v>23025.119999999999</v>
      </c>
      <c r="R62" s="310">
        <v>19184.13</v>
      </c>
      <c r="S62" s="310">
        <v>15038.65</v>
      </c>
      <c r="T62" s="310">
        <v>15271.19</v>
      </c>
      <c r="U62" s="310">
        <v>14704.61</v>
      </c>
      <c r="V62" s="310">
        <v>15503.05</v>
      </c>
      <c r="W62" s="310">
        <v>6350.35</v>
      </c>
      <c r="X62" s="310">
        <v>8554.9599999999991</v>
      </c>
      <c r="Y62" s="310">
        <v>9531.52</v>
      </c>
      <c r="Z62" s="310">
        <v>14469.45</v>
      </c>
      <c r="AA62" s="310">
        <f t="shared" ref="AA62:AA70" si="13">IF($I62="B1","",SUM(O62:Z62))</f>
        <v>176270.66</v>
      </c>
      <c r="AB62" s="311">
        <v>0.34630899102161899</v>
      </c>
      <c r="AC62" s="328"/>
      <c r="AD62" s="310">
        <v>318418</v>
      </c>
      <c r="AE62" s="311">
        <v>0.32820657620806698</v>
      </c>
      <c r="AF62" s="312">
        <f t="shared" ref="AF62:AF72" si="14">IF(AND($AA62="",AD62=""),"",$AA62-AD62)</f>
        <v>-142147.34</v>
      </c>
      <c r="AG62" s="310">
        <v>258956.42</v>
      </c>
      <c r="AH62" s="311">
        <v>0.367222004979603</v>
      </c>
      <c r="AI62" s="313">
        <f t="shared" ref="AI62:AI72" si="15">IF(AND($AA62="",AG62=""),"",$AA62-AG62)</f>
        <v>-82685.760000000009</v>
      </c>
      <c r="AJ62" s="399">
        <f t="shared" ref="AJ62:AJ70" si="16">IFERROR(AA62/AA$20,0)</f>
        <v>8.4900616510933435</v>
      </c>
      <c r="AK62" s="400">
        <f t="shared" ref="AK62:AK70" si="17">IFERROR(AD62/AD$20,0)</f>
        <v>10.587112647958506</v>
      </c>
      <c r="AL62" s="401">
        <f t="shared" ref="AL62:AL70" si="18">IFERROR(AG62/AG$20,0)</f>
        <v>9.6914827844311375</v>
      </c>
      <c r="AM62" s="402" t="str">
        <f t="shared" ref="AM62:AM70" si="19">+IFERROR(ROUND(($AB62-AE62)*100,2)&amp;" pts.",0)</f>
        <v>1.81 pts.</v>
      </c>
      <c r="AN62" s="403" t="str">
        <f t="shared" ref="AN62:AN70" si="20">+IFERROR(ROUND(($AB62-AH62)*100,2)&amp;" pts.",0)</f>
        <v>-2.09 pts.</v>
      </c>
    </row>
    <row r="63" spans="1:40" x14ac:dyDescent="0.25">
      <c r="A63" s="6" t="s">
        <v>14</v>
      </c>
      <c r="B63" s="7"/>
      <c r="H63" s="15" t="s">
        <v>636</v>
      </c>
      <c r="I63" s="161" t="s">
        <v>1058</v>
      </c>
      <c r="J63" s="161" t="s">
        <v>78</v>
      </c>
      <c r="K63" s="68" t="str">
        <f t="shared" si="12"/>
        <v>&gt;</v>
      </c>
      <c r="L63" s="162"/>
      <c r="M63" s="162"/>
      <c r="N63" s="162" t="s">
        <v>1226</v>
      </c>
      <c r="O63" s="323">
        <v>4062.6</v>
      </c>
      <c r="P63" s="324">
        <v>2921.95</v>
      </c>
      <c r="Q63" s="324">
        <v>3295.13</v>
      </c>
      <c r="R63" s="324">
        <v>323</v>
      </c>
      <c r="S63" s="324">
        <v>3622.11</v>
      </c>
      <c r="T63" s="324">
        <v>1110.21</v>
      </c>
      <c r="U63" s="324">
        <v>1613.52</v>
      </c>
      <c r="V63" s="324">
        <v>4778.03</v>
      </c>
      <c r="W63" s="324">
        <v>1289.1600000000001</v>
      </c>
      <c r="X63" s="324">
        <v>1565.03</v>
      </c>
      <c r="Y63" s="324">
        <v>-349.02</v>
      </c>
      <c r="Z63" s="324">
        <v>1004.61</v>
      </c>
      <c r="AA63" s="324">
        <f t="shared" si="13"/>
        <v>25236.329999999998</v>
      </c>
      <c r="AB63" s="325">
        <v>0.319744901740798</v>
      </c>
      <c r="AC63" s="290"/>
      <c r="AD63" s="324">
        <v>36129.43</v>
      </c>
      <c r="AE63" s="325">
        <v>0.15274147591114201</v>
      </c>
      <c r="AF63" s="326">
        <f t="shared" si="14"/>
        <v>-10893.100000000002</v>
      </c>
      <c r="AG63" s="324">
        <v>30318.23</v>
      </c>
      <c r="AH63" s="325">
        <v>0.19560596387852799</v>
      </c>
      <c r="AI63" s="327">
        <f t="shared" si="15"/>
        <v>-5081.9000000000015</v>
      </c>
      <c r="AJ63" s="409">
        <f t="shared" si="16"/>
        <v>1.2155057316250841</v>
      </c>
      <c r="AK63" s="410">
        <f t="shared" si="17"/>
        <v>1.2012711131799441</v>
      </c>
      <c r="AL63" s="411">
        <f t="shared" si="18"/>
        <v>1.1346642964071856</v>
      </c>
      <c r="AM63" s="412" t="str">
        <f t="shared" si="19"/>
        <v>16.7 pts.</v>
      </c>
      <c r="AN63" s="413" t="str">
        <f t="shared" si="20"/>
        <v>12.41 pts.</v>
      </c>
    </row>
    <row r="64" spans="1:40" x14ac:dyDescent="0.25">
      <c r="A64" s="6" t="s">
        <v>15</v>
      </c>
      <c r="B64" s="7"/>
      <c r="H64" s="15" t="s">
        <v>286</v>
      </c>
      <c r="I64" s="479" t="s">
        <v>1064</v>
      </c>
      <c r="J64" s="479" t="s">
        <v>78</v>
      </c>
      <c r="K64" s="480" t="str">
        <f t="shared" si="12"/>
        <v/>
      </c>
      <c r="L64" s="170"/>
      <c r="M64" s="170"/>
      <c r="N64" s="170" t="s">
        <v>1227</v>
      </c>
      <c r="O64" s="224">
        <v>20459.64</v>
      </c>
      <c r="P64" s="134">
        <v>21162.54</v>
      </c>
      <c r="Q64" s="134">
        <v>26320.25</v>
      </c>
      <c r="R64" s="134">
        <v>19507.13</v>
      </c>
      <c r="S64" s="134">
        <v>18660.759999999998</v>
      </c>
      <c r="T64" s="134">
        <v>16381.4</v>
      </c>
      <c r="U64" s="134">
        <v>16318.13</v>
      </c>
      <c r="V64" s="134">
        <v>20281.080000000002</v>
      </c>
      <c r="W64" s="134">
        <v>7639.51</v>
      </c>
      <c r="X64" s="134">
        <v>10119.99</v>
      </c>
      <c r="Y64" s="134">
        <v>9182.5</v>
      </c>
      <c r="Z64" s="134">
        <v>15474.06</v>
      </c>
      <c r="AA64" s="134">
        <f t="shared" si="13"/>
        <v>201506.99</v>
      </c>
      <c r="AB64" s="135">
        <v>0.343229561631339</v>
      </c>
      <c r="AC64" s="137"/>
      <c r="AD64" s="134">
        <v>354547.43</v>
      </c>
      <c r="AE64" s="135">
        <v>0.29381199282206799</v>
      </c>
      <c r="AF64" s="136">
        <f t="shared" si="14"/>
        <v>-153040.44</v>
      </c>
      <c r="AG64" s="134">
        <v>289274.65000000002</v>
      </c>
      <c r="AH64" s="135">
        <v>0.336662644128504</v>
      </c>
      <c r="AI64" s="291">
        <f t="shared" si="15"/>
        <v>-87767.660000000033</v>
      </c>
      <c r="AJ64" s="360">
        <f t="shared" si="16"/>
        <v>9.7055673827184279</v>
      </c>
      <c r="AK64" s="361">
        <f t="shared" si="17"/>
        <v>11.78838376113845</v>
      </c>
      <c r="AL64" s="363">
        <f t="shared" si="18"/>
        <v>10.826147080838325</v>
      </c>
      <c r="AM64" s="405" t="str">
        <f t="shared" si="19"/>
        <v>4.94 pts.</v>
      </c>
      <c r="AN64" s="406" t="str">
        <f t="shared" si="20"/>
        <v>0.66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v>20459.64</v>
      </c>
      <c r="P70" s="134">
        <v>21162.54</v>
      </c>
      <c r="Q70" s="134">
        <v>26320.25</v>
      </c>
      <c r="R70" s="134">
        <v>19507.13</v>
      </c>
      <c r="S70" s="134">
        <v>18660.759999999998</v>
      </c>
      <c r="T70" s="134">
        <v>16381.4</v>
      </c>
      <c r="U70" s="134">
        <v>16318.13</v>
      </c>
      <c r="V70" s="134">
        <v>20281.080000000002</v>
      </c>
      <c r="W70" s="134">
        <v>7639.51</v>
      </c>
      <c r="X70" s="134">
        <v>10119.99</v>
      </c>
      <c r="Y70" s="134">
        <v>9182.5</v>
      </c>
      <c r="Z70" s="134">
        <v>15474.06</v>
      </c>
      <c r="AA70" s="134">
        <f t="shared" si="13"/>
        <v>201506.99</v>
      </c>
      <c r="AB70" s="135">
        <v>0.28625290753257998</v>
      </c>
      <c r="AC70" s="137"/>
      <c r="AD70" s="134">
        <v>354547.43</v>
      </c>
      <c r="AE70" s="135">
        <v>0.24899321425599</v>
      </c>
      <c r="AF70" s="136">
        <f t="shared" si="14"/>
        <v>-153040.44</v>
      </c>
      <c r="AG70" s="134">
        <v>289274.65000000002</v>
      </c>
      <c r="AH70" s="135">
        <v>0.28282028386108099</v>
      </c>
      <c r="AI70" s="291">
        <f t="shared" si="15"/>
        <v>-87767.660000000033</v>
      </c>
      <c r="AJ70" s="360">
        <f t="shared" si="16"/>
        <v>9.7055673827184279</v>
      </c>
      <c r="AK70" s="361">
        <f t="shared" si="17"/>
        <v>11.78838376113845</v>
      </c>
      <c r="AL70" s="363">
        <f t="shared" si="18"/>
        <v>10.826147080838325</v>
      </c>
      <c r="AM70" s="405" t="str">
        <f t="shared" si="19"/>
        <v>3.73 pts.</v>
      </c>
      <c r="AN70" s="406" t="str">
        <f t="shared" si="20"/>
        <v>0.34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66733.34</v>
      </c>
      <c r="P72" s="164">
        <f t="shared" si="21"/>
        <v>49775.109999999993</v>
      </c>
      <c r="Q72" s="164">
        <f t="shared" si="21"/>
        <v>64182.7</v>
      </c>
      <c r="R72" s="164">
        <f t="shared" si="21"/>
        <v>57723.53</v>
      </c>
      <c r="S72" s="164">
        <f t="shared" si="21"/>
        <v>38749.550000000003</v>
      </c>
      <c r="T72" s="164">
        <f t="shared" si="21"/>
        <v>44376.04</v>
      </c>
      <c r="U72" s="164">
        <f t="shared" si="21"/>
        <v>41585.300000000003</v>
      </c>
      <c r="V72" s="164">
        <f t="shared" si="21"/>
        <v>34269.619999999995</v>
      </c>
      <c r="W72" s="164">
        <f t="shared" si="21"/>
        <v>25112.309999999998</v>
      </c>
      <c r="X72" s="164">
        <f t="shared" si="21"/>
        <v>19702.120000000003</v>
      </c>
      <c r="Y72" s="164">
        <f t="shared" si="21"/>
        <v>26841.809999999998</v>
      </c>
      <c r="Z72" s="164">
        <f t="shared" si="21"/>
        <v>33388.980000000003</v>
      </c>
      <c r="AA72" s="134">
        <f>IF($I72="B1","",SUM(O72:Z72))</f>
        <v>502440.40999999992</v>
      </c>
      <c r="AB72" s="135">
        <f>IF(AA72=0,"",IFERROR(AA72/AA$19,""))</f>
        <v>0.71374709246742007</v>
      </c>
      <c r="AD72" s="164">
        <f>SUMIF($H$35:$H$70,"400000",AD35:AD70)-SUMIF($H$35:$H$70,"500001",AD35:AD70)</f>
        <v>1069376.6358</v>
      </c>
      <c r="AE72" s="135">
        <f>IF(AD72=0,"",IFERROR(AD72/AD$19,""))</f>
        <v>0.75100678574400992</v>
      </c>
      <c r="AF72" s="165">
        <f t="shared" si="14"/>
        <v>-566936.22580000013</v>
      </c>
      <c r="AG72" s="164">
        <f>SUMIF($H$35:$H$70,"400000",AG35:AG70)-SUMIF($H$35:$H$70,"500001",AG35:AG70)</f>
        <v>733546.78999999992</v>
      </c>
      <c r="AH72" s="135">
        <f>IF(AG72=0,"",IFERROR(AG72/AG$19,""))</f>
        <v>0.71717971613891862</v>
      </c>
      <c r="AI72" s="165">
        <f t="shared" si="15"/>
        <v>-231106.38</v>
      </c>
      <c r="AJ72" s="360">
        <f>IFERROR(AA72/AA$20,0)</f>
        <v>24.200000481649163</v>
      </c>
      <c r="AK72" s="361">
        <f>IFERROR(AD72/AD$20,0)</f>
        <v>35.555813133395397</v>
      </c>
      <c r="AL72" s="363">
        <f>IFERROR(AG72/AG$20,0)</f>
        <v>27.453098428143711</v>
      </c>
      <c r="AM72" s="405" t="str">
        <f>+IFERROR(ROUND(($AB72-AE72)*100,2)&amp;" pts.",0)</f>
        <v>-3.73 pts.</v>
      </c>
      <c r="AN72" s="406" t="str">
        <f>+IFERROR(ROUND(($AB72-AH72)*100,2)&amp;" pts.",0)</f>
        <v>-0.34 pts.</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x14ac:dyDescent="0.25">
      <c r="A76" s="1" t="s">
        <v>108</v>
      </c>
      <c r="C76" s="25" t="s">
        <v>101</v>
      </c>
      <c r="D76" s="1" t="s">
        <v>106</v>
      </c>
      <c r="F76" s="1" t="s">
        <v>98</v>
      </c>
      <c r="H76" s="15" t="s">
        <v>883</v>
      </c>
      <c r="I76" s="161" t="s">
        <v>1012</v>
      </c>
      <c r="J76" s="161" t="s">
        <v>78</v>
      </c>
      <c r="K76" s="68" t="str">
        <f t="shared" ref="K76:K90" si="22">IF(AND(I76&gt;="T3"),"&gt;","")</f>
        <v>&gt;</v>
      </c>
      <c r="L76" s="162"/>
      <c r="M76" s="162"/>
      <c r="N76" s="162" t="s">
        <v>1235</v>
      </c>
      <c r="O76" s="38">
        <v>11743.97</v>
      </c>
      <c r="P76" s="38">
        <v>10000</v>
      </c>
      <c r="Q76" s="38">
        <v>15087.28</v>
      </c>
      <c r="R76" s="38">
        <v>15793.34</v>
      </c>
      <c r="S76" s="38">
        <v>13797.03</v>
      </c>
      <c r="T76" s="38">
        <v>14842.77</v>
      </c>
      <c r="U76" s="38">
        <v>14589.54</v>
      </c>
      <c r="V76" s="38">
        <v>15539.9</v>
      </c>
      <c r="W76" s="38">
        <v>9439.33</v>
      </c>
      <c r="X76" s="38">
        <v>5493.34</v>
      </c>
      <c r="Y76" s="38">
        <v>5239.8999999999996</v>
      </c>
      <c r="Z76" s="38">
        <v>5239.8999999999996</v>
      </c>
      <c r="AA76" s="310">
        <f t="shared" ref="AA76:AA90" si="23">IF($I76="B1","",SUM(O76:Z76))</f>
        <v>136806.29999999999</v>
      </c>
      <c r="AB76" s="39">
        <f t="shared" ref="AB76:AB90" si="24">IF(AA76=0,"",IFERROR(AA76/AA$19,""))</f>
        <v>0.19434165109495397</v>
      </c>
      <c r="AD76" s="38">
        <v>207274.08396146001</v>
      </c>
      <c r="AE76" s="39">
        <f t="shared" ref="AE76:AE90" si="25">IF(AD76=0,"",IFERROR(AD76/AD$19,""))</f>
        <v>0.14556540544527399</v>
      </c>
      <c r="AF76" s="132">
        <f t="shared" ref="AF76:AF90" si="26">IF(AND($AA76="",AD76=""),"",$AA76-AD76)</f>
        <v>-70467.783961460023</v>
      </c>
      <c r="AG76" s="38">
        <v>151855.14000000001</v>
      </c>
      <c r="AH76" s="39">
        <f t="shared" ref="AH76:AH90" si="27">IF(AG76=0,"",IFERROR(AG76/AG$19,""))</f>
        <v>0.14846691129196513</v>
      </c>
      <c r="AI76" s="132">
        <f t="shared" ref="AI76:AI90" si="28">IF(AND($AA76="",AG76=""),"",$AA76-AG76)</f>
        <v>-15048.840000000026</v>
      </c>
      <c r="AJ76" s="350">
        <f t="shared" ref="AJ76:AJ90" si="29">IFERROR(AA76/AA$20,0)</f>
        <v>6.5892640400732105</v>
      </c>
      <c r="AK76" s="351">
        <f t="shared" ref="AK76:AK90" si="30">IFERROR(AD76/AD$20,0)</f>
        <v>6.8916772164337017</v>
      </c>
      <c r="AL76" s="352">
        <f t="shared" ref="AL76:AL90" si="31">IFERROR(AG76/AG$20,0)</f>
        <v>5.6832013473053902</v>
      </c>
      <c r="AM76" s="387" t="str">
        <f t="shared" ref="AM76:AM90" si="32">+IFERROR(ROUND(($AB76-AE76)*100,2)&amp;" pts.",0)</f>
        <v>4.88 pts.</v>
      </c>
      <c r="AN76" s="386" t="str">
        <f t="shared" ref="AN76:AN90" si="33">+IFERROR(ROUND(($AB76-AH76)*100,2)&amp;" pts.",0)</f>
        <v>4.59 pts.</v>
      </c>
    </row>
    <row r="77" spans="1:40" x14ac:dyDescent="0.25">
      <c r="A77" s="1" t="s">
        <v>108</v>
      </c>
      <c r="C77" s="151" t="s">
        <v>101</v>
      </c>
      <c r="D77" s="1" t="s">
        <v>107</v>
      </c>
      <c r="F77" s="1" t="s">
        <v>99</v>
      </c>
      <c r="H77" s="15" t="s">
        <v>884</v>
      </c>
      <c r="I77" s="161" t="s">
        <v>1012</v>
      </c>
      <c r="J77" s="161" t="s">
        <v>78</v>
      </c>
      <c r="K77" s="68" t="str">
        <f t="shared" si="22"/>
        <v>&gt;</v>
      </c>
      <c r="L77" s="162"/>
      <c r="M77" s="162"/>
      <c r="N77" s="162" t="s">
        <v>1236</v>
      </c>
      <c r="O77" s="38">
        <v>11603.08</v>
      </c>
      <c r="P77" s="38">
        <v>13333.32</v>
      </c>
      <c r="Q77" s="38">
        <v>13083.43</v>
      </c>
      <c r="R77" s="38">
        <v>13733.32</v>
      </c>
      <c r="S77" s="38">
        <v>13099.75</v>
      </c>
      <c r="T77" s="38">
        <v>10952.23</v>
      </c>
      <c r="U77" s="38">
        <v>6649.1</v>
      </c>
      <c r="V77" s="38">
        <v>6649.1</v>
      </c>
      <c r="W77" s="38">
        <v>7401.63</v>
      </c>
      <c r="X77" s="38">
        <v>8154.48</v>
      </c>
      <c r="Y77" s="38">
        <v>11183</v>
      </c>
      <c r="Z77" s="38">
        <v>11811</v>
      </c>
      <c r="AA77" s="310">
        <f t="shared" si="23"/>
        <v>127653.44000000002</v>
      </c>
      <c r="AB77" s="39">
        <f t="shared" si="24"/>
        <v>0.18133945803337015</v>
      </c>
      <c r="AD77" s="38">
        <v>146001.36230773601</v>
      </c>
      <c r="AE77" s="39">
        <f t="shared" si="25"/>
        <v>0.10253451417418695</v>
      </c>
      <c r="AF77" s="132">
        <f t="shared" si="26"/>
        <v>-18347.922307735993</v>
      </c>
      <c r="AG77" s="38">
        <v>130965.18</v>
      </c>
      <c r="AH77" s="39">
        <f t="shared" si="27"/>
        <v>0.12804305314522935</v>
      </c>
      <c r="AI77" s="132">
        <f t="shared" si="28"/>
        <v>-3311.7399999999761</v>
      </c>
      <c r="AJ77" s="350">
        <f t="shared" si="29"/>
        <v>6.1484173008380703</v>
      </c>
      <c r="AK77" s="351">
        <f t="shared" si="30"/>
        <v>4.8544142275480784</v>
      </c>
      <c r="AL77" s="352">
        <f t="shared" si="31"/>
        <v>4.901391467065868</v>
      </c>
      <c r="AM77" s="387" t="str">
        <f t="shared" si="32"/>
        <v>7.88 pts.</v>
      </c>
      <c r="AN77" s="386" t="str">
        <f t="shared" si="33"/>
        <v>5.33 pts.</v>
      </c>
    </row>
    <row r="78" spans="1:40" x14ac:dyDescent="0.25">
      <c r="H78" s="15" t="s">
        <v>75</v>
      </c>
      <c r="I78" s="28" t="s">
        <v>1011</v>
      </c>
      <c r="J78" s="28" t="s">
        <v>78</v>
      </c>
      <c r="K78" s="69" t="str">
        <f t="shared" si="22"/>
        <v/>
      </c>
      <c r="L78" s="25"/>
      <c r="M78" s="162"/>
      <c r="N78" s="25" t="s">
        <v>1082</v>
      </c>
      <c r="O78" s="38"/>
      <c r="P78" s="38"/>
      <c r="Q78" s="38"/>
      <c r="R78" s="38"/>
      <c r="S78" s="38"/>
      <c r="T78" s="38"/>
      <c r="U78" s="38"/>
      <c r="V78" s="38"/>
      <c r="W78" s="38"/>
      <c r="X78" s="38"/>
      <c r="Y78" s="38"/>
      <c r="Z78" s="38"/>
      <c r="AA78" s="310" t="str">
        <f t="shared" si="23"/>
        <v/>
      </c>
      <c r="AB78" s="39" t="str">
        <f t="shared" si="24"/>
        <v/>
      </c>
      <c r="AD78" s="38"/>
      <c r="AE78" s="39" t="str">
        <f t="shared" si="25"/>
        <v/>
      </c>
      <c r="AF78" s="132" t="str">
        <f t="shared" si="26"/>
        <v/>
      </c>
      <c r="AG78" s="38"/>
      <c r="AH78" s="39" t="str">
        <f t="shared" si="27"/>
        <v/>
      </c>
      <c r="AI78" s="132" t="str">
        <f t="shared" si="28"/>
        <v/>
      </c>
      <c r="AJ78" s="350">
        <f t="shared" si="29"/>
        <v>0</v>
      </c>
      <c r="AK78" s="351">
        <f t="shared" si="30"/>
        <v>0</v>
      </c>
      <c r="AL78" s="352">
        <f t="shared" si="31"/>
        <v>0</v>
      </c>
      <c r="AM78" s="387">
        <f t="shared" si="32"/>
        <v>0</v>
      </c>
      <c r="AN78" s="386">
        <f t="shared" si="33"/>
        <v>0</v>
      </c>
    </row>
    <row r="79" spans="1:40" x14ac:dyDescent="0.25">
      <c r="C79" s="32"/>
      <c r="H79" s="15" t="s">
        <v>882</v>
      </c>
      <c r="I79" s="161" t="s">
        <v>1012</v>
      </c>
      <c r="J79" s="161" t="s">
        <v>78</v>
      </c>
      <c r="K79" s="68" t="str">
        <f t="shared" si="22"/>
        <v>&gt;</v>
      </c>
      <c r="L79" s="162"/>
      <c r="M79" s="162"/>
      <c r="N79" s="162" t="s">
        <v>335</v>
      </c>
      <c r="O79" s="47">
        <v>2164.02</v>
      </c>
      <c r="P79" s="47">
        <v>2019.7</v>
      </c>
      <c r="Q79" s="47">
        <v>2283.1999999999998</v>
      </c>
      <c r="R79" s="47">
        <v>7178.23</v>
      </c>
      <c r="S79" s="47">
        <v>7149.33</v>
      </c>
      <c r="T79" s="47">
        <v>5078.4799999999996</v>
      </c>
      <c r="U79" s="47">
        <v>5808.76</v>
      </c>
      <c r="V79" s="47">
        <v>5746.26</v>
      </c>
      <c r="W79" s="47">
        <v>242</v>
      </c>
      <c r="X79" s="47">
        <v>6012.01</v>
      </c>
      <c r="Y79" s="47">
        <v>5030.13</v>
      </c>
      <c r="Z79" s="47">
        <v>6873.88</v>
      </c>
      <c r="AA79" s="324">
        <f t="shared" si="23"/>
        <v>55586</v>
      </c>
      <c r="AB79" s="48">
        <f t="shared" si="24"/>
        <v>7.8963286177347922E-2</v>
      </c>
      <c r="AD79" s="47">
        <v>131015.714285715</v>
      </c>
      <c r="AE79" s="48">
        <f t="shared" si="25"/>
        <v>9.2010323747219444E-2</v>
      </c>
      <c r="AF79" s="150">
        <f t="shared" si="26"/>
        <v>-75429.714285715003</v>
      </c>
      <c r="AG79" s="47">
        <v>50685.42</v>
      </c>
      <c r="AH79" s="48">
        <f t="shared" si="27"/>
        <v>4.9554514617918058E-2</v>
      </c>
      <c r="AI79" s="150">
        <f t="shared" si="28"/>
        <v>4900.5800000000017</v>
      </c>
      <c r="AJ79" s="350">
        <f t="shared" si="29"/>
        <v>2.6772950582795492</v>
      </c>
      <c r="AK79" s="351">
        <f t="shared" si="30"/>
        <v>4.356154883818161</v>
      </c>
      <c r="AL79" s="352">
        <f t="shared" si="31"/>
        <v>1.8969094311377246</v>
      </c>
      <c r="AM79" s="387" t="str">
        <f t="shared" si="32"/>
        <v>-1.3 pts.</v>
      </c>
      <c r="AN79" s="386" t="str">
        <f t="shared" si="33"/>
        <v>2.94 pts.</v>
      </c>
    </row>
    <row r="80" spans="1:40" x14ac:dyDescent="0.25">
      <c r="A80" s="4" t="s">
        <v>988</v>
      </c>
      <c r="H80" s="15" t="s">
        <v>863</v>
      </c>
      <c r="I80" s="161" t="s">
        <v>1012</v>
      </c>
      <c r="J80" s="161" t="s">
        <v>78</v>
      </c>
      <c r="K80" s="68" t="str">
        <f t="shared" si="22"/>
        <v>&gt;</v>
      </c>
      <c r="L80" s="162"/>
      <c r="M80" s="162"/>
      <c r="N80" s="162" t="s">
        <v>336</v>
      </c>
      <c r="O80" s="47">
        <v>-11349.57</v>
      </c>
      <c r="P80" s="47">
        <v>3567.72</v>
      </c>
      <c r="Q80" s="47">
        <v>7766.62</v>
      </c>
      <c r="R80" s="47">
        <v>7062.86</v>
      </c>
      <c r="S80" s="47">
        <v>4718.37</v>
      </c>
      <c r="T80" s="47">
        <v>10465.86</v>
      </c>
      <c r="U80" s="47">
        <v>5548.02</v>
      </c>
      <c r="V80" s="47">
        <v>3836.13</v>
      </c>
      <c r="W80" s="47">
        <v>4023.81</v>
      </c>
      <c r="X80" s="47">
        <v>4043.73</v>
      </c>
      <c r="Y80" s="47">
        <v>2515.61</v>
      </c>
      <c r="Z80" s="47">
        <v>-900.6</v>
      </c>
      <c r="AA80" s="324">
        <f t="shared" si="23"/>
        <v>41298.560000000005</v>
      </c>
      <c r="AB80" s="48">
        <f t="shared" si="24"/>
        <v>5.8667110639232432E-2</v>
      </c>
      <c r="AD80" s="47">
        <v>103475.9</v>
      </c>
      <c r="AE80" s="48">
        <f t="shared" si="25"/>
        <v>7.2669535184704079E-2</v>
      </c>
      <c r="AF80" s="150">
        <f t="shared" si="26"/>
        <v>-62177.339999999989</v>
      </c>
      <c r="AG80" s="47">
        <v>57714.98</v>
      </c>
      <c r="AH80" s="48">
        <f t="shared" si="27"/>
        <v>5.642722937055368E-2</v>
      </c>
      <c r="AI80" s="150">
        <f t="shared" si="28"/>
        <v>-16416.419999999998</v>
      </c>
      <c r="AJ80" s="357">
        <f t="shared" si="29"/>
        <v>1.9891417011848571</v>
      </c>
      <c r="AK80" s="358">
        <f t="shared" si="30"/>
        <v>3.4404807820188852</v>
      </c>
      <c r="AL80" s="359">
        <f t="shared" si="31"/>
        <v>2.159991766467066</v>
      </c>
      <c r="AM80" s="388" t="str">
        <f t="shared" si="32"/>
        <v>-1.4 pts.</v>
      </c>
      <c r="AN80" s="389" t="str">
        <f t="shared" si="33"/>
        <v>0.22 pts.</v>
      </c>
    </row>
    <row r="81" spans="1:40" x14ac:dyDescent="0.25">
      <c r="H81" s="15" t="s">
        <v>848</v>
      </c>
      <c r="I81" s="479" t="s">
        <v>1010</v>
      </c>
      <c r="J81" s="479" t="s">
        <v>78</v>
      </c>
      <c r="K81" s="480" t="str">
        <f t="shared" si="22"/>
        <v/>
      </c>
      <c r="L81" s="170"/>
      <c r="M81" s="170"/>
      <c r="N81" s="170" t="s">
        <v>1085</v>
      </c>
      <c r="O81" s="134">
        <v>14161.5</v>
      </c>
      <c r="P81" s="134">
        <v>28920.74</v>
      </c>
      <c r="Q81" s="134">
        <v>38220.53</v>
      </c>
      <c r="R81" s="134">
        <v>43767.75</v>
      </c>
      <c r="S81" s="134">
        <v>38764.480000000003</v>
      </c>
      <c r="T81" s="134">
        <v>41339.339999999997</v>
      </c>
      <c r="U81" s="134">
        <v>32595.42</v>
      </c>
      <c r="V81" s="134">
        <v>31771.39</v>
      </c>
      <c r="W81" s="134">
        <v>21106.77</v>
      </c>
      <c r="X81" s="134">
        <v>23703.56</v>
      </c>
      <c r="Y81" s="134">
        <v>23968.639999999999</v>
      </c>
      <c r="Z81" s="134">
        <v>23024.18</v>
      </c>
      <c r="AA81" s="134">
        <f t="shared" si="23"/>
        <v>361344.30000000005</v>
      </c>
      <c r="AB81" s="135">
        <f t="shared" si="24"/>
        <v>0.51331150594490449</v>
      </c>
      <c r="AC81" s="137"/>
      <c r="AD81" s="134">
        <v>587767.06055491103</v>
      </c>
      <c r="AE81" s="135">
        <f t="shared" si="25"/>
        <v>0.41277977855138448</v>
      </c>
      <c r="AF81" s="136">
        <f t="shared" si="26"/>
        <v>-226422.76055491099</v>
      </c>
      <c r="AG81" s="134">
        <v>391220.72</v>
      </c>
      <c r="AH81" s="135">
        <f t="shared" si="27"/>
        <v>0.38249170842566615</v>
      </c>
      <c r="AI81" s="136">
        <f t="shared" si="28"/>
        <v>-29876.419999999925</v>
      </c>
      <c r="AJ81" s="360">
        <f t="shared" si="29"/>
        <v>17.404118100375687</v>
      </c>
      <c r="AK81" s="361">
        <f t="shared" si="30"/>
        <v>19.542727109818827</v>
      </c>
      <c r="AL81" s="363">
        <f t="shared" si="31"/>
        <v>14.641494011976047</v>
      </c>
      <c r="AM81" s="405" t="str">
        <f t="shared" si="32"/>
        <v>10.05 pts.</v>
      </c>
      <c r="AN81" s="522" t="str">
        <f t="shared" si="33"/>
        <v>13.08 pts.</v>
      </c>
    </row>
    <row r="82" spans="1:40" x14ac:dyDescent="0.25">
      <c r="A82" s="3" t="s">
        <v>0</v>
      </c>
      <c r="B82" s="5" t="s">
        <v>1</v>
      </c>
      <c r="H82" s="15" t="s">
        <v>864</v>
      </c>
      <c r="I82" s="161" t="s">
        <v>1012</v>
      </c>
      <c r="J82" s="161" t="s">
        <v>78</v>
      </c>
      <c r="K82" s="68" t="str">
        <f t="shared" si="22"/>
        <v>&gt;</v>
      </c>
      <c r="L82" s="162"/>
      <c r="M82" s="162"/>
      <c r="N82" s="162" t="s">
        <v>1238</v>
      </c>
      <c r="O82" s="47">
        <v>13904</v>
      </c>
      <c r="P82" s="47">
        <v>11699.8</v>
      </c>
      <c r="Q82" s="47">
        <v>14429.08</v>
      </c>
      <c r="R82" s="47">
        <v>12430.67</v>
      </c>
      <c r="S82" s="47">
        <v>9226.08</v>
      </c>
      <c r="T82" s="47">
        <v>9788.64</v>
      </c>
      <c r="U82" s="47">
        <v>9505.17</v>
      </c>
      <c r="V82" s="47">
        <v>8911.41</v>
      </c>
      <c r="W82" s="47">
        <v>5348.24</v>
      </c>
      <c r="X82" s="47">
        <v>5168.2700000000004</v>
      </c>
      <c r="Y82" s="47">
        <v>5917.89</v>
      </c>
      <c r="Z82" s="47">
        <v>7938.25</v>
      </c>
      <c r="AA82" s="47">
        <f t="shared" si="23"/>
        <v>114267.5</v>
      </c>
      <c r="AB82" s="48">
        <f t="shared" si="24"/>
        <v>0.16232391795182427</v>
      </c>
      <c r="AD82" s="47">
        <v>217208.75580000001</v>
      </c>
      <c r="AE82" s="48">
        <f t="shared" si="25"/>
        <v>0.15254237288135594</v>
      </c>
      <c r="AF82" s="150">
        <f t="shared" si="26"/>
        <v>-102941.25580000001</v>
      </c>
      <c r="AG82" s="47">
        <v>159872.54</v>
      </c>
      <c r="AH82" s="48">
        <f t="shared" si="27"/>
        <v>0.15630542511897288</v>
      </c>
      <c r="AI82" s="150">
        <f t="shared" si="28"/>
        <v>-45605.040000000008</v>
      </c>
      <c r="AJ82" s="353">
        <f t="shared" si="29"/>
        <v>5.5036846161256143</v>
      </c>
      <c r="AK82" s="354">
        <f t="shared" si="30"/>
        <v>7.2219961364543162</v>
      </c>
      <c r="AL82" s="356">
        <f t="shared" si="31"/>
        <v>5.9832537425149708</v>
      </c>
      <c r="AM82" s="390" t="str">
        <f t="shared" si="32"/>
        <v>0.98 pts.</v>
      </c>
      <c r="AN82" s="391" t="str">
        <f t="shared" si="33"/>
        <v>0.6 pts.</v>
      </c>
    </row>
    <row r="83" spans="1:40" x14ac:dyDescent="0.25">
      <c r="A83" s="6" t="s">
        <v>2</v>
      </c>
      <c r="B83" s="16" t="s">
        <v>1337</v>
      </c>
      <c r="H83" s="15" t="s">
        <v>865</v>
      </c>
      <c r="I83" s="161" t="s">
        <v>1012</v>
      </c>
      <c r="J83" s="161" t="s">
        <v>78</v>
      </c>
      <c r="K83" s="68" t="str">
        <f t="shared" si="22"/>
        <v>&gt;</v>
      </c>
      <c r="L83" s="162"/>
      <c r="M83" s="162"/>
      <c r="N83" s="162" t="s">
        <v>1086</v>
      </c>
      <c r="O83" s="47">
        <v>42282.89</v>
      </c>
      <c r="P83" s="47">
        <v>34363.31</v>
      </c>
      <c r="Q83" s="47">
        <v>32412.240000000002</v>
      </c>
      <c r="R83" s="47">
        <v>29789.09</v>
      </c>
      <c r="S83" s="47">
        <v>34178.769999999997</v>
      </c>
      <c r="T83" s="47">
        <v>23055.43</v>
      </c>
      <c r="U83" s="47">
        <v>34526.58</v>
      </c>
      <c r="V83" s="47">
        <v>43155.74</v>
      </c>
      <c r="W83" s="47">
        <v>31883.72</v>
      </c>
      <c r="X83" s="47">
        <v>28312.720000000001</v>
      </c>
      <c r="Y83" s="47">
        <v>34620.81</v>
      </c>
      <c r="Z83" s="47">
        <v>40482.050000000003</v>
      </c>
      <c r="AA83" s="324">
        <f t="shared" si="23"/>
        <v>409063.35</v>
      </c>
      <c r="AB83" s="48">
        <f t="shared" si="24"/>
        <v>0.58109931224975053</v>
      </c>
      <c r="AD83" s="47">
        <v>332553.41342526599</v>
      </c>
      <c r="AE83" s="48">
        <f t="shared" si="25"/>
        <v>0.23354715424268657</v>
      </c>
      <c r="AF83" s="150">
        <f t="shared" si="26"/>
        <v>76509.936574733991</v>
      </c>
      <c r="AG83" s="47">
        <v>644141.5</v>
      </c>
      <c r="AH83" s="48">
        <f t="shared" si="27"/>
        <v>0.62976925864987743</v>
      </c>
      <c r="AI83" s="150">
        <f t="shared" si="28"/>
        <v>-235078.15000000002</v>
      </c>
      <c r="AJ83" s="350">
        <f t="shared" si="29"/>
        <v>19.702502167421247</v>
      </c>
      <c r="AK83" s="351">
        <f t="shared" si="30"/>
        <v>11.05710245462382</v>
      </c>
      <c r="AL83" s="352">
        <f t="shared" si="31"/>
        <v>24.107092065868262</v>
      </c>
      <c r="AM83" s="387" t="str">
        <f t="shared" si="32"/>
        <v>34.76 pts.</v>
      </c>
      <c r="AN83" s="386" t="str">
        <f t="shared" si="33"/>
        <v>-4.87 pts.</v>
      </c>
    </row>
    <row r="84" spans="1:40" x14ac:dyDescent="0.25">
      <c r="A84" s="6" t="s">
        <v>3</v>
      </c>
      <c r="B84" s="16" t="s">
        <v>1338</v>
      </c>
      <c r="H84" s="15" t="s">
        <v>849</v>
      </c>
      <c r="I84" s="161" t="s">
        <v>1012</v>
      </c>
      <c r="J84" s="161" t="s">
        <v>78</v>
      </c>
      <c r="K84" s="68" t="str">
        <f t="shared" si="22"/>
        <v>&gt;</v>
      </c>
      <c r="L84" s="162"/>
      <c r="M84" s="162"/>
      <c r="N84" s="162" t="s">
        <v>1087</v>
      </c>
      <c r="O84" s="47">
        <v>3354.17</v>
      </c>
      <c r="P84" s="47">
        <v>1754.52</v>
      </c>
      <c r="Q84" s="47">
        <v>3148.39</v>
      </c>
      <c r="R84" s="47">
        <v>8516.2900000000009</v>
      </c>
      <c r="S84" s="47">
        <v>-5000</v>
      </c>
      <c r="T84" s="47"/>
      <c r="U84" s="47"/>
      <c r="V84" s="47"/>
      <c r="W84" s="47"/>
      <c r="X84" s="47"/>
      <c r="Y84" s="47"/>
      <c r="Z84" s="47"/>
      <c r="AA84" s="324">
        <f t="shared" si="23"/>
        <v>11773.370000000003</v>
      </c>
      <c r="AB84" s="48">
        <f t="shared" si="24"/>
        <v>1.6724786539448835E-2</v>
      </c>
      <c r="AD84" s="47">
        <v>74462.131813831307</v>
      </c>
      <c r="AE84" s="48">
        <f t="shared" si="25"/>
        <v>5.229361143776752E-2</v>
      </c>
      <c r="AF84" s="150">
        <f t="shared" si="26"/>
        <v>-62688.761813831305</v>
      </c>
      <c r="AG84" s="47">
        <v>47122.77</v>
      </c>
      <c r="AH84" s="48">
        <f t="shared" si="27"/>
        <v>4.6071355328648568E-2</v>
      </c>
      <c r="AI84" s="150">
        <f t="shared" si="28"/>
        <v>-35349.399999999994</v>
      </c>
      <c r="AJ84" s="357">
        <f t="shared" si="29"/>
        <v>0.56706338503034404</v>
      </c>
      <c r="AK84" s="358">
        <f t="shared" si="30"/>
        <v>2.4757990362359128</v>
      </c>
      <c r="AL84" s="359">
        <f t="shared" si="31"/>
        <v>1.7635767215568861</v>
      </c>
      <c r="AM84" s="388" t="str">
        <f t="shared" si="32"/>
        <v>-3.56 pts.</v>
      </c>
      <c r="AN84" s="389" t="str">
        <f t="shared" si="33"/>
        <v>-2.93 pts.</v>
      </c>
    </row>
    <row r="85" spans="1:40" x14ac:dyDescent="0.25">
      <c r="A85" s="6" t="s">
        <v>4</v>
      </c>
      <c r="B85" s="16" t="s">
        <v>1344</v>
      </c>
      <c r="H85" s="15" t="s">
        <v>850</v>
      </c>
      <c r="I85" s="479" t="s">
        <v>1010</v>
      </c>
      <c r="J85" s="479" t="s">
        <v>78</v>
      </c>
      <c r="K85" s="480" t="str">
        <f t="shared" si="22"/>
        <v/>
      </c>
      <c r="L85" s="170"/>
      <c r="M85" s="170"/>
      <c r="N85" s="170" t="s">
        <v>1088</v>
      </c>
      <c r="O85" s="134">
        <v>73702.559999999998</v>
      </c>
      <c r="P85" s="134">
        <v>76738.37</v>
      </c>
      <c r="Q85" s="134">
        <v>88210.240000000005</v>
      </c>
      <c r="R85" s="134">
        <v>94503.8</v>
      </c>
      <c r="S85" s="134">
        <v>77169.33</v>
      </c>
      <c r="T85" s="134">
        <v>74183.41</v>
      </c>
      <c r="U85" s="134">
        <v>76627.17</v>
      </c>
      <c r="V85" s="134">
        <v>83838.539999999994</v>
      </c>
      <c r="W85" s="134">
        <v>58338.73</v>
      </c>
      <c r="X85" s="134">
        <v>57184.55</v>
      </c>
      <c r="Y85" s="134">
        <v>64507.34</v>
      </c>
      <c r="Z85" s="134">
        <v>71444.479999999996</v>
      </c>
      <c r="AA85" s="134">
        <f t="shared" si="23"/>
        <v>896448.52</v>
      </c>
      <c r="AB85" s="135">
        <f t="shared" si="24"/>
        <v>1.2734595226859282</v>
      </c>
      <c r="AC85" s="137"/>
      <c r="AD85" s="134">
        <v>1211991.3615940099</v>
      </c>
      <c r="AE85" s="135">
        <f t="shared" si="25"/>
        <v>0.85116291711319558</v>
      </c>
      <c r="AF85" s="136">
        <f t="shared" si="26"/>
        <v>-315542.84159400989</v>
      </c>
      <c r="AG85" s="134">
        <v>1242357.53</v>
      </c>
      <c r="AH85" s="135">
        <f t="shared" si="27"/>
        <v>1.2146377475231651</v>
      </c>
      <c r="AI85" s="136">
        <f t="shared" si="28"/>
        <v>-345909.01</v>
      </c>
      <c r="AJ85" s="360">
        <f t="shared" si="29"/>
        <v>43.177368268952897</v>
      </c>
      <c r="AK85" s="361">
        <f t="shared" si="30"/>
        <v>40.297624737132928</v>
      </c>
      <c r="AL85" s="363">
        <f t="shared" si="31"/>
        <v>46.495416541916171</v>
      </c>
      <c r="AM85" s="405" t="str">
        <f t="shared" si="32"/>
        <v>42.23 pts.</v>
      </c>
      <c r="AN85" s="522" t="str">
        <f t="shared" si="33"/>
        <v>5.88 pts.</v>
      </c>
    </row>
    <row r="86" spans="1:40" x14ac:dyDescent="0.25">
      <c r="A86" s="6" t="s">
        <v>5</v>
      </c>
      <c r="B86" s="7"/>
      <c r="H86" s="15" t="s">
        <v>851</v>
      </c>
      <c r="I86" s="161" t="s">
        <v>1012</v>
      </c>
      <c r="J86" s="161" t="s">
        <v>78</v>
      </c>
      <c r="K86" s="68" t="str">
        <f t="shared" si="22"/>
        <v>&gt;</v>
      </c>
      <c r="L86" s="162"/>
      <c r="M86" s="162"/>
      <c r="N86" s="162" t="s">
        <v>561</v>
      </c>
      <c r="O86" s="47">
        <v>5449.45</v>
      </c>
      <c r="P86" s="47">
        <v>5311.38</v>
      </c>
      <c r="Q86" s="47">
        <v>5713.56</v>
      </c>
      <c r="R86" s="47">
        <v>5706.99</v>
      </c>
      <c r="S86" s="47">
        <v>4325.55</v>
      </c>
      <c r="T86" s="47">
        <v>4193.41</v>
      </c>
      <c r="U86" s="47">
        <v>3715.62</v>
      </c>
      <c r="V86" s="47">
        <v>3435.74</v>
      </c>
      <c r="W86" s="47">
        <v>2800.99</v>
      </c>
      <c r="X86" s="47">
        <v>2698.93</v>
      </c>
      <c r="Y86" s="47">
        <v>2008.88</v>
      </c>
      <c r="Z86" s="47">
        <v>2733.89</v>
      </c>
      <c r="AA86" s="47">
        <f t="shared" si="23"/>
        <v>48094.389999999992</v>
      </c>
      <c r="AB86" s="48">
        <f t="shared" si="24"/>
        <v>6.8320999551955156E-2</v>
      </c>
      <c r="AD86" s="47">
        <v>65839.744716232803</v>
      </c>
      <c r="AE86" s="48">
        <f t="shared" si="25"/>
        <v>4.6238241418612595E-2</v>
      </c>
      <c r="AF86" s="150">
        <f t="shared" si="26"/>
        <v>-17745.35471623281</v>
      </c>
      <c r="AG86" s="47">
        <v>60333.97</v>
      </c>
      <c r="AH86" s="48">
        <f t="shared" si="27"/>
        <v>5.8987783830577512E-2</v>
      </c>
      <c r="AI86" s="150">
        <f t="shared" si="28"/>
        <v>-12239.580000000009</v>
      </c>
      <c r="AJ86" s="353">
        <f t="shared" si="29"/>
        <v>2.3164622868702431</v>
      </c>
      <c r="AK86" s="354">
        <f t="shared" si="30"/>
        <v>2.1891124057797846</v>
      </c>
      <c r="AL86" s="356">
        <f t="shared" si="31"/>
        <v>2.2580078592814372</v>
      </c>
      <c r="AM86" s="390" t="str">
        <f t="shared" si="32"/>
        <v>2.21 pts.</v>
      </c>
      <c r="AN86" s="391" t="str">
        <f t="shared" si="33"/>
        <v>0.93 pts.</v>
      </c>
    </row>
    <row r="87" spans="1:40" x14ac:dyDescent="0.25">
      <c r="A87" s="6" t="s">
        <v>6</v>
      </c>
      <c r="B87" s="7"/>
      <c r="H87" s="15" t="s">
        <v>852</v>
      </c>
      <c r="I87" s="161" t="s">
        <v>1012</v>
      </c>
      <c r="J87" s="161" t="s">
        <v>78</v>
      </c>
      <c r="K87" s="68" t="str">
        <f t="shared" si="22"/>
        <v>&gt;</v>
      </c>
      <c r="L87" s="162"/>
      <c r="M87" s="162"/>
      <c r="N87" s="162" t="s">
        <v>560</v>
      </c>
      <c r="O87" s="47">
        <v>5946.28</v>
      </c>
      <c r="P87" s="47">
        <v>2205.88</v>
      </c>
      <c r="Q87" s="47">
        <v>3990.8</v>
      </c>
      <c r="R87" s="47">
        <v>2493.33</v>
      </c>
      <c r="S87" s="47">
        <v>4452.0200000000004</v>
      </c>
      <c r="T87" s="47">
        <v>2260.6799999999998</v>
      </c>
      <c r="U87" s="47">
        <v>4188.87</v>
      </c>
      <c r="V87" s="47">
        <v>2535.46</v>
      </c>
      <c r="W87" s="47">
        <v>-607.4</v>
      </c>
      <c r="X87" s="47">
        <v>5168.32</v>
      </c>
      <c r="Y87" s="47">
        <v>2944.38</v>
      </c>
      <c r="Z87" s="47">
        <v>1241.44</v>
      </c>
      <c r="AA87" s="324">
        <f t="shared" si="23"/>
        <v>36820.06</v>
      </c>
      <c r="AB87" s="48">
        <f t="shared" si="24"/>
        <v>5.2305129616218485E-2</v>
      </c>
      <c r="AD87" s="47">
        <v>41700.4799446861</v>
      </c>
      <c r="AE87" s="48">
        <f t="shared" si="25"/>
        <v>2.9285606547605904E-2</v>
      </c>
      <c r="AF87" s="150">
        <f t="shared" si="26"/>
        <v>-4880.4199446861021</v>
      </c>
      <c r="AG87" s="47">
        <v>28914.35</v>
      </c>
      <c r="AH87" s="48">
        <f t="shared" si="27"/>
        <v>2.8269206011168481E-2</v>
      </c>
      <c r="AI87" s="150">
        <f t="shared" si="28"/>
        <v>7905.7099999999991</v>
      </c>
      <c r="AJ87" s="350">
        <f t="shared" si="29"/>
        <v>1.7734351218572391</v>
      </c>
      <c r="AK87" s="351">
        <f t="shared" si="30"/>
        <v>1.3865035225657036</v>
      </c>
      <c r="AL87" s="352">
        <f t="shared" si="31"/>
        <v>1.0821238772455088</v>
      </c>
      <c r="AM87" s="387" t="str">
        <f t="shared" si="32"/>
        <v>2.3 pts.</v>
      </c>
      <c r="AN87" s="386" t="str">
        <f t="shared" si="33"/>
        <v>2.4 pts.</v>
      </c>
    </row>
    <row r="88" spans="1:40" x14ac:dyDescent="0.25">
      <c r="A88" s="6" t="s">
        <v>7</v>
      </c>
      <c r="B88" s="16" t="s">
        <v>1345</v>
      </c>
      <c r="H88" s="15" t="s">
        <v>853</v>
      </c>
      <c r="I88" s="161" t="s">
        <v>1012</v>
      </c>
      <c r="J88" s="161" t="s">
        <v>78</v>
      </c>
      <c r="K88" s="68" t="str">
        <f t="shared" si="22"/>
        <v>&gt;</v>
      </c>
      <c r="L88" s="162"/>
      <c r="M88" s="162"/>
      <c r="N88" s="162" t="s">
        <v>562</v>
      </c>
      <c r="O88" s="47">
        <v>11948.01</v>
      </c>
      <c r="P88" s="47">
        <v>11285.03</v>
      </c>
      <c r="Q88" s="47">
        <v>10938.64</v>
      </c>
      <c r="R88" s="47">
        <v>12305.04</v>
      </c>
      <c r="S88" s="47">
        <v>13403.75</v>
      </c>
      <c r="T88" s="47">
        <v>9373.9599999999991</v>
      </c>
      <c r="U88" s="47">
        <v>11502.52</v>
      </c>
      <c r="V88" s="47">
        <v>11477.34</v>
      </c>
      <c r="W88" s="47">
        <v>8445.65</v>
      </c>
      <c r="X88" s="47">
        <v>7524.48</v>
      </c>
      <c r="Y88" s="47">
        <v>6293.22</v>
      </c>
      <c r="Z88" s="47">
        <v>3665.19</v>
      </c>
      <c r="AA88" s="324">
        <f t="shared" si="23"/>
        <v>118162.82999999999</v>
      </c>
      <c r="AB88" s="48">
        <f t="shared" si="24"/>
        <v>0.16785747060078637</v>
      </c>
      <c r="AD88" s="47">
        <v>54673.106759963397</v>
      </c>
      <c r="AE88" s="48">
        <f t="shared" si="25"/>
        <v>3.8396083100994946E-2</v>
      </c>
      <c r="AF88" s="150">
        <f t="shared" si="26"/>
        <v>63489.72324003659</v>
      </c>
      <c r="AG88" s="47">
        <v>49501.08</v>
      </c>
      <c r="AH88" s="48">
        <f t="shared" si="27"/>
        <v>4.8396599899196487E-2</v>
      </c>
      <c r="AI88" s="150">
        <f t="shared" si="28"/>
        <v>68661.749999999985</v>
      </c>
      <c r="AJ88" s="357">
        <f t="shared" si="29"/>
        <v>5.6913028609960499</v>
      </c>
      <c r="AK88" s="358">
        <f t="shared" si="30"/>
        <v>1.8178317183123884</v>
      </c>
      <c r="AL88" s="359">
        <f t="shared" si="31"/>
        <v>1.8525853293413175</v>
      </c>
      <c r="AM88" s="388" t="str">
        <f t="shared" si="32"/>
        <v>12.95 pts.</v>
      </c>
      <c r="AN88" s="389" t="str">
        <f t="shared" si="33"/>
        <v>11.95 pts.</v>
      </c>
    </row>
    <row r="89" spans="1:40" x14ac:dyDescent="0.25">
      <c r="A89" s="6" t="s">
        <v>47</v>
      </c>
      <c r="B89" s="16" t="s">
        <v>1341</v>
      </c>
      <c r="H89" s="15" t="s">
        <v>854</v>
      </c>
      <c r="I89" s="479" t="s">
        <v>1010</v>
      </c>
      <c r="J89" s="479" t="s">
        <v>78</v>
      </c>
      <c r="K89" s="480" t="str">
        <f t="shared" si="22"/>
        <v/>
      </c>
      <c r="L89" s="170"/>
      <c r="M89" s="170"/>
      <c r="N89" s="170" t="s">
        <v>1089</v>
      </c>
      <c r="O89" s="36">
        <v>23343.74</v>
      </c>
      <c r="P89" s="36">
        <v>18802.29</v>
      </c>
      <c r="Q89" s="36">
        <v>20643</v>
      </c>
      <c r="R89" s="36">
        <v>20505.36</v>
      </c>
      <c r="S89" s="36">
        <v>22181.32</v>
      </c>
      <c r="T89" s="36">
        <v>15828.05</v>
      </c>
      <c r="U89" s="36">
        <v>19407.009999999998</v>
      </c>
      <c r="V89" s="36">
        <v>17448.54</v>
      </c>
      <c r="W89" s="36">
        <v>10639.24</v>
      </c>
      <c r="X89" s="36">
        <v>15391.73</v>
      </c>
      <c r="Y89" s="36">
        <v>11246.48</v>
      </c>
      <c r="Z89" s="36">
        <v>7640.52</v>
      </c>
      <c r="AA89" s="36">
        <f t="shared" si="23"/>
        <v>203077.28</v>
      </c>
      <c r="AB89" s="37">
        <f t="shared" si="24"/>
        <v>0.28848359976896004</v>
      </c>
      <c r="AC89" s="35"/>
      <c r="AD89" s="36">
        <v>162213.33142088199</v>
      </c>
      <c r="AE89" s="37">
        <f t="shared" si="25"/>
        <v>0.11391993106721324</v>
      </c>
      <c r="AF89" s="58">
        <f t="shared" si="26"/>
        <v>40863.948579118005</v>
      </c>
      <c r="AG89" s="36">
        <v>138749.4</v>
      </c>
      <c r="AH89" s="37">
        <f t="shared" si="27"/>
        <v>0.13565358974094247</v>
      </c>
      <c r="AI89" s="58">
        <f t="shared" si="28"/>
        <v>64327.880000000005</v>
      </c>
      <c r="AJ89" s="372">
        <f t="shared" si="29"/>
        <v>9.7812002697235325</v>
      </c>
      <c r="AK89" s="373">
        <f t="shared" si="30"/>
        <v>5.3934476466578669</v>
      </c>
      <c r="AL89" s="375">
        <f t="shared" si="31"/>
        <v>5.1927170658682629</v>
      </c>
      <c r="AM89" s="407" t="str">
        <f t="shared" si="32"/>
        <v>17.46 pts.</v>
      </c>
      <c r="AN89" s="524" t="str">
        <f t="shared" si="33"/>
        <v>15.28 pts.</v>
      </c>
    </row>
    <row r="90" spans="1:40" x14ac:dyDescent="0.25">
      <c r="A90" s="6" t="s">
        <v>8</v>
      </c>
      <c r="B90" s="7"/>
      <c r="H90" s="15" t="s">
        <v>76</v>
      </c>
      <c r="I90" s="479" t="s">
        <v>1046</v>
      </c>
      <c r="J90" s="479" t="s">
        <v>78</v>
      </c>
      <c r="K90" s="480" t="str">
        <f t="shared" si="22"/>
        <v/>
      </c>
      <c r="L90" s="170">
        <v>600000</v>
      </c>
      <c r="M90" s="170"/>
      <c r="N90" s="170" t="s">
        <v>1090</v>
      </c>
      <c r="O90" s="36">
        <v>97046.3</v>
      </c>
      <c r="P90" s="36">
        <v>95540.66</v>
      </c>
      <c r="Q90" s="36">
        <v>108853.24</v>
      </c>
      <c r="R90" s="36">
        <v>115009.16</v>
      </c>
      <c r="S90" s="36">
        <v>99350.65</v>
      </c>
      <c r="T90" s="36">
        <v>90011.46</v>
      </c>
      <c r="U90" s="36">
        <v>96034.18</v>
      </c>
      <c r="V90" s="36">
        <v>101287.08</v>
      </c>
      <c r="W90" s="36">
        <v>68977.97</v>
      </c>
      <c r="X90" s="36">
        <v>72576.28</v>
      </c>
      <c r="Y90" s="36">
        <v>75753.820000000007</v>
      </c>
      <c r="Z90" s="36">
        <v>79085</v>
      </c>
      <c r="AA90" s="36">
        <f t="shared" si="23"/>
        <v>1099525.7999999998</v>
      </c>
      <c r="AB90" s="37">
        <f t="shared" si="24"/>
        <v>1.5619431224548879</v>
      </c>
      <c r="AC90" s="35"/>
      <c r="AD90" s="36">
        <v>1374204.69301489</v>
      </c>
      <c r="AE90" s="37">
        <f t="shared" si="25"/>
        <v>0.96508284818040746</v>
      </c>
      <c r="AF90" s="58">
        <f t="shared" si="26"/>
        <v>-274678.89301489014</v>
      </c>
      <c r="AG90" s="36">
        <v>1381106.93</v>
      </c>
      <c r="AH90" s="37">
        <f t="shared" si="27"/>
        <v>1.3502913372641074</v>
      </c>
      <c r="AI90" s="58">
        <f t="shared" si="28"/>
        <v>-281581.13000000012</v>
      </c>
      <c r="AJ90" s="364">
        <f t="shared" si="29"/>
        <v>52.958568538676417</v>
      </c>
      <c r="AK90" s="365">
        <f t="shared" si="30"/>
        <v>45.691072383790726</v>
      </c>
      <c r="AL90" s="367">
        <f t="shared" si="31"/>
        <v>51.68813360778443</v>
      </c>
      <c r="AM90" s="414" t="str">
        <f t="shared" si="32"/>
        <v>59.69 pts.</v>
      </c>
      <c r="AN90" s="523" t="str">
        <f t="shared" si="33"/>
        <v>21.17 pts.</v>
      </c>
    </row>
    <row r="91" spans="1:40" x14ac:dyDescent="0.25">
      <c r="G91" s="14"/>
      <c r="O91" s="41"/>
      <c r="P91" s="45"/>
      <c r="Q91" s="45"/>
      <c r="R91" s="45"/>
      <c r="S91" s="45"/>
      <c r="T91" s="45"/>
      <c r="U91" s="45"/>
      <c r="V91" s="45"/>
      <c r="W91" s="45"/>
      <c r="X91" s="45"/>
      <c r="Y91" s="45"/>
      <c r="Z91" s="45"/>
      <c r="AA91" s="45"/>
      <c r="AB91" s="42"/>
      <c r="AD91" s="41"/>
      <c r="AE91" s="45"/>
      <c r="AF91" s="42"/>
      <c r="AG91" s="41"/>
      <c r="AH91" s="45"/>
      <c r="AI91" s="42"/>
    </row>
    <row r="92" spans="1:40" x14ac:dyDescent="0.25">
      <c r="A92" s="3" t="s">
        <v>9</v>
      </c>
      <c r="B92" s="5" t="s">
        <v>10</v>
      </c>
      <c r="H92" s="1" t="s">
        <v>82</v>
      </c>
      <c r="I92" s="11" t="s">
        <v>1011</v>
      </c>
      <c r="J92" s="11" t="s">
        <v>78</v>
      </c>
      <c r="N92" s="40" t="s">
        <v>1092</v>
      </c>
      <c r="O92" s="43"/>
      <c r="P92" s="46"/>
      <c r="Q92" s="46"/>
      <c r="R92" s="46"/>
      <c r="S92" s="46"/>
      <c r="T92" s="46"/>
      <c r="U92" s="46"/>
      <c r="V92" s="46"/>
      <c r="W92" s="46"/>
      <c r="X92" s="46"/>
      <c r="Y92" s="46"/>
      <c r="Z92" s="46"/>
      <c r="AA92" s="46"/>
      <c r="AB92" s="44"/>
      <c r="AD92" s="43"/>
      <c r="AE92" s="46"/>
      <c r="AF92" s="44"/>
      <c r="AG92" s="43"/>
      <c r="AH92" s="46"/>
      <c r="AI92" s="44"/>
    </row>
    <row r="93" spans="1:40" x14ac:dyDescent="0.25">
      <c r="A93" s="6" t="s">
        <v>11</v>
      </c>
      <c r="B93" s="7" t="s">
        <v>21</v>
      </c>
      <c r="H93" s="15" t="s">
        <v>829</v>
      </c>
      <c r="I93" s="161" t="s">
        <v>1009</v>
      </c>
      <c r="J93" s="161" t="s">
        <v>1009</v>
      </c>
      <c r="K93" s="68" t="str">
        <f t="shared" ref="K93:K118" si="34">IF(AND(I93&lt;&gt;"B1",J93="Y"),"&gt;","")</f>
        <v/>
      </c>
      <c r="L93" s="162">
        <v>701100</v>
      </c>
      <c r="M93" s="162">
        <v>690015</v>
      </c>
      <c r="N93" s="162" t="s">
        <v>1241</v>
      </c>
      <c r="O93" s="21"/>
      <c r="P93" s="21"/>
      <c r="Q93" s="21">
        <v>35</v>
      </c>
      <c r="R93" s="21"/>
      <c r="S93" s="21"/>
      <c r="T93" s="21"/>
      <c r="U93" s="21"/>
      <c r="V93" s="21"/>
      <c r="W93" s="21"/>
      <c r="X93" s="21"/>
      <c r="Y93" s="21"/>
      <c r="Z93" s="21"/>
      <c r="AA93" s="310">
        <f t="shared" ref="AA93:AA119" si="35">IF($I93="B1","",SUM(O93:Z93))</f>
        <v>35</v>
      </c>
      <c r="AB93" s="17">
        <f t="shared" ref="AB93:AB119" si="36">IF(AA93=0,"",IFERROR(AA93/AA$19,""))</f>
        <v>4.9719623937811271E-5</v>
      </c>
      <c r="AD93" s="21"/>
      <c r="AE93" s="17" t="str">
        <f t="shared" ref="AE93:AE119" si="37">IF(AD93=0,"",IFERROR(AD93/AD$19,""))</f>
        <v/>
      </c>
      <c r="AF93" s="50">
        <f t="shared" ref="AF93:AF119" si="38">IF(AND($AA93="",AD93=""),"",$AA93-AD93)</f>
        <v>35</v>
      </c>
      <c r="AG93" s="21">
        <v>5385.3</v>
      </c>
      <c r="AH93" s="17">
        <f t="shared" ref="AH93:AH119" si="39">IF(AG93=0,"",IFERROR(AG93/AG$19,""))</f>
        <v>5.2651418804830694E-3</v>
      </c>
      <c r="AI93" s="50">
        <f t="shared" ref="AI93:AI119" si="40">IF(AND($AA93="",AG93=""),"",$AA93-AG93)</f>
        <v>-5350.3</v>
      </c>
      <c r="AJ93" s="350">
        <f t="shared" ref="AJ93:AJ119" si="41">IFERROR(AA93/AA$20,0)</f>
        <v>1.6857720836142953E-3</v>
      </c>
      <c r="AK93" s="351">
        <f t="shared" ref="AK93:AK119" si="42">IFERROR(AD93/AD$20,0)</f>
        <v>0</v>
      </c>
      <c r="AL93" s="352">
        <f t="shared" ref="AL93:AL119" si="43">IFERROR(AG93/AG$20,0)</f>
        <v>0.20154565868263474</v>
      </c>
      <c r="AM93" s="387">
        <f t="shared" ref="AM93:AM119" si="44">+IFERROR(ROUND(($AB93-AE93)*100,2)&amp;" pts.",0)</f>
        <v>0</v>
      </c>
      <c r="AN93" s="386" t="str">
        <f t="shared" ref="AN93:AN119" si="45">+IFERROR(ROUND(($AB93-AH93)*100,2)&amp;" pts.",0)</f>
        <v>-0.52 pts.</v>
      </c>
    </row>
    <row r="94" spans="1:40" x14ac:dyDescent="0.25">
      <c r="A94" s="6" t="s">
        <v>12</v>
      </c>
      <c r="B94" s="7" t="s">
        <v>22</v>
      </c>
      <c r="H94" s="15" t="s">
        <v>830</v>
      </c>
      <c r="I94" s="161" t="s">
        <v>1009</v>
      </c>
      <c r="J94" s="161" t="s">
        <v>1009</v>
      </c>
      <c r="K94" s="68" t="str">
        <f t="shared" si="34"/>
        <v/>
      </c>
      <c r="L94" s="162">
        <v>701200</v>
      </c>
      <c r="M94" s="162">
        <v>690010</v>
      </c>
      <c r="N94" s="162" t="s">
        <v>1242</v>
      </c>
      <c r="O94" s="21"/>
      <c r="P94" s="21"/>
      <c r="Q94" s="21"/>
      <c r="R94" s="21"/>
      <c r="S94" s="21"/>
      <c r="T94" s="21">
        <v>34.299999999999997</v>
      </c>
      <c r="U94" s="21"/>
      <c r="V94" s="21"/>
      <c r="W94" s="21"/>
      <c r="X94" s="21"/>
      <c r="Y94" s="21"/>
      <c r="Z94" s="21"/>
      <c r="AA94" s="310">
        <f t="shared" si="35"/>
        <v>34.299999999999997</v>
      </c>
      <c r="AB94" s="17">
        <f t="shared" si="36"/>
        <v>4.8725231459055039E-5</v>
      </c>
      <c r="AD94" s="21"/>
      <c r="AE94" s="17" t="str">
        <f t="shared" si="37"/>
        <v/>
      </c>
      <c r="AF94" s="50">
        <f t="shared" si="38"/>
        <v>34.299999999999997</v>
      </c>
      <c r="AG94" s="21"/>
      <c r="AH94" s="17" t="str">
        <f t="shared" si="39"/>
        <v/>
      </c>
      <c r="AI94" s="50">
        <f t="shared" si="40"/>
        <v>34.299999999999997</v>
      </c>
      <c r="AJ94" s="350">
        <f t="shared" si="41"/>
        <v>1.6520566419420094E-3</v>
      </c>
      <c r="AK94" s="351">
        <f t="shared" si="42"/>
        <v>0</v>
      </c>
      <c r="AL94" s="352">
        <f t="shared" si="43"/>
        <v>0</v>
      </c>
      <c r="AM94" s="387">
        <f t="shared" si="44"/>
        <v>0</v>
      </c>
      <c r="AN94" s="386">
        <f t="shared" si="45"/>
        <v>0</v>
      </c>
    </row>
    <row r="95" spans="1:40" x14ac:dyDescent="0.25">
      <c r="A95" s="6" t="s">
        <v>13</v>
      </c>
      <c r="B95" s="7" t="s">
        <v>737</v>
      </c>
      <c r="H95" s="15" t="s">
        <v>869</v>
      </c>
      <c r="I95" s="161" t="s">
        <v>1009</v>
      </c>
      <c r="J95" s="161" t="s">
        <v>1009</v>
      </c>
      <c r="K95" s="68" t="str">
        <f t="shared" si="34"/>
        <v/>
      </c>
      <c r="L95" s="162">
        <v>701300</v>
      </c>
      <c r="M95" s="162">
        <v>690205</v>
      </c>
      <c r="N95" s="162" t="s">
        <v>1093</v>
      </c>
      <c r="O95" s="21"/>
      <c r="P95" s="21"/>
      <c r="Q95" s="21">
        <v>455</v>
      </c>
      <c r="R95" s="21">
        <v>546</v>
      </c>
      <c r="S95" s="21">
        <v>-546</v>
      </c>
      <c r="T95" s="21"/>
      <c r="U95" s="21">
        <v>498</v>
      </c>
      <c r="V95" s="21">
        <v>-238</v>
      </c>
      <c r="W95" s="21">
        <v>239.23</v>
      </c>
      <c r="X95" s="21">
        <v>492</v>
      </c>
      <c r="Y95" s="21">
        <v>-896.75</v>
      </c>
      <c r="Z95" s="21"/>
      <c r="AA95" s="310">
        <f t="shared" si="35"/>
        <v>549.48</v>
      </c>
      <c r="AB95" s="17">
        <f t="shared" si="36"/>
        <v>7.8056968460995819E-4</v>
      </c>
      <c r="AD95" s="21">
        <v>6292.9894549999999</v>
      </c>
      <c r="AE95" s="17">
        <f t="shared" si="37"/>
        <v>4.4194698342038515E-3</v>
      </c>
      <c r="AF95" s="50">
        <f t="shared" si="38"/>
        <v>-5743.5094549999994</v>
      </c>
      <c r="AG95" s="21">
        <v>4717.66</v>
      </c>
      <c r="AH95" s="17">
        <f t="shared" si="39"/>
        <v>4.6123984260634972E-3</v>
      </c>
      <c r="AI95" s="50">
        <f t="shared" si="40"/>
        <v>-4168.18</v>
      </c>
      <c r="AJ95" s="350">
        <f t="shared" si="41"/>
        <v>2.6465658414410943E-2</v>
      </c>
      <c r="AK95" s="351">
        <f t="shared" si="42"/>
        <v>0.20923624999999998</v>
      </c>
      <c r="AL95" s="352">
        <f t="shared" si="43"/>
        <v>0.17655913173652693</v>
      </c>
      <c r="AM95" s="387" t="str">
        <f t="shared" si="44"/>
        <v>-0.36 pts.</v>
      </c>
      <c r="AN95" s="386" t="str">
        <f t="shared" si="45"/>
        <v>-0.38 pts.</v>
      </c>
    </row>
    <row r="96" spans="1:40" x14ac:dyDescent="0.25">
      <c r="A96" s="6" t="s">
        <v>14</v>
      </c>
      <c r="B96" s="7"/>
      <c r="H96" s="15" t="s">
        <v>832</v>
      </c>
      <c r="I96" s="161" t="s">
        <v>1064</v>
      </c>
      <c r="J96" s="161" t="s">
        <v>78</v>
      </c>
      <c r="K96" s="68" t="str">
        <f t="shared" si="34"/>
        <v>&gt;</v>
      </c>
      <c r="L96" s="162">
        <v>701500</v>
      </c>
      <c r="M96" s="162"/>
      <c r="N96" s="162" t="s">
        <v>1094</v>
      </c>
      <c r="O96" s="21">
        <v>1134.6300000000001</v>
      </c>
      <c r="P96" s="21">
        <v>976.47</v>
      </c>
      <c r="Q96" s="21">
        <v>2796.31</v>
      </c>
      <c r="R96" s="21">
        <v>2345.14</v>
      </c>
      <c r="S96" s="21">
        <v>2600.39</v>
      </c>
      <c r="T96" s="21">
        <v>2077.12</v>
      </c>
      <c r="U96" s="21">
        <v>-1565.57</v>
      </c>
      <c r="V96" s="21">
        <v>656.96</v>
      </c>
      <c r="W96" s="21">
        <v>1972.8</v>
      </c>
      <c r="X96" s="21">
        <v>1074.3900000000001</v>
      </c>
      <c r="Y96" s="21">
        <v>1480.11</v>
      </c>
      <c r="Z96" s="21">
        <v>3589.61</v>
      </c>
      <c r="AA96" s="310">
        <f t="shared" si="35"/>
        <v>19138.359999999997</v>
      </c>
      <c r="AB96" s="17">
        <f t="shared" si="36"/>
        <v>2.7187201771041416E-2</v>
      </c>
      <c r="AD96" s="21">
        <v>28572.2</v>
      </c>
      <c r="AE96" s="17">
        <f t="shared" si="37"/>
        <v>2.0065817192258317E-2</v>
      </c>
      <c r="AF96" s="50">
        <f t="shared" si="38"/>
        <v>-9433.8400000000038</v>
      </c>
      <c r="AG96" s="21">
        <v>31891.919999999998</v>
      </c>
      <c r="AH96" s="17">
        <f t="shared" si="39"/>
        <v>3.1180339747277883E-2</v>
      </c>
      <c r="AI96" s="50">
        <f t="shared" si="40"/>
        <v>-12753.560000000001</v>
      </c>
      <c r="AJ96" s="350">
        <f t="shared" si="41"/>
        <v>0.92179751469029947</v>
      </c>
      <c r="AK96" s="351">
        <f t="shared" si="42"/>
        <v>0.95000000000000007</v>
      </c>
      <c r="AL96" s="352">
        <f t="shared" si="43"/>
        <v>1.1935598802395209</v>
      </c>
      <c r="AM96" s="387" t="str">
        <f t="shared" si="44"/>
        <v>0.71 pts.</v>
      </c>
      <c r="AN96" s="386" t="str">
        <f t="shared" si="45"/>
        <v>-0.4 pts.</v>
      </c>
    </row>
    <row r="97" spans="1:40" x14ac:dyDescent="0.25">
      <c r="A97" s="6" t="s">
        <v>15</v>
      </c>
      <c r="B97" s="7"/>
      <c r="H97" s="15" t="s">
        <v>856</v>
      </c>
      <c r="I97" s="161" t="s">
        <v>1009</v>
      </c>
      <c r="J97" s="161" t="s">
        <v>1009</v>
      </c>
      <c r="K97" s="68" t="str">
        <f t="shared" si="34"/>
        <v/>
      </c>
      <c r="L97" s="162">
        <v>701600</v>
      </c>
      <c r="M97" s="162">
        <v>590015</v>
      </c>
      <c r="N97" s="162" t="s">
        <v>1095</v>
      </c>
      <c r="O97" s="21">
        <v>681.25</v>
      </c>
      <c r="P97" s="21">
        <v>53.05</v>
      </c>
      <c r="Q97" s="21">
        <v>990.97</v>
      </c>
      <c r="R97" s="21">
        <v>350.89</v>
      </c>
      <c r="S97" s="21">
        <v>747.8</v>
      </c>
      <c r="T97" s="21">
        <v>279.56</v>
      </c>
      <c r="U97" s="21">
        <v>917</v>
      </c>
      <c r="V97" s="21">
        <v>419.3</v>
      </c>
      <c r="W97" s="21">
        <v>150.08000000000001</v>
      </c>
      <c r="X97" s="21">
        <v>922.42</v>
      </c>
      <c r="Y97" s="21">
        <v>-415.34</v>
      </c>
      <c r="Z97" s="21">
        <v>1261.6600000000001</v>
      </c>
      <c r="AA97" s="310">
        <f t="shared" si="35"/>
        <v>6358.6399999999994</v>
      </c>
      <c r="AB97" s="17">
        <f t="shared" si="36"/>
        <v>9.0328339873121197E-3</v>
      </c>
      <c r="AD97" s="21">
        <v>12331.16</v>
      </c>
      <c r="AE97" s="17">
        <f t="shared" si="37"/>
        <v>8.6599842619220092E-3</v>
      </c>
      <c r="AF97" s="50">
        <f t="shared" si="38"/>
        <v>-5972.52</v>
      </c>
      <c r="AG97" s="21">
        <v>10785.78</v>
      </c>
      <c r="AH97" s="17">
        <f t="shared" si="39"/>
        <v>1.054512506112504E-2</v>
      </c>
      <c r="AI97" s="50">
        <f t="shared" si="40"/>
        <v>-4427.1400000000012</v>
      </c>
      <c r="AJ97" s="350">
        <f t="shared" si="41"/>
        <v>0.30626336576437718</v>
      </c>
      <c r="AK97" s="351">
        <f t="shared" si="42"/>
        <v>0.41</v>
      </c>
      <c r="AL97" s="352">
        <f t="shared" si="43"/>
        <v>0.40365943113772457</v>
      </c>
      <c r="AM97" s="387" t="str">
        <f t="shared" si="44"/>
        <v>0.04 pts.</v>
      </c>
      <c r="AN97" s="386" t="str">
        <f t="shared" si="45"/>
        <v>-0.15 pts.</v>
      </c>
    </row>
    <row r="98" spans="1:40" x14ac:dyDescent="0.25">
      <c r="A98" s="6" t="s">
        <v>16</v>
      </c>
      <c r="B98" s="7" t="s">
        <v>78</v>
      </c>
      <c r="H98" s="15" t="s">
        <v>870</v>
      </c>
      <c r="I98" s="161" t="s">
        <v>1009</v>
      </c>
      <c r="J98" s="161" t="s">
        <v>1009</v>
      </c>
      <c r="K98" s="68" t="str">
        <f t="shared" si="34"/>
        <v/>
      </c>
      <c r="L98" s="162">
        <v>701700</v>
      </c>
      <c r="M98" s="162">
        <v>590026</v>
      </c>
      <c r="N98" s="162" t="s">
        <v>1243</v>
      </c>
      <c r="O98" s="21">
        <v>613.76</v>
      </c>
      <c r="P98" s="21">
        <v>572.13</v>
      </c>
      <c r="Q98" s="21">
        <v>1234.08</v>
      </c>
      <c r="R98" s="21">
        <v>760.73</v>
      </c>
      <c r="S98" s="21">
        <v>442.59</v>
      </c>
      <c r="T98" s="21">
        <v>336.79</v>
      </c>
      <c r="U98" s="21">
        <v>810.32</v>
      </c>
      <c r="V98" s="21">
        <v>257.99</v>
      </c>
      <c r="W98" s="21">
        <v>1023.27</v>
      </c>
      <c r="X98" s="21">
        <v>845.1</v>
      </c>
      <c r="Y98" s="21">
        <v>342.87</v>
      </c>
      <c r="Z98" s="21">
        <v>967.39</v>
      </c>
      <c r="AA98" s="310">
        <f t="shared" si="35"/>
        <v>8207.02</v>
      </c>
      <c r="AB98" s="17">
        <f t="shared" si="36"/>
        <v>1.1658569944288454E-2</v>
      </c>
      <c r="AD98" s="21">
        <v>10827.36</v>
      </c>
      <c r="AE98" s="17">
        <f t="shared" si="37"/>
        <v>7.6038886202242041E-3</v>
      </c>
      <c r="AF98" s="50">
        <f t="shared" si="38"/>
        <v>-2620.34</v>
      </c>
      <c r="AG98" s="21">
        <v>9300.4699999999993</v>
      </c>
      <c r="AH98" s="17">
        <f t="shared" si="39"/>
        <v>9.0929556580276617E-3</v>
      </c>
      <c r="AI98" s="50">
        <f t="shared" si="40"/>
        <v>-1093.4499999999989</v>
      </c>
      <c r="AJ98" s="350">
        <f t="shared" si="41"/>
        <v>0.39529043444754841</v>
      </c>
      <c r="AK98" s="351">
        <f t="shared" si="42"/>
        <v>0.36000000000000004</v>
      </c>
      <c r="AL98" s="352">
        <f t="shared" si="43"/>
        <v>0.34807148203592814</v>
      </c>
      <c r="AM98" s="387" t="str">
        <f t="shared" si="44"/>
        <v>0.41 pts.</v>
      </c>
      <c r="AN98" s="386" t="str">
        <f t="shared" si="45"/>
        <v>0.26 pts.</v>
      </c>
    </row>
    <row r="99" spans="1:40" x14ac:dyDescent="0.25">
      <c r="A99" s="6" t="s">
        <v>17</v>
      </c>
      <c r="B99" s="7"/>
      <c r="H99" s="15" t="s">
        <v>871</v>
      </c>
      <c r="I99" s="161" t="s">
        <v>1009</v>
      </c>
      <c r="J99" s="161" t="s">
        <v>1009</v>
      </c>
      <c r="K99" s="68" t="str">
        <f t="shared" si="34"/>
        <v/>
      </c>
      <c r="L99" s="162">
        <v>701780</v>
      </c>
      <c r="M99" s="162">
        <v>691070</v>
      </c>
      <c r="N99" s="162" t="s">
        <v>1244</v>
      </c>
      <c r="O99" s="21"/>
      <c r="P99" s="21"/>
      <c r="Q99" s="21">
        <v>279.85000000000002</v>
      </c>
      <c r="R99" s="21"/>
      <c r="S99" s="21"/>
      <c r="T99" s="21"/>
      <c r="U99" s="21"/>
      <c r="V99" s="21"/>
      <c r="W99" s="21"/>
      <c r="X99" s="21"/>
      <c r="Y99" s="21"/>
      <c r="Z99" s="21"/>
      <c r="AA99" s="310">
        <f t="shared" si="35"/>
        <v>279.85000000000002</v>
      </c>
      <c r="AB99" s="17">
        <f t="shared" si="36"/>
        <v>3.9754390739989956E-4</v>
      </c>
      <c r="AD99" s="21"/>
      <c r="AE99" s="17" t="str">
        <f t="shared" si="37"/>
        <v/>
      </c>
      <c r="AF99" s="50">
        <f t="shared" si="38"/>
        <v>279.85000000000002</v>
      </c>
      <c r="AG99" s="21">
        <v>73.790000000000006</v>
      </c>
      <c r="AH99" s="17">
        <f t="shared" si="39"/>
        <v>7.2143579626176012E-5</v>
      </c>
      <c r="AI99" s="50">
        <f t="shared" si="40"/>
        <v>206.06</v>
      </c>
      <c r="AJ99" s="350">
        <f t="shared" si="41"/>
        <v>1.347895193141316E-2</v>
      </c>
      <c r="AK99" s="351">
        <f t="shared" si="42"/>
        <v>0</v>
      </c>
      <c r="AL99" s="352">
        <f t="shared" si="43"/>
        <v>2.7616017964071857E-3</v>
      </c>
      <c r="AM99" s="387">
        <f t="shared" si="44"/>
        <v>0</v>
      </c>
      <c r="AN99" s="386" t="str">
        <f t="shared" si="45"/>
        <v>0.03 pts.</v>
      </c>
    </row>
    <row r="100" spans="1:40" x14ac:dyDescent="0.25">
      <c r="H100" s="15" t="s">
        <v>872</v>
      </c>
      <c r="I100" s="161" t="s">
        <v>1009</v>
      </c>
      <c r="J100" s="161" t="s">
        <v>1009</v>
      </c>
      <c r="K100" s="68" t="str">
        <f t="shared" si="34"/>
        <v/>
      </c>
      <c r="L100" s="162">
        <v>702000</v>
      </c>
      <c r="M100" s="162">
        <v>590031</v>
      </c>
      <c r="N100" s="162" t="s">
        <v>1246</v>
      </c>
      <c r="O100" s="21">
        <v>2006.15</v>
      </c>
      <c r="P100" s="21">
        <v>1307.49</v>
      </c>
      <c r="Q100" s="21">
        <v>1815.17</v>
      </c>
      <c r="R100" s="21">
        <v>2056.15</v>
      </c>
      <c r="S100" s="21">
        <v>1117.19</v>
      </c>
      <c r="T100" s="21">
        <v>1310.0899999999999</v>
      </c>
      <c r="U100" s="21">
        <v>1134.99</v>
      </c>
      <c r="V100" s="21">
        <v>1483.17</v>
      </c>
      <c r="W100" s="21">
        <v>672.98</v>
      </c>
      <c r="X100" s="21">
        <v>1219.73</v>
      </c>
      <c r="Y100" s="21">
        <v>522.35</v>
      </c>
      <c r="Z100" s="21">
        <v>1965.47</v>
      </c>
      <c r="AA100" s="310">
        <f t="shared" si="35"/>
        <v>16610.93</v>
      </c>
      <c r="AB100" s="17">
        <f t="shared" si="36"/>
        <v>2.3596834081637354E-2</v>
      </c>
      <c r="AD100" s="21">
        <v>15038</v>
      </c>
      <c r="AE100" s="17">
        <f t="shared" si="37"/>
        <v>1.0560956416978061E-2</v>
      </c>
      <c r="AF100" s="50">
        <f t="shared" si="38"/>
        <v>1572.9300000000003</v>
      </c>
      <c r="AG100" s="21">
        <v>28989.49</v>
      </c>
      <c r="AH100" s="17">
        <f t="shared" si="39"/>
        <v>2.8342669469267289E-2</v>
      </c>
      <c r="AI100" s="50">
        <f t="shared" si="40"/>
        <v>-12378.560000000001</v>
      </c>
      <c r="AJ100" s="350">
        <f t="shared" si="41"/>
        <v>0.80006405933917735</v>
      </c>
      <c r="AK100" s="351">
        <f t="shared" si="42"/>
        <v>0.5</v>
      </c>
      <c r="AL100" s="352">
        <f t="shared" si="43"/>
        <v>1.084936002994012</v>
      </c>
      <c r="AM100" s="387" t="str">
        <f t="shared" si="44"/>
        <v>1.3 pts.</v>
      </c>
      <c r="AN100" s="386" t="str">
        <f t="shared" si="45"/>
        <v>-0.47 pts.</v>
      </c>
    </row>
    <row r="101" spans="1:40" x14ac:dyDescent="0.25">
      <c r="A101" s="22" t="s">
        <v>92</v>
      </c>
      <c r="B101" s="23" t="s">
        <v>93</v>
      </c>
      <c r="C101" s="23" t="s">
        <v>94</v>
      </c>
      <c r="D101" s="23" t="s">
        <v>95</v>
      </c>
      <c r="E101" s="23" t="s">
        <v>96</v>
      </c>
      <c r="F101" s="24" t="s">
        <v>97</v>
      </c>
      <c r="H101" s="15" t="s">
        <v>858</v>
      </c>
      <c r="I101" s="161" t="s">
        <v>1009</v>
      </c>
      <c r="J101" s="161" t="s">
        <v>1009</v>
      </c>
      <c r="K101" s="68" t="str">
        <f t="shared" si="34"/>
        <v/>
      </c>
      <c r="L101" s="162">
        <v>702300</v>
      </c>
      <c r="M101" s="162">
        <v>590040</v>
      </c>
      <c r="N101" s="162" t="s">
        <v>1097</v>
      </c>
      <c r="O101" s="21">
        <v>221.32</v>
      </c>
      <c r="P101" s="21">
        <v>500</v>
      </c>
      <c r="Q101" s="21">
        <v>200</v>
      </c>
      <c r="R101" s="21">
        <v>200</v>
      </c>
      <c r="S101" s="21"/>
      <c r="T101" s="21">
        <v>-335.81</v>
      </c>
      <c r="U101" s="21">
        <v>9.6199999999999992</v>
      </c>
      <c r="V101" s="21"/>
      <c r="W101" s="21"/>
      <c r="X101" s="21">
        <v>207.46</v>
      </c>
      <c r="Y101" s="21">
        <v>-207.46</v>
      </c>
      <c r="Z101" s="21">
        <v>30.18</v>
      </c>
      <c r="AA101" s="310">
        <f t="shared" si="35"/>
        <v>825.31</v>
      </c>
      <c r="AB101" s="17">
        <f t="shared" si="36"/>
        <v>1.1724029380604289E-3</v>
      </c>
      <c r="AD101" s="21">
        <v>2035</v>
      </c>
      <c r="AE101" s="17">
        <f t="shared" si="37"/>
        <v>1.4291492424890512E-3</v>
      </c>
      <c r="AF101" s="50">
        <f t="shared" si="38"/>
        <v>-1209.69</v>
      </c>
      <c r="AG101" s="21">
        <v>1822.13</v>
      </c>
      <c r="AH101" s="17">
        <f t="shared" si="39"/>
        <v>1.7814741935796732E-3</v>
      </c>
      <c r="AI101" s="50">
        <f t="shared" si="40"/>
        <v>-996.82000000000016</v>
      </c>
      <c r="AJ101" s="350">
        <f t="shared" si="41"/>
        <v>3.975098738079183E-2</v>
      </c>
      <c r="AK101" s="351">
        <f t="shared" si="42"/>
        <v>6.7661923128075535E-2</v>
      </c>
      <c r="AL101" s="352">
        <f t="shared" si="43"/>
        <v>6.8193488023952101E-2</v>
      </c>
      <c r="AM101" s="387" t="str">
        <f t="shared" si="44"/>
        <v>-0.03 pts.</v>
      </c>
      <c r="AN101" s="386" t="str">
        <f t="shared" si="45"/>
        <v>-0.06 pts.</v>
      </c>
    </row>
    <row r="102" spans="1:40" x14ac:dyDescent="0.25">
      <c r="H102" s="15" t="s">
        <v>873</v>
      </c>
      <c r="I102" s="161" t="s">
        <v>1009</v>
      </c>
      <c r="J102" s="161" t="s">
        <v>1009</v>
      </c>
      <c r="K102" s="68" t="str">
        <f t="shared" si="34"/>
        <v/>
      </c>
      <c r="L102" s="162">
        <v>702580</v>
      </c>
      <c r="M102" s="162">
        <v>590166</v>
      </c>
      <c r="N102" s="162" t="s">
        <v>1160</v>
      </c>
      <c r="O102" s="21">
        <v>315.66000000000003</v>
      </c>
      <c r="P102" s="21">
        <v>-57.06</v>
      </c>
      <c r="Q102" s="21">
        <v>444</v>
      </c>
      <c r="R102" s="21">
        <v>189</v>
      </c>
      <c r="S102" s="21">
        <v>182</v>
      </c>
      <c r="T102" s="21">
        <v>410</v>
      </c>
      <c r="U102" s="21">
        <v>-2</v>
      </c>
      <c r="V102" s="21">
        <v>122</v>
      </c>
      <c r="W102" s="21">
        <v>399.42</v>
      </c>
      <c r="X102" s="21">
        <v>-67</v>
      </c>
      <c r="Y102" s="21">
        <v>-148</v>
      </c>
      <c r="Z102" s="21">
        <v>74</v>
      </c>
      <c r="AA102" s="310">
        <f t="shared" si="35"/>
        <v>1862.02</v>
      </c>
      <c r="AB102" s="17">
        <f t="shared" si="36"/>
        <v>2.6451124047052383E-3</v>
      </c>
      <c r="AD102" s="21">
        <v>5559.96</v>
      </c>
      <c r="AE102" s="17">
        <f t="shared" si="37"/>
        <v>3.9046745072577032E-3</v>
      </c>
      <c r="AF102" s="50">
        <f t="shared" si="38"/>
        <v>-3697.94</v>
      </c>
      <c r="AG102" s="21">
        <v>4861.8</v>
      </c>
      <c r="AH102" s="17">
        <f t="shared" si="39"/>
        <v>4.7533223394300378E-3</v>
      </c>
      <c r="AI102" s="50">
        <f t="shared" si="40"/>
        <v>-2999.78</v>
      </c>
      <c r="AJ102" s="350">
        <f t="shared" si="41"/>
        <v>8.9684038146614006E-2</v>
      </c>
      <c r="AK102" s="351">
        <f t="shared" si="42"/>
        <v>0.18486367868067563</v>
      </c>
      <c r="AL102" s="352">
        <f t="shared" si="43"/>
        <v>0.18195359281437126</v>
      </c>
      <c r="AM102" s="387" t="str">
        <f t="shared" si="44"/>
        <v>-0.13 pts.</v>
      </c>
      <c r="AN102" s="386" t="str">
        <f t="shared" si="45"/>
        <v>-0.21 pts.</v>
      </c>
    </row>
    <row r="103" spans="1:40" x14ac:dyDescent="0.25">
      <c r="A103" s="1" t="s">
        <v>108</v>
      </c>
      <c r="C103" s="26" t="s">
        <v>101</v>
      </c>
      <c r="D103" s="1" t="s">
        <v>106</v>
      </c>
      <c r="F103" s="1" t="s">
        <v>98</v>
      </c>
      <c r="H103" s="15" t="s">
        <v>833</v>
      </c>
      <c r="I103" s="161" t="s">
        <v>1064</v>
      </c>
      <c r="J103" s="161" t="s">
        <v>78</v>
      </c>
      <c r="K103" s="68" t="str">
        <f t="shared" si="34"/>
        <v>&gt;</v>
      </c>
      <c r="L103" s="162"/>
      <c r="M103" s="162"/>
      <c r="N103" s="162" t="s">
        <v>1099</v>
      </c>
      <c r="O103" s="21">
        <v>4815</v>
      </c>
      <c r="P103" s="21">
        <v>4800</v>
      </c>
      <c r="Q103" s="21">
        <v>5876.58</v>
      </c>
      <c r="R103" s="21">
        <v>5285.47</v>
      </c>
      <c r="S103" s="21">
        <v>4794</v>
      </c>
      <c r="T103" s="21">
        <v>6206</v>
      </c>
      <c r="U103" s="21">
        <v>4794</v>
      </c>
      <c r="V103" s="21">
        <v>6074.2</v>
      </c>
      <c r="W103" s="21">
        <v>6364.38</v>
      </c>
      <c r="X103" s="21">
        <v>4756.49</v>
      </c>
      <c r="Y103" s="21">
        <v>4644</v>
      </c>
      <c r="Z103" s="21">
        <v>5564</v>
      </c>
      <c r="AA103" s="310">
        <f t="shared" si="35"/>
        <v>63974.119999999995</v>
      </c>
      <c r="AB103" s="17">
        <f t="shared" si="36"/>
        <v>9.0879119661497434E-2</v>
      </c>
      <c r="AD103" s="21">
        <v>62760</v>
      </c>
      <c r="AE103" s="17">
        <f t="shared" si="37"/>
        <v>4.4075384009146366E-2</v>
      </c>
      <c r="AF103" s="50">
        <f t="shared" si="38"/>
        <v>1214.1199999999953</v>
      </c>
      <c r="AG103" s="21">
        <v>71899</v>
      </c>
      <c r="AH103" s="17">
        <f t="shared" si="39"/>
        <v>7.0294772076737067E-2</v>
      </c>
      <c r="AI103" s="50">
        <f t="shared" si="40"/>
        <v>-7924.8800000000047</v>
      </c>
      <c r="AJ103" s="350">
        <f t="shared" si="41"/>
        <v>3.0813081591368845</v>
      </c>
      <c r="AK103" s="351">
        <f t="shared" si="42"/>
        <v>2.0867136587312141</v>
      </c>
      <c r="AL103" s="352">
        <f t="shared" si="43"/>
        <v>2.6908308383233535</v>
      </c>
      <c r="AM103" s="387" t="str">
        <f t="shared" si="44"/>
        <v>4.68 pts.</v>
      </c>
      <c r="AN103" s="386" t="str">
        <f t="shared" si="45"/>
        <v>2.06 pts.</v>
      </c>
    </row>
    <row r="104" spans="1:40" x14ac:dyDescent="0.25">
      <c r="A104" s="1" t="s">
        <v>100</v>
      </c>
      <c r="C104" s="8" t="s">
        <v>101</v>
      </c>
      <c r="D104" s="1" t="s">
        <v>106</v>
      </c>
      <c r="F104" s="1" t="s">
        <v>98</v>
      </c>
      <c r="H104" s="15" t="s">
        <v>834</v>
      </c>
      <c r="I104" s="161" t="s">
        <v>1064</v>
      </c>
      <c r="J104" s="161" t="s">
        <v>78</v>
      </c>
      <c r="K104" s="68" t="str">
        <f t="shared" si="34"/>
        <v>&gt;</v>
      </c>
      <c r="L104" s="162"/>
      <c r="M104" s="162"/>
      <c r="N104" s="162" t="s">
        <v>1100</v>
      </c>
      <c r="O104" s="21">
        <v>60.01</v>
      </c>
      <c r="P104" s="21">
        <v>95.21</v>
      </c>
      <c r="Q104" s="21">
        <v>19.57</v>
      </c>
      <c r="R104" s="21"/>
      <c r="S104" s="21">
        <v>1874.74</v>
      </c>
      <c r="T104" s="21">
        <v>243.55</v>
      </c>
      <c r="U104" s="21"/>
      <c r="V104" s="21"/>
      <c r="W104" s="21">
        <v>1119.24</v>
      </c>
      <c r="X104" s="21">
        <v>31.71</v>
      </c>
      <c r="Y104" s="21">
        <v>179.52</v>
      </c>
      <c r="Z104" s="21"/>
      <c r="AA104" s="310">
        <f t="shared" si="35"/>
        <v>3623.5500000000006</v>
      </c>
      <c r="AB104" s="17">
        <f t="shared" si="36"/>
        <v>5.1474726662816012E-3</v>
      </c>
      <c r="AD104" s="21">
        <v>4250</v>
      </c>
      <c r="AE104" s="17">
        <f t="shared" si="37"/>
        <v>2.9847097201859793E-3</v>
      </c>
      <c r="AF104" s="50">
        <f t="shared" si="38"/>
        <v>-626.44999999999936</v>
      </c>
      <c r="AG104" s="21">
        <v>13298.15</v>
      </c>
      <c r="AH104" s="17">
        <f t="shared" si="39"/>
        <v>1.3001438452443861E-2</v>
      </c>
      <c r="AI104" s="50">
        <f t="shared" si="40"/>
        <v>-9674.5999999999985</v>
      </c>
      <c r="AJ104" s="350">
        <f t="shared" si="41"/>
        <v>0.17452798381658802</v>
      </c>
      <c r="AK104" s="351">
        <f t="shared" si="42"/>
        <v>0.14130868466551402</v>
      </c>
      <c r="AL104" s="352">
        <f t="shared" si="43"/>
        <v>0.49768525449101797</v>
      </c>
      <c r="AM104" s="387" t="str">
        <f t="shared" si="44"/>
        <v>0.22 pts.</v>
      </c>
      <c r="AN104" s="386" t="str">
        <f t="shared" si="45"/>
        <v>-0.79 pts.</v>
      </c>
    </row>
    <row r="105" spans="1:40" x14ac:dyDescent="0.25">
      <c r="A105" s="1" t="s">
        <v>109</v>
      </c>
      <c r="C105" s="25" t="s">
        <v>101</v>
      </c>
      <c r="D105" s="1" t="s">
        <v>106</v>
      </c>
      <c r="F105" s="1" t="s">
        <v>98</v>
      </c>
      <c r="G105" s="14"/>
      <c r="H105" s="15" t="s">
        <v>835</v>
      </c>
      <c r="I105" s="161" t="s">
        <v>1064</v>
      </c>
      <c r="J105" s="161" t="s">
        <v>78</v>
      </c>
      <c r="K105" s="68" t="str">
        <f t="shared" si="34"/>
        <v>&gt;</v>
      </c>
      <c r="L105" s="162">
        <v>702900</v>
      </c>
      <c r="M105" s="162"/>
      <c r="N105" s="162" t="s">
        <v>1101</v>
      </c>
      <c r="O105" s="21"/>
      <c r="P105" s="21"/>
      <c r="Q105" s="21"/>
      <c r="R105" s="21"/>
      <c r="S105" s="21"/>
      <c r="T105" s="21"/>
      <c r="U105" s="21"/>
      <c r="V105" s="21"/>
      <c r="W105" s="21"/>
      <c r="X105" s="21"/>
      <c r="Y105" s="21"/>
      <c r="Z105" s="21"/>
      <c r="AA105" s="310">
        <f t="shared" si="35"/>
        <v>0</v>
      </c>
      <c r="AB105" s="17" t="str">
        <f t="shared" si="36"/>
        <v/>
      </c>
      <c r="AD105" s="21">
        <v>2200</v>
      </c>
      <c r="AE105" s="17">
        <f t="shared" si="37"/>
        <v>1.5450262080962717E-3</v>
      </c>
      <c r="AF105" s="50">
        <f t="shared" si="38"/>
        <v>-2200</v>
      </c>
      <c r="AG105" s="21">
        <v>4303.71</v>
      </c>
      <c r="AH105" s="17">
        <f t="shared" si="39"/>
        <v>4.2076845788449647E-3</v>
      </c>
      <c r="AI105" s="50">
        <f t="shared" si="40"/>
        <v>-4303.71</v>
      </c>
      <c r="AJ105" s="350">
        <f t="shared" si="41"/>
        <v>0</v>
      </c>
      <c r="AK105" s="351">
        <f t="shared" si="42"/>
        <v>7.3148025003324915E-2</v>
      </c>
      <c r="AL105" s="352">
        <f t="shared" si="43"/>
        <v>0.16106699101796407</v>
      </c>
      <c r="AM105" s="387">
        <f t="shared" si="44"/>
        <v>0</v>
      </c>
      <c r="AN105" s="386">
        <f t="shared" si="45"/>
        <v>0</v>
      </c>
    </row>
    <row r="106" spans="1:40" x14ac:dyDescent="0.25">
      <c r="A106" s="1" t="s">
        <v>109</v>
      </c>
      <c r="C106" s="151" t="s">
        <v>101</v>
      </c>
      <c r="D106" s="1" t="s">
        <v>107</v>
      </c>
      <c r="F106" s="1" t="s">
        <v>99</v>
      </c>
      <c r="H106" s="15" t="s">
        <v>874</v>
      </c>
      <c r="I106" s="161" t="s">
        <v>1064</v>
      </c>
      <c r="J106" s="161" t="s">
        <v>78</v>
      </c>
      <c r="K106" s="68" t="str">
        <f t="shared" si="34"/>
        <v>&gt;</v>
      </c>
      <c r="L106" s="162">
        <v>703000</v>
      </c>
      <c r="M106" s="162"/>
      <c r="N106" s="162" t="s">
        <v>1103</v>
      </c>
      <c r="O106" s="21"/>
      <c r="P106" s="21"/>
      <c r="Q106" s="21"/>
      <c r="R106" s="21"/>
      <c r="S106" s="21"/>
      <c r="T106" s="21"/>
      <c r="U106" s="21"/>
      <c r="V106" s="21">
        <v>139.12</v>
      </c>
      <c r="W106" s="21"/>
      <c r="X106" s="21">
        <v>55.98</v>
      </c>
      <c r="Y106" s="21"/>
      <c r="Z106" s="21"/>
      <c r="AA106" s="310">
        <f t="shared" si="35"/>
        <v>195.1</v>
      </c>
      <c r="AB106" s="17">
        <f t="shared" si="36"/>
        <v>2.7715138943619938E-4</v>
      </c>
      <c r="AD106" s="21">
        <v>545</v>
      </c>
      <c r="AE106" s="17">
        <f t="shared" si="37"/>
        <v>3.8274512882384914E-4</v>
      </c>
      <c r="AF106" s="50">
        <f t="shared" si="38"/>
        <v>-349.9</v>
      </c>
      <c r="AG106" s="21">
        <v>1489.11</v>
      </c>
      <c r="AH106" s="17">
        <f t="shared" si="39"/>
        <v>1.4558846165758903E-3</v>
      </c>
      <c r="AI106" s="50">
        <f t="shared" si="40"/>
        <v>-1294.01</v>
      </c>
      <c r="AJ106" s="350">
        <f t="shared" si="41"/>
        <v>9.3969752432328281E-3</v>
      </c>
      <c r="AK106" s="351">
        <f t="shared" si="42"/>
        <v>1.8120760739460035E-2</v>
      </c>
      <c r="AL106" s="352">
        <f t="shared" si="43"/>
        <v>5.573016467065868E-2</v>
      </c>
      <c r="AM106" s="387" t="str">
        <f t="shared" si="44"/>
        <v>-0.01 pts.</v>
      </c>
      <c r="AN106" s="386" t="str">
        <f t="shared" si="45"/>
        <v>-0.12 pts.</v>
      </c>
    </row>
    <row r="107" spans="1:40" x14ac:dyDescent="0.25">
      <c r="A107" s="1" t="s">
        <v>110</v>
      </c>
      <c r="C107" s="25" t="s">
        <v>101</v>
      </c>
      <c r="D107" s="1" t="s">
        <v>106</v>
      </c>
      <c r="F107" s="1" t="s">
        <v>98</v>
      </c>
      <c r="H107" s="15" t="s">
        <v>875</v>
      </c>
      <c r="I107" s="161" t="s">
        <v>1009</v>
      </c>
      <c r="J107" s="161" t="s">
        <v>1009</v>
      </c>
      <c r="K107" s="68" t="str">
        <f t="shared" si="34"/>
        <v/>
      </c>
      <c r="L107" s="162">
        <v>703100</v>
      </c>
      <c r="M107" s="162">
        <v>690035</v>
      </c>
      <c r="N107" s="162" t="s">
        <v>1104</v>
      </c>
      <c r="O107" s="21"/>
      <c r="P107" s="21"/>
      <c r="Q107" s="21">
        <v>352</v>
      </c>
      <c r="R107" s="21"/>
      <c r="S107" s="21">
        <v>-72</v>
      </c>
      <c r="T107" s="21"/>
      <c r="U107" s="21"/>
      <c r="V107" s="21"/>
      <c r="W107" s="21"/>
      <c r="X107" s="21"/>
      <c r="Y107" s="21"/>
      <c r="Z107" s="21"/>
      <c r="AA107" s="310">
        <f t="shared" si="35"/>
        <v>280</v>
      </c>
      <c r="AB107" s="17">
        <f t="shared" si="36"/>
        <v>3.9775699150249017E-4</v>
      </c>
      <c r="AD107" s="21">
        <v>704</v>
      </c>
      <c r="AE107" s="17">
        <f t="shared" si="37"/>
        <v>4.9440838659080689E-4</v>
      </c>
      <c r="AF107" s="50">
        <f t="shared" si="38"/>
        <v>-424</v>
      </c>
      <c r="AG107" s="21"/>
      <c r="AH107" s="17" t="str">
        <f t="shared" si="39"/>
        <v/>
      </c>
      <c r="AI107" s="50">
        <f t="shared" si="40"/>
        <v>280</v>
      </c>
      <c r="AJ107" s="350">
        <f t="shared" si="41"/>
        <v>1.3486176668914362E-2</v>
      </c>
      <c r="AK107" s="351">
        <f t="shared" si="42"/>
        <v>2.340736800106397E-2</v>
      </c>
      <c r="AL107" s="352">
        <f t="shared" si="43"/>
        <v>0</v>
      </c>
      <c r="AM107" s="387" t="str">
        <f t="shared" si="44"/>
        <v>-0.01 pts.</v>
      </c>
      <c r="AN107" s="386">
        <f t="shared" si="45"/>
        <v>0</v>
      </c>
    </row>
    <row r="108" spans="1:40" x14ac:dyDescent="0.25">
      <c r="A108" s="1" t="s">
        <v>110</v>
      </c>
      <c r="C108" s="29" t="s">
        <v>101</v>
      </c>
      <c r="D108" s="1" t="s">
        <v>107</v>
      </c>
      <c r="F108" s="1" t="s">
        <v>99</v>
      </c>
      <c r="H108" s="15" t="s">
        <v>859</v>
      </c>
      <c r="I108" s="161" t="s">
        <v>1009</v>
      </c>
      <c r="J108" s="161" t="s">
        <v>1009</v>
      </c>
      <c r="K108" s="68" t="str">
        <f t="shared" si="34"/>
        <v/>
      </c>
      <c r="L108" s="162">
        <v>703200</v>
      </c>
      <c r="M108" s="162">
        <v>590035</v>
      </c>
      <c r="N108" s="162" t="s">
        <v>1105</v>
      </c>
      <c r="O108" s="21"/>
      <c r="P108" s="21"/>
      <c r="Q108" s="21">
        <v>97.2</v>
      </c>
      <c r="R108" s="21">
        <v>90.4</v>
      </c>
      <c r="S108" s="21">
        <v>-819.85</v>
      </c>
      <c r="T108" s="21">
        <v>99.95</v>
      </c>
      <c r="U108" s="21">
        <v>868.54</v>
      </c>
      <c r="V108" s="21">
        <v>184.03</v>
      </c>
      <c r="W108" s="21"/>
      <c r="X108" s="21">
        <v>603.72</v>
      </c>
      <c r="Y108" s="21"/>
      <c r="Z108" s="21">
        <v>448.13</v>
      </c>
      <c r="AA108" s="310">
        <f t="shared" si="35"/>
        <v>1572.12</v>
      </c>
      <c r="AB108" s="17">
        <f t="shared" si="36"/>
        <v>2.2332918624317672E-3</v>
      </c>
      <c r="AD108" s="21">
        <v>3800</v>
      </c>
      <c r="AE108" s="17">
        <f t="shared" si="37"/>
        <v>2.6686816321662876E-3</v>
      </c>
      <c r="AF108" s="50">
        <f t="shared" si="38"/>
        <v>-2227.88</v>
      </c>
      <c r="AG108" s="21">
        <v>1646.12</v>
      </c>
      <c r="AH108" s="17">
        <f t="shared" si="39"/>
        <v>1.6093913713814993E-3</v>
      </c>
      <c r="AI108" s="50">
        <f t="shared" si="40"/>
        <v>-74</v>
      </c>
      <c r="AJ108" s="350">
        <f t="shared" si="41"/>
        <v>7.5721028802620161E-2</v>
      </c>
      <c r="AK108" s="351">
        <f t="shared" si="42"/>
        <v>0.12634658864210666</v>
      </c>
      <c r="AL108" s="352">
        <f t="shared" si="43"/>
        <v>6.1606287425149696E-2</v>
      </c>
      <c r="AM108" s="387" t="str">
        <f t="shared" si="44"/>
        <v>-0.04 pts.</v>
      </c>
      <c r="AN108" s="386" t="str">
        <f t="shared" si="45"/>
        <v>0.06 pts.</v>
      </c>
    </row>
    <row r="109" spans="1:40" x14ac:dyDescent="0.25">
      <c r="C109" s="32"/>
      <c r="H109" s="15" t="s">
        <v>876</v>
      </c>
      <c r="I109" s="161" t="s">
        <v>1009</v>
      </c>
      <c r="J109" s="161" t="s">
        <v>1009</v>
      </c>
      <c r="K109" s="68" t="str">
        <f t="shared" si="34"/>
        <v/>
      </c>
      <c r="L109" s="162">
        <v>703300</v>
      </c>
      <c r="M109" s="162">
        <v>590115</v>
      </c>
      <c r="N109" s="162" t="s">
        <v>1106</v>
      </c>
      <c r="O109" s="21">
        <v>144.26</v>
      </c>
      <c r="P109" s="21">
        <v>185.42</v>
      </c>
      <c r="Q109" s="21">
        <v>268.73</v>
      </c>
      <c r="R109" s="21">
        <v>220.08</v>
      </c>
      <c r="S109" s="21">
        <v>146.63999999999999</v>
      </c>
      <c r="T109" s="21">
        <v>235.62</v>
      </c>
      <c r="U109" s="21">
        <v>120.49</v>
      </c>
      <c r="V109" s="21">
        <v>93.88</v>
      </c>
      <c r="W109" s="21">
        <v>128.74</v>
      </c>
      <c r="X109" s="21">
        <v>73.510000000000005</v>
      </c>
      <c r="Y109" s="21">
        <v>146.29</v>
      </c>
      <c r="Z109" s="21">
        <v>28.56</v>
      </c>
      <c r="AA109" s="310">
        <f t="shared" si="35"/>
        <v>1792.2199999999998</v>
      </c>
      <c r="AB109" s="17">
        <f t="shared" si="36"/>
        <v>2.5459572689664031E-3</v>
      </c>
      <c r="AD109" s="21">
        <v>2406.08</v>
      </c>
      <c r="AE109" s="17">
        <f t="shared" si="37"/>
        <v>1.6897530267164897E-3</v>
      </c>
      <c r="AF109" s="50">
        <f t="shared" si="38"/>
        <v>-613.86000000000013</v>
      </c>
      <c r="AG109" s="21">
        <v>2532.52</v>
      </c>
      <c r="AH109" s="17">
        <f t="shared" si="39"/>
        <v>2.4760137996325147E-3</v>
      </c>
      <c r="AI109" s="50">
        <f t="shared" si="40"/>
        <v>-740.30000000000018</v>
      </c>
      <c r="AJ109" s="350">
        <f t="shared" si="41"/>
        <v>8.6322126962720347E-2</v>
      </c>
      <c r="AK109" s="351">
        <f t="shared" si="42"/>
        <v>0.08</v>
      </c>
      <c r="AL109" s="352">
        <f t="shared" si="43"/>
        <v>9.4779940119760472E-2</v>
      </c>
      <c r="AM109" s="387" t="str">
        <f t="shared" si="44"/>
        <v>0.09 pts.</v>
      </c>
      <c r="AN109" s="386" t="str">
        <f t="shared" si="45"/>
        <v>0.01 pts.</v>
      </c>
    </row>
    <row r="110" spans="1:40" x14ac:dyDescent="0.25">
      <c r="H110" s="15" t="s">
        <v>860</v>
      </c>
      <c r="I110" s="161" t="s">
        <v>1009</v>
      </c>
      <c r="J110" s="161" t="s">
        <v>1009</v>
      </c>
      <c r="K110" s="68" t="str">
        <f t="shared" si="34"/>
        <v/>
      </c>
      <c r="L110" s="162">
        <v>703400</v>
      </c>
      <c r="M110" s="162">
        <v>590010</v>
      </c>
      <c r="N110" s="162" t="s">
        <v>1107</v>
      </c>
      <c r="O110" s="21">
        <v>2020.74</v>
      </c>
      <c r="P110" s="21">
        <v>1614.51</v>
      </c>
      <c r="Q110" s="21">
        <v>2436.87</v>
      </c>
      <c r="R110" s="21">
        <v>2064.29</v>
      </c>
      <c r="S110" s="21">
        <v>1988.21</v>
      </c>
      <c r="T110" s="21">
        <v>2005.84</v>
      </c>
      <c r="U110" s="21">
        <v>1783.06</v>
      </c>
      <c r="V110" s="21">
        <v>1834.25</v>
      </c>
      <c r="W110" s="21">
        <v>1199.49</v>
      </c>
      <c r="X110" s="21">
        <v>2008.57</v>
      </c>
      <c r="Y110" s="21">
        <v>1896.07</v>
      </c>
      <c r="Z110" s="21">
        <v>2299.0500000000002</v>
      </c>
      <c r="AA110" s="310">
        <f t="shared" si="35"/>
        <v>23150.949999999997</v>
      </c>
      <c r="AB110" s="17">
        <f t="shared" si="36"/>
        <v>3.2887329365802048E-2</v>
      </c>
      <c r="AD110" s="21">
        <v>20000</v>
      </c>
      <c r="AE110" s="17">
        <f t="shared" si="37"/>
        <v>1.4045692800875196E-2</v>
      </c>
      <c r="AF110" s="50">
        <f t="shared" si="38"/>
        <v>3150.9499999999971</v>
      </c>
      <c r="AG110" s="21">
        <v>19194.21</v>
      </c>
      <c r="AH110" s="17">
        <f t="shared" si="39"/>
        <v>1.8765944131949364E-2</v>
      </c>
      <c r="AI110" s="50">
        <f t="shared" si="40"/>
        <v>3956.739999999998</v>
      </c>
      <c r="AJ110" s="350">
        <f t="shared" si="41"/>
        <v>1.1150635776900104</v>
      </c>
      <c r="AK110" s="351">
        <f t="shared" si="42"/>
        <v>0.66498204548477191</v>
      </c>
      <c r="AL110" s="352">
        <f t="shared" si="43"/>
        <v>0.71834618263473049</v>
      </c>
      <c r="AM110" s="387" t="str">
        <f t="shared" si="44"/>
        <v>1.88 pts.</v>
      </c>
      <c r="AN110" s="386" t="str">
        <f t="shared" si="45"/>
        <v>1.41 pts.</v>
      </c>
    </row>
    <row r="111" spans="1:40" x14ac:dyDescent="0.25">
      <c r="A111" s="4" t="s">
        <v>988</v>
      </c>
      <c r="B111" s="1" t="s">
        <v>736</v>
      </c>
      <c r="G111" s="14"/>
      <c r="H111" s="15" t="s">
        <v>877</v>
      </c>
      <c r="I111" s="161" t="s">
        <v>1009</v>
      </c>
      <c r="J111" s="161" t="s">
        <v>1009</v>
      </c>
      <c r="K111" s="68" t="str">
        <f t="shared" si="34"/>
        <v/>
      </c>
      <c r="L111" s="162">
        <v>703500</v>
      </c>
      <c r="M111" s="162">
        <v>590004</v>
      </c>
      <c r="N111" s="162" t="s">
        <v>1247</v>
      </c>
      <c r="O111" s="21"/>
      <c r="P111" s="21">
        <v>396.94</v>
      </c>
      <c r="Q111" s="21">
        <v>255.73</v>
      </c>
      <c r="R111" s="21"/>
      <c r="S111" s="21"/>
      <c r="T111" s="21"/>
      <c r="U111" s="21"/>
      <c r="V111" s="21">
        <v>-797.94</v>
      </c>
      <c r="W111" s="21"/>
      <c r="X111" s="21">
        <v>8.35</v>
      </c>
      <c r="Y111" s="21">
        <v>681.74</v>
      </c>
      <c r="Z111" s="21">
        <v>-288.45999999999998</v>
      </c>
      <c r="AA111" s="310">
        <f t="shared" si="35"/>
        <v>256.35999999999996</v>
      </c>
      <c r="AB111" s="17">
        <f t="shared" si="36"/>
        <v>3.6417493693420843E-4</v>
      </c>
      <c r="AD111" s="21">
        <v>500</v>
      </c>
      <c r="AE111" s="17">
        <f t="shared" si="37"/>
        <v>3.5114232002187991E-4</v>
      </c>
      <c r="AF111" s="50">
        <f t="shared" si="38"/>
        <v>-243.64000000000004</v>
      </c>
      <c r="AG111" s="21">
        <v>890.72</v>
      </c>
      <c r="AH111" s="17">
        <f t="shared" si="39"/>
        <v>8.7084603936342993E-4</v>
      </c>
      <c r="AI111" s="50">
        <f t="shared" si="40"/>
        <v>-634.36000000000013</v>
      </c>
      <c r="AJ111" s="350">
        <f t="shared" si="41"/>
        <v>1.2347558038724591E-2</v>
      </c>
      <c r="AK111" s="351">
        <f t="shared" si="42"/>
        <v>1.6624551137119296E-2</v>
      </c>
      <c r="AL111" s="352">
        <f t="shared" si="43"/>
        <v>3.3335329341317367E-2</v>
      </c>
      <c r="AM111" s="387" t="str">
        <f t="shared" si="44"/>
        <v>0 pts.</v>
      </c>
      <c r="AN111" s="386" t="str">
        <f t="shared" si="45"/>
        <v>-0.05 pts.</v>
      </c>
    </row>
    <row r="112" spans="1:40" x14ac:dyDescent="0.25">
      <c r="H112" s="15" t="s">
        <v>878</v>
      </c>
      <c r="I112" s="161" t="s">
        <v>1009</v>
      </c>
      <c r="J112" s="161" t="s">
        <v>1009</v>
      </c>
      <c r="K112" s="68" t="str">
        <f t="shared" si="34"/>
        <v/>
      </c>
      <c r="L112" s="162">
        <v>703510</v>
      </c>
      <c r="M112" s="162">
        <v>590003</v>
      </c>
      <c r="N112" s="162" t="s">
        <v>1248</v>
      </c>
      <c r="O112" s="21">
        <v>1163.71</v>
      </c>
      <c r="P112" s="21">
        <v>340.26</v>
      </c>
      <c r="Q112" s="21">
        <v>220.96</v>
      </c>
      <c r="R112" s="21">
        <v>253.35</v>
      </c>
      <c r="S112" s="21">
        <v>641.96</v>
      </c>
      <c r="T112" s="21">
        <v>160.31</v>
      </c>
      <c r="U112" s="21"/>
      <c r="V112" s="21"/>
      <c r="W112" s="21"/>
      <c r="X112" s="21"/>
      <c r="Y112" s="21">
        <v>641.79</v>
      </c>
      <c r="Z112" s="21">
        <v>-199.05</v>
      </c>
      <c r="AA112" s="310">
        <f t="shared" si="35"/>
        <v>3223.2899999999995</v>
      </c>
      <c r="AB112" s="17">
        <f t="shared" si="36"/>
        <v>4.57887904692879E-3</v>
      </c>
      <c r="AD112" s="21">
        <v>400</v>
      </c>
      <c r="AE112" s="17">
        <f t="shared" si="37"/>
        <v>2.8091385601750394E-4</v>
      </c>
      <c r="AF112" s="50">
        <f t="shared" si="38"/>
        <v>2823.2899999999995</v>
      </c>
      <c r="AG112" s="21">
        <v>4856.28</v>
      </c>
      <c r="AH112" s="17">
        <f t="shared" si="39"/>
        <v>4.7479255030086192E-3</v>
      </c>
      <c r="AI112" s="50">
        <f t="shared" si="40"/>
        <v>-1632.9900000000002</v>
      </c>
      <c r="AJ112" s="350">
        <f t="shared" si="41"/>
        <v>0.15524949426837489</v>
      </c>
      <c r="AK112" s="351">
        <f t="shared" si="42"/>
        <v>1.3299640909695438E-2</v>
      </c>
      <c r="AL112" s="352">
        <f t="shared" si="43"/>
        <v>0.18174700598802393</v>
      </c>
      <c r="AM112" s="387" t="str">
        <f t="shared" si="44"/>
        <v>0.43 pts.</v>
      </c>
      <c r="AN112" s="386" t="str">
        <f t="shared" si="45"/>
        <v>-0.02 pts.</v>
      </c>
    </row>
    <row r="113" spans="1:40" x14ac:dyDescent="0.25">
      <c r="A113" s="3" t="s">
        <v>0</v>
      </c>
      <c r="B113" s="5" t="s">
        <v>1</v>
      </c>
      <c r="H113" s="15" t="s">
        <v>879</v>
      </c>
      <c r="I113" s="161" t="s">
        <v>1009</v>
      </c>
      <c r="J113" s="161" t="s">
        <v>1009</v>
      </c>
      <c r="K113" s="68" t="str">
        <f t="shared" si="34"/>
        <v/>
      </c>
      <c r="L113" s="162">
        <v>703600</v>
      </c>
      <c r="M113" s="162">
        <v>590045</v>
      </c>
      <c r="N113" s="162" t="s">
        <v>1249</v>
      </c>
      <c r="O113" s="21"/>
      <c r="P113" s="21"/>
      <c r="Q113" s="21">
        <v>279.8</v>
      </c>
      <c r="R113" s="21"/>
      <c r="S113" s="21"/>
      <c r="T113" s="21"/>
      <c r="U113" s="21"/>
      <c r="V113" s="21"/>
      <c r="W113" s="21"/>
      <c r="X113" s="21"/>
      <c r="Y113" s="21"/>
      <c r="Z113" s="21"/>
      <c r="AA113" s="310">
        <f t="shared" si="35"/>
        <v>279.8</v>
      </c>
      <c r="AB113" s="17">
        <f t="shared" si="36"/>
        <v>3.9747287936570266E-4</v>
      </c>
      <c r="AD113" s="21">
        <v>800</v>
      </c>
      <c r="AE113" s="17">
        <f t="shared" si="37"/>
        <v>5.6182771203500787E-4</v>
      </c>
      <c r="AF113" s="50">
        <f t="shared" si="38"/>
        <v>-520.20000000000005</v>
      </c>
      <c r="AG113" s="21">
        <v>1583.86</v>
      </c>
      <c r="AH113" s="17">
        <f t="shared" si="39"/>
        <v>1.5485205315993375E-3</v>
      </c>
      <c r="AI113" s="50">
        <f t="shared" si="40"/>
        <v>-1304.06</v>
      </c>
      <c r="AJ113" s="350">
        <f t="shared" si="41"/>
        <v>1.3476543685579424E-2</v>
      </c>
      <c r="AK113" s="351">
        <f t="shared" si="42"/>
        <v>2.6599281819390877E-2</v>
      </c>
      <c r="AL113" s="352">
        <f t="shared" si="43"/>
        <v>5.9276197604790415E-2</v>
      </c>
      <c r="AM113" s="387" t="str">
        <f t="shared" si="44"/>
        <v>-0.02 pts.</v>
      </c>
      <c r="AN113" s="386" t="str">
        <f t="shared" si="45"/>
        <v>-0.12 pts.</v>
      </c>
    </row>
    <row r="114" spans="1:40" x14ac:dyDescent="0.25">
      <c r="A114" s="6" t="s">
        <v>2</v>
      </c>
      <c r="B114" s="16" t="s">
        <v>1337</v>
      </c>
      <c r="H114" s="15" t="s">
        <v>880</v>
      </c>
      <c r="I114" s="161" t="s">
        <v>1009</v>
      </c>
      <c r="J114" s="161" t="s">
        <v>1009</v>
      </c>
      <c r="K114" s="68" t="str">
        <f t="shared" si="34"/>
        <v/>
      </c>
      <c r="L114" s="162">
        <v>703700</v>
      </c>
      <c r="M114" s="162">
        <v>590046</v>
      </c>
      <c r="N114" s="162" t="s">
        <v>1250</v>
      </c>
      <c r="O114" s="21"/>
      <c r="P114" s="21"/>
      <c r="Q114" s="21"/>
      <c r="R114" s="21">
        <v>500</v>
      </c>
      <c r="S114" s="21">
        <v>-500</v>
      </c>
      <c r="T114" s="21">
        <v>115.55</v>
      </c>
      <c r="U114" s="21"/>
      <c r="V114" s="21"/>
      <c r="W114" s="21"/>
      <c r="X114" s="21"/>
      <c r="Y114" s="21"/>
      <c r="Z114" s="21"/>
      <c r="AA114" s="310">
        <f t="shared" si="35"/>
        <v>115.55</v>
      </c>
      <c r="AB114" s="17">
        <f t="shared" si="36"/>
        <v>1.6414578702897406E-4</v>
      </c>
      <c r="AD114" s="21">
        <v>1000</v>
      </c>
      <c r="AE114" s="17">
        <f t="shared" si="37"/>
        <v>7.0228464004375981E-4</v>
      </c>
      <c r="AF114" s="50">
        <f t="shared" si="38"/>
        <v>-884.45</v>
      </c>
      <c r="AG114" s="21">
        <v>302.8</v>
      </c>
      <c r="AH114" s="17">
        <f t="shared" si="39"/>
        <v>2.9604385297203004E-4</v>
      </c>
      <c r="AI114" s="50">
        <f t="shared" si="40"/>
        <v>-187.25</v>
      </c>
      <c r="AJ114" s="350">
        <f t="shared" si="41"/>
        <v>5.5654561217609094E-3</v>
      </c>
      <c r="AK114" s="351">
        <f t="shared" si="42"/>
        <v>3.3249102274238593E-2</v>
      </c>
      <c r="AL114" s="352">
        <f t="shared" si="43"/>
        <v>1.1332335329341317E-2</v>
      </c>
      <c r="AM114" s="387" t="str">
        <f t="shared" si="44"/>
        <v>-0.05 pts.</v>
      </c>
      <c r="AN114" s="386" t="str">
        <f t="shared" si="45"/>
        <v>-0.01 pts.</v>
      </c>
    </row>
    <row r="115" spans="1:40" x14ac:dyDescent="0.25">
      <c r="A115" s="6" t="s">
        <v>3</v>
      </c>
      <c r="B115" s="16" t="s">
        <v>1338</v>
      </c>
      <c r="H115" s="15" t="s">
        <v>861</v>
      </c>
      <c r="I115" s="161" t="s">
        <v>1009</v>
      </c>
      <c r="J115" s="161" t="s">
        <v>1009</v>
      </c>
      <c r="K115" s="68" t="str">
        <f t="shared" si="34"/>
        <v/>
      </c>
      <c r="L115" s="162">
        <v>703800</v>
      </c>
      <c r="M115" s="162">
        <v>690065</v>
      </c>
      <c r="N115" s="162" t="s">
        <v>1251</v>
      </c>
      <c r="O115" s="21"/>
      <c r="P115" s="21"/>
      <c r="Q115" s="21"/>
      <c r="R115" s="21"/>
      <c r="S115" s="21"/>
      <c r="T115" s="21"/>
      <c r="U115" s="21">
        <v>85.6</v>
      </c>
      <c r="V115" s="21"/>
      <c r="W115" s="21">
        <v>3104.1</v>
      </c>
      <c r="X115" s="21"/>
      <c r="Y115" s="21"/>
      <c r="Z115" s="21"/>
      <c r="AA115" s="310">
        <f t="shared" si="35"/>
        <v>3189.7</v>
      </c>
      <c r="AB115" s="17">
        <f t="shared" si="36"/>
        <v>4.5311624135553315E-3</v>
      </c>
      <c r="AD115" s="21"/>
      <c r="AE115" s="17" t="str">
        <f t="shared" si="37"/>
        <v/>
      </c>
      <c r="AF115" s="50">
        <f t="shared" si="38"/>
        <v>3189.7</v>
      </c>
      <c r="AG115" s="21">
        <v>1377.57</v>
      </c>
      <c r="AH115" s="17">
        <f t="shared" si="39"/>
        <v>1.3468333241039609E-3</v>
      </c>
      <c r="AI115" s="50">
        <f t="shared" si="40"/>
        <v>1812.1299999999999</v>
      </c>
      <c r="AJ115" s="350">
        <f t="shared" si="41"/>
        <v>0.15363163471727193</v>
      </c>
      <c r="AK115" s="351">
        <f t="shared" si="42"/>
        <v>0</v>
      </c>
      <c r="AL115" s="352">
        <f t="shared" si="43"/>
        <v>5.1555763473053892E-2</v>
      </c>
      <c r="AM115" s="387">
        <f t="shared" si="44"/>
        <v>0</v>
      </c>
      <c r="AN115" s="386" t="str">
        <f t="shared" si="45"/>
        <v>0.32 pts.</v>
      </c>
    </row>
    <row r="116" spans="1:40" x14ac:dyDescent="0.25">
      <c r="A116" s="6" t="s">
        <v>4</v>
      </c>
      <c r="B116" s="16" t="s">
        <v>1346</v>
      </c>
      <c r="H116" s="15" t="s">
        <v>881</v>
      </c>
      <c r="I116" s="161" t="s">
        <v>1009</v>
      </c>
      <c r="J116" s="161" t="s">
        <v>1009</v>
      </c>
      <c r="K116" s="68" t="str">
        <f t="shared" si="34"/>
        <v/>
      </c>
      <c r="L116" s="162">
        <v>704100</v>
      </c>
      <c r="M116" s="162">
        <v>690241</v>
      </c>
      <c r="N116" s="162" t="s">
        <v>1252</v>
      </c>
      <c r="O116" s="21"/>
      <c r="P116" s="21">
        <v>1700</v>
      </c>
      <c r="Q116" s="21">
        <v>400</v>
      </c>
      <c r="R116" s="21"/>
      <c r="S116" s="21"/>
      <c r="T116" s="21">
        <v>717</v>
      </c>
      <c r="U116" s="21">
        <v>-717</v>
      </c>
      <c r="V116" s="21">
        <v>400</v>
      </c>
      <c r="W116" s="21"/>
      <c r="X116" s="21">
        <v>250</v>
      </c>
      <c r="Y116" s="21"/>
      <c r="Z116" s="21">
        <v>983</v>
      </c>
      <c r="AA116" s="310">
        <f t="shared" si="35"/>
        <v>3733</v>
      </c>
      <c r="AB116" s="17">
        <f t="shared" si="36"/>
        <v>5.3029530331385561E-3</v>
      </c>
      <c r="AD116" s="21">
        <v>3150</v>
      </c>
      <c r="AE116" s="17">
        <f t="shared" si="37"/>
        <v>2.2121966161378435E-3</v>
      </c>
      <c r="AF116" s="50">
        <f t="shared" si="38"/>
        <v>583</v>
      </c>
      <c r="AG116" s="21">
        <v>10748.63</v>
      </c>
      <c r="AH116" s="17">
        <f t="shared" si="39"/>
        <v>1.0508803960933786E-2</v>
      </c>
      <c r="AI116" s="50">
        <f t="shared" si="40"/>
        <v>-7015.6299999999992</v>
      </c>
      <c r="AJ116" s="350">
        <f t="shared" si="41"/>
        <v>0.17979963394663329</v>
      </c>
      <c r="AK116" s="351">
        <f t="shared" si="42"/>
        <v>0.10473467216385157</v>
      </c>
      <c r="AL116" s="352">
        <f t="shared" si="43"/>
        <v>0.40226908682634727</v>
      </c>
      <c r="AM116" s="387" t="str">
        <f t="shared" si="44"/>
        <v>0.31 pts.</v>
      </c>
      <c r="AN116" s="386" t="str">
        <f t="shared" si="45"/>
        <v>-0.52 pts.</v>
      </c>
    </row>
    <row r="117" spans="1:40" x14ac:dyDescent="0.25">
      <c r="A117" s="6" t="s">
        <v>5</v>
      </c>
      <c r="B117" s="7"/>
      <c r="H117" s="15" t="s">
        <v>841</v>
      </c>
      <c r="I117" s="161" t="s">
        <v>1009</v>
      </c>
      <c r="J117" s="161" t="s">
        <v>1009</v>
      </c>
      <c r="K117" s="68" t="str">
        <f t="shared" si="34"/>
        <v/>
      </c>
      <c r="L117" s="162">
        <v>705500</v>
      </c>
      <c r="M117" s="162">
        <v>690105</v>
      </c>
      <c r="N117" s="162" t="s">
        <v>1113</v>
      </c>
      <c r="O117" s="21"/>
      <c r="P117" s="21"/>
      <c r="Q117" s="21">
        <v>2404</v>
      </c>
      <c r="R117" s="21">
        <v>96</v>
      </c>
      <c r="S117" s="21"/>
      <c r="T117" s="21"/>
      <c r="U117" s="21"/>
      <c r="V117" s="21"/>
      <c r="W117" s="21"/>
      <c r="X117" s="21"/>
      <c r="Y117" s="21">
        <v>323</v>
      </c>
      <c r="Z117" s="21"/>
      <c r="AA117" s="310">
        <f t="shared" si="35"/>
        <v>2823</v>
      </c>
      <c r="AB117" s="17">
        <f t="shared" si="36"/>
        <v>4.0102428107554634E-3</v>
      </c>
      <c r="AD117" s="21">
        <v>1870</v>
      </c>
      <c r="AE117" s="17">
        <f t="shared" si="37"/>
        <v>1.3132722768818309E-3</v>
      </c>
      <c r="AF117" s="50">
        <f t="shared" si="38"/>
        <v>953</v>
      </c>
      <c r="AG117" s="21">
        <v>1870</v>
      </c>
      <c r="AH117" s="17">
        <f t="shared" si="39"/>
        <v>1.828276106531361E-3</v>
      </c>
      <c r="AI117" s="50">
        <f t="shared" si="40"/>
        <v>953</v>
      </c>
      <c r="AJ117" s="350">
        <f t="shared" si="41"/>
        <v>0.13596955977266159</v>
      </c>
      <c r="AK117" s="351">
        <f t="shared" si="42"/>
        <v>6.2175821252826176E-2</v>
      </c>
      <c r="AL117" s="352">
        <f t="shared" si="43"/>
        <v>6.9985029940119764E-2</v>
      </c>
      <c r="AM117" s="387" t="str">
        <f t="shared" si="44"/>
        <v>0.27 pts.</v>
      </c>
      <c r="AN117" s="386" t="str">
        <f t="shared" si="45"/>
        <v>0.22 pts.</v>
      </c>
    </row>
    <row r="118" spans="1:40" x14ac:dyDescent="0.25">
      <c r="A118" s="6" t="s">
        <v>6</v>
      </c>
      <c r="B118" s="7"/>
      <c r="H118" s="15" t="s">
        <v>844</v>
      </c>
      <c r="I118" s="161" t="s">
        <v>1064</v>
      </c>
      <c r="J118" s="161" t="s">
        <v>78</v>
      </c>
      <c r="K118" s="68" t="str">
        <f t="shared" si="34"/>
        <v>&gt;</v>
      </c>
      <c r="L118" s="162">
        <v>706100</v>
      </c>
      <c r="M118" s="162"/>
      <c r="N118" s="162" t="s">
        <v>1253</v>
      </c>
      <c r="O118" s="21"/>
      <c r="P118" s="21"/>
      <c r="Q118" s="21"/>
      <c r="R118" s="21">
        <v>52.11</v>
      </c>
      <c r="S118" s="21">
        <v>667.91</v>
      </c>
      <c r="T118" s="21"/>
      <c r="U118" s="21"/>
      <c r="V118" s="21">
        <v>423.66</v>
      </c>
      <c r="W118" s="21">
        <v>51.08</v>
      </c>
      <c r="X118" s="21"/>
      <c r="Y118" s="21"/>
      <c r="Z118" s="21"/>
      <c r="AA118" s="310">
        <f t="shared" si="35"/>
        <v>1194.76</v>
      </c>
      <c r="AB118" s="17">
        <f t="shared" si="36"/>
        <v>1.6972290827411256E-3</v>
      </c>
      <c r="AD118" s="21"/>
      <c r="AE118" s="17" t="str">
        <f t="shared" si="37"/>
        <v/>
      </c>
      <c r="AF118" s="50">
        <f t="shared" si="38"/>
        <v>1194.76</v>
      </c>
      <c r="AG118" s="21">
        <v>152.38999999999999</v>
      </c>
      <c r="AH118" s="17">
        <f t="shared" si="39"/>
        <v>1.4898983736594336E-4</v>
      </c>
      <c r="AI118" s="50">
        <f t="shared" si="40"/>
        <v>1042.3699999999999</v>
      </c>
      <c r="AJ118" s="350">
        <f t="shared" si="41"/>
        <v>5.7545515846257583E-2</v>
      </c>
      <c r="AK118" s="351">
        <f t="shared" si="42"/>
        <v>0</v>
      </c>
      <c r="AL118" s="352">
        <f t="shared" si="43"/>
        <v>5.703218562874251E-3</v>
      </c>
      <c r="AM118" s="387">
        <f t="shared" si="44"/>
        <v>0</v>
      </c>
      <c r="AN118" s="386" t="str">
        <f t="shared" si="45"/>
        <v>0.15 pts.</v>
      </c>
    </row>
    <row r="119" spans="1:40" x14ac:dyDescent="0.25">
      <c r="A119" s="6" t="s">
        <v>7</v>
      </c>
      <c r="B119" s="7"/>
      <c r="H119" s="15" t="s">
        <v>79</v>
      </c>
      <c r="I119" s="27" t="s">
        <v>1012</v>
      </c>
      <c r="J119" s="27" t="s">
        <v>78</v>
      </c>
      <c r="K119" s="26"/>
      <c r="L119" s="26"/>
      <c r="M119" s="26"/>
      <c r="N119" s="25" t="s">
        <v>1116</v>
      </c>
      <c r="O119" s="33">
        <v>13176.49</v>
      </c>
      <c r="P119" s="33">
        <v>12484.42</v>
      </c>
      <c r="Q119" s="33">
        <v>20861.82</v>
      </c>
      <c r="R119" s="33">
        <v>15009.61</v>
      </c>
      <c r="S119" s="33">
        <v>13265.58</v>
      </c>
      <c r="T119" s="33">
        <v>13895.87</v>
      </c>
      <c r="U119" s="33">
        <v>8737.0499999999993</v>
      </c>
      <c r="V119" s="33">
        <v>11052.62</v>
      </c>
      <c r="W119" s="33">
        <v>16424.810000000001</v>
      </c>
      <c r="X119" s="33">
        <v>12482.43</v>
      </c>
      <c r="Y119" s="33">
        <v>9190.19</v>
      </c>
      <c r="Z119" s="33">
        <v>16723.54</v>
      </c>
      <c r="AA119" s="33">
        <f t="shared" si="35"/>
        <v>163304.43</v>
      </c>
      <c r="AB119" s="34">
        <f t="shared" si="36"/>
        <v>0.23198385277081784</v>
      </c>
      <c r="AD119" s="33">
        <v>185041.74945500001</v>
      </c>
      <c r="AE119" s="34">
        <f t="shared" si="37"/>
        <v>0.12995197840907227</v>
      </c>
      <c r="AF119" s="52">
        <f t="shared" si="38"/>
        <v>-21737.319455000019</v>
      </c>
      <c r="AG119" s="33">
        <v>233973.41</v>
      </c>
      <c r="AH119" s="34">
        <f t="shared" si="39"/>
        <v>0.22875293853832396</v>
      </c>
      <c r="AI119" s="52">
        <f t="shared" si="40"/>
        <v>-70668.98000000001</v>
      </c>
      <c r="AJ119" s="415">
        <f t="shared" si="41"/>
        <v>7.8655442635584238</v>
      </c>
      <c r="AK119" s="416">
        <f t="shared" si="42"/>
        <v>6.1524720526333292</v>
      </c>
      <c r="AL119" s="417">
        <f t="shared" si="43"/>
        <v>8.7564898952095813</v>
      </c>
      <c r="AM119" s="418" t="str">
        <f t="shared" si="44"/>
        <v>10.2 pts.</v>
      </c>
      <c r="AN119" s="419" t="str">
        <f t="shared" si="45"/>
        <v>0.32 pts.</v>
      </c>
    </row>
    <row r="120" spans="1:40" x14ac:dyDescent="0.25">
      <c r="A120" s="6" t="s">
        <v>47</v>
      </c>
      <c r="B120" s="16" t="s">
        <v>1341</v>
      </c>
    </row>
    <row r="121" spans="1:40" x14ac:dyDescent="0.25">
      <c r="A121" s="6" t="s">
        <v>8</v>
      </c>
      <c r="B121" s="7"/>
      <c r="H121" s="15" t="s">
        <v>80</v>
      </c>
      <c r="I121" s="27" t="s">
        <v>1012</v>
      </c>
      <c r="J121" s="27" t="s">
        <v>78</v>
      </c>
      <c r="K121" s="25"/>
      <c r="L121" s="25"/>
      <c r="M121" s="25"/>
      <c r="N121" s="25" t="s">
        <v>1117</v>
      </c>
      <c r="O121" s="36">
        <v>110222.79</v>
      </c>
      <c r="P121" s="36">
        <v>108025.08</v>
      </c>
      <c r="Q121" s="36">
        <v>129715.06</v>
      </c>
      <c r="R121" s="36">
        <v>130018.77</v>
      </c>
      <c r="S121" s="36">
        <v>112616.23</v>
      </c>
      <c r="T121" s="36">
        <v>103907.33</v>
      </c>
      <c r="U121" s="36">
        <v>104771.23</v>
      </c>
      <c r="V121" s="36">
        <v>112339.7</v>
      </c>
      <c r="W121" s="36">
        <v>85402.78</v>
      </c>
      <c r="X121" s="36">
        <v>85058.71</v>
      </c>
      <c r="Y121" s="36">
        <v>84944.01</v>
      </c>
      <c r="Z121" s="36">
        <v>95808.54</v>
      </c>
      <c r="AA121" s="36">
        <f>IF($I121="B1","",SUM(O121:Z121))</f>
        <v>1262830.23</v>
      </c>
      <c r="AB121" s="37">
        <f>IF(AA121=0,"",IFERROR(AA121/AA$19,""))</f>
        <v>1.7939269752257061</v>
      </c>
      <c r="AD121" s="36">
        <v>1559246.44246989</v>
      </c>
      <c r="AE121" s="37">
        <f>IF(AD121=0,"",IFERROR(AD121/AD$19,""))</f>
        <v>1.0950348265894798</v>
      </c>
      <c r="AF121" s="59">
        <f>IF(AND($AA121="",AD121=""),"",$AA121-AD121)</f>
        <v>-296416.21246989002</v>
      </c>
      <c r="AG121" s="60">
        <v>1615080.34</v>
      </c>
      <c r="AH121" s="61">
        <f>IF(AG121=0,"",IFERROR(AG121/AG$19,""))</f>
        <v>1.5790442758024315</v>
      </c>
      <c r="AI121" s="59">
        <f>IF(AND($AA121="",AG121=""),"",$AA121-AG121)</f>
        <v>-352250.1100000001</v>
      </c>
      <c r="AJ121" s="425">
        <f>IFERROR(AA121/AA$20,0)</f>
        <v>60.824112802234851</v>
      </c>
      <c r="AK121" s="426">
        <f>IFERROR(AD121/AD$20,0)</f>
        <v>51.843544436424061</v>
      </c>
      <c r="AL121" s="427">
        <f>IFERROR(AG121/AG$20,0)</f>
        <v>60.444623502994013</v>
      </c>
      <c r="AM121" s="428" t="str">
        <f>+IFERROR(ROUND(($AB121-AE121)*100,2)&amp;" pts.",0)</f>
        <v>69.89 pts.</v>
      </c>
      <c r="AN121" s="429" t="str">
        <f>+IFERROR(ROUND(($AB121-AH121)*100,2)&amp;" pts.",0)</f>
        <v>21.49 pts.</v>
      </c>
    </row>
    <row r="122" spans="1:40" ht="15.75" thickBot="1" x14ac:dyDescent="0.3">
      <c r="H122" s="15" t="s">
        <v>81</v>
      </c>
      <c r="I122" s="27" t="s">
        <v>1012</v>
      </c>
      <c r="J122" s="27" t="s">
        <v>78</v>
      </c>
      <c r="K122" s="25"/>
      <c r="L122" s="25"/>
      <c r="M122" s="25"/>
      <c r="N122" s="25" t="s">
        <v>1118</v>
      </c>
      <c r="O122" s="62">
        <v>-43489.45</v>
      </c>
      <c r="P122" s="62">
        <v>-58249.97</v>
      </c>
      <c r="Q122" s="62">
        <v>-65532.36</v>
      </c>
      <c r="R122" s="62">
        <v>-72295.240000000005</v>
      </c>
      <c r="S122" s="62">
        <v>-73866.679999999993</v>
      </c>
      <c r="T122" s="62">
        <v>-59531.29</v>
      </c>
      <c r="U122" s="62">
        <v>-63185.93</v>
      </c>
      <c r="V122" s="62">
        <v>-78070.080000000002</v>
      </c>
      <c r="W122" s="62">
        <v>-60290.47</v>
      </c>
      <c r="X122" s="62">
        <v>-65356.59</v>
      </c>
      <c r="Y122" s="62">
        <v>-58102.2</v>
      </c>
      <c r="Z122" s="62">
        <v>-62419.56</v>
      </c>
      <c r="AA122" s="62">
        <f>IF($I122="B1","",SUM(O122:Z122))</f>
        <v>-760389.81999999983</v>
      </c>
      <c r="AB122" s="63">
        <f>IF(AA122=0,"",IFERROR(AA122/AA$19,""))</f>
        <v>-1.0801798827582856</v>
      </c>
      <c r="AD122" s="62">
        <v>-489869.806669891</v>
      </c>
      <c r="AE122" s="63">
        <f>IF(AD122=0,"",IFERROR(AD122/AD$19,""))</f>
        <v>-0.34402804084547062</v>
      </c>
      <c r="AF122" s="64">
        <f>IF(AND($AA122="",AD122=""),"",$AA122-AD122)</f>
        <v>-270520.01333010884</v>
      </c>
      <c r="AG122" s="62">
        <v>-881533.55</v>
      </c>
      <c r="AH122" s="63">
        <f>IF(AG122=0,"",IFERROR(AG122/AG$19,""))</f>
        <v>-0.86186455966351283</v>
      </c>
      <c r="AI122" s="64">
        <f>IF(AND($AA122="",AG122=""),"",$AA122-AG122)</f>
        <v>121143.73000000021</v>
      </c>
      <c r="AJ122" s="430">
        <f>IFERROR(AA122/AA$20,0)</f>
        <v>-36.624112320585674</v>
      </c>
      <c r="AK122" s="431">
        <f>IFERROR(AD122/AD$20,0)</f>
        <v>-16.287731303028693</v>
      </c>
      <c r="AL122" s="432">
        <f>IFERROR(AG122/AG$20,0)</f>
        <v>-32.991525074850301</v>
      </c>
      <c r="AM122" s="433" t="str">
        <f>+IFERROR(ROUND(($AB122-AE122)*100,2)&amp;" pts.",0)</f>
        <v>-73.62 pts.</v>
      </c>
      <c r="AN122" s="434" t="str">
        <f>+IFERROR(ROUND(($AB122-AH122)*100,2)&amp;" pts.",0)</f>
        <v>-21.83 pts.</v>
      </c>
    </row>
    <row r="123" spans="1:40" ht="15.75" thickTop="1" x14ac:dyDescent="0.25"/>
    <row r="124" spans="1:40" x14ac:dyDescent="0.25">
      <c r="A124" s="3" t="s">
        <v>23</v>
      </c>
      <c r="B124" s="5" t="s">
        <v>24</v>
      </c>
      <c r="N124" s="26" t="str">
        <f>N121&amp;" - Check"</f>
        <v>Total Expenses - Check</v>
      </c>
      <c r="O124" s="139">
        <f t="shared" ref="O124:AA124" si="46">SUMIF($H$35:$H$122,"600000",O$35:O$122)+SUMIF($H$35:$H$122,"700000",O$35:O$122)-SUMIF($H$35:$H$122,"TOTDEPTEXP",O$35:O$122)</f>
        <v>0</v>
      </c>
      <c r="P124" s="139">
        <f t="shared" si="46"/>
        <v>0</v>
      </c>
      <c r="Q124" s="139">
        <f t="shared" si="46"/>
        <v>0</v>
      </c>
      <c r="R124" s="139">
        <f t="shared" si="46"/>
        <v>0</v>
      </c>
      <c r="S124" s="139">
        <f t="shared" si="46"/>
        <v>0</v>
      </c>
      <c r="T124" s="139">
        <f t="shared" si="46"/>
        <v>0</v>
      </c>
      <c r="U124" s="139">
        <f t="shared" si="46"/>
        <v>0</v>
      </c>
      <c r="V124" s="139">
        <f t="shared" si="46"/>
        <v>0</v>
      </c>
      <c r="W124" s="139">
        <f t="shared" si="46"/>
        <v>0</v>
      </c>
      <c r="X124" s="139">
        <f t="shared" si="46"/>
        <v>0</v>
      </c>
      <c r="Y124" s="139">
        <f t="shared" si="46"/>
        <v>0</v>
      </c>
      <c r="Z124" s="139">
        <f t="shared" si="46"/>
        <v>0</v>
      </c>
      <c r="AA124" s="139">
        <f t="shared" si="46"/>
        <v>0</v>
      </c>
      <c r="AB124" s="17"/>
      <c r="AD124" s="139">
        <f>SUMIF($H$35:$H$122,"600000",AD$35:AD$122)+SUMIF($H$35:$H$122,"700000",AD$35:AD$122)-SUMIF($H$35:$H$122,"TOTDEPTEXP",AD$35:AD$122)</f>
        <v>0</v>
      </c>
      <c r="AE124" s="17"/>
      <c r="AF124" s="21"/>
      <c r="AG124" s="139">
        <f>SUMIF($H$35:$H$122,"600000",AG$35:AG$122)+SUMIF($H$35:$H$122,"700000",AG$35:AG$122)-SUMIF($H$35:$H$122,"TOTDEPTEXP",AG$35:AG$122)</f>
        <v>0</v>
      </c>
      <c r="AH124" s="17"/>
      <c r="AI124" s="21"/>
    </row>
    <row r="125" spans="1:40" x14ac:dyDescent="0.25">
      <c r="A125" s="6" t="s">
        <v>25</v>
      </c>
      <c r="B125" s="7"/>
      <c r="N125" s="26" t="str">
        <f>N122&amp;" - Check"</f>
        <v>Department Profit (Loss) - Check</v>
      </c>
      <c r="O125" s="139">
        <f t="shared" ref="O125:AA125" si="47">SUMIF($H$35:$H$122,"KPI_GP",O$35:O$122)-SUMIF($H$35:$H$122,"TOTDEPTEXP",O$35:O$122)-SUMIF($H$35:$H$122,"TOTDEPTPL",O$35:O$122)</f>
        <v>0</v>
      </c>
      <c r="P125" s="139">
        <f t="shared" si="47"/>
        <v>0</v>
      </c>
      <c r="Q125" s="139">
        <f t="shared" si="47"/>
        <v>0</v>
      </c>
      <c r="R125" s="139">
        <f t="shared" si="47"/>
        <v>0</v>
      </c>
      <c r="S125" s="139">
        <f t="shared" si="47"/>
        <v>0</v>
      </c>
      <c r="T125" s="139">
        <f t="shared" si="47"/>
        <v>0</v>
      </c>
      <c r="U125" s="139">
        <f t="shared" si="47"/>
        <v>0</v>
      </c>
      <c r="V125" s="139">
        <f t="shared" si="47"/>
        <v>0</v>
      </c>
      <c r="W125" s="139">
        <f t="shared" si="47"/>
        <v>0</v>
      </c>
      <c r="X125" s="139">
        <f t="shared" si="47"/>
        <v>0</v>
      </c>
      <c r="Y125" s="139">
        <f t="shared" si="47"/>
        <v>0</v>
      </c>
      <c r="Z125" s="139">
        <f t="shared" si="47"/>
        <v>0</v>
      </c>
      <c r="AA125" s="139">
        <f t="shared" si="47"/>
        <v>0</v>
      </c>
      <c r="AB125" s="17"/>
      <c r="AD125" s="139">
        <f>SUMIF($H$35:$H$122,"KPI_GP",AD$35:AD$122)-SUMIF($H$35:$H$122,"TOTDEPTEXP",AD$35:AD$122)-SUMIF($H$35:$H$122,"TOTDEPTPL",AD$35:AD$122)</f>
        <v>1.0477378964424133E-9</v>
      </c>
      <c r="AE125" s="17"/>
      <c r="AF125" s="21"/>
      <c r="AG125" s="139">
        <f>SUMIF($H$35:$H$122,"KPI_GP",AG$35:AG$122)-SUMIF($H$35:$H$122,"TOTDEPTEXP",AG$35:AG$122)-SUMIF($H$35:$H$122,"TOTDEPTPL",AG$35:AG$122)</f>
        <v>0</v>
      </c>
      <c r="AH125" s="17"/>
      <c r="AI125" s="21"/>
    </row>
    <row r="126" spans="1:40" x14ac:dyDescent="0.25">
      <c r="A126" s="6" t="s">
        <v>26</v>
      </c>
      <c r="B126" s="7"/>
    </row>
    <row r="127" spans="1:40" x14ac:dyDescent="0.25">
      <c r="A127" s="6" t="s">
        <v>27</v>
      </c>
      <c r="B127" s="7"/>
      <c r="O127" s="166"/>
      <c r="P127" s="166"/>
      <c r="Q127" s="166"/>
      <c r="R127" s="166"/>
      <c r="S127" s="166"/>
      <c r="T127" s="166"/>
      <c r="U127" s="166"/>
      <c r="V127" s="166"/>
      <c r="W127" s="166"/>
      <c r="X127" s="166"/>
      <c r="Y127" s="166"/>
      <c r="Z127" s="166"/>
      <c r="AA127" s="166"/>
      <c r="AD127" s="166"/>
      <c r="AG127" s="166"/>
    </row>
    <row r="128" spans="1:40" x14ac:dyDescent="0.25">
      <c r="A128" s="6" t="s">
        <v>28</v>
      </c>
      <c r="B128" s="7"/>
    </row>
    <row r="129" spans="1:33" x14ac:dyDescent="0.25">
      <c r="A129" s="6" t="s">
        <v>29</v>
      </c>
      <c r="B129" s="7"/>
      <c r="O129" s="166"/>
      <c r="P129" s="166"/>
      <c r="Q129" s="166"/>
      <c r="R129" s="166"/>
      <c r="S129" s="166"/>
      <c r="T129" s="166"/>
      <c r="U129" s="166"/>
      <c r="V129" s="166"/>
      <c r="W129" s="166"/>
      <c r="X129" s="166"/>
      <c r="Y129" s="166"/>
      <c r="Z129" s="166"/>
      <c r="AA129" s="166"/>
      <c r="AD129" s="166"/>
      <c r="AG129" s="166"/>
    </row>
    <row r="130" spans="1:33" x14ac:dyDescent="0.25">
      <c r="A130" s="6" t="s">
        <v>30</v>
      </c>
      <c r="B130" s="7" t="s">
        <v>78</v>
      </c>
    </row>
    <row r="131" spans="1:33" x14ac:dyDescent="0.25">
      <c r="A131" s="6" t="s">
        <v>31</v>
      </c>
      <c r="B131" s="7" t="s">
        <v>78</v>
      </c>
    </row>
    <row r="132" spans="1:33" x14ac:dyDescent="0.25">
      <c r="A132" s="6" t="s">
        <v>32</v>
      </c>
      <c r="B132" s="7"/>
      <c r="H132" s="11"/>
      <c r="J132" s="1"/>
    </row>
    <row r="133" spans="1:33" x14ac:dyDescent="0.25">
      <c r="A133" s="6" t="s">
        <v>33</v>
      </c>
      <c r="B133" s="7"/>
      <c r="H133" s="11"/>
      <c r="J133" s="1"/>
    </row>
    <row r="134" spans="1:33" x14ac:dyDescent="0.25">
      <c r="A134" s="6" t="s">
        <v>34</v>
      </c>
      <c r="B134" s="7"/>
      <c r="H134" s="11"/>
      <c r="J134" s="1"/>
    </row>
    <row r="135" spans="1:33" x14ac:dyDescent="0.25">
      <c r="A135" s="6" t="s">
        <v>35</v>
      </c>
      <c r="B135" s="7"/>
      <c r="H135" s="11"/>
      <c r="J135" s="1"/>
    </row>
    <row r="136" spans="1:33" x14ac:dyDescent="0.25">
      <c r="A136" s="6" t="s">
        <v>36</v>
      </c>
      <c r="B136" s="7"/>
      <c r="H136" s="11"/>
      <c r="J136" s="1"/>
    </row>
    <row r="137" spans="1:33" x14ac:dyDescent="0.25">
      <c r="A137" s="6" t="s">
        <v>37</v>
      </c>
      <c r="B137" s="7"/>
      <c r="H137" s="11"/>
      <c r="J137" s="1"/>
    </row>
    <row r="138" spans="1:33" x14ac:dyDescent="0.25">
      <c r="A138" s="6" t="s">
        <v>38</v>
      </c>
      <c r="B138" s="7"/>
      <c r="H138" s="11"/>
      <c r="J138" s="1"/>
    </row>
    <row r="139" spans="1:33" x14ac:dyDescent="0.25">
      <c r="A139" s="6" t="s">
        <v>39</v>
      </c>
      <c r="B139" s="7"/>
      <c r="H139" s="11"/>
      <c r="J139" s="1"/>
    </row>
    <row r="140" spans="1:33" x14ac:dyDescent="0.25">
      <c r="A140" s="6" t="s">
        <v>40</v>
      </c>
      <c r="B140" s="7"/>
      <c r="H140" s="11"/>
      <c r="J140" s="1"/>
    </row>
    <row r="141" spans="1:33" x14ac:dyDescent="0.25">
      <c r="A141" s="6" t="s">
        <v>41</v>
      </c>
      <c r="B141" s="7"/>
      <c r="H141" s="11"/>
      <c r="J141" s="1"/>
    </row>
    <row r="142" spans="1:33" x14ac:dyDescent="0.25">
      <c r="A142" s="6" t="s">
        <v>42</v>
      </c>
      <c r="B142" s="7"/>
      <c r="H142" s="11"/>
      <c r="J142" s="1"/>
    </row>
    <row r="143" spans="1:33" x14ac:dyDescent="0.25">
      <c r="A143" s="6" t="s">
        <v>43</v>
      </c>
      <c r="B143" s="7"/>
      <c r="H143" s="11"/>
      <c r="J143" s="1"/>
    </row>
    <row r="144" spans="1:33" x14ac:dyDescent="0.25">
      <c r="A144" s="6" t="s">
        <v>44</v>
      </c>
      <c r="B144" s="7"/>
      <c r="H144" s="11"/>
      <c r="J144" s="1"/>
    </row>
    <row r="145" spans="1:10" x14ac:dyDescent="0.25">
      <c r="A145" s="6" t="s">
        <v>45</v>
      </c>
      <c r="B145" s="7"/>
      <c r="H145" s="11"/>
      <c r="J145" s="1"/>
    </row>
    <row r="146" spans="1:10" x14ac:dyDescent="0.25">
      <c r="A146" s="6" t="s">
        <v>46</v>
      </c>
      <c r="B146" s="7"/>
      <c r="H146" s="11"/>
      <c r="J146" s="1"/>
    </row>
    <row r="147" spans="1:10" x14ac:dyDescent="0.25">
      <c r="H147" s="11"/>
      <c r="J147" s="1"/>
    </row>
    <row r="148" spans="1:10" x14ac:dyDescent="0.25">
      <c r="H148" s="11"/>
      <c r="J148" s="1"/>
    </row>
    <row r="149" spans="1:10" x14ac:dyDescent="0.25">
      <c r="H149" s="11"/>
      <c r="J149" s="1"/>
    </row>
    <row r="150" spans="1:10" x14ac:dyDescent="0.25">
      <c r="H150" s="11"/>
      <c r="J150" s="1"/>
    </row>
    <row r="151" spans="1:10" x14ac:dyDescent="0.25">
      <c r="H151" s="11"/>
      <c r="J151" s="1"/>
    </row>
    <row r="152" spans="1:10" x14ac:dyDescent="0.25">
      <c r="H152" s="11"/>
      <c r="J152" s="1"/>
    </row>
    <row r="153" spans="1:10" x14ac:dyDescent="0.25">
      <c r="H153" s="11"/>
      <c r="J153" s="1"/>
    </row>
    <row r="154" spans="1:10" x14ac:dyDescent="0.25">
      <c r="H154" s="11"/>
      <c r="J154" s="1"/>
    </row>
    <row r="163" spans="5:5" x14ac:dyDescent="0.25">
      <c r="E163" s="76"/>
    </row>
    <row r="167" spans="5:5" x14ac:dyDescent="0.25">
      <c r="E167" s="76"/>
    </row>
    <row r="190" spans="7:7" x14ac:dyDescent="0.25">
      <c r="G190" s="76"/>
    </row>
    <row r="194" spans="7:34" x14ac:dyDescent="0.25">
      <c r="G194" s="76"/>
    </row>
    <row r="195" spans="7:34" x14ac:dyDescent="0.25">
      <c r="I195" s="76"/>
      <c r="J195" s="1"/>
      <c r="K195" s="76"/>
      <c r="L195" s="76"/>
      <c r="M195" s="76"/>
      <c r="O195" s="76"/>
      <c r="P195" s="76"/>
      <c r="Q195" s="76"/>
      <c r="R195" s="76"/>
      <c r="S195" s="76"/>
      <c r="T195" s="76"/>
      <c r="U195" s="76"/>
      <c r="V195" s="76"/>
      <c r="W195" s="76"/>
      <c r="X195" s="76"/>
      <c r="Y195" s="76"/>
      <c r="Z195" s="76"/>
      <c r="AA195" s="76"/>
      <c r="AD195" s="76"/>
      <c r="AF195" s="76"/>
      <c r="AH195" s="76"/>
    </row>
    <row r="199" spans="7:34" x14ac:dyDescent="0.25">
      <c r="I199" s="76"/>
      <c r="J199" s="1"/>
      <c r="K199" s="76"/>
      <c r="L199" s="76"/>
      <c r="M199" s="76"/>
      <c r="O199" s="76"/>
      <c r="P199" s="76"/>
      <c r="Q199" s="76"/>
      <c r="R199" s="76"/>
      <c r="S199" s="76"/>
      <c r="T199" s="76"/>
      <c r="U199" s="76"/>
      <c r="V199" s="76"/>
      <c r="W199" s="76"/>
      <c r="X199" s="76"/>
      <c r="Y199" s="76"/>
      <c r="Z199" s="76"/>
      <c r="AA199" s="76"/>
      <c r="AD199" s="76"/>
      <c r="AF199" s="76"/>
      <c r="AH199" s="76"/>
    </row>
  </sheetData>
  <mergeCells count="2">
    <mergeCell ref="AD31:AE31"/>
    <mergeCell ref="AG31:AH31"/>
  </mergeCells>
  <dataValidations count="2">
    <dataValidation type="list" allowBlank="1" sqref="B29 B62 B95" xr:uid="{00000000-0002-0000-0F00-000000000000}">
      <formula1>"SELF,ALL,BAS,DEP,BASMEMBERS,MEMBERS,NOEXPAND,GDEP"</formula1>
    </dataValidation>
    <dataValidation type="list" allowBlank="1" sqref="B28 B61 B94" xr:uid="{00000000-0002-0000-0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7927"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7927" r:id="rId5" name="FPMExcelClientSheetOptionstb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'3wuSWMeHY0ScOgohsNW2oA=='!N1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725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D2140</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D2140</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42046.04</v>
      </c>
      <c r="P35" s="21">
        <v>35310.639999999999</v>
      </c>
      <c r="Q35" s="21">
        <v>45660.22</v>
      </c>
      <c r="R35" s="21">
        <v>39847.199999999997</v>
      </c>
      <c r="S35" s="21">
        <v>30824.42</v>
      </c>
      <c r="T35" s="21">
        <v>33722.17</v>
      </c>
      <c r="U35" s="21">
        <v>32263.02</v>
      </c>
      <c r="V35" s="21">
        <v>30635.23</v>
      </c>
      <c r="W35" s="21">
        <v>23265.599999999999</v>
      </c>
      <c r="X35" s="21">
        <v>22337.919999999998</v>
      </c>
      <c r="Y35" s="21">
        <v>26327.37</v>
      </c>
      <c r="Z35" s="21">
        <v>37691.620000000003</v>
      </c>
      <c r="AA35" s="21">
        <f t="shared" ref="AA35:AA41" si="0">SUM(O35:Z35)</f>
        <v>399931.4499999999</v>
      </c>
      <c r="AB35" s="17" t="str">
        <f ca="1">IF(AA35=0,"",IFERROR(AA35/AA$19,""))</f>
        <v/>
      </c>
      <c r="AD35" s="21">
        <v>626554.28649299999</v>
      </c>
      <c r="AE35" s="17" t="str">
        <f ca="1">IF(AD35=0,"",IFERROR(AD35/AD$19,""))</f>
        <v/>
      </c>
      <c r="AF35" s="50">
        <f t="shared" ref="AF35:AF42" si="1">IF(AND($AA35="",AD35=""),"",$AA35-AD35)</f>
        <v>-226622.8364930001</v>
      </c>
      <c r="AG35" s="21">
        <v>480784.08</v>
      </c>
      <c r="AH35" s="17" t="str">
        <f ca="1">IF(AG35=0,"",IFERROR(AG35/AG$19,""))</f>
        <v/>
      </c>
      <c r="AI35" s="50">
        <f t="shared" ref="AI35:AI42" si="2">IF(AND($AA35="",AG35=""),"",$AA35-AG35)</f>
        <v>-80852.630000000121</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v>2143.88</v>
      </c>
      <c r="P36" s="21">
        <v>2358</v>
      </c>
      <c r="Q36" s="21">
        <v>3458</v>
      </c>
      <c r="R36" s="21">
        <v>3306.5</v>
      </c>
      <c r="S36" s="21">
        <v>1845</v>
      </c>
      <c r="T36" s="21">
        <v>1616.5</v>
      </c>
      <c r="U36" s="21">
        <v>1381</v>
      </c>
      <c r="V36" s="21">
        <v>1444</v>
      </c>
      <c r="W36" s="21">
        <v>1978</v>
      </c>
      <c r="X36" s="21">
        <v>1242</v>
      </c>
      <c r="Y36" s="21">
        <v>1849</v>
      </c>
      <c r="Z36" s="21">
        <v>1779</v>
      </c>
      <c r="AA36" s="21">
        <f t="shared" si="0"/>
        <v>24400.880000000001</v>
      </c>
      <c r="AB36" s="17" t="str">
        <f ca="1">IF(AA36=0,"",IFERROR(AA36/AA$19,""))</f>
        <v/>
      </c>
      <c r="AD36" s="21">
        <v>30485.187150000002</v>
      </c>
      <c r="AE36" s="17" t="str">
        <f ca="1">IF(AD36=0,"",IFERROR(AD36/AD$19,""))</f>
        <v/>
      </c>
      <c r="AF36" s="50">
        <f t="shared" si="1"/>
        <v>-6084.3071500000005</v>
      </c>
      <c r="AG36" s="21">
        <v>23177.18</v>
      </c>
      <c r="AH36" s="17" t="str">
        <f t="shared" ref="AH36:AH79" ca="1" si="3">IF(AG36=0,"",IFERROR(AG36/AG$19,""))</f>
        <v/>
      </c>
      <c r="AI36" s="50">
        <f t="shared" si="2"/>
        <v>1223.7000000000007</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v>183</v>
      </c>
      <c r="P37" s="21">
        <v>120</v>
      </c>
      <c r="Q37" s="21">
        <v>510</v>
      </c>
      <c r="R37" s="21">
        <v>280</v>
      </c>
      <c r="S37" s="21">
        <v>269</v>
      </c>
      <c r="T37" s="21">
        <v>270</v>
      </c>
      <c r="U37" s="21">
        <v>214</v>
      </c>
      <c r="V37" s="21">
        <v>376</v>
      </c>
      <c r="W37" s="21">
        <v>160.80000000000001</v>
      </c>
      <c r="X37" s="21">
        <v>162</v>
      </c>
      <c r="Y37" s="21">
        <v>312</v>
      </c>
      <c r="Z37" s="21">
        <v>140</v>
      </c>
      <c r="AA37" s="21">
        <f t="shared" si="0"/>
        <v>2996.8</v>
      </c>
      <c r="AB37" s="17" t="str">
        <f ca="1">IF(AA37=0,"",IFERROR(AA37/AA$19,""))</f>
        <v/>
      </c>
      <c r="AD37" s="21">
        <v>5312.8874130000004</v>
      </c>
      <c r="AE37" s="17" t="str">
        <f ca="1">IF(AD37=0,"",IFERROR(AD37/AD$19,""))</f>
        <v/>
      </c>
      <c r="AF37" s="50">
        <f t="shared" si="1"/>
        <v>-2316.0874130000002</v>
      </c>
      <c r="AG37" s="21">
        <v>3568.5</v>
      </c>
      <c r="AH37" s="17" t="str">
        <f t="shared" ca="1" si="3"/>
        <v/>
      </c>
      <c r="AI37" s="50">
        <f t="shared" si="2"/>
        <v>-571.69999999999982</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v>2188</v>
      </c>
      <c r="P38" s="30">
        <v>1106</v>
      </c>
      <c r="Q38" s="30">
        <v>2226.34</v>
      </c>
      <c r="R38" s="30">
        <v>1352</v>
      </c>
      <c r="S38" s="30">
        <v>2240</v>
      </c>
      <c r="T38" s="30">
        <v>1634</v>
      </c>
      <c r="U38" s="30">
        <v>1769</v>
      </c>
      <c r="V38" s="30">
        <v>1447</v>
      </c>
      <c r="W38" s="30">
        <v>633</v>
      </c>
      <c r="X38" s="30">
        <v>1004</v>
      </c>
      <c r="Y38" s="30">
        <v>1569</v>
      </c>
      <c r="Z38" s="30">
        <v>1162</v>
      </c>
      <c r="AA38" s="30">
        <f t="shared" si="0"/>
        <v>18330.34</v>
      </c>
      <c r="AB38" s="31" t="str">
        <f ca="1">IF(AA38=0,"",IFERROR(AA38/AA$19,""))</f>
        <v/>
      </c>
      <c r="AD38" s="30">
        <v>61904.928943999999</v>
      </c>
      <c r="AE38" s="31" t="str">
        <f ca="1">IF(AD38=0,"",IFERROR(AD38/AD$19,""))</f>
        <v/>
      </c>
      <c r="AF38" s="51">
        <f t="shared" si="1"/>
        <v>-43574.588944000003</v>
      </c>
      <c r="AG38" s="30">
        <v>43238.2</v>
      </c>
      <c r="AH38" s="31" t="str">
        <f t="shared" ca="1" si="3"/>
        <v/>
      </c>
      <c r="AI38" s="51">
        <f t="shared" si="2"/>
        <v>-24907.859999999997</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46560.92</v>
      </c>
      <c r="P39" s="164">
        <v>38894.639999999999</v>
      </c>
      <c r="Q39" s="164">
        <v>51854.559999999998</v>
      </c>
      <c r="R39" s="164">
        <v>44785.7</v>
      </c>
      <c r="S39" s="164">
        <v>35178.42</v>
      </c>
      <c r="T39" s="164">
        <v>37242.67</v>
      </c>
      <c r="U39" s="164">
        <v>35627.019999999997</v>
      </c>
      <c r="V39" s="164">
        <v>33902.230000000003</v>
      </c>
      <c r="W39" s="164">
        <v>26037.4</v>
      </c>
      <c r="X39" s="164">
        <v>24745.919999999998</v>
      </c>
      <c r="Y39" s="164">
        <v>30057.37</v>
      </c>
      <c r="Z39" s="164">
        <v>40772.620000000003</v>
      </c>
      <c r="AA39" s="164">
        <f t="shared" si="0"/>
        <v>445659.47</v>
      </c>
      <c r="AB39" s="175" t="str">
        <f ca="1">IF(AA39=0,"",IFERROR(AA39/AA$19,""))</f>
        <v/>
      </c>
      <c r="AD39" s="164">
        <v>724257.29</v>
      </c>
      <c r="AE39" s="175" t="str">
        <f ca="1">IF(AD39=0,"",IFERROR(AD39/AD$19,""))</f>
        <v/>
      </c>
      <c r="AF39" s="165">
        <f t="shared" si="1"/>
        <v>-278597.82000000007</v>
      </c>
      <c r="AG39" s="164">
        <v>550767.96</v>
      </c>
      <c r="AH39" s="175" t="str">
        <f t="shared" ca="1" si="3"/>
        <v/>
      </c>
      <c r="AI39" s="165">
        <f t="shared" si="2"/>
        <v>-105108.48999999999</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31</v>
      </c>
      <c r="P40" s="38">
        <v>28</v>
      </c>
      <c r="Q40" s="38">
        <v>31</v>
      </c>
      <c r="R40" s="38">
        <v>30</v>
      </c>
      <c r="S40" s="38">
        <v>31</v>
      </c>
      <c r="T40" s="38"/>
      <c r="U40" s="38">
        <v>31</v>
      </c>
      <c r="V40" s="38">
        <v>31</v>
      </c>
      <c r="W40" s="38">
        <v>30</v>
      </c>
      <c r="X40" s="38">
        <v>31</v>
      </c>
      <c r="Y40" s="38">
        <v>30</v>
      </c>
      <c r="Z40" s="38">
        <v>31</v>
      </c>
      <c r="AA40" s="38">
        <f t="shared" si="0"/>
        <v>335</v>
      </c>
      <c r="AB40" s="39"/>
      <c r="AD40" s="38">
        <v>365</v>
      </c>
      <c r="AE40" s="39"/>
      <c r="AF40" s="132">
        <f t="shared" si="1"/>
        <v>-30</v>
      </c>
      <c r="AG40" s="38">
        <v>365</v>
      </c>
      <c r="AH40" s="39"/>
      <c r="AI40" s="132">
        <f>IF(AND($AA40="",AG40=""),"",$AA40-AG40)</f>
        <v>-30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1851</v>
      </c>
      <c r="P41" s="38">
        <v>1706</v>
      </c>
      <c r="Q41" s="38">
        <v>1854</v>
      </c>
      <c r="R41" s="38">
        <v>1745</v>
      </c>
      <c r="S41" s="38">
        <v>1290</v>
      </c>
      <c r="T41" s="38">
        <v>1462</v>
      </c>
      <c r="U41" s="38">
        <v>1473</v>
      </c>
      <c r="V41" s="38">
        <v>1319</v>
      </c>
      <c r="W41" s="38">
        <v>1036</v>
      </c>
      <c r="X41" s="38">
        <v>1161</v>
      </c>
      <c r="Y41" s="38">
        <v>1196</v>
      </c>
      <c r="Z41" s="38">
        <v>1655</v>
      </c>
      <c r="AA41" s="38">
        <f t="shared" si="0"/>
        <v>17748</v>
      </c>
      <c r="AB41" s="39">
        <f>IF(AA41=0,"",IFERROR(AA41/AA$87,""))</f>
        <v>0.85483094114247182</v>
      </c>
      <c r="AD41" s="38">
        <v>21279</v>
      </c>
      <c r="AE41" s="39">
        <f>IF(AD41=0,"",IFERROR(AD41/AD$87,""))</f>
        <v>0.70750764729352311</v>
      </c>
      <c r="AF41" s="132">
        <f t="shared" si="1"/>
        <v>-3531</v>
      </c>
      <c r="AG41" s="38">
        <v>20286</v>
      </c>
      <c r="AH41" s="39">
        <f>IF(AG41=0,"",IFERROR(AG41/AG$87,""))</f>
        <v>0.75920658682634734</v>
      </c>
      <c r="AI41" s="132">
        <f t="shared" si="2"/>
        <v>-2538</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25.154467855213401</v>
      </c>
      <c r="P42" s="176">
        <v>22.798733880421999</v>
      </c>
      <c r="Q42" s="176">
        <v>27.9690183387271</v>
      </c>
      <c r="R42" s="176">
        <v>25.665157593123201</v>
      </c>
      <c r="S42" s="176">
        <v>27.2700930232558</v>
      </c>
      <c r="T42" s="176">
        <v>25.473782489740099</v>
      </c>
      <c r="U42" s="176">
        <v>24.186707399864201</v>
      </c>
      <c r="V42" s="176">
        <v>25.702979529946901</v>
      </c>
      <c r="W42" s="176">
        <v>25.1326254826255</v>
      </c>
      <c r="X42" s="176">
        <v>21.314315245477999</v>
      </c>
      <c r="Y42" s="176">
        <v>25.131580267558501</v>
      </c>
      <c r="Z42" s="176">
        <v>24.636024169184299</v>
      </c>
      <c r="AA42" s="176">
        <f>IFERROR(AA39/AA41,"")</f>
        <v>25.110405116069415</v>
      </c>
      <c r="AB42" s="176"/>
      <c r="AD42" s="176">
        <v>34.036246534141597</v>
      </c>
      <c r="AE42" s="176"/>
      <c r="AF42" s="177">
        <f t="shared" si="1"/>
        <v>-8.9258414180721815</v>
      </c>
      <c r="AG42" s="176">
        <v>27.150150842945902</v>
      </c>
      <c r="AH42" s="176"/>
      <c r="AI42" s="177">
        <f t="shared" si="2"/>
        <v>-2.039745726876486</v>
      </c>
    </row>
    <row r="43" spans="1:35" x14ac:dyDescent="0.25">
      <c r="A43" s="6" t="s">
        <v>31</v>
      </c>
      <c r="B43" s="7" t="s">
        <v>78</v>
      </c>
      <c r="G43" s="181">
        <f>COUNTIF(O44:AI44,FALSE)</f>
        <v>0</v>
      </c>
      <c r="H43" s="15"/>
      <c r="I43" s="161"/>
      <c r="J43" s="161"/>
      <c r="K43" s="162"/>
      <c r="L43" s="162"/>
      <c r="M43" s="162"/>
      <c r="N43" s="182" t="s">
        <v>345</v>
      </c>
      <c r="O43" s="179">
        <f t="shared" ref="O43:AA43" si="4">ROUND(IFERROR(O39/O41,0),2)</f>
        <v>25.15</v>
      </c>
      <c r="P43" s="184">
        <f t="shared" si="4"/>
        <v>22.8</v>
      </c>
      <c r="Q43" s="184">
        <f t="shared" si="4"/>
        <v>27.97</v>
      </c>
      <c r="R43" s="184">
        <f t="shared" si="4"/>
        <v>25.67</v>
      </c>
      <c r="S43" s="184">
        <f t="shared" si="4"/>
        <v>27.27</v>
      </c>
      <c r="T43" s="184">
        <f t="shared" si="4"/>
        <v>25.47</v>
      </c>
      <c r="U43" s="184">
        <f t="shared" si="4"/>
        <v>24.19</v>
      </c>
      <c r="V43" s="184">
        <f t="shared" si="4"/>
        <v>25.7</v>
      </c>
      <c r="W43" s="184">
        <f t="shared" si="4"/>
        <v>25.13</v>
      </c>
      <c r="X43" s="184">
        <f t="shared" si="4"/>
        <v>21.31</v>
      </c>
      <c r="Y43" s="184">
        <f t="shared" si="4"/>
        <v>25.13</v>
      </c>
      <c r="Z43" s="184">
        <f t="shared" si="4"/>
        <v>24.64</v>
      </c>
      <c r="AA43" s="184">
        <f t="shared" si="4"/>
        <v>25.11</v>
      </c>
      <c r="AB43" s="183"/>
      <c r="AD43" s="179">
        <f>ROUND(IFERROR(AD39/AD41,0),2)</f>
        <v>34.04</v>
      </c>
      <c r="AE43" s="184"/>
      <c r="AF43" s="180"/>
      <c r="AG43" s="179">
        <f>ROUND(IFERROR(AG39/AG41,0),2)</f>
        <v>27.15</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19514.900000000001</v>
      </c>
      <c r="P55" s="21">
        <v>15544.5</v>
      </c>
      <c r="Q55" s="21">
        <v>18386</v>
      </c>
      <c r="R55" s="21">
        <v>15317.99</v>
      </c>
      <c r="S55" s="21">
        <v>9881.64</v>
      </c>
      <c r="T55" s="21">
        <v>10621.1</v>
      </c>
      <c r="U55" s="21">
        <v>10042.02</v>
      </c>
      <c r="V55" s="21">
        <v>8974</v>
      </c>
      <c r="W55" s="21">
        <v>1137.18</v>
      </c>
      <c r="X55" s="21">
        <v>-212.96</v>
      </c>
      <c r="Y55" s="21">
        <v>-59.77</v>
      </c>
      <c r="Z55" s="21">
        <v>-79.83</v>
      </c>
      <c r="AA55" s="21">
        <f t="shared" ref="AA55:AA61" si="11">SUM(O55:Z55)</f>
        <v>109066.76999999999</v>
      </c>
      <c r="AB55" s="17" t="str">
        <f ca="1">IF(AA55=0,"",IFERROR(AA55/AA$19,""))</f>
        <v/>
      </c>
      <c r="AD55" s="21">
        <v>343621.27695500001</v>
      </c>
      <c r="AE55" s="17" t="str">
        <f ca="1">IF(AD55=0,"",IFERROR(AD55/AD$19,""))</f>
        <v/>
      </c>
      <c r="AF55" s="50">
        <f t="shared" ref="AF55:AF62" si="12">IF(AND($AA55="",AD55=""),"",$AA55-AD55)</f>
        <v>-234554.50695500002</v>
      </c>
      <c r="AG55" s="21">
        <v>224392.67</v>
      </c>
      <c r="AH55" s="17" t="str">
        <f t="shared" ca="1" si="3"/>
        <v/>
      </c>
      <c r="AI55" s="50">
        <f t="shared" ref="AI55:AI62" si="13">IF(AND($AA55="",AG55=""),"",$AA55-AG55)</f>
        <v>-115325.90000000002</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v>3279</v>
      </c>
      <c r="P56" s="21">
        <v>2257.1999999999998</v>
      </c>
      <c r="Q56" s="21">
        <v>3042</v>
      </c>
      <c r="R56" s="21">
        <v>2053</v>
      </c>
      <c r="S56" s="21">
        <v>1746</v>
      </c>
      <c r="T56" s="21">
        <v>1340</v>
      </c>
      <c r="U56" s="21">
        <v>1466</v>
      </c>
      <c r="V56" s="21">
        <v>1490</v>
      </c>
      <c r="W56" s="21">
        <v>56</v>
      </c>
      <c r="X56" s="21"/>
      <c r="Y56" s="21"/>
      <c r="Z56" s="21"/>
      <c r="AA56" s="21">
        <f t="shared" si="11"/>
        <v>16729.2</v>
      </c>
      <c r="AB56" s="17" t="str">
        <f ca="1">IF(AA56=0,"",IFERROR(AA56/AA$19,""))</f>
        <v/>
      </c>
      <c r="AD56" s="21">
        <v>73154.718233000007</v>
      </c>
      <c r="AE56" s="17" t="str">
        <f ca="1">IF(AD56=0,"",IFERROR(AD56/AD$19,""))</f>
        <v/>
      </c>
      <c r="AF56" s="50">
        <f t="shared" si="12"/>
        <v>-56425.51823300001</v>
      </c>
      <c r="AG56" s="21">
        <v>43828.41</v>
      </c>
      <c r="AH56" s="17" t="str">
        <f t="shared" ca="1" si="3"/>
        <v/>
      </c>
      <c r="AI56" s="50">
        <f t="shared" si="13"/>
        <v>-27099.210000000003</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v>364</v>
      </c>
      <c r="P57" s="21">
        <v>390</v>
      </c>
      <c r="Q57" s="21">
        <v>750</v>
      </c>
      <c r="R57" s="21">
        <v>437.12</v>
      </c>
      <c r="S57" s="21">
        <v>239</v>
      </c>
      <c r="T57" s="21">
        <v>330</v>
      </c>
      <c r="U57" s="21">
        <v>314</v>
      </c>
      <c r="V57" s="21">
        <v>178</v>
      </c>
      <c r="W57" s="21"/>
      <c r="X57" s="21"/>
      <c r="Y57" s="21"/>
      <c r="Z57" s="21"/>
      <c r="AA57" s="21">
        <f t="shared" si="11"/>
        <v>3002.12</v>
      </c>
      <c r="AB57" s="17" t="str">
        <f ca="1">IF(AA57=0,"",IFERROR(AA57/AA$19,""))</f>
        <v/>
      </c>
      <c r="AD57" s="21">
        <v>10077.191981</v>
      </c>
      <c r="AE57" s="17" t="str">
        <f ca="1">IF(AD57=0,"",IFERROR(AD57/AD$19,""))</f>
        <v/>
      </c>
      <c r="AF57" s="50">
        <f t="shared" si="12"/>
        <v>-7075.0719810000001</v>
      </c>
      <c r="AG57" s="21">
        <v>6579.1</v>
      </c>
      <c r="AH57" s="17" t="str">
        <f t="shared" ca="1" si="3"/>
        <v/>
      </c>
      <c r="AI57" s="50">
        <f t="shared" si="13"/>
        <v>-3576.9800000000005</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v>3256</v>
      </c>
      <c r="P58" s="30">
        <v>2030</v>
      </c>
      <c r="Q58" s="30">
        <v>1720</v>
      </c>
      <c r="R58" s="30">
        <v>2149.89</v>
      </c>
      <c r="S58" s="30">
        <v>1385</v>
      </c>
      <c r="T58" s="30">
        <v>1145</v>
      </c>
      <c r="U58" s="30">
        <v>714.22</v>
      </c>
      <c r="V58" s="30">
        <v>1067</v>
      </c>
      <c r="W58" s="30"/>
      <c r="X58" s="30"/>
      <c r="Y58" s="30"/>
      <c r="Z58" s="30"/>
      <c r="AA58" s="30">
        <f t="shared" si="11"/>
        <v>13467.109999999999</v>
      </c>
      <c r="AB58" s="31" t="str">
        <f ca="1">IF(AA58=0,"",IFERROR(AA58/AA$19,""))</f>
        <v/>
      </c>
      <c r="AD58" s="30">
        <v>55604.832831</v>
      </c>
      <c r="AE58" s="31" t="str">
        <f ca="1">IF(AD58=0,"",IFERROR(AD58/AD$19,""))</f>
        <v/>
      </c>
      <c r="AF58" s="51">
        <f t="shared" si="12"/>
        <v>-42137.722830999999</v>
      </c>
      <c r="AG58" s="30">
        <v>34605.06</v>
      </c>
      <c r="AH58" s="31" t="str">
        <f t="shared" ca="1" si="3"/>
        <v/>
      </c>
      <c r="AI58" s="51">
        <f t="shared" si="13"/>
        <v>-21137.949999999997</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v>26413.9</v>
      </c>
      <c r="P59" s="164">
        <v>20221.7</v>
      </c>
      <c r="Q59" s="164">
        <v>23898</v>
      </c>
      <c r="R59" s="164">
        <v>19958</v>
      </c>
      <c r="S59" s="164">
        <v>13251.64</v>
      </c>
      <c r="T59" s="164">
        <v>13436.1</v>
      </c>
      <c r="U59" s="164">
        <v>12536.24</v>
      </c>
      <c r="V59" s="164">
        <v>11709</v>
      </c>
      <c r="W59" s="164">
        <v>1193.18</v>
      </c>
      <c r="X59" s="164">
        <v>-212.96</v>
      </c>
      <c r="Y59" s="164">
        <v>-59.77</v>
      </c>
      <c r="Z59" s="164">
        <v>-79.83</v>
      </c>
      <c r="AA59" s="164">
        <f t="shared" si="11"/>
        <v>142265.20000000004</v>
      </c>
      <c r="AB59" s="175" t="str">
        <f ca="1">IF(AA59=0,"",IFERROR(AA59/AA$19,""))</f>
        <v/>
      </c>
      <c r="AD59" s="164">
        <v>482458.02</v>
      </c>
      <c r="AE59" s="175" t="str">
        <f ca="1">IF(AD59=0,"",IFERROR(AD59/AD$19,""))</f>
        <v/>
      </c>
      <c r="AF59" s="165">
        <f t="shared" si="12"/>
        <v>-340192.81999999995</v>
      </c>
      <c r="AG59" s="164">
        <v>309405.24</v>
      </c>
      <c r="AH59" s="175" t="str">
        <f t="shared" ca="1" si="3"/>
        <v/>
      </c>
      <c r="AI59" s="165">
        <f t="shared" si="13"/>
        <v>-167140.03999999995</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v>19</v>
      </c>
      <c r="P60" s="38">
        <v>14</v>
      </c>
      <c r="Q60" s="38">
        <v>14</v>
      </c>
      <c r="R60" s="38">
        <v>13</v>
      </c>
      <c r="S60" s="38">
        <v>12</v>
      </c>
      <c r="T60" s="38"/>
      <c r="U60" s="38">
        <v>13</v>
      </c>
      <c r="V60" s="38">
        <v>12</v>
      </c>
      <c r="W60" s="38">
        <v>1</v>
      </c>
      <c r="X60" s="38"/>
      <c r="Y60" s="38"/>
      <c r="Z60" s="38"/>
      <c r="AA60" s="38">
        <f t="shared" si="11"/>
        <v>98</v>
      </c>
      <c r="AB60" s="39"/>
      <c r="AD60" s="38">
        <v>278</v>
      </c>
      <c r="AE60" s="39"/>
      <c r="AF60" s="132">
        <f t="shared" si="12"/>
        <v>-180</v>
      </c>
      <c r="AG60" s="38">
        <v>235</v>
      </c>
      <c r="AH60" s="39"/>
      <c r="AI60" s="132">
        <f t="shared" si="13"/>
        <v>-137</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v>559</v>
      </c>
      <c r="P61" s="38">
        <v>390</v>
      </c>
      <c r="Q61" s="38">
        <v>477</v>
      </c>
      <c r="R61" s="38">
        <v>400</v>
      </c>
      <c r="S61" s="38">
        <v>283</v>
      </c>
      <c r="T61" s="38">
        <v>307</v>
      </c>
      <c r="U61" s="38">
        <v>312</v>
      </c>
      <c r="V61" s="38">
        <v>266</v>
      </c>
      <c r="W61" s="38">
        <v>20</v>
      </c>
      <c r="X61" s="38"/>
      <c r="Y61" s="38"/>
      <c r="Z61" s="38"/>
      <c r="AA61" s="38">
        <f t="shared" si="11"/>
        <v>3014</v>
      </c>
      <c r="AB61" s="39">
        <f>IF(AA61=0,"",IFERROR(AA61/AA$87,""))</f>
        <v>0.14516905885752818</v>
      </c>
      <c r="AD61" s="38">
        <v>8797</v>
      </c>
      <c r="AE61" s="39">
        <f>IF(AD61=0,"",IFERROR(AD61/AD$87,""))</f>
        <v>0.29249235270647694</v>
      </c>
      <c r="AF61" s="132">
        <f t="shared" si="12"/>
        <v>-5783</v>
      </c>
      <c r="AG61" s="38">
        <v>6434</v>
      </c>
      <c r="AH61" s="39">
        <f>IF(AG61=0,"",IFERROR(AG61/AG$87,""))</f>
        <v>0.24079341317365269</v>
      </c>
      <c r="AI61" s="132">
        <f t="shared" si="13"/>
        <v>-3420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v>47.252057245080501</v>
      </c>
      <c r="P62" s="176">
        <v>51.850512820512797</v>
      </c>
      <c r="Q62" s="176">
        <v>50.100628930817599</v>
      </c>
      <c r="R62" s="176">
        <v>49.895000000000003</v>
      </c>
      <c r="S62" s="176">
        <v>46.825583038869297</v>
      </c>
      <c r="T62" s="176">
        <v>43.765798045602601</v>
      </c>
      <c r="U62" s="176">
        <v>40.180256410256398</v>
      </c>
      <c r="V62" s="176">
        <v>44.018796992481199</v>
      </c>
      <c r="W62" s="176">
        <v>59.658999999999999</v>
      </c>
      <c r="X62" s="176"/>
      <c r="Y62" s="176"/>
      <c r="Z62" s="176"/>
      <c r="AA62" s="176">
        <f>IFERROR(AA59/AA61,"")</f>
        <v>47.201459854014615</v>
      </c>
      <c r="AB62" s="176"/>
      <c r="AD62" s="176">
        <v>54.843471638058404</v>
      </c>
      <c r="AE62" s="176"/>
      <c r="AF62" s="177">
        <f t="shared" si="12"/>
        <v>-7.6420117840437882</v>
      </c>
      <c r="AG62" s="176">
        <v>48.089095430525298</v>
      </c>
      <c r="AH62" s="176"/>
      <c r="AI62" s="177">
        <f t="shared" si="13"/>
        <v>-0.88763557651068226</v>
      </c>
    </row>
    <row r="63" spans="1:35" x14ac:dyDescent="0.25">
      <c r="G63" s="181">
        <f>COUNTIF(O64:AI64,FALSE)</f>
        <v>0</v>
      </c>
      <c r="H63" s="15"/>
      <c r="I63" s="161"/>
      <c r="J63" s="161"/>
      <c r="K63" s="162"/>
      <c r="L63" s="162"/>
      <c r="M63" s="162"/>
      <c r="N63" s="182" t="s">
        <v>345</v>
      </c>
      <c r="O63" s="179">
        <f t="shared" ref="O63:AA63" si="14">ROUND(IFERROR(O59/O61,0),2)</f>
        <v>47.25</v>
      </c>
      <c r="P63" s="184">
        <f t="shared" si="14"/>
        <v>51.85</v>
      </c>
      <c r="Q63" s="184">
        <f t="shared" si="14"/>
        <v>50.1</v>
      </c>
      <c r="R63" s="184">
        <f t="shared" si="14"/>
        <v>49.9</v>
      </c>
      <c r="S63" s="184">
        <f t="shared" si="14"/>
        <v>46.83</v>
      </c>
      <c r="T63" s="184">
        <f t="shared" si="14"/>
        <v>43.77</v>
      </c>
      <c r="U63" s="184">
        <f t="shared" si="14"/>
        <v>40.18</v>
      </c>
      <c r="V63" s="184">
        <f t="shared" si="14"/>
        <v>44.02</v>
      </c>
      <c r="W63" s="184">
        <f t="shared" si="14"/>
        <v>59.66</v>
      </c>
      <c r="X63" s="184">
        <f t="shared" si="14"/>
        <v>0</v>
      </c>
      <c r="Y63" s="184">
        <f t="shared" si="14"/>
        <v>0</v>
      </c>
      <c r="Z63" s="184">
        <f t="shared" si="14"/>
        <v>0</v>
      </c>
      <c r="AA63" s="184">
        <f t="shared" si="14"/>
        <v>47.2</v>
      </c>
      <c r="AB63" s="183"/>
      <c r="AD63" s="179">
        <f>ROUND(IFERROR(AD59/AD61,0),2)</f>
        <v>54.84</v>
      </c>
      <c r="AE63" s="184"/>
      <c r="AF63" s="180"/>
      <c r="AG63" s="179">
        <f>ROUND(IFERROR(AG59/AG61,0),2)</f>
        <v>48.09</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b">
        <f t="shared" si="15"/>
        <v>1</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v>-56</v>
      </c>
      <c r="Q83" s="21"/>
      <c r="R83" s="21">
        <v>-133.71</v>
      </c>
      <c r="S83" s="21">
        <v>-527.83000000000004</v>
      </c>
      <c r="T83" s="21"/>
      <c r="U83" s="21"/>
      <c r="V83" s="21">
        <v>-105.94</v>
      </c>
      <c r="W83" s="21"/>
      <c r="X83" s="21"/>
      <c r="Y83" s="21">
        <v>-10.18</v>
      </c>
      <c r="Z83" s="21"/>
      <c r="AA83" s="21">
        <f>SUM(O83:Z83)</f>
        <v>-833.66</v>
      </c>
      <c r="AB83" s="17" t="str">
        <f ca="1">IF(AA83=0,"",IFERROR(AA83/AA$19,""))</f>
        <v/>
      </c>
      <c r="AD83" s="21"/>
      <c r="AE83" s="17" t="str">
        <f>IF(AD83=0,"",IFERROR(AD83/AD$19,""))</f>
        <v/>
      </c>
      <c r="AF83" s="50">
        <f>IF(AND($AA83="",AD83=""),"",$AA83-AD83)</f>
        <v>-833.66</v>
      </c>
      <c r="AG83" s="21">
        <v>-931.3</v>
      </c>
      <c r="AH83" s="17" t="str">
        <f ca="1">IF(AG83=0,"",IFERROR(AG83/AG$19,""))</f>
        <v/>
      </c>
      <c r="AI83" s="50">
        <f>IF(AND($AA83="",AG83=""),"",$AA83-AG83)</f>
        <v>97.639999999999986</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72974.820000000007</v>
      </c>
      <c r="P85" s="171">
        <v>59060.34</v>
      </c>
      <c r="Q85" s="171">
        <v>75752.56</v>
      </c>
      <c r="R85" s="171">
        <v>64609.99</v>
      </c>
      <c r="S85" s="171">
        <v>47902.23</v>
      </c>
      <c r="T85" s="171">
        <v>50678.77</v>
      </c>
      <c r="U85" s="171">
        <v>48163.26</v>
      </c>
      <c r="V85" s="171">
        <v>45505.29</v>
      </c>
      <c r="W85" s="171">
        <v>27230.58</v>
      </c>
      <c r="X85" s="171">
        <v>24532.959999999999</v>
      </c>
      <c r="Y85" s="171">
        <v>29987.42</v>
      </c>
      <c r="Z85" s="171">
        <v>40692.79</v>
      </c>
      <c r="AA85" s="171">
        <f>SUM(O85:Z85)</f>
        <v>587091.01000000013</v>
      </c>
      <c r="AB85" s="172" t="str">
        <f ca="1">IF(AA85=0,"",IFERROR(AA85/AA$19,""))</f>
        <v/>
      </c>
      <c r="AD85" s="171">
        <v>1206715.31</v>
      </c>
      <c r="AE85" s="172" t="str">
        <f ca="1">IF(AD85=0,"",IFERROR(AD85/AD$19,""))</f>
        <v/>
      </c>
      <c r="AF85" s="173">
        <f>IF(AND($AA85="",AD85=""),"",$AA85-AD85)</f>
        <v>-619624.29999999993</v>
      </c>
      <c r="AG85" s="171">
        <v>859241.9</v>
      </c>
      <c r="AH85" s="172" t="str">
        <f ca="1">IF(AG85=0,"",IFERROR(AG85/AG$19,""))</f>
        <v/>
      </c>
      <c r="AI85" s="173">
        <f>IF(AND($AA85="",AG85=""),"",$AA85-AG85)</f>
        <v>-272150.8899999999</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v>60</v>
      </c>
      <c r="P86" s="171">
        <v>60</v>
      </c>
      <c r="Q86" s="171">
        <v>60</v>
      </c>
      <c r="R86" s="171">
        <v>60</v>
      </c>
      <c r="S86" s="171">
        <v>60</v>
      </c>
      <c r="T86" s="171"/>
      <c r="U86" s="171">
        <v>60</v>
      </c>
      <c r="V86" s="171">
        <v>60</v>
      </c>
      <c r="W86" s="171">
        <v>60</v>
      </c>
      <c r="X86" s="171">
        <v>60</v>
      </c>
      <c r="Y86" s="171">
        <v>60</v>
      </c>
      <c r="Z86" s="171">
        <v>60</v>
      </c>
      <c r="AA86" s="171">
        <f>SUM(O86:Z86)</f>
        <v>660</v>
      </c>
      <c r="AB86" s="172"/>
      <c r="AD86" s="171"/>
      <c r="AE86" s="172"/>
      <c r="AF86" s="173">
        <f>IF(AND($AA86="",AD86=""),"",$AA86-AD86)</f>
        <v>660</v>
      </c>
      <c r="AG86" s="171">
        <v>720</v>
      </c>
      <c r="AH86" s="172"/>
      <c r="AI86" s="173">
        <f>IF(AND($AA86="",AG86=""),"",$AA86-AG86)</f>
        <v>-60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2410</v>
      </c>
      <c r="P87" s="171">
        <v>2096</v>
      </c>
      <c r="Q87" s="171">
        <v>2331</v>
      </c>
      <c r="R87" s="171">
        <v>2145</v>
      </c>
      <c r="S87" s="171">
        <v>1573</v>
      </c>
      <c r="T87" s="171">
        <v>1769</v>
      </c>
      <c r="U87" s="171">
        <v>1785</v>
      </c>
      <c r="V87" s="171">
        <v>1585</v>
      </c>
      <c r="W87" s="171">
        <v>1056</v>
      </c>
      <c r="X87" s="171">
        <v>1161</v>
      </c>
      <c r="Y87" s="171">
        <v>1196</v>
      </c>
      <c r="Z87" s="171">
        <v>1655</v>
      </c>
      <c r="AA87" s="171">
        <f>SUM(O87:Z87)</f>
        <v>20762</v>
      </c>
      <c r="AB87" s="172" t="str">
        <f ca="1">IF(AA87=0,"",IFERROR(AA87/AA$20,""))</f>
        <v/>
      </c>
      <c r="AD87" s="171">
        <v>30076</v>
      </c>
      <c r="AE87" s="172" t="str">
        <f ca="1">IF(AD87=0,"",IFERROR(AD87/AD$20,""))</f>
        <v/>
      </c>
      <c r="AF87" s="173">
        <f>IF(AND($AA87="",AD87=""),"",$AA87-AD87)</f>
        <v>-9314</v>
      </c>
      <c r="AG87" s="171">
        <v>26720</v>
      </c>
      <c r="AH87" s="172" t="str">
        <f ca="1">IF(AG87=0,"",IFERROR(AG87/AG$20,""))</f>
        <v/>
      </c>
      <c r="AI87" s="173">
        <f>IF(AND($AA87="",AG87=""),"",$AA87-AG87)</f>
        <v>-5958</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30.280008298755199</v>
      </c>
      <c r="P88" s="176">
        <v>28.177643129770999</v>
      </c>
      <c r="Q88" s="176">
        <v>32.497880737880699</v>
      </c>
      <c r="R88" s="176">
        <v>30.121207459207501</v>
      </c>
      <c r="S88" s="176">
        <v>30.452784488239001</v>
      </c>
      <c r="T88" s="176">
        <v>28.648258903335201</v>
      </c>
      <c r="U88" s="176">
        <v>26.982218487394999</v>
      </c>
      <c r="V88" s="176">
        <v>28.709962145110399</v>
      </c>
      <c r="W88" s="176">
        <v>25.7865340909091</v>
      </c>
      <c r="X88" s="176">
        <v>21.130887166236</v>
      </c>
      <c r="Y88" s="176">
        <v>25.073093645484899</v>
      </c>
      <c r="Z88" s="176">
        <v>24.587788519637499</v>
      </c>
      <c r="AA88" s="176">
        <f>IFERROR(AA85/AA87,"")</f>
        <v>28.277189577112036</v>
      </c>
      <c r="AB88" s="176"/>
      <c r="AD88" s="176">
        <v>40.122200758079501</v>
      </c>
      <c r="AE88" s="176"/>
      <c r="AF88" s="177">
        <f>IF(AND($AA88="",AD88=""),"",$AA88-AD88)</f>
        <v>-11.845011180967465</v>
      </c>
      <c r="AG88" s="176">
        <v>32.157256736526897</v>
      </c>
      <c r="AH88" s="176"/>
      <c r="AI88" s="177">
        <f>IF(AND($AA88="",AG88=""),"",$AA88-AG88)</f>
        <v>-3.8800671594148604</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v>155.30000000000001</v>
      </c>
      <c r="P91" s="21">
        <v>135.80000000000001</v>
      </c>
      <c r="Q91" s="21">
        <v>142.69999999999999</v>
      </c>
      <c r="R91" s="21">
        <v>343.72</v>
      </c>
      <c r="S91" s="21">
        <v>312.93</v>
      </c>
      <c r="T91" s="21">
        <v>203.88</v>
      </c>
      <c r="U91" s="21">
        <v>205.48</v>
      </c>
      <c r="V91" s="21">
        <v>206.24</v>
      </c>
      <c r="W91" s="21">
        <v>9.68</v>
      </c>
      <c r="X91" s="21">
        <v>210.02</v>
      </c>
      <c r="Y91" s="21">
        <v>191.82</v>
      </c>
      <c r="Z91" s="21">
        <v>234.38</v>
      </c>
      <c r="AA91" s="21">
        <f>SUM(O91:Z91)</f>
        <v>2351.9500000000003</v>
      </c>
      <c r="AB91" s="17"/>
      <c r="AD91" s="21">
        <v>6328.5714285720996</v>
      </c>
      <c r="AE91" s="17"/>
      <c r="AF91" s="50">
        <f>IF(AND($AA91="",AD91=""),"",$AA91-AD91)</f>
        <v>-3976.6214285720994</v>
      </c>
      <c r="AG91" s="21">
        <v>3169.14</v>
      </c>
      <c r="AH91" s="17"/>
      <c r="AI91" s="50">
        <f>IF(AND($AA91="",AG91=""),"",$AA91-AG91)</f>
        <v>-817.1899999999996</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v>689.89</v>
      </c>
      <c r="P92" s="21">
        <v>938.49</v>
      </c>
      <c r="Q92" s="21">
        <v>1042.72</v>
      </c>
      <c r="R92" s="21">
        <v>973.07</v>
      </c>
      <c r="S92" s="21">
        <v>747.71</v>
      </c>
      <c r="T92" s="21">
        <v>722.74</v>
      </c>
      <c r="U92" s="21">
        <v>650.88</v>
      </c>
      <c r="V92" s="21">
        <v>585.91999999999996</v>
      </c>
      <c r="W92" s="21">
        <v>580.76</v>
      </c>
      <c r="X92" s="21">
        <v>653.35</v>
      </c>
      <c r="Y92" s="21">
        <v>589.12</v>
      </c>
      <c r="Z92" s="21">
        <v>707.82</v>
      </c>
      <c r="AA92" s="21">
        <f>SUM(O92:Z92)</f>
        <v>8882.4700000000012</v>
      </c>
      <c r="AB92" s="17"/>
      <c r="AD92" s="21">
        <v>9928</v>
      </c>
      <c r="AE92" s="17"/>
      <c r="AF92" s="50">
        <f>IF(AND($AA92="",AD92=""),"",$AA92-AD92)</f>
        <v>-1045.5299999999988</v>
      </c>
      <c r="AG92" s="21">
        <v>8762.06</v>
      </c>
      <c r="AH92" s="17"/>
      <c r="AI92" s="50">
        <f>IF(AND($AA92="",AG92=""),"",$AA92-AG92)</f>
        <v>120.41000000000167</v>
      </c>
    </row>
    <row r="93" spans="3:35" collapsed="1" x14ac:dyDescent="0.25">
      <c r="C93" s="32"/>
      <c r="H93" s="149"/>
      <c r="I93" s="161"/>
      <c r="J93" s="161"/>
      <c r="L93" s="162"/>
      <c r="M93" s="162"/>
      <c r="N93" s="26" t="s">
        <v>335</v>
      </c>
      <c r="O93" s="178">
        <f t="shared" ref="O93:AA93" si="26">IFERROR(O$87/O91,"")</f>
        <v>15.518351577591757</v>
      </c>
      <c r="P93" s="178">
        <f t="shared" si="26"/>
        <v>15.434462444771722</v>
      </c>
      <c r="Q93" s="178">
        <f t="shared" si="26"/>
        <v>16.334968465311846</v>
      </c>
      <c r="R93" s="178">
        <f t="shared" si="26"/>
        <v>6.2405446293494702</v>
      </c>
      <c r="S93" s="178">
        <f t="shared" si="26"/>
        <v>5.0266832838014892</v>
      </c>
      <c r="T93" s="178">
        <f t="shared" si="26"/>
        <v>8.6766725524818522</v>
      </c>
      <c r="U93" s="178">
        <f t="shared" si="26"/>
        <v>8.6869768347284406</v>
      </c>
      <c r="V93" s="178">
        <f t="shared" si="26"/>
        <v>7.6852211016291694</v>
      </c>
      <c r="W93" s="178">
        <f t="shared" si="26"/>
        <v>109.09090909090909</v>
      </c>
      <c r="X93" s="178">
        <f t="shared" si="26"/>
        <v>5.528044948100181</v>
      </c>
      <c r="Y93" s="178">
        <f t="shared" si="26"/>
        <v>6.2350119904076742</v>
      </c>
      <c r="Z93" s="178">
        <f t="shared" si="26"/>
        <v>7.0611826947691787</v>
      </c>
      <c r="AA93" s="178">
        <f t="shared" si="26"/>
        <v>8.8275686132783431</v>
      </c>
      <c r="AB93" s="139"/>
      <c r="AD93" s="178">
        <f>IFERROR(AD$87/AD91,"")</f>
        <v>4.7524153498866291</v>
      </c>
      <c r="AE93" s="139"/>
      <c r="AF93" s="140">
        <f>IF(AND($AA93="",AD93=""),"",$AA93-AD93)</f>
        <v>4.075153263391714</v>
      </c>
      <c r="AG93" s="178">
        <f>IFERROR(AG$87/AG91,"")</f>
        <v>8.4313094404160118</v>
      </c>
      <c r="AH93" s="139"/>
      <c r="AI93" s="140">
        <f>IF(AND($AA93="",AG93=""),"",$AA93-AG93)</f>
        <v>0.39625917286233125</v>
      </c>
    </row>
    <row r="94" spans="3:35" x14ac:dyDescent="0.25">
      <c r="C94" s="32"/>
      <c r="H94" s="149"/>
      <c r="I94" s="161"/>
      <c r="J94" s="161"/>
      <c r="L94" s="162"/>
      <c r="M94" s="162"/>
      <c r="N94" s="26" t="s">
        <v>336</v>
      </c>
      <c r="O94" s="178">
        <f t="shared" ref="O94:AA94" si="27">IFERROR(O$87/O92,"")</f>
        <v>3.493310527765296</v>
      </c>
      <c r="P94" s="178">
        <f t="shared" si="27"/>
        <v>2.233374889450074</v>
      </c>
      <c r="Q94" s="178">
        <f t="shared" si="27"/>
        <v>2.2354994629430718</v>
      </c>
      <c r="R94" s="178">
        <f t="shared" si="27"/>
        <v>2.2043635093055998</v>
      </c>
      <c r="S94" s="178">
        <f t="shared" si="27"/>
        <v>2.1037568041085448</v>
      </c>
      <c r="T94" s="178">
        <f t="shared" si="27"/>
        <v>2.4476298530591913</v>
      </c>
      <c r="U94" s="178">
        <f t="shared" si="27"/>
        <v>2.7424410029498527</v>
      </c>
      <c r="V94" s="178">
        <f t="shared" si="27"/>
        <v>2.705147460404151</v>
      </c>
      <c r="W94" s="178">
        <f t="shared" si="27"/>
        <v>1.818307045939803</v>
      </c>
      <c r="X94" s="178">
        <f t="shared" si="27"/>
        <v>1.776995484809061</v>
      </c>
      <c r="Y94" s="178">
        <f t="shared" si="27"/>
        <v>2.0301466594242261</v>
      </c>
      <c r="Z94" s="178">
        <f t="shared" si="27"/>
        <v>2.3381650702155912</v>
      </c>
      <c r="AA94" s="178">
        <f t="shared" si="27"/>
        <v>2.3374129042935126</v>
      </c>
      <c r="AB94" s="139"/>
      <c r="AD94" s="178">
        <f>IFERROR(AD$87/AD92,"")</f>
        <v>3.0294117647058822</v>
      </c>
      <c r="AE94" s="139"/>
      <c r="AF94" s="140">
        <f>IF(AND($AA94="",AD94=""),"",$AA94-AD94)</f>
        <v>-0.69199886041236969</v>
      </c>
      <c r="AG94" s="178">
        <f>IFERROR(AG$87/AG92,"")</f>
        <v>3.0495111880082995</v>
      </c>
      <c r="AH94" s="139"/>
      <c r="AI94" s="140">
        <f>IF(AND($AA94="",AG94=""),"",$AA94-AG94)</f>
        <v>-0.71209828371478689</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v>2143.88</v>
      </c>
      <c r="P98" s="21">
        <v>2358</v>
      </c>
      <c r="Q98" s="21">
        <v>3458</v>
      </c>
      <c r="R98" s="21">
        <v>3306.5</v>
      </c>
      <c r="S98" s="21">
        <v>1845</v>
      </c>
      <c r="T98" s="21">
        <v>1616.5</v>
      </c>
      <c r="U98" s="21">
        <v>1381</v>
      </c>
      <c r="V98" s="21">
        <v>1444</v>
      </c>
      <c r="W98" s="21">
        <v>1978</v>
      </c>
      <c r="X98" s="21">
        <v>1242</v>
      </c>
      <c r="Y98" s="21">
        <v>1849</v>
      </c>
      <c r="Z98" s="21">
        <v>1779</v>
      </c>
      <c r="AA98" s="21">
        <f t="shared" ref="AA98:AA103" si="28">SUM(O98:Z98)</f>
        <v>24400.880000000001</v>
      </c>
      <c r="AB98" s="17" t="str">
        <f t="shared" ref="AB98:AB103" ca="1" si="29">IF(AA98=0,"",IFERROR(AA98/AA$19,""))</f>
        <v/>
      </c>
      <c r="AD98" s="21">
        <v>30485.187150000002</v>
      </c>
      <c r="AE98" s="17" t="str">
        <f t="shared" ref="AE98:AE103" ca="1" si="30">IF(AD98=0,"",IFERROR(AD98/AD$19,""))</f>
        <v/>
      </c>
      <c r="AF98" s="50">
        <f t="shared" ref="AF98:AF103" si="31">IF(AND($AA98="",AD98=""),"",$AA98-AD98)</f>
        <v>-6084.3071500000005</v>
      </c>
      <c r="AG98" s="21">
        <v>23177.18</v>
      </c>
      <c r="AH98" s="17" t="str">
        <f t="shared" ref="AH98:AH103" ca="1" si="32">IF(AG98=0,"",IFERROR(AG98/AG$19,""))</f>
        <v/>
      </c>
      <c r="AI98" s="50">
        <f t="shared" ref="AI98:AI103" si="33">IF(AND($AA98="",AG98=""),"",$AA98-AG98)</f>
        <v>1223.7000000000007</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v>3279</v>
      </c>
      <c r="P100" s="21">
        <v>2257.1999999999998</v>
      </c>
      <c r="Q100" s="21">
        <v>3042</v>
      </c>
      <c r="R100" s="21">
        <v>2053</v>
      </c>
      <c r="S100" s="21">
        <v>1746</v>
      </c>
      <c r="T100" s="21">
        <v>1340</v>
      </c>
      <c r="U100" s="21">
        <v>1466</v>
      </c>
      <c r="V100" s="21">
        <v>1490</v>
      </c>
      <c r="W100" s="21">
        <v>56</v>
      </c>
      <c r="X100" s="21"/>
      <c r="Y100" s="21"/>
      <c r="Z100" s="21"/>
      <c r="AA100" s="21">
        <f t="shared" si="28"/>
        <v>16729.2</v>
      </c>
      <c r="AB100" s="17" t="str">
        <f t="shared" ca="1" si="29"/>
        <v/>
      </c>
      <c r="AD100" s="21">
        <v>73154.718233000007</v>
      </c>
      <c r="AE100" s="17" t="str">
        <f t="shared" ca="1" si="30"/>
        <v/>
      </c>
      <c r="AF100" s="50">
        <f t="shared" si="31"/>
        <v>-56425.51823300001</v>
      </c>
      <c r="AG100" s="21">
        <v>43828.41</v>
      </c>
      <c r="AH100" s="17" t="str">
        <f t="shared" ca="1" si="32"/>
        <v/>
      </c>
      <c r="AI100" s="50">
        <f t="shared" si="33"/>
        <v>-27099.210000000003</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5422.88</v>
      </c>
      <c r="P103" s="164">
        <v>4615.2</v>
      </c>
      <c r="Q103" s="164">
        <v>6500</v>
      </c>
      <c r="R103" s="164">
        <v>5359.5</v>
      </c>
      <c r="S103" s="164">
        <v>3591</v>
      </c>
      <c r="T103" s="164">
        <v>2956.5</v>
      </c>
      <c r="U103" s="164">
        <v>2847</v>
      </c>
      <c r="V103" s="164">
        <v>2934</v>
      </c>
      <c r="W103" s="164">
        <v>2034</v>
      </c>
      <c r="X103" s="164">
        <v>1242</v>
      </c>
      <c r="Y103" s="164">
        <v>1849</v>
      </c>
      <c r="Z103" s="164">
        <v>1779</v>
      </c>
      <c r="AA103" s="164">
        <f t="shared" si="28"/>
        <v>41130.080000000002</v>
      </c>
      <c r="AB103" s="175" t="str">
        <f t="shared" ca="1" si="29"/>
        <v/>
      </c>
      <c r="AD103" s="164">
        <v>103639.905383</v>
      </c>
      <c r="AE103" s="175" t="str">
        <f t="shared" ca="1" si="30"/>
        <v/>
      </c>
      <c r="AF103" s="165">
        <f t="shared" si="31"/>
        <v>-62509.825383000003</v>
      </c>
      <c r="AG103" s="164">
        <v>67005.59</v>
      </c>
      <c r="AH103" s="175" t="str">
        <f t="shared" ca="1" si="32"/>
        <v/>
      </c>
      <c r="AI103" s="165">
        <f t="shared" si="33"/>
        <v>-25875.509999999995</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v>183</v>
      </c>
      <c r="P106" s="21">
        <v>120</v>
      </c>
      <c r="Q106" s="21">
        <v>510</v>
      </c>
      <c r="R106" s="21">
        <v>280</v>
      </c>
      <c r="S106" s="21">
        <v>269</v>
      </c>
      <c r="T106" s="21">
        <v>270</v>
      </c>
      <c r="U106" s="21">
        <v>214</v>
      </c>
      <c r="V106" s="21">
        <v>376</v>
      </c>
      <c r="W106" s="21">
        <v>160.80000000000001</v>
      </c>
      <c r="X106" s="21">
        <v>162</v>
      </c>
      <c r="Y106" s="21">
        <v>312</v>
      </c>
      <c r="Z106" s="21">
        <v>140</v>
      </c>
      <c r="AA106" s="21">
        <f t="shared" ref="AA106:AA111" si="34">SUM(O106:Z106)</f>
        <v>2996.8</v>
      </c>
      <c r="AB106" s="17" t="str">
        <f t="shared" ref="AB106:AB111" ca="1" si="35">IF(AA106=0,"",IFERROR(AA106/AA$19,""))</f>
        <v/>
      </c>
      <c r="AD106" s="21">
        <v>5312.8874130000004</v>
      </c>
      <c r="AE106" s="17" t="str">
        <f t="shared" ref="AE106:AE111" ca="1" si="36">IF(AD106=0,"",IFERROR(AD106/AD$19,""))</f>
        <v/>
      </c>
      <c r="AF106" s="50">
        <f t="shared" ref="AF106:AF111" si="37">IF(AND($AA106="",AD106=""),"",$AA106-AD106)</f>
        <v>-2316.0874130000002</v>
      </c>
      <c r="AG106" s="21">
        <v>3568.5</v>
      </c>
      <c r="AH106" s="17" t="str">
        <f t="shared" ref="AH106:AH111" ca="1" si="38">IF(AG106=0,"",IFERROR(AG106/AG$19,""))</f>
        <v/>
      </c>
      <c r="AI106" s="50">
        <f t="shared" ref="AI106:AI111" si="39">IF(AND($AA106="",AG106=""),"",$AA106-AG106)</f>
        <v>-571.69999999999982</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v>364</v>
      </c>
      <c r="P108" s="21">
        <v>390</v>
      </c>
      <c r="Q108" s="21">
        <v>750</v>
      </c>
      <c r="R108" s="21">
        <v>437.12</v>
      </c>
      <c r="S108" s="21">
        <v>239</v>
      </c>
      <c r="T108" s="21">
        <v>330</v>
      </c>
      <c r="U108" s="21">
        <v>314</v>
      </c>
      <c r="V108" s="21">
        <v>178</v>
      </c>
      <c r="W108" s="21"/>
      <c r="X108" s="21"/>
      <c r="Y108" s="21"/>
      <c r="Z108" s="21"/>
      <c r="AA108" s="21">
        <f t="shared" si="34"/>
        <v>3002.12</v>
      </c>
      <c r="AB108" s="17" t="str">
        <f t="shared" ca="1" si="35"/>
        <v/>
      </c>
      <c r="AD108" s="21">
        <v>10077.191981</v>
      </c>
      <c r="AE108" s="17" t="str">
        <f t="shared" ca="1" si="36"/>
        <v/>
      </c>
      <c r="AF108" s="50">
        <f t="shared" si="37"/>
        <v>-7075.0719810000001</v>
      </c>
      <c r="AG108" s="21">
        <v>6579.1</v>
      </c>
      <c r="AH108" s="17" t="str">
        <f t="shared" ca="1" si="38"/>
        <v/>
      </c>
      <c r="AI108" s="50">
        <f t="shared" si="39"/>
        <v>-3576.9800000000005</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547</v>
      </c>
      <c r="P111" s="164">
        <v>510</v>
      </c>
      <c r="Q111" s="164">
        <v>1260</v>
      </c>
      <c r="R111" s="164">
        <v>717.12</v>
      </c>
      <c r="S111" s="164">
        <v>508</v>
      </c>
      <c r="T111" s="164">
        <v>600</v>
      </c>
      <c r="U111" s="164">
        <v>528</v>
      </c>
      <c r="V111" s="164">
        <v>554</v>
      </c>
      <c r="W111" s="164">
        <v>160.80000000000001</v>
      </c>
      <c r="X111" s="164">
        <v>162</v>
      </c>
      <c r="Y111" s="164">
        <v>312</v>
      </c>
      <c r="Z111" s="164">
        <v>140</v>
      </c>
      <c r="AA111" s="164">
        <f t="shared" si="34"/>
        <v>5998.92</v>
      </c>
      <c r="AB111" s="175" t="str">
        <f t="shared" ca="1" si="35"/>
        <v/>
      </c>
      <c r="AD111" s="164">
        <v>15390.079394</v>
      </c>
      <c r="AE111" s="175" t="str">
        <f t="shared" ca="1" si="36"/>
        <v/>
      </c>
      <c r="AF111" s="165">
        <f t="shared" si="37"/>
        <v>-9391.1593940000002</v>
      </c>
      <c r="AG111" s="164">
        <v>10147.6</v>
      </c>
      <c r="AH111" s="175" t="str">
        <f t="shared" ca="1" si="38"/>
        <v/>
      </c>
      <c r="AI111" s="165">
        <f t="shared" si="39"/>
        <v>-4148.68</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v>2188</v>
      </c>
      <c r="P114" s="21">
        <v>1106</v>
      </c>
      <c r="Q114" s="21">
        <v>2226.34</v>
      </c>
      <c r="R114" s="21">
        <v>1352</v>
      </c>
      <c r="S114" s="21">
        <v>2240</v>
      </c>
      <c r="T114" s="21">
        <v>1634</v>
      </c>
      <c r="U114" s="21">
        <v>1769</v>
      </c>
      <c r="V114" s="21">
        <v>1447</v>
      </c>
      <c r="W114" s="21">
        <v>633</v>
      </c>
      <c r="X114" s="21">
        <v>1004</v>
      </c>
      <c r="Y114" s="21">
        <v>1569</v>
      </c>
      <c r="Z114" s="21">
        <v>1162</v>
      </c>
      <c r="AA114" s="21">
        <f t="shared" ref="AA114:AA119" si="40">SUM(O114:Z114)</f>
        <v>18330.34</v>
      </c>
      <c r="AB114" s="17" t="str">
        <f t="shared" ref="AB114:AB119" ca="1" si="41">IF(AA114=0,"",IFERROR(AA114/AA$19,""))</f>
        <v/>
      </c>
      <c r="AD114" s="21">
        <v>61904.928943999999</v>
      </c>
      <c r="AE114" s="17" t="str">
        <f t="shared" ref="AE114:AE119" ca="1" si="42">IF(AD114=0,"",IFERROR(AD114/AD$19,""))</f>
        <v/>
      </c>
      <c r="AF114" s="50">
        <f t="shared" ref="AF114:AF119" si="43">IF(AND($AA114="",AD114=""),"",$AA114-AD114)</f>
        <v>-43574.588944000003</v>
      </c>
      <c r="AG114" s="21">
        <v>43238.2</v>
      </c>
      <c r="AH114" s="17" t="str">
        <f t="shared" ref="AH114:AH119" ca="1" si="44">IF(AG114=0,"",IFERROR(AG114/AG$19,""))</f>
        <v/>
      </c>
      <c r="AI114" s="50">
        <f t="shared" ref="AI114:AI119" si="45">IF(AND($AA114="",AG114=""),"",$AA114-AG114)</f>
        <v>-24907.859999999997</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v>3256</v>
      </c>
      <c r="P116" s="21">
        <v>2030</v>
      </c>
      <c r="Q116" s="21">
        <v>1720</v>
      </c>
      <c r="R116" s="21">
        <v>2149.89</v>
      </c>
      <c r="S116" s="21">
        <v>1385</v>
      </c>
      <c r="T116" s="21">
        <v>1145</v>
      </c>
      <c r="U116" s="21">
        <v>714.22</v>
      </c>
      <c r="V116" s="21">
        <v>1067</v>
      </c>
      <c r="W116" s="21"/>
      <c r="X116" s="21"/>
      <c r="Y116" s="21"/>
      <c r="Z116" s="21"/>
      <c r="AA116" s="21">
        <f t="shared" si="40"/>
        <v>13467.109999999999</v>
      </c>
      <c r="AB116" s="17" t="str">
        <f t="shared" ca="1" si="41"/>
        <v/>
      </c>
      <c r="AD116" s="21">
        <v>55604.832831</v>
      </c>
      <c r="AE116" s="17" t="str">
        <f t="shared" ca="1" si="42"/>
        <v/>
      </c>
      <c r="AF116" s="50">
        <f t="shared" si="43"/>
        <v>-42137.722830999999</v>
      </c>
      <c r="AG116" s="21">
        <v>34605.06</v>
      </c>
      <c r="AH116" s="17" t="str">
        <f t="shared" ca="1" si="44"/>
        <v/>
      </c>
      <c r="AI116" s="50">
        <f t="shared" si="45"/>
        <v>-21137.949999999997</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5444</v>
      </c>
      <c r="P119" s="164">
        <v>3136</v>
      </c>
      <c r="Q119" s="164">
        <v>3946.34</v>
      </c>
      <c r="R119" s="164">
        <v>3501.89</v>
      </c>
      <c r="S119" s="164">
        <v>3625</v>
      </c>
      <c r="T119" s="164">
        <v>2779</v>
      </c>
      <c r="U119" s="164">
        <v>2483.2199999999998</v>
      </c>
      <c r="V119" s="164">
        <v>2514</v>
      </c>
      <c r="W119" s="164">
        <v>633</v>
      </c>
      <c r="X119" s="164">
        <v>1004</v>
      </c>
      <c r="Y119" s="164">
        <v>1569</v>
      </c>
      <c r="Z119" s="164">
        <v>1162</v>
      </c>
      <c r="AA119" s="164">
        <f t="shared" si="40"/>
        <v>31797.45</v>
      </c>
      <c r="AB119" s="175" t="str">
        <f t="shared" ca="1" si="41"/>
        <v/>
      </c>
      <c r="AD119" s="164">
        <v>117509.76177500001</v>
      </c>
      <c r="AE119" s="175" t="str">
        <f t="shared" ca="1" si="42"/>
        <v/>
      </c>
      <c r="AF119" s="165">
        <f t="shared" si="43"/>
        <v>-85712.311775000009</v>
      </c>
      <c r="AG119" s="164">
        <v>77843.259999999995</v>
      </c>
      <c r="AH119" s="175" t="str">
        <f t="shared" ca="1" si="44"/>
        <v/>
      </c>
      <c r="AI119" s="165">
        <f t="shared" si="45"/>
        <v>-46045.81</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4514.88</v>
      </c>
      <c r="P121" s="21">
        <f t="shared" si="46"/>
        <v>3584</v>
      </c>
      <c r="Q121" s="21">
        <f t="shared" si="46"/>
        <v>6194.34</v>
      </c>
      <c r="R121" s="21">
        <f t="shared" si="46"/>
        <v>4938.5</v>
      </c>
      <c r="S121" s="21">
        <f t="shared" si="46"/>
        <v>4354</v>
      </c>
      <c r="T121" s="21">
        <f t="shared" si="46"/>
        <v>3520.5</v>
      </c>
      <c r="U121" s="21">
        <f t="shared" si="46"/>
        <v>3364</v>
      </c>
      <c r="V121" s="21">
        <f t="shared" si="46"/>
        <v>3267</v>
      </c>
      <c r="W121" s="21">
        <f t="shared" si="46"/>
        <v>2771.8</v>
      </c>
      <c r="X121" s="21">
        <f t="shared" si="46"/>
        <v>2408</v>
      </c>
      <c r="Y121" s="21">
        <f t="shared" si="46"/>
        <v>3730</v>
      </c>
      <c r="Z121" s="21">
        <f t="shared" si="46"/>
        <v>3081</v>
      </c>
      <c r="AA121" s="21">
        <f t="shared" ref="AA121:AA126" si="47">SUM(O121:Z121)</f>
        <v>45728.020000000004</v>
      </c>
      <c r="AB121" s="17" t="str">
        <f t="shared" ref="AB121:AB126" ca="1" si="48">IF(AA121=0,"",IFERROR(AA121/AA$19,""))</f>
        <v/>
      </c>
      <c r="AD121" s="21">
        <f>AD98+AD106+AD114</f>
        <v>97703.003507000001</v>
      </c>
      <c r="AE121" s="17" t="str">
        <f t="shared" ref="AE121:AE126" ca="1" si="49">IF(AD121=0,"",IFERROR(AD121/AD$19,""))</f>
        <v/>
      </c>
      <c r="AF121" s="50">
        <f t="shared" ref="AF121:AF126" si="50">IF(AND($AA121="",AD121=""),"",$AA121-AD121)</f>
        <v>-51974.983506999997</v>
      </c>
      <c r="AG121" s="21">
        <f>AG98+AG106+AG114</f>
        <v>69983.88</v>
      </c>
      <c r="AH121" s="17" t="str">
        <f t="shared" ref="AH121:AH126" ca="1" si="51">IF(AG121=0,"",IFERROR(AG121/AG$19,""))</f>
        <v/>
      </c>
      <c r="AI121" s="50">
        <f t="shared" ref="AI121:AI126" si="52">IF(AND($AA121="",AG121=""),"",$AA121-AG121)</f>
        <v>-24255.86</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6899</v>
      </c>
      <c r="P123" s="21">
        <f t="shared" si="54"/>
        <v>4677.2</v>
      </c>
      <c r="Q123" s="21">
        <f t="shared" si="54"/>
        <v>5512</v>
      </c>
      <c r="R123" s="21">
        <f t="shared" si="54"/>
        <v>4640.01</v>
      </c>
      <c r="S123" s="21">
        <f t="shared" si="54"/>
        <v>3370</v>
      </c>
      <c r="T123" s="21">
        <f t="shared" si="54"/>
        <v>2815</v>
      </c>
      <c r="U123" s="21">
        <f t="shared" si="54"/>
        <v>2494.2200000000003</v>
      </c>
      <c r="V123" s="21">
        <f t="shared" si="54"/>
        <v>2735</v>
      </c>
      <c r="W123" s="21">
        <f t="shared" si="54"/>
        <v>56</v>
      </c>
      <c r="X123" s="21">
        <f t="shared" si="54"/>
        <v>0</v>
      </c>
      <c r="Y123" s="21">
        <f t="shared" si="54"/>
        <v>0</v>
      </c>
      <c r="Z123" s="21">
        <f t="shared" si="54"/>
        <v>0</v>
      </c>
      <c r="AA123" s="21">
        <f t="shared" si="47"/>
        <v>33198.43</v>
      </c>
      <c r="AB123" s="17" t="str">
        <f t="shared" ca="1" si="48"/>
        <v/>
      </c>
      <c r="AD123" s="21">
        <f>AD100+AD108+AD116</f>
        <v>138836.74304500001</v>
      </c>
      <c r="AE123" s="17" t="str">
        <f t="shared" ca="1" si="49"/>
        <v/>
      </c>
      <c r="AF123" s="50">
        <f t="shared" si="50"/>
        <v>-105638.31304500002</v>
      </c>
      <c r="AG123" s="21">
        <f>AG100+AG108+AG116</f>
        <v>85012.57</v>
      </c>
      <c r="AH123" s="17" t="str">
        <f t="shared" ca="1" si="51"/>
        <v/>
      </c>
      <c r="AI123" s="50">
        <f t="shared" si="52"/>
        <v>-51814.140000000007</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11413.880000000001</v>
      </c>
      <c r="P126" s="164">
        <f t="shared" si="57"/>
        <v>8261.2000000000007</v>
      </c>
      <c r="Q126" s="164">
        <f t="shared" si="57"/>
        <v>11706.34</v>
      </c>
      <c r="R126" s="164">
        <f t="shared" si="57"/>
        <v>9578.51</v>
      </c>
      <c r="S126" s="164">
        <f t="shared" si="57"/>
        <v>7724</v>
      </c>
      <c r="T126" s="164">
        <f t="shared" si="57"/>
        <v>6335.5</v>
      </c>
      <c r="U126" s="164">
        <f t="shared" si="57"/>
        <v>5858.22</v>
      </c>
      <c r="V126" s="164">
        <f t="shared" si="57"/>
        <v>6002</v>
      </c>
      <c r="W126" s="164">
        <f t="shared" si="57"/>
        <v>2827.8</v>
      </c>
      <c r="X126" s="164">
        <f t="shared" si="57"/>
        <v>2408</v>
      </c>
      <c r="Y126" s="164">
        <f t="shared" si="57"/>
        <v>3730</v>
      </c>
      <c r="Z126" s="164">
        <f t="shared" si="57"/>
        <v>3081</v>
      </c>
      <c r="AA126" s="164">
        <f t="shared" si="47"/>
        <v>78926.45</v>
      </c>
      <c r="AB126" s="175" t="str">
        <f t="shared" ca="1" si="48"/>
        <v/>
      </c>
      <c r="AD126" s="164">
        <f>SUM(AD121:AD125)</f>
        <v>236539.746552</v>
      </c>
      <c r="AE126" s="175" t="str">
        <f t="shared" ca="1" si="49"/>
        <v/>
      </c>
      <c r="AF126" s="165">
        <f t="shared" si="50"/>
        <v>-157613.29655199999</v>
      </c>
      <c r="AG126" s="164">
        <f>SUM(AG121:AG125)</f>
        <v>154996.45000000001</v>
      </c>
      <c r="AH126" s="175" t="str">
        <f t="shared" ca="1" si="51"/>
        <v/>
      </c>
      <c r="AI126" s="165">
        <f t="shared" si="52"/>
        <v>-76070.000000000015</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16397.04</v>
      </c>
      <c r="P130" s="21">
        <v>18240.59</v>
      </c>
      <c r="Q130" s="21">
        <v>23025.119999999999</v>
      </c>
      <c r="R130" s="21">
        <v>19184.13</v>
      </c>
      <c r="S130" s="21">
        <v>15038.65</v>
      </c>
      <c r="T130" s="21">
        <v>15271.19</v>
      </c>
      <c r="U130" s="21">
        <v>14704.61</v>
      </c>
      <c r="V130" s="21">
        <v>15503.05</v>
      </c>
      <c r="W130" s="21">
        <v>6350.35</v>
      </c>
      <c r="X130" s="21">
        <v>8554.9599999999991</v>
      </c>
      <c r="Y130" s="21">
        <v>9531.52</v>
      </c>
      <c r="Z130" s="21">
        <v>14469.45</v>
      </c>
      <c r="AA130" s="21">
        <f>SUM(O130:Z130)</f>
        <v>176270.66</v>
      </c>
      <c r="AB130" s="311" t="str">
        <f ca="1">IF(AA130=0,"",IFERROR(AA130/_xll.EVGTS($B$1,1,_xll.EVPRO($B$1,$H130,"COSBASIS"),$B$3,$B$5,$B$6,$B$7,$B$9,AA$16,AA$17,AA$11),""))</f>
        <v/>
      </c>
      <c r="AD130" s="21">
        <v>318418</v>
      </c>
      <c r="AE130" s="311" t="str">
        <f ca="1">IF(AD130=0,"",IFERROR(AD130/_xll.EVGTS($B$1,1,_xll.EVPRO($B$1,$H130,"COSBASIS"),$B$3,$B$5,$B$6,$B$7,$B$9,AD$16,AD$17,AD$18),""))</f>
        <v/>
      </c>
      <c r="AF130" s="50">
        <f t="shared" ref="AF130:AF140" si="59">IF(AND($AA130="",AD130=""),"",$AA130-AD130)</f>
        <v>-142147.34</v>
      </c>
      <c r="AG130" s="21">
        <v>258956.42</v>
      </c>
      <c r="AH130" s="311" t="str">
        <f ca="1">IF(AG130=0,"",IFERROR(AG130/_xll.EVGTS($B$1,1,_xll.EVPRO($B$1,$H130,"COSBASIS"),$B$3,$B$5,$B$6,$B$7,$B$9,AG$16,AG$17,AG$18),""))</f>
        <v/>
      </c>
      <c r="AI130" s="50">
        <f t="shared" ref="AI130:AI141" si="60">IF(AND($AA130="",AG130=""),"",$AA130-AG130)</f>
        <v>-82685.760000000009</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0.26635460732081101</v>
      </c>
      <c r="P131" s="172">
        <v>0.35867741195875202</v>
      </c>
      <c r="Q131" s="172">
        <v>0.35950786791164302</v>
      </c>
      <c r="R131" s="172">
        <v>0.34775788862505502</v>
      </c>
      <c r="S131" s="172">
        <v>0.36944499172850398</v>
      </c>
      <c r="T131" s="172">
        <v>0.34438574331572802</v>
      </c>
      <c r="U131" s="172">
        <v>0.34758529952932299</v>
      </c>
      <c r="V131" s="172">
        <v>0.39139993380330801</v>
      </c>
      <c r="W131" s="172">
        <v>0.26023059667791998</v>
      </c>
      <c r="X131" s="172">
        <v>0.38666555781343798</v>
      </c>
      <c r="Y131" s="172">
        <v>0.36286223332165901</v>
      </c>
      <c r="Z131" s="172">
        <v>0.38470516824644602</v>
      </c>
      <c r="AA131" s="172">
        <v>0.34630899102161899</v>
      </c>
      <c r="AB131" s="311"/>
      <c r="AD131" s="172">
        <v>0.32820657620806698</v>
      </c>
      <c r="AE131" s="311"/>
      <c r="AF131" s="468">
        <f t="shared" si="59"/>
        <v>1.8102414813552015E-2</v>
      </c>
      <c r="AG131" s="172">
        <v>0.367222004979603</v>
      </c>
      <c r="AH131" s="311"/>
      <c r="AI131" s="468">
        <f t="shared" si="60"/>
        <v>-2.0913013957984006E-2</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4062.6</v>
      </c>
      <c r="P132" s="21">
        <v>2921.95</v>
      </c>
      <c r="Q132" s="21">
        <v>3295.13</v>
      </c>
      <c r="R132" s="21">
        <v>323</v>
      </c>
      <c r="S132" s="21">
        <v>3622.11</v>
      </c>
      <c r="T132" s="21">
        <v>1110.21</v>
      </c>
      <c r="U132" s="21">
        <v>1613.52</v>
      </c>
      <c r="V132" s="21">
        <v>4778.03</v>
      </c>
      <c r="W132" s="21">
        <v>1289.1600000000001</v>
      </c>
      <c r="X132" s="21">
        <v>1565.03</v>
      </c>
      <c r="Y132" s="21">
        <v>-349.02</v>
      </c>
      <c r="Z132" s="21">
        <v>1004.61</v>
      </c>
      <c r="AA132" s="21">
        <f>SUM(O132:Z132)</f>
        <v>25236.329999999998</v>
      </c>
      <c r="AB132" s="311" t="str">
        <f ca="1">IF(AA132=0,"",IFERROR(AA132/_xll.EVGTS($B$1,1,_xll.EVPRO($B$1,$H132,"COSBASIS"),$B$3,$B$5,$B$6,$B$7,$B$9,AA$16,AA$17,AA$11),""))</f>
        <v/>
      </c>
      <c r="AD132" s="21">
        <v>36129.43</v>
      </c>
      <c r="AE132" s="311" t="str">
        <f ca="1">IF(AD132=0,"",IFERROR(AD132/_xll.EVGTS($B$1,1,_xll.EVPRO($B$1,$H132,"COSBASIS"),$B$3,$B$5,$B$6,$B$7,$B$9,AD$16,AD$17,AD$18),""))</f>
        <v/>
      </c>
      <c r="AF132" s="50">
        <f t="shared" si="59"/>
        <v>-10893.100000000002</v>
      </c>
      <c r="AG132" s="21">
        <v>30318.23</v>
      </c>
      <c r="AH132" s="311" t="str">
        <f ca="1">IF(AG132=0,"",IFERROR(AG132/_xll.EVGTS($B$1,1,_xll.EVPRO($B$1,$H132,"COSBASIS"),$B$3,$B$5,$B$6,$B$7,$B$9,AG$16,AG$17,AG$18),""))</f>
        <v/>
      </c>
      <c r="AI132" s="50">
        <f t="shared" si="60"/>
        <v>-5081.9000000000015</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0.35593505451257601</v>
      </c>
      <c r="P133" s="172">
        <v>0.35369558901854398</v>
      </c>
      <c r="Q133" s="172">
        <v>0.28148251289472198</v>
      </c>
      <c r="R133" s="172">
        <v>3.3721319913013602E-2</v>
      </c>
      <c r="S133" s="172">
        <v>0.46894225789746202</v>
      </c>
      <c r="T133" s="172">
        <v>0.17523636650619501</v>
      </c>
      <c r="U133" s="172">
        <v>0.275428372440776</v>
      </c>
      <c r="V133" s="172">
        <v>0.79607297567477497</v>
      </c>
      <c r="W133" s="172">
        <v>0.45588796944621301</v>
      </c>
      <c r="X133" s="172">
        <v>0.64992940199335503</v>
      </c>
      <c r="Y133" s="172">
        <v>-9.3571045576407497E-2</v>
      </c>
      <c r="Z133" s="172">
        <v>0.32606621226874399</v>
      </c>
      <c r="AA133" s="172">
        <v>0.319744901740798</v>
      </c>
      <c r="AB133" s="311"/>
      <c r="AD133" s="172">
        <v>0.15274147591114201</v>
      </c>
      <c r="AE133" s="311"/>
      <c r="AF133" s="468">
        <f t="shared" si="59"/>
        <v>0.16700342582965599</v>
      </c>
      <c r="AG133" s="172">
        <v>0.19560596387852699</v>
      </c>
      <c r="AH133" s="311"/>
      <c r="AI133" s="468">
        <f t="shared" si="60"/>
        <v>0.12413893786227101</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515.21</v>
      </c>
      <c r="P134" s="21">
        <v>1809.83</v>
      </c>
      <c r="Q134" s="21">
        <v>3089.87</v>
      </c>
      <c r="R134" s="21">
        <v>-285.39</v>
      </c>
      <c r="S134" s="21">
        <v>1295.8499999999999</v>
      </c>
      <c r="T134" s="21">
        <v>-326.77</v>
      </c>
      <c r="U134" s="21">
        <v>63.02</v>
      </c>
      <c r="V134" s="21">
        <v>2581.58</v>
      </c>
      <c r="W134" s="21">
        <v>1133.0999999999999</v>
      </c>
      <c r="X134" s="21">
        <v>859.79</v>
      </c>
      <c r="Y134" s="21">
        <v>-675.74</v>
      </c>
      <c r="Z134" s="21">
        <v>171.08</v>
      </c>
      <c r="AA134" s="21">
        <f>SUM(O134:Z134)</f>
        <v>10231.43</v>
      </c>
      <c r="AB134" s="311" t="str">
        <f ca="1">IF(AA134=0,"",IFERROR(AA134/_xll.EVGTS($B$1,1,_xll.EVPRO($B$1,$H134,"COSBASIS"),$B$3,$B$5,$B$6,$B$7,$B$9,AA$16,AA$17,AA$11),""))</f>
        <v/>
      </c>
      <c r="AD134" s="21">
        <v>5182.01</v>
      </c>
      <c r="AE134" s="311" t="str">
        <f ca="1">IF(AD134=0,"",IFERROR(AD134/_xll.EVGTS($B$1,1,_xll.EVPRO($B$1,$H134,"COSBASIS"),$B$3,$B$5,$B$6,$B$7,$B$9,AD$16,AD$17,AD$18),""))</f>
        <v/>
      </c>
      <c r="AF134" s="50">
        <f t="shared" si="59"/>
        <v>5049.42</v>
      </c>
      <c r="AG134" s="21">
        <v>53.389999999998203</v>
      </c>
      <c r="AH134" s="311" t="str">
        <f ca="1">IF(AG134=0,"",IFERROR(AG134/_xll.EVGTS($B$1,1,_xll.EVPRO($B$1,$H134,"COSBASIS"),$B$3,$B$5,$B$6,$B$7,$B$9,AG$16,AG$17,AG$18),""))</f>
        <v/>
      </c>
      <c r="AI134" s="50">
        <f t="shared" si="60"/>
        <v>10178.040000000003</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9.5006712300474999E-2</v>
      </c>
      <c r="P135" s="172">
        <v>0.39214551915410001</v>
      </c>
      <c r="Q135" s="172">
        <v>0.475364615384615</v>
      </c>
      <c r="R135" s="172">
        <v>-5.3249370277078101E-2</v>
      </c>
      <c r="S135" s="172">
        <v>0.36086048454469499</v>
      </c>
      <c r="T135" s="172">
        <v>-0.110525959749704</v>
      </c>
      <c r="U135" s="172">
        <v>2.2135581313663499E-2</v>
      </c>
      <c r="V135" s="172">
        <v>0.87988411724607996</v>
      </c>
      <c r="W135" s="172">
        <v>0.55707964601769899</v>
      </c>
      <c r="X135" s="172">
        <v>0.69226247987117595</v>
      </c>
      <c r="Y135" s="172">
        <v>-0.36546241211465702</v>
      </c>
      <c r="Z135" s="172">
        <v>9.6166385609893199E-2</v>
      </c>
      <c r="AA135" s="172">
        <v>0.248757843408036</v>
      </c>
      <c r="AB135" s="311"/>
      <c r="AD135" s="172">
        <v>5.0000142134923299E-2</v>
      </c>
      <c r="AE135" s="311"/>
      <c r="AF135" s="468">
        <f t="shared" si="59"/>
        <v>0.19875770127311271</v>
      </c>
      <c r="AG135" s="172">
        <v>7.9679919242556002E-4</v>
      </c>
      <c r="AH135" s="311"/>
      <c r="AI135" s="468">
        <f t="shared" si="60"/>
        <v>0.24796104421561044</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224.03</v>
      </c>
      <c r="P136" s="21">
        <v>-588.25</v>
      </c>
      <c r="Q136" s="21">
        <v>202.08</v>
      </c>
      <c r="R136" s="21">
        <v>-81.77</v>
      </c>
      <c r="S136" s="21">
        <v>1015.42</v>
      </c>
      <c r="T136" s="21">
        <v>-201.1</v>
      </c>
      <c r="U136" s="21">
        <v>118.88</v>
      </c>
      <c r="V136" s="21">
        <v>449.58</v>
      </c>
      <c r="W136" s="21">
        <v>100.62</v>
      </c>
      <c r="X136" s="21">
        <v>48.33</v>
      </c>
      <c r="Y136" s="21">
        <v>-322.23</v>
      </c>
      <c r="Z136" s="21">
        <v>374.14</v>
      </c>
      <c r="AA136" s="21">
        <f>SUM(O136:Z136)</f>
        <v>1339.7299999999996</v>
      </c>
      <c r="AB136" s="311" t="str">
        <f ca="1">IF(AA136=0,"",IFERROR(AA136/_xll.EVGTS($B$1,1,_xll.EVPRO($B$1,$H136,"COSBASIS"),$B$3,$B$5,$B$6,$B$7,$B$9,AA$16,AA$17,AA$11),""))</f>
        <v/>
      </c>
      <c r="AD136" s="21">
        <v>3078.03</v>
      </c>
      <c r="AE136" s="311" t="str">
        <f ca="1">IF(AD136=0,"",IFERROR(AD136/_xll.EVGTS($B$1,1,_xll.EVPRO($B$1,$H136,"COSBASIS"),$B$3,$B$5,$B$6,$B$7,$B$9,AD$16,AD$17,AD$18),""))</f>
        <v/>
      </c>
      <c r="AF136" s="50">
        <f t="shared" si="59"/>
        <v>-1738.3000000000006</v>
      </c>
      <c r="AG136" s="21">
        <v>3751.1</v>
      </c>
      <c r="AH136" s="311" t="str">
        <f ca="1">IF(AG136=0,"",IFERROR(AG136/_xll.EVGTS($B$1,1,_xll.EVPRO($B$1,$H136,"COSBASIS"),$B$3,$B$5,$B$6,$B$7,$B$9,AG$16,AG$17,AG$18),""))</f>
        <v/>
      </c>
      <c r="AI136" s="50">
        <f t="shared" si="60"/>
        <v>-2411.3700000000003</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0.40956124314442399</v>
      </c>
      <c r="P137" s="172">
        <v>-1.15343137254902</v>
      </c>
      <c r="Q137" s="172">
        <v>0.16038095238095201</v>
      </c>
      <c r="R137" s="172">
        <v>-0.11402554663096801</v>
      </c>
      <c r="S137" s="172">
        <v>1.9988582677165401</v>
      </c>
      <c r="T137" s="172">
        <v>-0.335166666666667</v>
      </c>
      <c r="U137" s="172">
        <v>0.22515151515151499</v>
      </c>
      <c r="V137" s="172">
        <v>0.81151624548736501</v>
      </c>
      <c r="W137" s="172">
        <v>0.62574626865671601</v>
      </c>
      <c r="X137" s="172">
        <v>0.29833333333333301</v>
      </c>
      <c r="Y137" s="172">
        <v>-1.0327884615384599</v>
      </c>
      <c r="Z137" s="172">
        <v>2.6724285714285698</v>
      </c>
      <c r="AA137" s="172">
        <v>0.223328532469178</v>
      </c>
      <c r="AB137" s="311"/>
      <c r="AD137" s="172">
        <v>0.20000091755212199</v>
      </c>
      <c r="AE137" s="311"/>
      <c r="AF137" s="468">
        <f t="shared" si="59"/>
        <v>2.3327614917056011E-2</v>
      </c>
      <c r="AG137" s="172">
        <v>0.36965390831329598</v>
      </c>
      <c r="AH137" s="311"/>
      <c r="AI137" s="468">
        <f t="shared" si="60"/>
        <v>-0.14632537584411798</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3323.36</v>
      </c>
      <c r="P138" s="21">
        <v>1700.37</v>
      </c>
      <c r="Q138" s="21">
        <v>3.18</v>
      </c>
      <c r="R138" s="21">
        <v>690.16</v>
      </c>
      <c r="S138" s="21">
        <v>1310.84</v>
      </c>
      <c r="T138" s="21">
        <v>1638.08</v>
      </c>
      <c r="U138" s="21">
        <v>1431.62</v>
      </c>
      <c r="V138" s="21">
        <v>1746.87</v>
      </c>
      <c r="W138" s="21">
        <v>55.44</v>
      </c>
      <c r="X138" s="21">
        <v>656.91</v>
      </c>
      <c r="Y138" s="21">
        <v>648.95000000000005</v>
      </c>
      <c r="Z138" s="21">
        <v>459.39</v>
      </c>
      <c r="AA138" s="21">
        <f>SUM(O138:Z138)</f>
        <v>13665.17</v>
      </c>
      <c r="AB138" s="311" t="str">
        <f ca="1">IF(AA138=0,"",IFERROR(AA138/_xll.EVGTS($B$1,1,_xll.EVPRO($B$1,$H138,"COSBASIS"),$B$3,$B$5,$B$6,$B$7,$B$9,AA$16,AA$17,AA$11),""))</f>
        <v/>
      </c>
      <c r="AD138" s="21">
        <v>27869.39</v>
      </c>
      <c r="AE138" s="311" t="str">
        <f ca="1">IF(AD138=0,"",IFERROR(AD138/_xll.EVGTS($B$1,1,_xll.EVPRO($B$1,$H138,"COSBASIS"),$B$3,$B$5,$B$6,$B$7,$B$9,AD$16,AD$17,AD$18),""))</f>
        <v/>
      </c>
      <c r="AF138" s="50">
        <f t="shared" si="59"/>
        <v>-14204.22</v>
      </c>
      <c r="AG138" s="21">
        <v>26513.74</v>
      </c>
      <c r="AH138" s="311" t="str">
        <f ca="1">IF(AG138=0,"",IFERROR(AG138/_xll.EVGTS($B$1,1,_xll.EVPRO($B$1,$H138,"COSBASIS"),$B$3,$B$5,$B$6,$B$7,$B$9,AG$16,AG$17,AG$18),""))</f>
        <v/>
      </c>
      <c r="AI138" s="50">
        <f t="shared" si="60"/>
        <v>-12848.570000000002</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0.61046289493019801</v>
      </c>
      <c r="P139" s="172">
        <v>0.54220982142857099</v>
      </c>
      <c r="Q139" s="172">
        <v>8.0580994034979304E-4</v>
      </c>
      <c r="R139" s="172">
        <v>0.197082147069154</v>
      </c>
      <c r="S139" s="172">
        <v>0.361611034482759</v>
      </c>
      <c r="T139" s="172">
        <v>0.58944944224541196</v>
      </c>
      <c r="U139" s="172">
        <v>0.57651758603748304</v>
      </c>
      <c r="V139" s="172">
        <v>0.69485680190930799</v>
      </c>
      <c r="W139" s="172">
        <v>8.7582938388625603E-2</v>
      </c>
      <c r="X139" s="172">
        <v>0.65429282868525895</v>
      </c>
      <c r="Y139" s="172">
        <v>0.413607393244105</v>
      </c>
      <c r="Z139" s="172">
        <v>0.39534423407917402</v>
      </c>
      <c r="AA139" s="172">
        <v>0.42975678867330602</v>
      </c>
      <c r="AB139" s="311"/>
      <c r="AD139" s="172">
        <v>0.23716659432398901</v>
      </c>
      <c r="AE139" s="311"/>
      <c r="AF139" s="468">
        <f t="shared" si="59"/>
        <v>0.19259019434931701</v>
      </c>
      <c r="AG139" s="172">
        <v>0.34060418332942399</v>
      </c>
      <c r="AH139" s="311"/>
      <c r="AI139" s="468">
        <f t="shared" si="60"/>
        <v>8.915260534388203E-2</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20459.64</v>
      </c>
      <c r="P140" s="21">
        <v>21162.54</v>
      </c>
      <c r="Q140" s="21">
        <v>26320.25</v>
      </c>
      <c r="R140" s="21">
        <v>19507.13</v>
      </c>
      <c r="S140" s="21">
        <v>18660.759999999998</v>
      </c>
      <c r="T140" s="21">
        <v>16381.4</v>
      </c>
      <c r="U140" s="21">
        <v>16318.13</v>
      </c>
      <c r="V140" s="21">
        <v>20281.080000000002</v>
      </c>
      <c r="W140" s="21">
        <v>7639.51</v>
      </c>
      <c r="X140" s="21">
        <v>10119.99</v>
      </c>
      <c r="Y140" s="21">
        <v>9182.5</v>
      </c>
      <c r="Z140" s="21">
        <v>15474.06</v>
      </c>
      <c r="AA140" s="21">
        <f>SUM(O140:Z140)</f>
        <v>201506.99</v>
      </c>
      <c r="AB140" s="311" t="str">
        <f ca="1">IF(AA140=0,"",IFERROR(AA140/_xll.EVGTS($B$1,1,_xll.EVPRO($B$1,$H140,"COSBASIS"),$B$3,$B$5,$B$6,$B$7,$B$9,AA$16,AA$17,AA$11),""))</f>
        <v/>
      </c>
      <c r="AD140" s="21">
        <v>354547.43</v>
      </c>
      <c r="AE140" s="311" t="str">
        <f ca="1">IF(AD140=0,"",IFERROR(AD140/_xll.EVGTS($B$1,1,_xll.EVPRO($B$1,$H140,"COSBASIS"),$B$3,$B$5,$B$6,$B$7,$B$9,AD$16,AD$17,AD$18),""))</f>
        <v/>
      </c>
      <c r="AF140" s="50">
        <f t="shared" si="59"/>
        <v>-153040.44</v>
      </c>
      <c r="AG140" s="21">
        <v>289274.65000000002</v>
      </c>
      <c r="AH140" s="311" t="str">
        <f ca="1">IF(AG140=0,"",IFERROR(AG140/_xll.EVGTS($B$1,1,_xll.EVPRO($B$1,$H140,"COSBASIS"),$B$3,$B$5,$B$6,$B$7,$B$9,AG$16,AG$17,AG$18),""))</f>
        <v/>
      </c>
      <c r="AI140" s="50">
        <f t="shared" si="60"/>
        <v>-87767.660000000033</v>
      </c>
    </row>
    <row r="141" spans="3:35" x14ac:dyDescent="0.25">
      <c r="C141" s="32"/>
      <c r="H141" s="149"/>
      <c r="I141" s="161"/>
      <c r="J141" s="161"/>
      <c r="L141" s="162"/>
      <c r="M141" s="162"/>
      <c r="N141" s="467" t="s">
        <v>762</v>
      </c>
      <c r="O141" s="172">
        <f>IFERROR(O140/O85,"")</f>
        <v>0.28036574807584314</v>
      </c>
      <c r="P141" s="172">
        <f t="shared" ref="P141:AA141" si="61">IFERROR(P140/P85,"")</f>
        <v>0.3583206598539731</v>
      </c>
      <c r="Q141" s="172">
        <f t="shared" si="61"/>
        <v>0.34745030398972654</v>
      </c>
      <c r="R141" s="172">
        <f t="shared" si="61"/>
        <v>0.30192126635524941</v>
      </c>
      <c r="S141" s="172">
        <f t="shared" si="61"/>
        <v>0.38955931696708057</v>
      </c>
      <c r="T141" s="172">
        <f t="shared" si="61"/>
        <v>0.32323988920804514</v>
      </c>
      <c r="U141" s="172">
        <f t="shared" si="61"/>
        <v>0.33880866868231091</v>
      </c>
      <c r="V141" s="172">
        <f t="shared" si="61"/>
        <v>0.44568620483464672</v>
      </c>
      <c r="W141" s="172">
        <f t="shared" si="61"/>
        <v>0.2805489269784191</v>
      </c>
      <c r="X141" s="172">
        <f t="shared" si="61"/>
        <v>0.41250586965453823</v>
      </c>
      <c r="Y141" s="172">
        <f t="shared" si="61"/>
        <v>0.30621173812218594</v>
      </c>
      <c r="Z141" s="172">
        <f t="shared" si="61"/>
        <v>0.38026539836663936</v>
      </c>
      <c r="AA141" s="172">
        <f t="shared" si="61"/>
        <v>0.34322956163133883</v>
      </c>
      <c r="AB141" s="311"/>
      <c r="AD141" s="172">
        <f>IFERROR(AD140/AD85,"")</f>
        <v>0.29381199282206832</v>
      </c>
      <c r="AE141" s="311"/>
      <c r="AF141" s="468">
        <f t="shared" ref="AF141" si="62">IF(AND($AA141="",AD141=""),"",$AA141-AD141)</f>
        <v>4.9417568809270507E-2</v>
      </c>
      <c r="AG141" s="172">
        <f>IFERROR(AG140/AG85,"")</f>
        <v>0.33666264412850444</v>
      </c>
      <c r="AH141" s="311"/>
      <c r="AI141" s="468">
        <f t="shared" si="60"/>
        <v>6.5669175028343907E-3</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0</v>
      </c>
      <c r="P145" s="178">
        <f t="shared" ref="P145:Z145" si="65">IFERROR(P$85/P87,"")-P88</f>
        <v>0</v>
      </c>
      <c r="Q145" s="178">
        <f t="shared" si="65"/>
        <v>0</v>
      </c>
      <c r="R145" s="178">
        <f t="shared" si="65"/>
        <v>-4.2632564145606011E-14</v>
      </c>
      <c r="S145" s="178">
        <f t="shared" si="65"/>
        <v>3.5527136788005009E-14</v>
      </c>
      <c r="T145" s="178">
        <f t="shared" si="65"/>
        <v>0</v>
      </c>
      <c r="U145" s="178">
        <f t="shared" si="65"/>
        <v>-3.907985046680551E-14</v>
      </c>
      <c r="V145" s="178">
        <f t="shared" si="65"/>
        <v>0</v>
      </c>
      <c r="W145" s="178">
        <f t="shared" si="65"/>
        <v>0</v>
      </c>
      <c r="X145" s="178">
        <f t="shared" si="65"/>
        <v>0</v>
      </c>
      <c r="Y145" s="178">
        <f t="shared" si="65"/>
        <v>4.9737991503207013E-14</v>
      </c>
      <c r="Z145" s="178">
        <f t="shared" si="65"/>
        <v>-3.5527136788005009E-14</v>
      </c>
      <c r="AA145" s="178">
        <f>IFERROR(AA$85/AA87,"")-AA88</f>
        <v>0</v>
      </c>
      <c r="AB145" s="17"/>
      <c r="AD145" s="178">
        <f>IFERROR(AD$85/AD87,"")-AD88</f>
        <v>0</v>
      </c>
      <c r="AE145" s="17"/>
      <c r="AF145" s="21"/>
      <c r="AG145" s="178">
        <f>IFERROR(AG$85/AG87,"")-AG88</f>
        <v>0</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311" priority="15">
      <formula>ROUND(O42,2)&lt;&gt;ROUND(O43,2)</formula>
    </cfRule>
  </conditionalFormatting>
  <conditionalFormatting sqref="N43">
    <cfRule type="expression" dxfId="310" priority="14">
      <formula>$G43&lt;&gt;0</formula>
    </cfRule>
  </conditionalFormatting>
  <conditionalFormatting sqref="O53:AA53 AD53 AF53:AG53">
    <cfRule type="expression" dxfId="309" priority="13">
      <formula>ROUND(O52,2)&lt;&gt;ROUND(O53,2)</formula>
    </cfRule>
  </conditionalFormatting>
  <conditionalFormatting sqref="N53">
    <cfRule type="expression" dxfId="308" priority="12">
      <formula>$G53&lt;&gt;0</formula>
    </cfRule>
  </conditionalFormatting>
  <conditionalFormatting sqref="O63:AA63 AD63 AF63:AG63">
    <cfRule type="expression" dxfId="307" priority="11">
      <formula>ROUND(O62,2)&lt;&gt;ROUND(O63,2)</formula>
    </cfRule>
  </conditionalFormatting>
  <conditionalFormatting sqref="N63">
    <cfRule type="expression" dxfId="306" priority="10">
      <formula>$G63&lt;&gt;0</formula>
    </cfRule>
  </conditionalFormatting>
  <conditionalFormatting sqref="O73:AA73 AD73 AF73:AG73">
    <cfRule type="expression" dxfId="305" priority="9">
      <formula>ROUND(O72,2)&lt;&gt;ROUND(O73,2)</formula>
    </cfRule>
  </conditionalFormatting>
  <conditionalFormatting sqref="N73">
    <cfRule type="expression" dxfId="304" priority="8">
      <formula>$G73&lt;&gt;0</formula>
    </cfRule>
  </conditionalFormatting>
  <conditionalFormatting sqref="N82">
    <cfRule type="expression" dxfId="303" priority="7">
      <formula>$G82&lt;&gt;0</formula>
    </cfRule>
  </conditionalFormatting>
  <conditionalFormatting sqref="AD82 AF82:AG82 O82:AA82">
    <cfRule type="expression" dxfId="302" priority="6">
      <formula>ROUND(O81,2)&lt;&gt;ROUND(O82,2)</formula>
    </cfRule>
  </conditionalFormatting>
  <conditionalFormatting sqref="AI43">
    <cfRule type="expression" dxfId="301" priority="5">
      <formula>ROUND(AI42,2)&lt;&gt;ROUND(AI43,2)</formula>
    </cfRule>
  </conditionalFormatting>
  <conditionalFormatting sqref="AI53">
    <cfRule type="expression" dxfId="300" priority="4">
      <formula>ROUND(AI52,2)&lt;&gt;ROUND(AI53,2)</formula>
    </cfRule>
  </conditionalFormatting>
  <conditionalFormatting sqref="AI63">
    <cfRule type="expression" dxfId="299" priority="3">
      <formula>ROUND(AI62,2)&lt;&gt;ROUND(AI63,2)</formula>
    </cfRule>
  </conditionalFormatting>
  <conditionalFormatting sqref="AI73">
    <cfRule type="expression" dxfId="298" priority="2">
      <formula>ROUND(AI72,2)&lt;&gt;ROUND(AI73,2)</formula>
    </cfRule>
  </conditionalFormatting>
  <conditionalFormatting sqref="AI82">
    <cfRule type="expression" dxfId="297" priority="1">
      <formula>ROUND(AI81,2)&lt;&gt;ROUND(AI82,2)</formula>
    </cfRule>
  </conditionalFormatting>
  <dataValidations disablePrompts="1"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8">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t="str">
        <f>Venue1!N1</f>
        <v>Seawell Restaurant</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725</v>
      </c>
      <c r="C6" s="1" t="s">
        <v>1336</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1347</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1348</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1349</v>
      </c>
      <c r="G19" s="18" t="str">
        <f>$B$6</f>
        <v>D2140</v>
      </c>
      <c r="H19" s="18" t="s">
        <v>273</v>
      </c>
      <c r="I19" s="19"/>
      <c r="J19" s="19"/>
      <c r="K19" s="18"/>
      <c r="L19" s="18"/>
      <c r="M19" s="18"/>
      <c r="N19" s="18" t="s">
        <v>1214</v>
      </c>
      <c r="O19" s="20">
        <v>72974.820000000007</v>
      </c>
      <c r="P19" s="20">
        <v>59060.34</v>
      </c>
      <c r="Q19" s="20">
        <v>75752.56</v>
      </c>
      <c r="R19" s="20">
        <v>64609.99</v>
      </c>
      <c r="S19" s="20">
        <v>47902.23</v>
      </c>
      <c r="T19" s="20">
        <v>50678.77</v>
      </c>
      <c r="U19" s="20">
        <v>48163.26</v>
      </c>
      <c r="V19" s="20">
        <v>45505.29</v>
      </c>
      <c r="W19" s="20">
        <v>27230.58</v>
      </c>
      <c r="X19" s="20">
        <v>24532.959999999999</v>
      </c>
      <c r="Y19" s="20">
        <v>29987.42</v>
      </c>
      <c r="Z19" s="20">
        <v>40692.79</v>
      </c>
      <c r="AA19" s="20">
        <f>SUM(O19:Z19)</f>
        <v>587091.01000000013</v>
      </c>
      <c r="AB19" s="18"/>
      <c r="AC19" s="18"/>
      <c r="AD19" s="20">
        <v>1206715.31</v>
      </c>
      <c r="AE19" s="18"/>
      <c r="AF19" s="18"/>
      <c r="AG19" s="20">
        <v>859241.9</v>
      </c>
      <c r="AH19" s="18"/>
      <c r="AI19" s="18"/>
    </row>
    <row r="20" spans="1:35" hidden="1" outlineLevel="1" x14ac:dyDescent="0.25">
      <c r="A20" s="6" t="s">
        <v>5</v>
      </c>
      <c r="B20" s="7"/>
      <c r="G20" s="18" t="str">
        <f>$B$6</f>
        <v>D2140</v>
      </c>
      <c r="H20" s="18">
        <v>946000</v>
      </c>
      <c r="I20" s="19"/>
      <c r="J20" s="19"/>
      <c r="K20" s="18"/>
      <c r="L20" s="18"/>
      <c r="M20" s="18"/>
      <c r="N20" s="18" t="s">
        <v>1196</v>
      </c>
      <c r="O20" s="20">
        <v>2410</v>
      </c>
      <c r="P20" s="20">
        <v>2096</v>
      </c>
      <c r="Q20" s="20">
        <v>2331</v>
      </c>
      <c r="R20" s="20">
        <v>2145</v>
      </c>
      <c r="S20" s="20">
        <v>1573</v>
      </c>
      <c r="T20" s="20">
        <v>1769</v>
      </c>
      <c r="U20" s="20">
        <v>1785</v>
      </c>
      <c r="V20" s="20">
        <v>1585</v>
      </c>
      <c r="W20" s="20">
        <v>1056</v>
      </c>
      <c r="X20" s="20">
        <v>1161</v>
      </c>
      <c r="Y20" s="20">
        <v>1196</v>
      </c>
      <c r="Z20" s="20">
        <v>1655</v>
      </c>
      <c r="AA20" s="20">
        <f>SUM(O20:Z20)</f>
        <v>20762</v>
      </c>
      <c r="AB20" s="18"/>
      <c r="AC20" s="18"/>
      <c r="AD20" s="20">
        <v>30076</v>
      </c>
      <c r="AE20" s="18"/>
      <c r="AF20" s="18"/>
      <c r="AG20" s="20">
        <v>26720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1350</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1334</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v>42046.04</v>
      </c>
      <c r="P35" s="21">
        <v>35310.639999999999</v>
      </c>
      <c r="Q35" s="21">
        <v>45660.22</v>
      </c>
      <c r="R35" s="21">
        <v>39847.199999999997</v>
      </c>
      <c r="S35" s="21">
        <v>30824.42</v>
      </c>
      <c r="T35" s="21">
        <v>33722.17</v>
      </c>
      <c r="U35" s="21">
        <v>32263.02</v>
      </c>
      <c r="V35" s="21">
        <v>30635.23</v>
      </c>
      <c r="W35" s="21">
        <v>23265.599999999999</v>
      </c>
      <c r="X35" s="21">
        <v>22337.919999999998</v>
      </c>
      <c r="Y35" s="21">
        <v>26327.37</v>
      </c>
      <c r="Z35" s="21">
        <v>37691.620000000003</v>
      </c>
      <c r="AA35" s="21">
        <f t="shared" ref="AA35:AA41" si="0">SUM(O35:Z35)</f>
        <v>399931.4499999999</v>
      </c>
      <c r="AB35" s="17">
        <f>IF(AA35=0,"",IFERROR(AA35/AA$19,""))</f>
        <v>0.68120860852561826</v>
      </c>
      <c r="AD35" s="21">
        <v>626554.28649299999</v>
      </c>
      <c r="AE35" s="17">
        <f>IF(AD35=0,"",IFERROR(AD35/AD$19,""))</f>
        <v>0.51922295283798126</v>
      </c>
      <c r="AF35" s="50">
        <f t="shared" ref="AF35:AF42" si="1">IF(AND($AA35="",AD35=""),"",$AA35-AD35)</f>
        <v>-226622.8364930001</v>
      </c>
      <c r="AG35" s="21">
        <v>480784.08</v>
      </c>
      <c r="AH35" s="17">
        <f>IF(AG35=0,"",IFERROR(AG35/AG$19,""))</f>
        <v>0.5595445007977381</v>
      </c>
      <c r="AI35" s="50">
        <f t="shared" ref="AI35:AI42" si="2">IF(AND($AA35="",AG35=""),"",$AA35-AG35)</f>
        <v>-80852.630000000121</v>
      </c>
    </row>
    <row r="36" spans="1:35" x14ac:dyDescent="0.25">
      <c r="A36" s="3" t="s">
        <v>23</v>
      </c>
      <c r="B36" s="5" t="s">
        <v>24</v>
      </c>
      <c r="H36" s="15" t="s">
        <v>294</v>
      </c>
      <c r="I36" s="161" t="s">
        <v>1123</v>
      </c>
      <c r="J36" s="161" t="s">
        <v>78</v>
      </c>
      <c r="K36" s="162"/>
      <c r="L36" s="162">
        <v>461200</v>
      </c>
      <c r="M36" s="162"/>
      <c r="N36" s="162" t="s">
        <v>1259</v>
      </c>
      <c r="O36" s="21">
        <v>2143.88</v>
      </c>
      <c r="P36" s="21">
        <v>2358</v>
      </c>
      <c r="Q36" s="21">
        <v>3458</v>
      </c>
      <c r="R36" s="21">
        <v>3306.5</v>
      </c>
      <c r="S36" s="21">
        <v>1845</v>
      </c>
      <c r="T36" s="21">
        <v>1616.5</v>
      </c>
      <c r="U36" s="21">
        <v>1381</v>
      </c>
      <c r="V36" s="21">
        <v>1444</v>
      </c>
      <c r="W36" s="21">
        <v>1978</v>
      </c>
      <c r="X36" s="21">
        <v>1242</v>
      </c>
      <c r="Y36" s="21">
        <v>1849</v>
      </c>
      <c r="Z36" s="21">
        <v>1779</v>
      </c>
      <c r="AA36" s="21">
        <f t="shared" si="0"/>
        <v>24400.880000000001</v>
      </c>
      <c r="AB36" s="17">
        <f>IF(AA36=0,"",IFERROR(AA36/AA$19,""))</f>
        <v>4.1562346526137398E-2</v>
      </c>
      <c r="AD36" s="21">
        <v>30485.187150000002</v>
      </c>
      <c r="AE36" s="17">
        <f>IF(AD36=0,"",IFERROR(AD36/AD$19,""))</f>
        <v>2.5262948847479195E-2</v>
      </c>
      <c r="AF36" s="50">
        <f t="shared" si="1"/>
        <v>-6084.3071500000005</v>
      </c>
      <c r="AG36" s="21">
        <v>23177.18</v>
      </c>
      <c r="AH36" s="17">
        <f>IF(AG36=0,"",IFERROR(AG36/AG$19,""))</f>
        <v>2.6973987185680771E-2</v>
      </c>
      <c r="AI36" s="50">
        <f t="shared" si="2"/>
        <v>1223.7000000000007</v>
      </c>
    </row>
    <row r="37" spans="1:35" x14ac:dyDescent="0.25">
      <c r="A37" s="6" t="s">
        <v>25</v>
      </c>
      <c r="B37" s="7"/>
      <c r="H37" s="15" t="s">
        <v>295</v>
      </c>
      <c r="I37" s="161" t="s">
        <v>1123</v>
      </c>
      <c r="J37" s="161" t="s">
        <v>78</v>
      </c>
      <c r="K37" s="162"/>
      <c r="L37" s="162">
        <v>461300</v>
      </c>
      <c r="M37" s="162"/>
      <c r="N37" s="162" t="s">
        <v>1260</v>
      </c>
      <c r="O37" s="21">
        <v>183</v>
      </c>
      <c r="P37" s="21">
        <v>120</v>
      </c>
      <c r="Q37" s="21">
        <v>510</v>
      </c>
      <c r="R37" s="21">
        <v>280</v>
      </c>
      <c r="S37" s="21">
        <v>269</v>
      </c>
      <c r="T37" s="21">
        <v>270</v>
      </c>
      <c r="U37" s="21">
        <v>214</v>
      </c>
      <c r="V37" s="21">
        <v>376</v>
      </c>
      <c r="W37" s="21">
        <v>160.80000000000001</v>
      </c>
      <c r="X37" s="21">
        <v>162</v>
      </c>
      <c r="Y37" s="21">
        <v>312</v>
      </c>
      <c r="Z37" s="21">
        <v>140</v>
      </c>
      <c r="AA37" s="21">
        <f t="shared" si="0"/>
        <v>2996.8</v>
      </c>
      <c r="AB37" s="17">
        <f>IF(AA37=0,"",IFERROR(AA37/AA$19,""))</f>
        <v>5.1044896769923279E-3</v>
      </c>
      <c r="AD37" s="21">
        <v>5312.8874130000004</v>
      </c>
      <c r="AE37" s="17">
        <f>IF(AD37=0,"",IFERROR(AD37/AD$19,""))</f>
        <v>4.4027678848294382E-3</v>
      </c>
      <c r="AF37" s="50">
        <f t="shared" si="1"/>
        <v>-2316.0874130000002</v>
      </c>
      <c r="AG37" s="21">
        <v>3568.5</v>
      </c>
      <c r="AH37" s="17">
        <f>IF(AG37=0,"",IFERROR(AG37/AG$19,""))</f>
        <v>4.1530795926036663E-3</v>
      </c>
      <c r="AI37" s="50">
        <f t="shared" si="2"/>
        <v>-571.69999999999982</v>
      </c>
    </row>
    <row r="38" spans="1:35" x14ac:dyDescent="0.25">
      <c r="A38" s="6" t="s">
        <v>26</v>
      </c>
      <c r="B38" s="7"/>
      <c r="H38" s="15" t="s">
        <v>296</v>
      </c>
      <c r="I38" s="161" t="s">
        <v>1123</v>
      </c>
      <c r="J38" s="161" t="s">
        <v>78</v>
      </c>
      <c r="K38" s="162"/>
      <c r="L38" s="162">
        <v>461400</v>
      </c>
      <c r="M38" s="162"/>
      <c r="N38" s="162" t="s">
        <v>1261</v>
      </c>
      <c r="O38" s="30">
        <v>2188</v>
      </c>
      <c r="P38" s="30">
        <v>1106</v>
      </c>
      <c r="Q38" s="30">
        <v>2226.34</v>
      </c>
      <c r="R38" s="30">
        <v>1352</v>
      </c>
      <c r="S38" s="30">
        <v>2240</v>
      </c>
      <c r="T38" s="30">
        <v>1634</v>
      </c>
      <c r="U38" s="30">
        <v>1769</v>
      </c>
      <c r="V38" s="30">
        <v>1447</v>
      </c>
      <c r="W38" s="30">
        <v>633</v>
      </c>
      <c r="X38" s="30">
        <v>1004</v>
      </c>
      <c r="Y38" s="30">
        <v>1569</v>
      </c>
      <c r="Z38" s="30">
        <v>1162</v>
      </c>
      <c r="AA38" s="30">
        <f t="shared" si="0"/>
        <v>18330.34</v>
      </c>
      <c r="AB38" s="31">
        <f>IF(AA38=0,"",IFERROR(AA38/AA$19,""))</f>
        <v>3.1222314237106093E-2</v>
      </c>
      <c r="AD38" s="30">
        <v>61904.928943999999</v>
      </c>
      <c r="AE38" s="31">
        <f>IF(AD38=0,"",IFERROR(AD38/AD$19,""))</f>
        <v>5.1300359273638449E-2</v>
      </c>
      <c r="AF38" s="51">
        <f t="shared" si="1"/>
        <v>-43574.588944000003</v>
      </c>
      <c r="AG38" s="30">
        <v>43238.2</v>
      </c>
      <c r="AH38" s="31">
        <f>IF(AG38=0,"",IFERROR(AG38/AG$19,""))</f>
        <v>5.032133558663747E-2</v>
      </c>
      <c r="AI38" s="51">
        <f t="shared" si="2"/>
        <v>-24907.859999999997</v>
      </c>
    </row>
    <row r="39" spans="1:35" x14ac:dyDescent="0.25">
      <c r="A39" s="6" t="s">
        <v>27</v>
      </c>
      <c r="B39" s="7"/>
      <c r="H39" s="15" t="s">
        <v>318</v>
      </c>
      <c r="I39" s="161" t="s">
        <v>1009</v>
      </c>
      <c r="J39" s="161" t="s">
        <v>78</v>
      </c>
      <c r="K39" s="162"/>
      <c r="L39" s="162"/>
      <c r="M39" s="162"/>
      <c r="N39" s="25" t="s">
        <v>1262</v>
      </c>
      <c r="O39" s="164">
        <v>46560.92</v>
      </c>
      <c r="P39" s="164">
        <v>38894.639999999999</v>
      </c>
      <c r="Q39" s="164">
        <v>51854.559999999998</v>
      </c>
      <c r="R39" s="164">
        <v>44785.7</v>
      </c>
      <c r="S39" s="164">
        <v>35178.42</v>
      </c>
      <c r="T39" s="164">
        <v>37242.67</v>
      </c>
      <c r="U39" s="164">
        <v>35627.019999999997</v>
      </c>
      <c r="V39" s="164">
        <v>33902.230000000003</v>
      </c>
      <c r="W39" s="164">
        <v>26037.4</v>
      </c>
      <c r="X39" s="164">
        <v>24745.919999999998</v>
      </c>
      <c r="Y39" s="164">
        <v>30057.37</v>
      </c>
      <c r="Z39" s="164">
        <v>40772.620000000003</v>
      </c>
      <c r="AA39" s="164">
        <f t="shared" si="0"/>
        <v>445659.47</v>
      </c>
      <c r="AB39" s="175">
        <f>IF(AA39=0,"",IFERROR(AA39/AA$19,""))</f>
        <v>0.75909775896585419</v>
      </c>
      <c r="AD39" s="164">
        <v>724257.29</v>
      </c>
      <c r="AE39" s="175">
        <f>IF(AD39=0,"",IFERROR(AD39/AD$19,""))</f>
        <v>0.60018902884392844</v>
      </c>
      <c r="AF39" s="165">
        <f t="shared" si="1"/>
        <v>-278597.82000000007</v>
      </c>
      <c r="AG39" s="164">
        <v>550767.96</v>
      </c>
      <c r="AH39" s="175">
        <f>IF(AG39=0,"",IFERROR(AG39/AG$19,""))</f>
        <v>0.64099290316266</v>
      </c>
      <c r="AI39" s="165">
        <f t="shared" si="2"/>
        <v>-105108.48999999999</v>
      </c>
    </row>
    <row r="40" spans="1:35" x14ac:dyDescent="0.25">
      <c r="A40" s="6" t="s">
        <v>28</v>
      </c>
      <c r="B40" s="7"/>
      <c r="H40" s="15" t="s">
        <v>763</v>
      </c>
      <c r="I40" s="161" t="s">
        <v>1009</v>
      </c>
      <c r="J40" s="161" t="s">
        <v>1009</v>
      </c>
      <c r="K40" s="162"/>
      <c r="L40" s="162">
        <v>947100</v>
      </c>
      <c r="M40" s="162">
        <v>999991</v>
      </c>
      <c r="N40" s="162" t="s">
        <v>1351</v>
      </c>
      <c r="O40" s="38">
        <v>31</v>
      </c>
      <c r="P40" s="38">
        <v>28</v>
      </c>
      <c r="Q40" s="38">
        <v>31</v>
      </c>
      <c r="R40" s="38">
        <v>30</v>
      </c>
      <c r="S40" s="38">
        <v>31</v>
      </c>
      <c r="T40" s="38"/>
      <c r="U40" s="38">
        <v>31</v>
      </c>
      <c r="V40" s="38">
        <v>31</v>
      </c>
      <c r="W40" s="38">
        <v>30</v>
      </c>
      <c r="X40" s="38">
        <v>31</v>
      </c>
      <c r="Y40" s="38">
        <v>30</v>
      </c>
      <c r="Z40" s="38">
        <v>31</v>
      </c>
      <c r="AA40" s="38">
        <f t="shared" si="0"/>
        <v>335</v>
      </c>
      <c r="AB40" s="39"/>
      <c r="AD40" s="38">
        <v>365</v>
      </c>
      <c r="AE40" s="39"/>
      <c r="AF40" s="132">
        <f t="shared" si="1"/>
        <v>-30</v>
      </c>
      <c r="AG40" s="38">
        <v>365</v>
      </c>
      <c r="AH40" s="39"/>
      <c r="AI40" s="132">
        <f t="shared" si="2"/>
        <v>-30</v>
      </c>
    </row>
    <row r="41" spans="1:35" x14ac:dyDescent="0.25">
      <c r="A41" s="6" t="s">
        <v>29</v>
      </c>
      <c r="B41" s="7"/>
      <c r="H41" s="15" t="s">
        <v>297</v>
      </c>
      <c r="I41" s="161" t="s">
        <v>1009</v>
      </c>
      <c r="J41" s="161" t="s">
        <v>1009</v>
      </c>
      <c r="K41" s="162"/>
      <c r="L41" s="162">
        <v>946100</v>
      </c>
      <c r="M41" s="162">
        <v>991501</v>
      </c>
      <c r="N41" s="162" t="s">
        <v>1263</v>
      </c>
      <c r="O41" s="38">
        <v>1851</v>
      </c>
      <c r="P41" s="38">
        <v>1706</v>
      </c>
      <c r="Q41" s="38">
        <v>1854</v>
      </c>
      <c r="R41" s="38">
        <v>1745</v>
      </c>
      <c r="S41" s="38">
        <v>1290</v>
      </c>
      <c r="T41" s="38">
        <v>1462</v>
      </c>
      <c r="U41" s="38">
        <v>1473</v>
      </c>
      <c r="V41" s="38">
        <v>1319</v>
      </c>
      <c r="W41" s="38">
        <v>1036</v>
      </c>
      <c r="X41" s="38">
        <v>1161</v>
      </c>
      <c r="Y41" s="38">
        <v>1196</v>
      </c>
      <c r="Z41" s="38">
        <v>1655</v>
      </c>
      <c r="AA41" s="38">
        <f t="shared" si="0"/>
        <v>17748</v>
      </c>
      <c r="AB41" s="39">
        <f>IF(AA41=0,"",IFERROR(AA41/AA$87,""))</f>
        <v>0.85483094114247182</v>
      </c>
      <c r="AD41" s="38">
        <v>21279</v>
      </c>
      <c r="AE41" s="39">
        <f>IF(AD41=0,"",IFERROR(AD41/AD$87,""))</f>
        <v>0.70750764729352311</v>
      </c>
      <c r="AF41" s="132">
        <f t="shared" si="1"/>
        <v>-3531</v>
      </c>
      <c r="AG41" s="38">
        <v>20286</v>
      </c>
      <c r="AH41" s="39">
        <f>IF(AG41=0,"",IFERROR(AG41/AG$87,""))</f>
        <v>0.75920658682634734</v>
      </c>
      <c r="AI41" s="132">
        <f t="shared" si="2"/>
        <v>-2538</v>
      </c>
    </row>
    <row r="42" spans="1:35" x14ac:dyDescent="0.25">
      <c r="A42" s="6" t="s">
        <v>30</v>
      </c>
      <c r="B42" s="7" t="s">
        <v>78</v>
      </c>
      <c r="H42" s="15" t="s">
        <v>313</v>
      </c>
      <c r="I42" s="161" t="s">
        <v>1009</v>
      </c>
      <c r="J42" s="161" t="s">
        <v>78</v>
      </c>
      <c r="K42" s="162"/>
      <c r="L42" s="162"/>
      <c r="M42" s="162"/>
      <c r="N42" s="170" t="s">
        <v>1264</v>
      </c>
      <c r="O42" s="176">
        <v>25.154467855213401</v>
      </c>
      <c r="P42" s="176">
        <v>22.798733880421999</v>
      </c>
      <c r="Q42" s="176">
        <v>27.9690183387271</v>
      </c>
      <c r="R42" s="176">
        <v>25.665157593123201</v>
      </c>
      <c r="S42" s="176">
        <v>27.2700930232558</v>
      </c>
      <c r="T42" s="176">
        <v>25.473782489740099</v>
      </c>
      <c r="U42" s="176">
        <v>24.186707399864201</v>
      </c>
      <c r="V42" s="176">
        <v>25.702979529946901</v>
      </c>
      <c r="W42" s="176">
        <v>25.1326254826255</v>
      </c>
      <c r="X42" s="176">
        <v>21.314315245477999</v>
      </c>
      <c r="Y42" s="176">
        <v>25.131580267558501</v>
      </c>
      <c r="Z42" s="176">
        <v>24.636024169184299</v>
      </c>
      <c r="AA42" s="176">
        <f>IFERROR(AA39/AA41,"")</f>
        <v>25.110405116069415</v>
      </c>
      <c r="AB42" s="176"/>
      <c r="AD42" s="176">
        <v>34.036246534141597</v>
      </c>
      <c r="AE42" s="176"/>
      <c r="AF42" s="177">
        <f t="shared" si="1"/>
        <v>-8.9258414180721815</v>
      </c>
      <c r="AG42" s="176">
        <v>27.150150842945902</v>
      </c>
      <c r="AH42" s="176"/>
      <c r="AI42" s="177">
        <f t="shared" si="2"/>
        <v>-2.039745726876486</v>
      </c>
    </row>
    <row r="43" spans="1:35" x14ac:dyDescent="0.25">
      <c r="A43" s="6" t="s">
        <v>31</v>
      </c>
      <c r="B43" s="7" t="s">
        <v>78</v>
      </c>
      <c r="G43" s="181">
        <f>COUNTIF(O44:AI44,FALSE)</f>
        <v>0</v>
      </c>
      <c r="H43" s="15"/>
      <c r="I43" s="161"/>
      <c r="J43" s="161"/>
      <c r="K43" s="162"/>
      <c r="L43" s="162"/>
      <c r="M43" s="162"/>
      <c r="N43" s="182" t="s">
        <v>345</v>
      </c>
      <c r="O43" s="179">
        <f t="shared" ref="O43:AA43" si="3">ROUND(IFERROR(O39/O41,0),2)</f>
        <v>25.15</v>
      </c>
      <c r="P43" s="184">
        <f t="shared" si="3"/>
        <v>22.8</v>
      </c>
      <c r="Q43" s="184">
        <f t="shared" si="3"/>
        <v>27.97</v>
      </c>
      <c r="R43" s="184">
        <f t="shared" si="3"/>
        <v>25.67</v>
      </c>
      <c r="S43" s="184">
        <f t="shared" si="3"/>
        <v>27.27</v>
      </c>
      <c r="T43" s="184">
        <f t="shared" si="3"/>
        <v>25.47</v>
      </c>
      <c r="U43" s="184">
        <f t="shared" si="3"/>
        <v>24.19</v>
      </c>
      <c r="V43" s="184">
        <f t="shared" si="3"/>
        <v>25.7</v>
      </c>
      <c r="W43" s="184">
        <f t="shared" si="3"/>
        <v>25.13</v>
      </c>
      <c r="X43" s="184">
        <f t="shared" si="3"/>
        <v>21.31</v>
      </c>
      <c r="Y43" s="184">
        <f t="shared" si="3"/>
        <v>25.13</v>
      </c>
      <c r="Z43" s="184">
        <f t="shared" si="3"/>
        <v>24.64</v>
      </c>
      <c r="AA43" s="184">
        <f t="shared" si="3"/>
        <v>25.11</v>
      </c>
      <c r="AB43" s="183"/>
      <c r="AD43" s="179">
        <f>ROUND(IFERROR(AD39/AD41,0),2)</f>
        <v>34.04</v>
      </c>
      <c r="AE43" s="184"/>
      <c r="AF43" s="180"/>
      <c r="AG43" s="179">
        <f>ROUND(IFERROR(AG39/AG41,0),2)</f>
        <v>27.15</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b">
        <f t="shared" si="4"/>
        <v>1</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v>19514.900000000001</v>
      </c>
      <c r="P55" s="21">
        <v>15544.5</v>
      </c>
      <c r="Q55" s="21">
        <v>18386</v>
      </c>
      <c r="R55" s="21">
        <v>15317.99</v>
      </c>
      <c r="S55" s="21">
        <v>9881.64</v>
      </c>
      <c r="T55" s="21">
        <v>10621.1</v>
      </c>
      <c r="U55" s="21">
        <v>10042.02</v>
      </c>
      <c r="V55" s="21">
        <v>8974</v>
      </c>
      <c r="W55" s="21">
        <v>1137.18</v>
      </c>
      <c r="X55" s="21">
        <v>-212.96</v>
      </c>
      <c r="Y55" s="21">
        <v>-59.77</v>
      </c>
      <c r="Z55" s="21">
        <v>-79.83</v>
      </c>
      <c r="AA55" s="21">
        <f t="shared" ref="AA55:AA61" si="10">SUM(O55:Z55)</f>
        <v>109066.76999999999</v>
      </c>
      <c r="AB55" s="17">
        <f>IF(AA55=0,"",IFERROR(AA55/AA$19,""))</f>
        <v>0.18577489374262426</v>
      </c>
      <c r="AD55" s="21">
        <v>343621.27695500001</v>
      </c>
      <c r="AE55" s="17">
        <f>IF(AD55=0,"",IFERROR(AD55/AD$19,""))</f>
        <v>0.28475753486130873</v>
      </c>
      <c r="AF55" s="50">
        <f t="shared" ref="AF55:AF62" si="11">IF(AND($AA55="",AD55=""),"",$AA55-AD55)</f>
        <v>-234554.50695500002</v>
      </c>
      <c r="AG55" s="21">
        <v>224392.67</v>
      </c>
      <c r="AH55" s="17">
        <f>IF(AG55=0,"",IFERROR(AG55/AG$19,""))</f>
        <v>0.26115191775447638</v>
      </c>
      <c r="AI55" s="50">
        <f t="shared" ref="AI55:AI62" si="12">IF(AND($AA55="",AG55=""),"",$AA55-AG55)</f>
        <v>-115325.90000000002</v>
      </c>
    </row>
    <row r="56" spans="1:35" x14ac:dyDescent="0.25">
      <c r="A56" s="6" t="s">
        <v>44</v>
      </c>
      <c r="B56" s="7"/>
      <c r="H56" s="15" t="s">
        <v>302</v>
      </c>
      <c r="I56" s="161" t="s">
        <v>1123</v>
      </c>
      <c r="J56" s="161" t="s">
        <v>78</v>
      </c>
      <c r="K56" s="162"/>
      <c r="L56" s="162">
        <v>463200</v>
      </c>
      <c r="M56" s="162"/>
      <c r="N56" s="162" t="s">
        <v>1273</v>
      </c>
      <c r="O56" s="21">
        <v>3279</v>
      </c>
      <c r="P56" s="21">
        <v>2257.1999999999998</v>
      </c>
      <c r="Q56" s="21">
        <v>3042</v>
      </c>
      <c r="R56" s="21">
        <v>2053</v>
      </c>
      <c r="S56" s="21">
        <v>1746</v>
      </c>
      <c r="T56" s="21">
        <v>1340</v>
      </c>
      <c r="U56" s="21">
        <v>1466</v>
      </c>
      <c r="V56" s="21">
        <v>1490</v>
      </c>
      <c r="W56" s="21">
        <v>56</v>
      </c>
      <c r="X56" s="21"/>
      <c r="Y56" s="21"/>
      <c r="Z56" s="21"/>
      <c r="AA56" s="21">
        <f t="shared" si="10"/>
        <v>16729.2</v>
      </c>
      <c r="AB56" s="17">
        <f>IF(AA56=0,"",IFERROR(AA56/AA$19,""))</f>
        <v>2.8495070977155649E-2</v>
      </c>
      <c r="AD56" s="21">
        <v>73154.718233000007</v>
      </c>
      <c r="AE56" s="17">
        <f>IF(AD56=0,"",IFERROR(AD56/AD$19,""))</f>
        <v>6.0623013254882799E-2</v>
      </c>
      <c r="AF56" s="50">
        <f t="shared" si="11"/>
        <v>-56425.51823300001</v>
      </c>
      <c r="AG56" s="21">
        <v>43828.41</v>
      </c>
      <c r="AH56" s="17">
        <f>IF(AG56=0,"",IFERROR(AG56/AG$19,""))</f>
        <v>5.1008231791303475E-2</v>
      </c>
      <c r="AI56" s="50">
        <f t="shared" si="12"/>
        <v>-27099.210000000003</v>
      </c>
    </row>
    <row r="57" spans="1:35" x14ac:dyDescent="0.25">
      <c r="A57" s="6" t="s">
        <v>45</v>
      </c>
      <c r="B57" s="7"/>
      <c r="H57" s="15" t="s">
        <v>306</v>
      </c>
      <c r="I57" s="161" t="s">
        <v>1123</v>
      </c>
      <c r="J57" s="161" t="s">
        <v>78</v>
      </c>
      <c r="K57" s="162"/>
      <c r="L57" s="162">
        <v>463300</v>
      </c>
      <c r="M57" s="162"/>
      <c r="N57" s="162" t="s">
        <v>1274</v>
      </c>
      <c r="O57" s="21">
        <v>364</v>
      </c>
      <c r="P57" s="21">
        <v>390</v>
      </c>
      <c r="Q57" s="21">
        <v>750</v>
      </c>
      <c r="R57" s="21">
        <v>437.12</v>
      </c>
      <c r="S57" s="21">
        <v>239</v>
      </c>
      <c r="T57" s="21">
        <v>330</v>
      </c>
      <c r="U57" s="21">
        <v>314</v>
      </c>
      <c r="V57" s="21">
        <v>178</v>
      </c>
      <c r="W57" s="21"/>
      <c r="X57" s="21"/>
      <c r="Y57" s="21"/>
      <c r="Z57" s="21"/>
      <c r="AA57" s="21">
        <f t="shared" si="10"/>
        <v>3002.12</v>
      </c>
      <c r="AB57" s="17">
        <f>IF(AA57=0,"",IFERROR(AA57/AA$19,""))</f>
        <v>5.1135513044221186E-3</v>
      </c>
      <c r="AD57" s="21">
        <v>10077.191981</v>
      </c>
      <c r="AE57" s="17">
        <f>IF(AD57=0,"",IFERROR(AD57/AD$19,""))</f>
        <v>8.350927428773568E-3</v>
      </c>
      <c r="AF57" s="50">
        <f t="shared" si="11"/>
        <v>-7075.0719810000001</v>
      </c>
      <c r="AG57" s="21">
        <v>6579.1</v>
      </c>
      <c r="AH57" s="17">
        <f>IF(AG57=0,"",IFERROR(AG57/AG$19,""))</f>
        <v>7.6568658953898782E-3</v>
      </c>
      <c r="AI57" s="50">
        <f t="shared" si="12"/>
        <v>-3576.9800000000005</v>
      </c>
    </row>
    <row r="58" spans="1:35" x14ac:dyDescent="0.25">
      <c r="A58" s="6" t="s">
        <v>46</v>
      </c>
      <c r="B58" s="7"/>
      <c r="H58" s="15" t="s">
        <v>304</v>
      </c>
      <c r="I58" s="161" t="s">
        <v>1123</v>
      </c>
      <c r="J58" s="161" t="s">
        <v>78</v>
      </c>
      <c r="K58" s="162"/>
      <c r="L58" s="162">
        <v>463400</v>
      </c>
      <c r="M58" s="162"/>
      <c r="N58" s="162" t="s">
        <v>1275</v>
      </c>
      <c r="O58" s="30">
        <v>3256</v>
      </c>
      <c r="P58" s="30">
        <v>2030</v>
      </c>
      <c r="Q58" s="30">
        <v>1720</v>
      </c>
      <c r="R58" s="30">
        <v>2149.89</v>
      </c>
      <c r="S58" s="30">
        <v>1385</v>
      </c>
      <c r="T58" s="30">
        <v>1145</v>
      </c>
      <c r="U58" s="30">
        <v>714.22</v>
      </c>
      <c r="V58" s="30">
        <v>1067</v>
      </c>
      <c r="W58" s="30"/>
      <c r="X58" s="30"/>
      <c r="Y58" s="30"/>
      <c r="Z58" s="30"/>
      <c r="AA58" s="30">
        <f t="shared" si="10"/>
        <v>13467.109999999999</v>
      </c>
      <c r="AB58" s="31">
        <f>IF(AA58=0,"",IFERROR(AA58/AA$19,""))</f>
        <v>2.2938709281206667E-2</v>
      </c>
      <c r="AD58" s="30">
        <v>55604.832831</v>
      </c>
      <c r="AE58" s="31">
        <f>IF(AD58=0,"",IFERROR(AD58/AD$19,""))</f>
        <v>4.6079495611106483E-2</v>
      </c>
      <c r="AF58" s="51">
        <f t="shared" si="11"/>
        <v>-42137.722830999999</v>
      </c>
      <c r="AG58" s="30">
        <v>34605.06</v>
      </c>
      <c r="AH58" s="31">
        <f>IF(AG58=0,"",IFERROR(AG58/AG$19,""))</f>
        <v>4.027394381023551E-2</v>
      </c>
      <c r="AI58" s="51">
        <f t="shared" si="12"/>
        <v>-21137.949999999997</v>
      </c>
    </row>
    <row r="59" spans="1:35" x14ac:dyDescent="0.25">
      <c r="H59" s="15" t="s">
        <v>320</v>
      </c>
      <c r="I59" s="161" t="s">
        <v>1009</v>
      </c>
      <c r="J59" s="161" t="s">
        <v>78</v>
      </c>
      <c r="K59" s="162"/>
      <c r="L59" s="162"/>
      <c r="M59" s="162"/>
      <c r="N59" s="25" t="s">
        <v>1276</v>
      </c>
      <c r="O59" s="164">
        <v>26413.9</v>
      </c>
      <c r="P59" s="164">
        <v>20221.7</v>
      </c>
      <c r="Q59" s="164">
        <v>23898</v>
      </c>
      <c r="R59" s="164">
        <v>19958</v>
      </c>
      <c r="S59" s="164">
        <v>13251.64</v>
      </c>
      <c r="T59" s="164">
        <v>13436.1</v>
      </c>
      <c r="U59" s="164">
        <v>12536.24</v>
      </c>
      <c r="V59" s="164">
        <v>11709</v>
      </c>
      <c r="W59" s="164">
        <v>1193.18</v>
      </c>
      <c r="X59" s="164">
        <v>-212.96</v>
      </c>
      <c r="Y59" s="164">
        <v>-59.77</v>
      </c>
      <c r="Z59" s="164">
        <v>-79.83</v>
      </c>
      <c r="AA59" s="164">
        <f t="shared" si="10"/>
        <v>142265.20000000004</v>
      </c>
      <c r="AB59" s="175">
        <f>IF(AA59=0,"",IFERROR(AA59/AA$19,""))</f>
        <v>0.24232222530540881</v>
      </c>
      <c r="AD59" s="164">
        <v>482458.02</v>
      </c>
      <c r="AE59" s="175">
        <f>IF(AD59=0,"",IFERROR(AD59/AD$19,""))</f>
        <v>0.39981097115607162</v>
      </c>
      <c r="AF59" s="165">
        <f t="shared" si="11"/>
        <v>-340192.81999999995</v>
      </c>
      <c r="AG59" s="164">
        <v>309405.24</v>
      </c>
      <c r="AH59" s="175">
        <f>IF(AG59=0,"",IFERROR(AG59/AG$19,""))</f>
        <v>0.36009095925140522</v>
      </c>
      <c r="AI59" s="165">
        <f t="shared" si="12"/>
        <v>-167140.03999999995</v>
      </c>
    </row>
    <row r="60" spans="1:35" x14ac:dyDescent="0.25">
      <c r="H60" s="15" t="s">
        <v>765</v>
      </c>
      <c r="I60" s="161" t="s">
        <v>1009</v>
      </c>
      <c r="J60" s="161" t="s">
        <v>1009</v>
      </c>
      <c r="K60" s="162"/>
      <c r="L60" s="162">
        <v>947300</v>
      </c>
      <c r="M60" s="162">
        <v>999993</v>
      </c>
      <c r="N60" s="162" t="s">
        <v>1353</v>
      </c>
      <c r="O60" s="38">
        <v>19</v>
      </c>
      <c r="P60" s="38">
        <v>14</v>
      </c>
      <c r="Q60" s="38">
        <v>14</v>
      </c>
      <c r="R60" s="38">
        <v>13</v>
      </c>
      <c r="S60" s="38">
        <v>12</v>
      </c>
      <c r="T60" s="38"/>
      <c r="U60" s="38">
        <v>13</v>
      </c>
      <c r="V60" s="38">
        <v>12</v>
      </c>
      <c r="W60" s="38">
        <v>1</v>
      </c>
      <c r="X60" s="38"/>
      <c r="Y60" s="38"/>
      <c r="Z60" s="38"/>
      <c r="AA60" s="38">
        <f t="shared" si="10"/>
        <v>98</v>
      </c>
      <c r="AB60" s="39"/>
      <c r="AD60" s="38">
        <v>278</v>
      </c>
      <c r="AE60" s="39"/>
      <c r="AF60" s="132">
        <f t="shared" si="11"/>
        <v>-180</v>
      </c>
      <c r="AG60" s="38">
        <v>235</v>
      </c>
      <c r="AH60" s="39"/>
      <c r="AI60" s="132">
        <f t="shared" si="12"/>
        <v>-137</v>
      </c>
    </row>
    <row r="61" spans="1:35" x14ac:dyDescent="0.25">
      <c r="H61" s="15" t="s">
        <v>299</v>
      </c>
      <c r="I61" s="161" t="s">
        <v>1009</v>
      </c>
      <c r="J61" s="161" t="s">
        <v>1009</v>
      </c>
      <c r="K61" s="162"/>
      <c r="L61" s="162">
        <v>946300</v>
      </c>
      <c r="M61" s="162">
        <v>991503</v>
      </c>
      <c r="N61" s="162" t="s">
        <v>1277</v>
      </c>
      <c r="O61" s="38">
        <v>559</v>
      </c>
      <c r="P61" s="38">
        <v>390</v>
      </c>
      <c r="Q61" s="38">
        <v>477</v>
      </c>
      <c r="R61" s="38">
        <v>400</v>
      </c>
      <c r="S61" s="38">
        <v>283</v>
      </c>
      <c r="T61" s="38">
        <v>307</v>
      </c>
      <c r="U61" s="38">
        <v>312</v>
      </c>
      <c r="V61" s="38">
        <v>266</v>
      </c>
      <c r="W61" s="38">
        <v>20</v>
      </c>
      <c r="X61" s="38"/>
      <c r="Y61" s="38"/>
      <c r="Z61" s="38"/>
      <c r="AA61" s="38">
        <f t="shared" si="10"/>
        <v>3014</v>
      </c>
      <c r="AB61" s="39">
        <f>IF(AA61=0,"",IFERROR(AA61/AA$87,""))</f>
        <v>0.14516905885752818</v>
      </c>
      <c r="AD61" s="38">
        <v>8797</v>
      </c>
      <c r="AE61" s="39">
        <f>IF(AD61=0,"",IFERROR(AD61/AD$87,""))</f>
        <v>0.29249235270647694</v>
      </c>
      <c r="AF61" s="132">
        <f t="shared" si="11"/>
        <v>-5783</v>
      </c>
      <c r="AG61" s="38">
        <v>6434</v>
      </c>
      <c r="AH61" s="39">
        <f>IF(AG61=0,"",IFERROR(AG61/AG$87,""))</f>
        <v>0.24079341317365269</v>
      </c>
      <c r="AI61" s="132">
        <f t="shared" si="12"/>
        <v>-3420</v>
      </c>
    </row>
    <row r="62" spans="1:35" x14ac:dyDescent="0.25">
      <c r="H62" s="149" t="s">
        <v>317</v>
      </c>
      <c r="I62" s="161" t="s">
        <v>1009</v>
      </c>
      <c r="J62" s="161" t="s">
        <v>78</v>
      </c>
      <c r="K62" s="162"/>
      <c r="L62" s="162"/>
      <c r="M62" s="162"/>
      <c r="N62" s="170" t="s">
        <v>1278</v>
      </c>
      <c r="O62" s="176">
        <v>47.252057245080501</v>
      </c>
      <c r="P62" s="176">
        <v>51.850512820512797</v>
      </c>
      <c r="Q62" s="176">
        <v>50.100628930817599</v>
      </c>
      <c r="R62" s="176">
        <v>49.895000000000003</v>
      </c>
      <c r="S62" s="176">
        <v>46.825583038869297</v>
      </c>
      <c r="T62" s="176">
        <v>43.765798045602601</v>
      </c>
      <c r="U62" s="176">
        <v>40.180256410256398</v>
      </c>
      <c r="V62" s="176">
        <v>44.018796992481199</v>
      </c>
      <c r="W62" s="176">
        <v>59.658999999999999</v>
      </c>
      <c r="X62" s="176"/>
      <c r="Y62" s="176"/>
      <c r="Z62" s="176"/>
      <c r="AA62" s="176">
        <f>IFERROR(AA59/AA61,"")</f>
        <v>47.201459854014615</v>
      </c>
      <c r="AB62" s="176"/>
      <c r="AD62" s="176">
        <v>54.843471638058404</v>
      </c>
      <c r="AE62" s="176"/>
      <c r="AF62" s="177">
        <f t="shared" si="11"/>
        <v>-7.6420117840437882</v>
      </c>
      <c r="AG62" s="176">
        <v>48.089095430525298</v>
      </c>
      <c r="AH62" s="176"/>
      <c r="AI62" s="177">
        <f t="shared" si="12"/>
        <v>-0.88763557651068226</v>
      </c>
    </row>
    <row r="63" spans="1:35" x14ac:dyDescent="0.25">
      <c r="G63" s="181">
        <f>COUNTIF(O64:AI64,FALSE)</f>
        <v>0</v>
      </c>
      <c r="H63" s="15"/>
      <c r="I63" s="161"/>
      <c r="J63" s="161"/>
      <c r="K63" s="162"/>
      <c r="L63" s="162"/>
      <c r="M63" s="162"/>
      <c r="N63" s="182" t="s">
        <v>345</v>
      </c>
      <c r="O63" s="179">
        <f t="shared" ref="O63:AA63" si="13">ROUND(IFERROR(O59/O61,0),2)</f>
        <v>47.25</v>
      </c>
      <c r="P63" s="184">
        <f t="shared" si="13"/>
        <v>51.85</v>
      </c>
      <c r="Q63" s="184">
        <f t="shared" si="13"/>
        <v>50.1</v>
      </c>
      <c r="R63" s="184">
        <f t="shared" si="13"/>
        <v>49.9</v>
      </c>
      <c r="S63" s="184">
        <f t="shared" si="13"/>
        <v>46.83</v>
      </c>
      <c r="T63" s="184">
        <f t="shared" si="13"/>
        <v>43.77</v>
      </c>
      <c r="U63" s="184">
        <f t="shared" si="13"/>
        <v>40.18</v>
      </c>
      <c r="V63" s="184">
        <f t="shared" si="13"/>
        <v>44.02</v>
      </c>
      <c r="W63" s="184">
        <f t="shared" si="13"/>
        <v>59.66</v>
      </c>
      <c r="X63" s="184">
        <f t="shared" si="13"/>
        <v>0</v>
      </c>
      <c r="Y63" s="184">
        <f t="shared" si="13"/>
        <v>0</v>
      </c>
      <c r="Z63" s="184">
        <f t="shared" si="13"/>
        <v>0</v>
      </c>
      <c r="AA63" s="184">
        <f t="shared" si="13"/>
        <v>47.2</v>
      </c>
      <c r="AB63" s="183"/>
      <c r="AD63" s="179">
        <f>ROUND(IFERROR(AD59/AD61,0),2)</f>
        <v>54.84</v>
      </c>
      <c r="AE63" s="184"/>
      <c r="AF63" s="180"/>
      <c r="AG63" s="179">
        <f>ROUND(IFERROR(AG59/AG61,0),2)</f>
        <v>48.09</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b">
        <f t="shared" si="14"/>
        <v>1</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v>-56</v>
      </c>
      <c r="Q83" s="21"/>
      <c r="R83" s="21">
        <v>-133.71</v>
      </c>
      <c r="S83" s="21">
        <v>-527.83000000000004</v>
      </c>
      <c r="T83" s="21"/>
      <c r="U83" s="21"/>
      <c r="V83" s="21">
        <v>-105.94</v>
      </c>
      <c r="W83" s="21"/>
      <c r="X83" s="21"/>
      <c r="Y83" s="21">
        <v>-10.18</v>
      </c>
      <c r="Z83" s="21"/>
      <c r="AA83" s="21">
        <f>SUM(O83:Z83)</f>
        <v>-833.66</v>
      </c>
      <c r="AB83" s="17">
        <f>IF(AA83=0,"",IFERROR(AA83/AA$19,""))</f>
        <v>-1.4199842712631552E-3</v>
      </c>
      <c r="AD83" s="21"/>
      <c r="AE83" s="17" t="str">
        <f>IF(AD83=0,"",IFERROR(AD83/AD$19,""))</f>
        <v/>
      </c>
      <c r="AF83" s="50">
        <f>IF(AND($AA83="",AD83=""),"",$AA83-AD83)</f>
        <v>-833.66</v>
      </c>
      <c r="AG83" s="21">
        <v>-931.3</v>
      </c>
      <c r="AH83" s="17">
        <f>IF(AG83=0,"",IFERROR(AG83/AG$19,""))</f>
        <v>-1.0838624140652358E-3</v>
      </c>
      <c r="AI83" s="50">
        <f>IF(AND($AA83="",AG83=""),"",$AA83-AG83)</f>
        <v>97.639999999999986</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v>72974.820000000007</v>
      </c>
      <c r="P85" s="171">
        <v>59060.34</v>
      </c>
      <c r="Q85" s="171">
        <v>75752.56</v>
      </c>
      <c r="R85" s="171">
        <v>64609.99</v>
      </c>
      <c r="S85" s="171">
        <v>47902.23</v>
      </c>
      <c r="T85" s="171">
        <v>50678.77</v>
      </c>
      <c r="U85" s="171">
        <v>48163.26</v>
      </c>
      <c r="V85" s="171">
        <v>45505.29</v>
      </c>
      <c r="W85" s="171">
        <v>27230.58</v>
      </c>
      <c r="X85" s="171">
        <v>24532.959999999999</v>
      </c>
      <c r="Y85" s="171">
        <v>29987.42</v>
      </c>
      <c r="Z85" s="171">
        <v>40692.79</v>
      </c>
      <c r="AA85" s="171">
        <f>SUM(O85:Z85)</f>
        <v>587091.01000000013</v>
      </c>
      <c r="AB85" s="172">
        <f>IF(AA85=0,"",IFERROR(AA85/AA$19,""))</f>
        <v>1</v>
      </c>
      <c r="AD85" s="171">
        <v>1206715.31</v>
      </c>
      <c r="AE85" s="172">
        <f>IF(AD85=0,"",IFERROR(AD85/AD$19,""))</f>
        <v>1</v>
      </c>
      <c r="AF85" s="173">
        <f>IF(AND($AA85="",AD85=""),"",$AA85-AD85)</f>
        <v>-619624.29999999993</v>
      </c>
      <c r="AG85" s="171">
        <v>859241.9</v>
      </c>
      <c r="AH85" s="172">
        <f>IF(AG85=0,"",IFERROR(AG85/AG$19,""))</f>
        <v>1</v>
      </c>
      <c r="AI85" s="173">
        <f>IF(AND($AA85="",AG85=""),"",$AA85-AG85)</f>
        <v>-272150.8899999999</v>
      </c>
    </row>
    <row r="86" spans="3:35" x14ac:dyDescent="0.25">
      <c r="C86" s="32"/>
      <c r="H86" s="149" t="s">
        <v>767</v>
      </c>
      <c r="I86" s="161" t="s">
        <v>1009</v>
      </c>
      <c r="J86" s="161" t="s">
        <v>1009</v>
      </c>
      <c r="L86" s="162">
        <v>947500</v>
      </c>
      <c r="M86" s="162">
        <v>991552</v>
      </c>
      <c r="N86" s="162" t="s">
        <v>1308</v>
      </c>
      <c r="O86" s="171">
        <v>60</v>
      </c>
      <c r="P86" s="171">
        <v>60</v>
      </c>
      <c r="Q86" s="171">
        <v>60</v>
      </c>
      <c r="R86" s="171">
        <v>60</v>
      </c>
      <c r="S86" s="171">
        <v>60</v>
      </c>
      <c r="T86" s="171"/>
      <c r="U86" s="171">
        <v>60</v>
      </c>
      <c r="V86" s="171">
        <v>60</v>
      </c>
      <c r="W86" s="171">
        <v>60</v>
      </c>
      <c r="X86" s="171">
        <v>60</v>
      </c>
      <c r="Y86" s="171">
        <v>60</v>
      </c>
      <c r="Z86" s="171">
        <v>60</v>
      </c>
      <c r="AA86" s="171">
        <f>SUM(O86:Z86)</f>
        <v>660</v>
      </c>
      <c r="AB86" s="172"/>
      <c r="AD86" s="171"/>
      <c r="AE86" s="172"/>
      <c r="AF86" s="173">
        <f>IF(AND($AA86="",AD86=""),"",$AA86-AD86)</f>
        <v>660</v>
      </c>
      <c r="AG86" s="171">
        <v>720</v>
      </c>
      <c r="AH86" s="172"/>
      <c r="AI86" s="173">
        <f>IF(AND($AA86="",AG86=""),"",$AA86-AG86)</f>
        <v>-60</v>
      </c>
    </row>
    <row r="87" spans="3:35" x14ac:dyDescent="0.25">
      <c r="C87" s="32"/>
      <c r="H87" s="149" t="s">
        <v>331</v>
      </c>
      <c r="I87" s="161" t="s">
        <v>1010</v>
      </c>
      <c r="J87" s="161" t="s">
        <v>78</v>
      </c>
      <c r="L87" s="162">
        <v>946000</v>
      </c>
      <c r="M87" s="162"/>
      <c r="N87" s="162" t="s">
        <v>1196</v>
      </c>
      <c r="O87" s="171">
        <v>2410</v>
      </c>
      <c r="P87" s="171">
        <v>2096</v>
      </c>
      <c r="Q87" s="171">
        <v>2331</v>
      </c>
      <c r="R87" s="171">
        <v>2145</v>
      </c>
      <c r="S87" s="171">
        <v>1573</v>
      </c>
      <c r="T87" s="171">
        <v>1769</v>
      </c>
      <c r="U87" s="171">
        <v>1785</v>
      </c>
      <c r="V87" s="171">
        <v>1585</v>
      </c>
      <c r="W87" s="171">
        <v>1056</v>
      </c>
      <c r="X87" s="171">
        <v>1161</v>
      </c>
      <c r="Y87" s="171">
        <v>1196</v>
      </c>
      <c r="Z87" s="171">
        <v>1655</v>
      </c>
      <c r="AA87" s="171">
        <f>SUM(O87:Z87)</f>
        <v>20762</v>
      </c>
      <c r="AB87" s="172">
        <f>IF(AA87=0,"",IFERROR(AA87/AA$20,""))</f>
        <v>1</v>
      </c>
      <c r="AD87" s="171">
        <v>30076</v>
      </c>
      <c r="AE87" s="172">
        <f>IF(AD87=0,"",IFERROR(AD87/AD$20,""))</f>
        <v>1</v>
      </c>
      <c r="AF87" s="173">
        <f>IF(AND($AA87="",AD87=""),"",$AA87-AD87)</f>
        <v>-9314</v>
      </c>
      <c r="AG87" s="171">
        <v>26720</v>
      </c>
      <c r="AH87" s="172">
        <f>IF(AG87=0,"",IFERROR(AG87/AG$20,""))</f>
        <v>1</v>
      </c>
      <c r="AI87" s="173">
        <f>IF(AND($AA87="",AG87=""),"",$AA87-AG87)</f>
        <v>-5958</v>
      </c>
    </row>
    <row r="88" spans="3:35" x14ac:dyDescent="0.25">
      <c r="C88" s="32"/>
      <c r="H88" s="149" t="s">
        <v>311</v>
      </c>
      <c r="I88" s="161" t="s">
        <v>1009</v>
      </c>
      <c r="J88" s="161" t="s">
        <v>78</v>
      </c>
      <c r="L88" s="162"/>
      <c r="M88" s="162"/>
      <c r="N88" s="162" t="s">
        <v>1355</v>
      </c>
      <c r="O88" s="176">
        <v>30.280008298755199</v>
      </c>
      <c r="P88" s="176">
        <v>28.177643129770999</v>
      </c>
      <c r="Q88" s="176">
        <v>32.497880737880699</v>
      </c>
      <c r="R88" s="176">
        <v>30.121207459207501</v>
      </c>
      <c r="S88" s="176">
        <v>30.452784488239001</v>
      </c>
      <c r="T88" s="176">
        <v>28.648258903335201</v>
      </c>
      <c r="U88" s="176">
        <v>26.982218487394999</v>
      </c>
      <c r="V88" s="176">
        <v>28.709962145110399</v>
      </c>
      <c r="W88" s="176">
        <v>25.7865340909091</v>
      </c>
      <c r="X88" s="176">
        <v>21.130887166236</v>
      </c>
      <c r="Y88" s="176">
        <v>25.073093645484899</v>
      </c>
      <c r="Z88" s="176">
        <v>24.587788519637499</v>
      </c>
      <c r="AA88" s="176">
        <f>IFERROR(AA85/AA87,"")</f>
        <v>28.277189577112036</v>
      </c>
      <c r="AB88" s="176"/>
      <c r="AD88" s="176">
        <v>40.122200758079501</v>
      </c>
      <c r="AE88" s="176"/>
      <c r="AF88" s="177">
        <f>IF(AND($AA88="",AD88=""),"",$AA88-AD88)</f>
        <v>-11.845011180967465</v>
      </c>
      <c r="AG88" s="176">
        <v>32.157256736526897</v>
      </c>
      <c r="AH88" s="176"/>
      <c r="AI88" s="177">
        <f>IF(AND($AA88="",AG88=""),"",$AA88-AG88)</f>
        <v>-3.8800671594148604</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v>155.30000000000001</v>
      </c>
      <c r="P91" s="21">
        <v>135.80000000000001</v>
      </c>
      <c r="Q91" s="21">
        <v>142.69999999999999</v>
      </c>
      <c r="R91" s="21">
        <v>343.72</v>
      </c>
      <c r="S91" s="21">
        <v>312.93</v>
      </c>
      <c r="T91" s="21">
        <v>203.88</v>
      </c>
      <c r="U91" s="21">
        <v>205.48</v>
      </c>
      <c r="V91" s="21">
        <v>206.24</v>
      </c>
      <c r="W91" s="21">
        <v>9.68</v>
      </c>
      <c r="X91" s="21">
        <v>210.02</v>
      </c>
      <c r="Y91" s="21">
        <v>191.82</v>
      </c>
      <c r="Z91" s="21">
        <v>234.38</v>
      </c>
      <c r="AA91" s="21">
        <f>SUM(O91:Z91)</f>
        <v>2351.9500000000003</v>
      </c>
      <c r="AB91" s="17"/>
      <c r="AD91" s="21">
        <v>6328.5714285720996</v>
      </c>
      <c r="AE91" s="17"/>
      <c r="AF91" s="50">
        <f>IF(AND($AA91="",AD91=""),"",$AA91-AD91)</f>
        <v>-3976.6214285720994</v>
      </c>
      <c r="AG91" s="21">
        <v>3169.14</v>
      </c>
      <c r="AH91" s="17"/>
      <c r="AI91" s="50">
        <f>IF(AND($AA91="",AG91=""),"",$AA91-AG91)</f>
        <v>-817.1899999999996</v>
      </c>
    </row>
    <row r="92" spans="3:35" hidden="1" outlineLevel="1" x14ac:dyDescent="0.25">
      <c r="C92" s="32"/>
      <c r="H92" s="149" t="s">
        <v>333</v>
      </c>
      <c r="I92" s="161" t="s">
        <v>1064</v>
      </c>
      <c r="J92" s="161" t="s">
        <v>78</v>
      </c>
      <c r="L92" s="162"/>
      <c r="M92" s="162"/>
      <c r="N92" s="162" t="s">
        <v>1312</v>
      </c>
      <c r="O92" s="21">
        <v>689.89</v>
      </c>
      <c r="P92" s="21">
        <v>938.49</v>
      </c>
      <c r="Q92" s="21">
        <v>1042.72</v>
      </c>
      <c r="R92" s="21">
        <v>973.07</v>
      </c>
      <c r="S92" s="21">
        <v>747.71</v>
      </c>
      <c r="T92" s="21">
        <v>722.74</v>
      </c>
      <c r="U92" s="21">
        <v>650.88</v>
      </c>
      <c r="V92" s="21">
        <v>585.91999999999996</v>
      </c>
      <c r="W92" s="21">
        <v>580.76</v>
      </c>
      <c r="X92" s="21">
        <v>653.35</v>
      </c>
      <c r="Y92" s="21">
        <v>589.12</v>
      </c>
      <c r="Z92" s="21">
        <v>707.82</v>
      </c>
      <c r="AA92" s="21">
        <f>SUM(O92:Z92)</f>
        <v>8882.4700000000012</v>
      </c>
      <c r="AB92" s="17"/>
      <c r="AD92" s="21">
        <v>9928</v>
      </c>
      <c r="AE92" s="17"/>
      <c r="AF92" s="50">
        <f>IF(AND($AA92="",AD92=""),"",$AA92-AD92)</f>
        <v>-1045.5299999999988</v>
      </c>
      <c r="AG92" s="21">
        <v>8762.06</v>
      </c>
      <c r="AH92" s="17"/>
      <c r="AI92" s="50">
        <f>IF(AND($AA92="",AG92=""),"",$AA92-AG92)</f>
        <v>120.41000000000167</v>
      </c>
    </row>
    <row r="93" spans="3:35" collapsed="1" x14ac:dyDescent="0.25">
      <c r="C93" s="32"/>
      <c r="H93" s="149"/>
      <c r="I93" s="161"/>
      <c r="J93" s="161"/>
      <c r="L93" s="162"/>
      <c r="M93" s="162"/>
      <c r="N93" s="26" t="s">
        <v>335</v>
      </c>
      <c r="O93" s="178">
        <f t="shared" ref="O93:AA93" si="25">IFERROR(O$87/O91,"")</f>
        <v>15.518351577591757</v>
      </c>
      <c r="P93" s="178">
        <f t="shared" si="25"/>
        <v>15.434462444771722</v>
      </c>
      <c r="Q93" s="178">
        <f t="shared" si="25"/>
        <v>16.334968465311846</v>
      </c>
      <c r="R93" s="178">
        <f t="shared" si="25"/>
        <v>6.2405446293494702</v>
      </c>
      <c r="S93" s="178">
        <f t="shared" si="25"/>
        <v>5.0266832838014892</v>
      </c>
      <c r="T93" s="178">
        <f t="shared" si="25"/>
        <v>8.6766725524818522</v>
      </c>
      <c r="U93" s="178">
        <f t="shared" si="25"/>
        <v>8.6869768347284406</v>
      </c>
      <c r="V93" s="178">
        <f t="shared" si="25"/>
        <v>7.6852211016291694</v>
      </c>
      <c r="W93" s="178">
        <f t="shared" si="25"/>
        <v>109.09090909090909</v>
      </c>
      <c r="X93" s="178">
        <f t="shared" si="25"/>
        <v>5.528044948100181</v>
      </c>
      <c r="Y93" s="178">
        <f t="shared" si="25"/>
        <v>6.2350119904076742</v>
      </c>
      <c r="Z93" s="178">
        <f t="shared" si="25"/>
        <v>7.0611826947691787</v>
      </c>
      <c r="AA93" s="178">
        <f t="shared" si="25"/>
        <v>8.8275686132783431</v>
      </c>
      <c r="AB93" s="139"/>
      <c r="AD93" s="178">
        <f>IFERROR(AD$87/AD91,"")</f>
        <v>4.7524153498866291</v>
      </c>
      <c r="AE93" s="139"/>
      <c r="AF93" s="140">
        <f>IF(AND($AA93="",AD93=""),"",$AA93-AD93)</f>
        <v>4.075153263391714</v>
      </c>
      <c r="AG93" s="178">
        <f>IFERROR(AG$87/AG91,"")</f>
        <v>8.4313094404160118</v>
      </c>
      <c r="AH93" s="139"/>
      <c r="AI93" s="140">
        <f>IF(AND($AA93="",AG93=""),"",$AA93-AG93)</f>
        <v>0.39625917286233125</v>
      </c>
    </row>
    <row r="94" spans="3:35" x14ac:dyDescent="0.25">
      <c r="C94" s="32"/>
      <c r="H94" s="149"/>
      <c r="I94" s="161"/>
      <c r="J94" s="161"/>
      <c r="L94" s="162"/>
      <c r="M94" s="162"/>
      <c r="N94" s="26" t="s">
        <v>336</v>
      </c>
      <c r="O94" s="178">
        <f t="shared" ref="O94:AA94" si="26">IFERROR(O$87/O92,"")</f>
        <v>3.493310527765296</v>
      </c>
      <c r="P94" s="178">
        <f t="shared" si="26"/>
        <v>2.233374889450074</v>
      </c>
      <c r="Q94" s="178">
        <f t="shared" si="26"/>
        <v>2.2354994629430718</v>
      </c>
      <c r="R94" s="178">
        <f t="shared" si="26"/>
        <v>2.2043635093055998</v>
      </c>
      <c r="S94" s="178">
        <f t="shared" si="26"/>
        <v>2.1037568041085448</v>
      </c>
      <c r="T94" s="178">
        <f t="shared" si="26"/>
        <v>2.4476298530591913</v>
      </c>
      <c r="U94" s="178">
        <f t="shared" si="26"/>
        <v>2.7424410029498527</v>
      </c>
      <c r="V94" s="178">
        <f t="shared" si="26"/>
        <v>2.705147460404151</v>
      </c>
      <c r="W94" s="178">
        <f t="shared" si="26"/>
        <v>1.818307045939803</v>
      </c>
      <c r="X94" s="178">
        <f t="shared" si="26"/>
        <v>1.776995484809061</v>
      </c>
      <c r="Y94" s="178">
        <f t="shared" si="26"/>
        <v>2.0301466594242261</v>
      </c>
      <c r="Z94" s="178">
        <f t="shared" si="26"/>
        <v>2.3381650702155912</v>
      </c>
      <c r="AA94" s="178">
        <f t="shared" si="26"/>
        <v>2.3374129042935126</v>
      </c>
      <c r="AB94" s="139"/>
      <c r="AD94" s="178">
        <f>IFERROR(AD$87/AD92,"")</f>
        <v>3.0294117647058822</v>
      </c>
      <c r="AE94" s="139"/>
      <c r="AF94" s="140">
        <f>IF(AND($AA94="",AD94=""),"",$AA94-AD94)</f>
        <v>-0.69199886041236969</v>
      </c>
      <c r="AG94" s="178">
        <f>IFERROR(AG$87/AG92,"")</f>
        <v>3.0495111880082995</v>
      </c>
      <c r="AH94" s="139"/>
      <c r="AI94" s="140">
        <f>IF(AND($AA94="",AG94=""),"",$AA94-AG94)</f>
        <v>-0.71209828371478689</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v>2143.88</v>
      </c>
      <c r="P98" s="21">
        <v>2358</v>
      </c>
      <c r="Q98" s="21">
        <v>3458</v>
      </c>
      <c r="R98" s="21">
        <v>3306.5</v>
      </c>
      <c r="S98" s="21">
        <v>1845</v>
      </c>
      <c r="T98" s="21">
        <v>1616.5</v>
      </c>
      <c r="U98" s="21">
        <v>1381</v>
      </c>
      <c r="V98" s="21">
        <v>1444</v>
      </c>
      <c r="W98" s="21">
        <v>1978</v>
      </c>
      <c r="X98" s="21">
        <v>1242</v>
      </c>
      <c r="Y98" s="21">
        <v>1849</v>
      </c>
      <c r="Z98" s="21">
        <v>1779</v>
      </c>
      <c r="AA98" s="21">
        <f t="shared" ref="AA98:AA103" si="27">SUM(O98:Z98)</f>
        <v>24400.880000000001</v>
      </c>
      <c r="AB98" s="17">
        <f t="shared" ref="AB98:AB103" si="28">IF(AA98=0,"",IFERROR(AA98/AA$19,""))</f>
        <v>4.1562346526137398E-2</v>
      </c>
      <c r="AD98" s="21">
        <v>30485.187150000002</v>
      </c>
      <c r="AE98" s="17">
        <f t="shared" ref="AE98:AE103" si="29">IF(AD98=0,"",IFERROR(AD98/AD$19,""))</f>
        <v>2.5262948847479195E-2</v>
      </c>
      <c r="AF98" s="50">
        <f t="shared" ref="AF98:AF103" si="30">IF(AND($AA98="",AD98=""),"",$AA98-AD98)</f>
        <v>-6084.3071500000005</v>
      </c>
      <c r="AG98" s="21">
        <v>23177.18</v>
      </c>
      <c r="AH98" s="17">
        <f t="shared" ref="AH98:AH103" si="31">IF(AG98=0,"",IFERROR(AG98/AG$19,""))</f>
        <v>2.6973987185680771E-2</v>
      </c>
      <c r="AI98" s="50">
        <f t="shared" ref="AI98:AI103" si="32">IF(AND($AA98="",AG98=""),"",$AA98-AG98)</f>
        <v>1223.7000000000007</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v>3279</v>
      </c>
      <c r="P100" s="21">
        <v>2257.1999999999998</v>
      </c>
      <c r="Q100" s="21">
        <v>3042</v>
      </c>
      <c r="R100" s="21">
        <v>2053</v>
      </c>
      <c r="S100" s="21">
        <v>1746</v>
      </c>
      <c r="T100" s="21">
        <v>1340</v>
      </c>
      <c r="U100" s="21">
        <v>1466</v>
      </c>
      <c r="V100" s="21">
        <v>1490</v>
      </c>
      <c r="W100" s="21">
        <v>56</v>
      </c>
      <c r="X100" s="21"/>
      <c r="Y100" s="21"/>
      <c r="Z100" s="21"/>
      <c r="AA100" s="21">
        <f t="shared" si="27"/>
        <v>16729.2</v>
      </c>
      <c r="AB100" s="17">
        <f t="shared" si="28"/>
        <v>2.8495070977155649E-2</v>
      </c>
      <c r="AD100" s="21">
        <v>73154.718233000007</v>
      </c>
      <c r="AE100" s="17">
        <f t="shared" si="29"/>
        <v>6.0623013254882799E-2</v>
      </c>
      <c r="AF100" s="50">
        <f t="shared" si="30"/>
        <v>-56425.51823300001</v>
      </c>
      <c r="AG100" s="21">
        <v>43828.41</v>
      </c>
      <c r="AH100" s="17">
        <f t="shared" si="31"/>
        <v>5.1008231791303475E-2</v>
      </c>
      <c r="AI100" s="50">
        <f t="shared" si="32"/>
        <v>-27099.210000000003</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v>5422.88</v>
      </c>
      <c r="P103" s="164">
        <v>4615.2</v>
      </c>
      <c r="Q103" s="164">
        <v>6500</v>
      </c>
      <c r="R103" s="164">
        <v>5359.5</v>
      </c>
      <c r="S103" s="164">
        <v>3591</v>
      </c>
      <c r="T103" s="164">
        <v>2956.5</v>
      </c>
      <c r="U103" s="164">
        <v>2847</v>
      </c>
      <c r="V103" s="164">
        <v>2934</v>
      </c>
      <c r="W103" s="164">
        <v>2034</v>
      </c>
      <c r="X103" s="164">
        <v>1242</v>
      </c>
      <c r="Y103" s="164">
        <v>1849</v>
      </c>
      <c r="Z103" s="164">
        <v>1779</v>
      </c>
      <c r="AA103" s="164">
        <f t="shared" si="27"/>
        <v>41130.080000000002</v>
      </c>
      <c r="AB103" s="175">
        <f t="shared" si="28"/>
        <v>7.0057417503293043E-2</v>
      </c>
      <c r="AD103" s="164">
        <v>103639.905383</v>
      </c>
      <c r="AE103" s="175">
        <f t="shared" si="29"/>
        <v>8.588596210236199E-2</v>
      </c>
      <c r="AF103" s="165">
        <f t="shared" si="30"/>
        <v>-62509.825383000003</v>
      </c>
      <c r="AG103" s="164">
        <v>67005.59</v>
      </c>
      <c r="AH103" s="175">
        <f t="shared" si="31"/>
        <v>7.7982218976984236E-2</v>
      </c>
      <c r="AI103" s="165">
        <f t="shared" si="32"/>
        <v>-25875.509999999995</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v>183</v>
      </c>
      <c r="P106" s="21">
        <v>120</v>
      </c>
      <c r="Q106" s="21">
        <v>510</v>
      </c>
      <c r="R106" s="21">
        <v>280</v>
      </c>
      <c r="S106" s="21">
        <v>269</v>
      </c>
      <c r="T106" s="21">
        <v>270</v>
      </c>
      <c r="U106" s="21">
        <v>214</v>
      </c>
      <c r="V106" s="21">
        <v>376</v>
      </c>
      <c r="W106" s="21">
        <v>160.80000000000001</v>
      </c>
      <c r="X106" s="21">
        <v>162</v>
      </c>
      <c r="Y106" s="21">
        <v>312</v>
      </c>
      <c r="Z106" s="21">
        <v>140</v>
      </c>
      <c r="AA106" s="21">
        <f t="shared" ref="AA106:AA111" si="33">SUM(O106:Z106)</f>
        <v>2996.8</v>
      </c>
      <c r="AB106" s="17">
        <f t="shared" ref="AB106:AB111" si="34">IF(AA106=0,"",IFERROR(AA106/AA$19,""))</f>
        <v>5.1044896769923279E-3</v>
      </c>
      <c r="AD106" s="21">
        <v>5312.8874130000004</v>
      </c>
      <c r="AE106" s="17">
        <f t="shared" ref="AE106:AE111" si="35">IF(AD106=0,"",IFERROR(AD106/AD$19,""))</f>
        <v>4.4027678848294382E-3</v>
      </c>
      <c r="AF106" s="50">
        <f t="shared" ref="AF106:AF111" si="36">IF(AND($AA106="",AD106=""),"",$AA106-AD106)</f>
        <v>-2316.0874130000002</v>
      </c>
      <c r="AG106" s="21">
        <v>3568.5</v>
      </c>
      <c r="AH106" s="17">
        <f t="shared" ref="AH106:AH111" si="37">IF(AG106=0,"",IFERROR(AG106/AG$19,""))</f>
        <v>4.1530795926036663E-3</v>
      </c>
      <c r="AI106" s="50">
        <f t="shared" ref="AI106:AI111" si="38">IF(AND($AA106="",AG106=""),"",$AA106-AG106)</f>
        <v>-571.69999999999982</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v>364</v>
      </c>
      <c r="P108" s="21">
        <v>390</v>
      </c>
      <c r="Q108" s="21">
        <v>750</v>
      </c>
      <c r="R108" s="21">
        <v>437.12</v>
      </c>
      <c r="S108" s="21">
        <v>239</v>
      </c>
      <c r="T108" s="21">
        <v>330</v>
      </c>
      <c r="U108" s="21">
        <v>314</v>
      </c>
      <c r="V108" s="21">
        <v>178</v>
      </c>
      <c r="W108" s="21"/>
      <c r="X108" s="21"/>
      <c r="Y108" s="21"/>
      <c r="Z108" s="21"/>
      <c r="AA108" s="21">
        <f t="shared" si="33"/>
        <v>3002.12</v>
      </c>
      <c r="AB108" s="17">
        <f t="shared" si="34"/>
        <v>5.1135513044221186E-3</v>
      </c>
      <c r="AD108" s="21">
        <v>10077.191981</v>
      </c>
      <c r="AE108" s="17">
        <f t="shared" si="35"/>
        <v>8.350927428773568E-3</v>
      </c>
      <c r="AF108" s="50">
        <f t="shared" si="36"/>
        <v>-7075.0719810000001</v>
      </c>
      <c r="AG108" s="21">
        <v>6579.1</v>
      </c>
      <c r="AH108" s="17">
        <f t="shared" si="37"/>
        <v>7.6568658953898782E-3</v>
      </c>
      <c r="AI108" s="50">
        <f t="shared" si="38"/>
        <v>-3576.9800000000005</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v>547</v>
      </c>
      <c r="P111" s="164">
        <v>510</v>
      </c>
      <c r="Q111" s="164">
        <v>1260</v>
      </c>
      <c r="R111" s="164">
        <v>717.12</v>
      </c>
      <c r="S111" s="164">
        <v>508</v>
      </c>
      <c r="T111" s="164">
        <v>600</v>
      </c>
      <c r="U111" s="164">
        <v>528</v>
      </c>
      <c r="V111" s="164">
        <v>554</v>
      </c>
      <c r="W111" s="164">
        <v>160.80000000000001</v>
      </c>
      <c r="X111" s="164">
        <v>162</v>
      </c>
      <c r="Y111" s="164">
        <v>312</v>
      </c>
      <c r="Z111" s="164">
        <v>140</v>
      </c>
      <c r="AA111" s="164">
        <f t="shared" si="33"/>
        <v>5998.92</v>
      </c>
      <c r="AB111" s="175">
        <f t="shared" si="34"/>
        <v>1.0218040981414447E-2</v>
      </c>
      <c r="AD111" s="164">
        <v>15390.079394</v>
      </c>
      <c r="AE111" s="175">
        <f t="shared" si="35"/>
        <v>1.2753695313603007E-2</v>
      </c>
      <c r="AF111" s="165">
        <f t="shared" si="36"/>
        <v>-9391.1593940000002</v>
      </c>
      <c r="AG111" s="164">
        <v>10147.6</v>
      </c>
      <c r="AH111" s="175">
        <f t="shared" si="37"/>
        <v>1.1809945487993544E-2</v>
      </c>
      <c r="AI111" s="165">
        <f t="shared" si="38"/>
        <v>-4148.68</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v>2188</v>
      </c>
      <c r="P114" s="21">
        <v>1106</v>
      </c>
      <c r="Q114" s="21">
        <v>2226.34</v>
      </c>
      <c r="R114" s="21">
        <v>1352</v>
      </c>
      <c r="S114" s="21">
        <v>2240</v>
      </c>
      <c r="T114" s="21">
        <v>1634</v>
      </c>
      <c r="U114" s="21">
        <v>1769</v>
      </c>
      <c r="V114" s="21">
        <v>1447</v>
      </c>
      <c r="W114" s="21">
        <v>633</v>
      </c>
      <c r="X114" s="21">
        <v>1004</v>
      </c>
      <c r="Y114" s="21">
        <v>1569</v>
      </c>
      <c r="Z114" s="21">
        <v>1162</v>
      </c>
      <c r="AA114" s="21">
        <f t="shared" ref="AA114:AA119" si="39">SUM(O114:Z114)</f>
        <v>18330.34</v>
      </c>
      <c r="AB114" s="17">
        <f t="shared" ref="AB114:AB119" si="40">IF(AA114=0,"",IFERROR(AA114/AA$19,""))</f>
        <v>3.1222314237106093E-2</v>
      </c>
      <c r="AD114" s="21">
        <v>61904.928943999999</v>
      </c>
      <c r="AE114" s="17">
        <f t="shared" ref="AE114:AE119" si="41">IF(AD114=0,"",IFERROR(AD114/AD$19,""))</f>
        <v>5.1300359273638449E-2</v>
      </c>
      <c r="AF114" s="50">
        <f t="shared" ref="AF114:AF119" si="42">IF(AND($AA114="",AD114=""),"",$AA114-AD114)</f>
        <v>-43574.588944000003</v>
      </c>
      <c r="AG114" s="21">
        <v>43238.2</v>
      </c>
      <c r="AH114" s="17">
        <f t="shared" ref="AH114:AH119" si="43">IF(AG114=0,"",IFERROR(AG114/AG$19,""))</f>
        <v>5.032133558663747E-2</v>
      </c>
      <c r="AI114" s="50">
        <f t="shared" ref="AI114:AI119" si="44">IF(AND($AA114="",AG114=""),"",$AA114-AG114)</f>
        <v>-24907.859999999997</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v>3256</v>
      </c>
      <c r="P116" s="21">
        <v>2030</v>
      </c>
      <c r="Q116" s="21">
        <v>1720</v>
      </c>
      <c r="R116" s="21">
        <v>2149.89</v>
      </c>
      <c r="S116" s="21">
        <v>1385</v>
      </c>
      <c r="T116" s="21">
        <v>1145</v>
      </c>
      <c r="U116" s="21">
        <v>714.22</v>
      </c>
      <c r="V116" s="21">
        <v>1067</v>
      </c>
      <c r="W116" s="21"/>
      <c r="X116" s="21"/>
      <c r="Y116" s="21"/>
      <c r="Z116" s="21"/>
      <c r="AA116" s="21">
        <f t="shared" si="39"/>
        <v>13467.109999999999</v>
      </c>
      <c r="AB116" s="17">
        <f t="shared" si="40"/>
        <v>2.2938709281206667E-2</v>
      </c>
      <c r="AD116" s="21">
        <v>55604.832831</v>
      </c>
      <c r="AE116" s="17">
        <f t="shared" si="41"/>
        <v>4.6079495611106483E-2</v>
      </c>
      <c r="AF116" s="50">
        <f t="shared" si="42"/>
        <v>-42137.722830999999</v>
      </c>
      <c r="AG116" s="21">
        <v>34605.06</v>
      </c>
      <c r="AH116" s="17">
        <f t="shared" si="43"/>
        <v>4.027394381023551E-2</v>
      </c>
      <c r="AI116" s="50">
        <f t="shared" si="44"/>
        <v>-21137.949999999997</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v>5444</v>
      </c>
      <c r="P119" s="164">
        <v>3136</v>
      </c>
      <c r="Q119" s="164">
        <v>3946.34</v>
      </c>
      <c r="R119" s="164">
        <v>3501.89</v>
      </c>
      <c r="S119" s="164">
        <v>3625</v>
      </c>
      <c r="T119" s="164">
        <v>2779</v>
      </c>
      <c r="U119" s="164">
        <v>2483.2199999999998</v>
      </c>
      <c r="V119" s="164">
        <v>2514</v>
      </c>
      <c r="W119" s="164">
        <v>633</v>
      </c>
      <c r="X119" s="164">
        <v>1004</v>
      </c>
      <c r="Y119" s="164">
        <v>1569</v>
      </c>
      <c r="Z119" s="164">
        <v>1162</v>
      </c>
      <c r="AA119" s="164">
        <f t="shared" si="39"/>
        <v>31797.45</v>
      </c>
      <c r="AB119" s="175">
        <f t="shared" si="40"/>
        <v>5.4161023518312763E-2</v>
      </c>
      <c r="AD119" s="164">
        <v>117509.76177500001</v>
      </c>
      <c r="AE119" s="175">
        <f t="shared" si="41"/>
        <v>9.7379854884744932E-2</v>
      </c>
      <c r="AF119" s="165">
        <f t="shared" si="42"/>
        <v>-85712.311775000009</v>
      </c>
      <c r="AG119" s="164">
        <v>77843.259999999995</v>
      </c>
      <c r="AH119" s="175">
        <f t="shared" si="43"/>
        <v>9.059527939687298E-2</v>
      </c>
      <c r="AI119" s="165">
        <f t="shared" si="44"/>
        <v>-46045.81</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4514.88</v>
      </c>
      <c r="P121" s="21">
        <f t="shared" si="45"/>
        <v>3584</v>
      </c>
      <c r="Q121" s="21">
        <f t="shared" si="45"/>
        <v>6194.34</v>
      </c>
      <c r="R121" s="21">
        <f t="shared" si="45"/>
        <v>4938.5</v>
      </c>
      <c r="S121" s="21">
        <f t="shared" si="45"/>
        <v>4354</v>
      </c>
      <c r="T121" s="21">
        <f t="shared" si="45"/>
        <v>3520.5</v>
      </c>
      <c r="U121" s="21">
        <f t="shared" si="45"/>
        <v>3364</v>
      </c>
      <c r="V121" s="21">
        <f t="shared" si="45"/>
        <v>3267</v>
      </c>
      <c r="W121" s="21">
        <f t="shared" si="45"/>
        <v>2771.8</v>
      </c>
      <c r="X121" s="21">
        <f t="shared" si="45"/>
        <v>2408</v>
      </c>
      <c r="Y121" s="21">
        <f t="shared" si="45"/>
        <v>3730</v>
      </c>
      <c r="Z121" s="21">
        <f t="shared" si="45"/>
        <v>3081</v>
      </c>
      <c r="AA121" s="21">
        <f t="shared" ref="AA121:AA126" si="46">SUM(O121:Z121)</f>
        <v>45728.020000000004</v>
      </c>
      <c r="AB121" s="17">
        <f t="shared" ref="AB121:AB126" si="47">IF(AA121=0,"",IFERROR(AA121/AA$19,""))</f>
        <v>7.7889150440235824E-2</v>
      </c>
      <c r="AD121" s="21">
        <f>AD98+AD106+AD114</f>
        <v>97703.003507000001</v>
      </c>
      <c r="AE121" s="17">
        <f t="shared" ref="AE121:AE126" si="48">IF(AD121=0,"",IFERROR(AD121/AD$19,""))</f>
        <v>8.0966076005947088E-2</v>
      </c>
      <c r="AF121" s="50">
        <f t="shared" ref="AF121:AF126" si="49">IF(AND($AA121="",AD121=""),"",$AA121-AD121)</f>
        <v>-51974.983506999997</v>
      </c>
      <c r="AG121" s="21">
        <f>AG98+AG106+AG114</f>
        <v>69983.88</v>
      </c>
      <c r="AH121" s="17">
        <f t="shared" ref="AH121:AH126" si="50">IF(AG121=0,"",IFERROR(AG121/AG$19,""))</f>
        <v>8.1448402364921915E-2</v>
      </c>
      <c r="AI121" s="50">
        <f t="shared" ref="AI121:AI126" si="51">IF(AND($AA121="",AG121=""),"",$AA121-AG121)</f>
        <v>-24255.86</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6899</v>
      </c>
      <c r="P123" s="21">
        <f t="shared" si="53"/>
        <v>4677.2</v>
      </c>
      <c r="Q123" s="21">
        <f t="shared" si="53"/>
        <v>5512</v>
      </c>
      <c r="R123" s="21">
        <f t="shared" si="53"/>
        <v>4640.01</v>
      </c>
      <c r="S123" s="21">
        <f t="shared" si="53"/>
        <v>3370</v>
      </c>
      <c r="T123" s="21">
        <f t="shared" si="53"/>
        <v>2815</v>
      </c>
      <c r="U123" s="21">
        <f t="shared" si="53"/>
        <v>2494.2200000000003</v>
      </c>
      <c r="V123" s="21">
        <f t="shared" si="53"/>
        <v>2735</v>
      </c>
      <c r="W123" s="21">
        <f t="shared" si="53"/>
        <v>56</v>
      </c>
      <c r="X123" s="21">
        <f t="shared" si="53"/>
        <v>0</v>
      </c>
      <c r="Y123" s="21">
        <f t="shared" si="53"/>
        <v>0</v>
      </c>
      <c r="Z123" s="21">
        <f t="shared" si="53"/>
        <v>0</v>
      </c>
      <c r="AA123" s="21">
        <f t="shared" si="46"/>
        <v>33198.43</v>
      </c>
      <c r="AB123" s="17">
        <f t="shared" si="47"/>
        <v>5.6547331562784436E-2</v>
      </c>
      <c r="AD123" s="21">
        <f>AD100+AD108+AD116</f>
        <v>138836.74304500001</v>
      </c>
      <c r="AE123" s="17">
        <f t="shared" si="48"/>
        <v>0.11505343629476285</v>
      </c>
      <c r="AF123" s="50">
        <f t="shared" si="49"/>
        <v>-105638.31304500002</v>
      </c>
      <c r="AG123" s="21">
        <f>AG100+AG108+AG116</f>
        <v>85012.57</v>
      </c>
      <c r="AH123" s="17">
        <f t="shared" si="50"/>
        <v>9.8939041496928865E-2</v>
      </c>
      <c r="AI123" s="50">
        <f t="shared" si="51"/>
        <v>-51814.140000000007</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11413.880000000001</v>
      </c>
      <c r="P126" s="164">
        <f t="shared" si="56"/>
        <v>8261.2000000000007</v>
      </c>
      <c r="Q126" s="164">
        <f t="shared" si="56"/>
        <v>11706.34</v>
      </c>
      <c r="R126" s="164">
        <f t="shared" si="56"/>
        <v>9578.51</v>
      </c>
      <c r="S126" s="164">
        <f t="shared" si="56"/>
        <v>7724</v>
      </c>
      <c r="T126" s="164">
        <f t="shared" si="56"/>
        <v>6335.5</v>
      </c>
      <c r="U126" s="164">
        <f t="shared" si="56"/>
        <v>5858.22</v>
      </c>
      <c r="V126" s="164">
        <f t="shared" si="56"/>
        <v>6002</v>
      </c>
      <c r="W126" s="164">
        <f t="shared" si="56"/>
        <v>2827.8</v>
      </c>
      <c r="X126" s="164">
        <f t="shared" si="56"/>
        <v>2408</v>
      </c>
      <c r="Y126" s="164">
        <f t="shared" si="56"/>
        <v>3730</v>
      </c>
      <c r="Z126" s="164">
        <f t="shared" si="56"/>
        <v>3081</v>
      </c>
      <c r="AA126" s="164">
        <f t="shared" si="46"/>
        <v>78926.45</v>
      </c>
      <c r="AB126" s="175">
        <f t="shared" si="47"/>
        <v>0.13443648200302025</v>
      </c>
      <c r="AD126" s="164">
        <f>SUM(AD121:AD125)</f>
        <v>236539.746552</v>
      </c>
      <c r="AE126" s="175">
        <f t="shared" si="48"/>
        <v>0.19601951230070991</v>
      </c>
      <c r="AF126" s="165">
        <f t="shared" si="49"/>
        <v>-157613.29655199999</v>
      </c>
      <c r="AG126" s="164">
        <f>SUM(AG121:AG125)</f>
        <v>154996.45000000001</v>
      </c>
      <c r="AH126" s="175">
        <f t="shared" si="50"/>
        <v>0.18038744386185079</v>
      </c>
      <c r="AI126" s="165">
        <f t="shared" si="51"/>
        <v>-76070.000000000015</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v>16397.04</v>
      </c>
      <c r="P130" s="21">
        <v>18240.59</v>
      </c>
      <c r="Q130" s="21">
        <v>23025.119999999999</v>
      </c>
      <c r="R130" s="21">
        <v>19184.13</v>
      </c>
      <c r="S130" s="21">
        <v>15038.65</v>
      </c>
      <c r="T130" s="21">
        <v>15271.19</v>
      </c>
      <c r="U130" s="21">
        <v>14704.61</v>
      </c>
      <c r="V130" s="21">
        <v>15503.05</v>
      </c>
      <c r="W130" s="21">
        <v>6350.35</v>
      </c>
      <c r="X130" s="21">
        <v>8554.9599999999991</v>
      </c>
      <c r="Y130" s="21">
        <v>9531.52</v>
      </c>
      <c r="Z130" s="21">
        <v>14469.45</v>
      </c>
      <c r="AA130" s="21">
        <f>SUM(O130:Z130)</f>
        <v>176270.66</v>
      </c>
      <c r="AB130" s="311">
        <v>0.34630899102161899</v>
      </c>
      <c r="AD130" s="21">
        <v>318418</v>
      </c>
      <c r="AE130" s="311">
        <v>0.32820657620806698</v>
      </c>
      <c r="AF130" s="50">
        <f t="shared" ref="AF130:AF141" si="58">IF(AND($AA130="",AD130=""),"",$AA130-AD130)</f>
        <v>-142147.34</v>
      </c>
      <c r="AG130" s="21">
        <v>258956.42</v>
      </c>
      <c r="AH130" s="311">
        <v>0.367222004979603</v>
      </c>
      <c r="AI130" s="50">
        <f t="shared" ref="AI130:AI141" si="59">IF(AND($AA130="",AG130=""),"",$AA130-AG130)</f>
        <v>-82685.760000000009</v>
      </c>
    </row>
    <row r="131" spans="3:35" x14ac:dyDescent="0.25">
      <c r="C131" s="32"/>
      <c r="H131" s="149" t="s">
        <v>756</v>
      </c>
      <c r="I131" s="161"/>
      <c r="J131" s="161"/>
      <c r="L131" s="162"/>
      <c r="M131" s="162"/>
      <c r="N131" s="467" t="s">
        <v>1321</v>
      </c>
      <c r="O131" s="172">
        <v>0.26635460732081101</v>
      </c>
      <c r="P131" s="172">
        <v>0.35867741195875202</v>
      </c>
      <c r="Q131" s="172">
        <v>0.35950786791164302</v>
      </c>
      <c r="R131" s="172">
        <v>0.34775788862505502</v>
      </c>
      <c r="S131" s="172">
        <v>0.36944499172850398</v>
      </c>
      <c r="T131" s="172">
        <v>0.34438574331572802</v>
      </c>
      <c r="U131" s="172">
        <v>0.34758529952932299</v>
      </c>
      <c r="V131" s="172">
        <v>0.39139993380330801</v>
      </c>
      <c r="W131" s="172">
        <v>0.26023059667791998</v>
      </c>
      <c r="X131" s="172">
        <v>0.38666555781343798</v>
      </c>
      <c r="Y131" s="172">
        <v>0.36286223332165901</v>
      </c>
      <c r="Z131" s="172">
        <v>0.38470516824644602</v>
      </c>
      <c r="AA131" s="172">
        <v>0.34630899102161899</v>
      </c>
      <c r="AB131" s="311"/>
      <c r="AD131" s="172">
        <v>0.32820657620806698</v>
      </c>
      <c r="AE131" s="311"/>
      <c r="AF131" s="468">
        <f t="shared" si="58"/>
        <v>1.8102414813552015E-2</v>
      </c>
      <c r="AG131" s="172">
        <v>0.367222004979603</v>
      </c>
      <c r="AH131" s="311"/>
      <c r="AI131" s="468">
        <f t="shared" si="59"/>
        <v>-2.0913013957984006E-2</v>
      </c>
    </row>
    <row r="132" spans="3:35" x14ac:dyDescent="0.25">
      <c r="C132" s="32"/>
      <c r="H132" s="149" t="s">
        <v>636</v>
      </c>
      <c r="I132" s="161"/>
      <c r="J132" s="161"/>
      <c r="L132" s="162"/>
      <c r="M132" s="162"/>
      <c r="N132" s="162" t="s">
        <v>1226</v>
      </c>
      <c r="O132" s="21">
        <v>4062.6</v>
      </c>
      <c r="P132" s="21">
        <v>2921.95</v>
      </c>
      <c r="Q132" s="21">
        <v>3295.13</v>
      </c>
      <c r="R132" s="21">
        <v>323</v>
      </c>
      <c r="S132" s="21">
        <v>3622.11</v>
      </c>
      <c r="T132" s="21">
        <v>1110.21</v>
      </c>
      <c r="U132" s="21">
        <v>1613.52</v>
      </c>
      <c r="V132" s="21">
        <v>4778.03</v>
      </c>
      <c r="W132" s="21">
        <v>1289.1600000000001</v>
      </c>
      <c r="X132" s="21">
        <v>1565.03</v>
      </c>
      <c r="Y132" s="21">
        <v>-349.02</v>
      </c>
      <c r="Z132" s="21">
        <v>1004.61</v>
      </c>
      <c r="AA132" s="21">
        <f>SUM(O132:Z132)</f>
        <v>25236.329999999998</v>
      </c>
      <c r="AB132" s="311">
        <v>0.319744901740798</v>
      </c>
      <c r="AD132" s="21">
        <v>36129.43</v>
      </c>
      <c r="AE132" s="311">
        <v>0.15274147591114201</v>
      </c>
      <c r="AF132" s="50">
        <f t="shared" si="58"/>
        <v>-10893.100000000002</v>
      </c>
      <c r="AG132" s="21">
        <v>30318.23</v>
      </c>
      <c r="AH132" s="311">
        <v>0.19560596387852799</v>
      </c>
      <c r="AI132" s="50">
        <f t="shared" si="59"/>
        <v>-5081.9000000000015</v>
      </c>
    </row>
    <row r="133" spans="3:35" x14ac:dyDescent="0.25">
      <c r="C133" s="32"/>
      <c r="H133" s="149" t="s">
        <v>757</v>
      </c>
      <c r="I133" s="161"/>
      <c r="J133" s="161"/>
      <c r="L133" s="162"/>
      <c r="M133" s="162"/>
      <c r="N133" s="467" t="s">
        <v>1326</v>
      </c>
      <c r="O133" s="172">
        <v>0.35593505451257601</v>
      </c>
      <c r="P133" s="172">
        <v>0.35369558901854398</v>
      </c>
      <c r="Q133" s="172">
        <v>0.28148251289472198</v>
      </c>
      <c r="R133" s="172">
        <v>3.3721319913013602E-2</v>
      </c>
      <c r="S133" s="172">
        <v>0.46894225789746202</v>
      </c>
      <c r="T133" s="172">
        <v>0.17523636650619501</v>
      </c>
      <c r="U133" s="172">
        <v>0.275428372440776</v>
      </c>
      <c r="V133" s="172">
        <v>0.79607297567477497</v>
      </c>
      <c r="W133" s="172">
        <v>0.45588796944621301</v>
      </c>
      <c r="X133" s="172">
        <v>0.64992940199335503</v>
      </c>
      <c r="Y133" s="172">
        <v>-9.3571045576407497E-2</v>
      </c>
      <c r="Z133" s="172">
        <v>0.32606621226874399</v>
      </c>
      <c r="AA133" s="172">
        <v>0.319744901740798</v>
      </c>
      <c r="AB133" s="311"/>
      <c r="AD133" s="172">
        <v>0.15274147591114201</v>
      </c>
      <c r="AE133" s="311"/>
      <c r="AF133" s="468">
        <f t="shared" si="58"/>
        <v>0.16700342582965599</v>
      </c>
      <c r="AG133" s="172">
        <v>0.19560596387852699</v>
      </c>
      <c r="AH133" s="311"/>
      <c r="AI133" s="468">
        <f t="shared" si="59"/>
        <v>0.12413893786227101</v>
      </c>
    </row>
    <row r="134" spans="3:35" x14ac:dyDescent="0.25">
      <c r="C134" s="32"/>
      <c r="H134" s="149" t="s">
        <v>755</v>
      </c>
      <c r="I134" s="161"/>
      <c r="J134" s="161"/>
      <c r="L134" s="162">
        <v>561300</v>
      </c>
      <c r="M134" s="162"/>
      <c r="N134" s="162" t="s">
        <v>1327</v>
      </c>
      <c r="O134" s="21">
        <v>515.21</v>
      </c>
      <c r="P134" s="21">
        <v>1809.83</v>
      </c>
      <c r="Q134" s="21">
        <v>3089.87</v>
      </c>
      <c r="R134" s="21">
        <v>-285.39</v>
      </c>
      <c r="S134" s="21">
        <v>1295.8499999999999</v>
      </c>
      <c r="T134" s="21">
        <v>-326.77</v>
      </c>
      <c r="U134" s="21">
        <v>63.02</v>
      </c>
      <c r="V134" s="21">
        <v>2581.58</v>
      </c>
      <c r="W134" s="21">
        <v>1133.0999999999999</v>
      </c>
      <c r="X134" s="21">
        <v>859.79</v>
      </c>
      <c r="Y134" s="21">
        <v>-675.74</v>
      </c>
      <c r="Z134" s="21">
        <v>171.08</v>
      </c>
      <c r="AA134" s="21">
        <f>SUM(O134:Z134)</f>
        <v>10231.43</v>
      </c>
      <c r="AB134" s="311">
        <v>0.248757843408036</v>
      </c>
      <c r="AD134" s="21">
        <v>5182.01</v>
      </c>
      <c r="AE134" s="311">
        <v>5.0000142134923299E-2</v>
      </c>
      <c r="AF134" s="50">
        <f t="shared" si="58"/>
        <v>5049.42</v>
      </c>
      <c r="AG134" s="21">
        <v>53.389999999998203</v>
      </c>
      <c r="AH134" s="311">
        <v>7.9679919242556002E-4</v>
      </c>
      <c r="AI134" s="50">
        <f t="shared" si="59"/>
        <v>10178.040000000003</v>
      </c>
    </row>
    <row r="135" spans="3:35" x14ac:dyDescent="0.25">
      <c r="C135" s="32"/>
      <c r="H135" s="149" t="s">
        <v>758</v>
      </c>
      <c r="I135" s="161"/>
      <c r="J135" s="161"/>
      <c r="L135" s="162"/>
      <c r="M135" s="162"/>
      <c r="N135" s="467" t="s">
        <v>1328</v>
      </c>
      <c r="O135" s="172">
        <v>9.5006712300474999E-2</v>
      </c>
      <c r="P135" s="172">
        <v>0.39214551915410001</v>
      </c>
      <c r="Q135" s="172">
        <v>0.475364615384615</v>
      </c>
      <c r="R135" s="172">
        <v>-5.3249370277078101E-2</v>
      </c>
      <c r="S135" s="172">
        <v>0.36086048454469499</v>
      </c>
      <c r="T135" s="172">
        <v>-0.110525959749704</v>
      </c>
      <c r="U135" s="172">
        <v>2.2135581313663499E-2</v>
      </c>
      <c r="V135" s="172">
        <v>0.87988411724607996</v>
      </c>
      <c r="W135" s="172">
        <v>0.55707964601769899</v>
      </c>
      <c r="X135" s="172">
        <v>0.69226247987117595</v>
      </c>
      <c r="Y135" s="172">
        <v>-0.36546241211465702</v>
      </c>
      <c r="Z135" s="172">
        <v>9.6166385609893199E-2</v>
      </c>
      <c r="AA135" s="172">
        <v>0.248757843408036</v>
      </c>
      <c r="AB135" s="311"/>
      <c r="AD135" s="172">
        <v>5.0000142134923299E-2</v>
      </c>
      <c r="AE135" s="311"/>
      <c r="AF135" s="468">
        <f t="shared" si="58"/>
        <v>0.19875770127311271</v>
      </c>
      <c r="AG135" s="172">
        <v>7.9679919242556002E-4</v>
      </c>
      <c r="AH135" s="311"/>
      <c r="AI135" s="468">
        <f t="shared" si="59"/>
        <v>0.24796104421561044</v>
      </c>
    </row>
    <row r="136" spans="3:35" x14ac:dyDescent="0.25">
      <c r="C136" s="32"/>
      <c r="H136" s="149">
        <v>561400</v>
      </c>
      <c r="I136" s="161"/>
      <c r="J136" s="161"/>
      <c r="L136" s="162">
        <v>561400</v>
      </c>
      <c r="M136" s="162"/>
      <c r="N136" s="162" t="s">
        <v>1329</v>
      </c>
      <c r="O136" s="21">
        <v>224.03</v>
      </c>
      <c r="P136" s="21">
        <v>-588.25</v>
      </c>
      <c r="Q136" s="21">
        <v>202.08</v>
      </c>
      <c r="R136" s="21">
        <v>-81.77</v>
      </c>
      <c r="S136" s="21">
        <v>1015.42</v>
      </c>
      <c r="T136" s="21">
        <v>-201.1</v>
      </c>
      <c r="U136" s="21">
        <v>118.88</v>
      </c>
      <c r="V136" s="21">
        <v>449.58</v>
      </c>
      <c r="W136" s="21">
        <v>100.62</v>
      </c>
      <c r="X136" s="21">
        <v>48.33</v>
      </c>
      <c r="Y136" s="21">
        <v>-322.23</v>
      </c>
      <c r="Z136" s="21">
        <v>374.14</v>
      </c>
      <c r="AA136" s="21">
        <f>SUM(O136:Z136)</f>
        <v>1339.7299999999996</v>
      </c>
      <c r="AB136" s="311">
        <v>0.223328532469178</v>
      </c>
      <c r="AD136" s="21">
        <v>3078.03</v>
      </c>
      <c r="AE136" s="311">
        <v>0.20000091755212199</v>
      </c>
      <c r="AF136" s="50">
        <f t="shared" si="58"/>
        <v>-1738.3000000000006</v>
      </c>
      <c r="AG136" s="21">
        <v>3751.1</v>
      </c>
      <c r="AH136" s="311">
        <v>0.36965390831329598</v>
      </c>
      <c r="AI136" s="50">
        <f t="shared" si="59"/>
        <v>-2411.3700000000003</v>
      </c>
    </row>
    <row r="137" spans="3:35" x14ac:dyDescent="0.25">
      <c r="C137" s="32"/>
      <c r="H137" s="149" t="s">
        <v>759</v>
      </c>
      <c r="I137" s="161"/>
      <c r="J137" s="161"/>
      <c r="L137" s="162"/>
      <c r="M137" s="162"/>
      <c r="N137" s="467" t="s">
        <v>1330</v>
      </c>
      <c r="O137" s="172">
        <v>0.40956124314442399</v>
      </c>
      <c r="P137" s="172">
        <v>-1.15343137254902</v>
      </c>
      <c r="Q137" s="172">
        <v>0.16038095238095201</v>
      </c>
      <c r="R137" s="172">
        <v>-0.11402554663096801</v>
      </c>
      <c r="S137" s="172">
        <v>1.9988582677165401</v>
      </c>
      <c r="T137" s="172">
        <v>-0.335166666666667</v>
      </c>
      <c r="U137" s="172">
        <v>0.22515151515151499</v>
      </c>
      <c r="V137" s="172">
        <v>0.81151624548736501</v>
      </c>
      <c r="W137" s="172">
        <v>0.62574626865671601</v>
      </c>
      <c r="X137" s="172">
        <v>0.29833333333333301</v>
      </c>
      <c r="Y137" s="172">
        <v>-1.0327884615384599</v>
      </c>
      <c r="Z137" s="172">
        <v>2.6724285714285698</v>
      </c>
      <c r="AA137" s="172">
        <v>0.223328532469178</v>
      </c>
      <c r="AB137" s="311"/>
      <c r="AD137" s="172">
        <v>0.20000091755212199</v>
      </c>
      <c r="AE137" s="311"/>
      <c r="AF137" s="468">
        <f t="shared" si="58"/>
        <v>2.3327614917056011E-2</v>
      </c>
      <c r="AG137" s="172">
        <v>0.36965390831329598</v>
      </c>
      <c r="AH137" s="311"/>
      <c r="AI137" s="468">
        <f t="shared" si="59"/>
        <v>-0.14632537584411798</v>
      </c>
    </row>
    <row r="138" spans="3:35" x14ac:dyDescent="0.25">
      <c r="H138" s="149">
        <v>561500</v>
      </c>
      <c r="I138" s="161"/>
      <c r="J138" s="161"/>
      <c r="L138" s="162">
        <v>561500</v>
      </c>
      <c r="M138" s="162"/>
      <c r="N138" s="162" t="s">
        <v>1331</v>
      </c>
      <c r="O138" s="21">
        <v>3323.36</v>
      </c>
      <c r="P138" s="21">
        <v>1700.37</v>
      </c>
      <c r="Q138" s="21">
        <v>3.18</v>
      </c>
      <c r="R138" s="21">
        <v>690.16</v>
      </c>
      <c r="S138" s="21">
        <v>1310.84</v>
      </c>
      <c r="T138" s="21">
        <v>1638.08</v>
      </c>
      <c r="U138" s="21">
        <v>1431.62</v>
      </c>
      <c r="V138" s="21">
        <v>1746.87</v>
      </c>
      <c r="W138" s="21">
        <v>55.44</v>
      </c>
      <c r="X138" s="21">
        <v>656.91</v>
      </c>
      <c r="Y138" s="21">
        <v>648.95000000000005</v>
      </c>
      <c r="Z138" s="21">
        <v>459.39</v>
      </c>
      <c r="AA138" s="21">
        <f>SUM(O138:Z138)</f>
        <v>13665.17</v>
      </c>
      <c r="AB138" s="311">
        <v>0.42975678867330602</v>
      </c>
      <c r="AD138" s="21">
        <v>27869.39</v>
      </c>
      <c r="AE138" s="311">
        <v>0.23716659432398901</v>
      </c>
      <c r="AF138" s="50">
        <f t="shared" si="58"/>
        <v>-14204.22</v>
      </c>
      <c r="AG138" s="21">
        <v>26513.74</v>
      </c>
      <c r="AH138" s="311">
        <v>0.34060418332942399</v>
      </c>
      <c r="AI138" s="50">
        <f t="shared" si="59"/>
        <v>-12848.570000000002</v>
      </c>
    </row>
    <row r="139" spans="3:35" x14ac:dyDescent="0.25">
      <c r="C139" s="32"/>
      <c r="H139" s="149" t="s">
        <v>760</v>
      </c>
      <c r="I139" s="161"/>
      <c r="J139" s="161"/>
      <c r="L139" s="162"/>
      <c r="M139" s="162"/>
      <c r="N139" s="467" t="s">
        <v>1332</v>
      </c>
      <c r="O139" s="172">
        <v>0.61046289493019801</v>
      </c>
      <c r="P139" s="172">
        <v>0.54220982142857099</v>
      </c>
      <c r="Q139" s="172">
        <v>8.0580994034979304E-4</v>
      </c>
      <c r="R139" s="172">
        <v>0.197082147069154</v>
      </c>
      <c r="S139" s="172">
        <v>0.361611034482759</v>
      </c>
      <c r="T139" s="172">
        <v>0.58944944224541196</v>
      </c>
      <c r="U139" s="172">
        <v>0.57651758603748304</v>
      </c>
      <c r="V139" s="172">
        <v>0.69485680190930799</v>
      </c>
      <c r="W139" s="172">
        <v>8.7582938388625603E-2</v>
      </c>
      <c r="X139" s="172">
        <v>0.65429282868525895</v>
      </c>
      <c r="Y139" s="172">
        <v>0.413607393244105</v>
      </c>
      <c r="Z139" s="172">
        <v>0.39534423407917402</v>
      </c>
      <c r="AA139" s="172">
        <v>0.42975678867330602</v>
      </c>
      <c r="AB139" s="311"/>
      <c r="AD139" s="172">
        <v>0.23716659432398901</v>
      </c>
      <c r="AE139" s="311"/>
      <c r="AF139" s="468">
        <f t="shared" si="58"/>
        <v>0.19259019434931701</v>
      </c>
      <c r="AG139" s="172">
        <v>0.34060418332942399</v>
      </c>
      <c r="AH139" s="311"/>
      <c r="AI139" s="468">
        <f t="shared" si="59"/>
        <v>8.915260534388203E-2</v>
      </c>
    </row>
    <row r="140" spans="3:35" x14ac:dyDescent="0.25">
      <c r="C140" s="32"/>
      <c r="H140" s="149" t="s">
        <v>286</v>
      </c>
      <c r="I140" s="161"/>
      <c r="J140" s="161"/>
      <c r="L140" s="162"/>
      <c r="M140" s="162"/>
      <c r="N140" s="162" t="s">
        <v>1227</v>
      </c>
      <c r="O140" s="21">
        <v>20459.64</v>
      </c>
      <c r="P140" s="21">
        <v>21162.54</v>
      </c>
      <c r="Q140" s="21">
        <v>26320.25</v>
      </c>
      <c r="R140" s="21">
        <v>19507.13</v>
      </c>
      <c r="S140" s="21">
        <v>18660.759999999998</v>
      </c>
      <c r="T140" s="21">
        <v>16381.4</v>
      </c>
      <c r="U140" s="21">
        <v>16318.13</v>
      </c>
      <c r="V140" s="21">
        <v>20281.080000000002</v>
      </c>
      <c r="W140" s="21">
        <v>7639.51</v>
      </c>
      <c r="X140" s="21">
        <v>10119.99</v>
      </c>
      <c r="Y140" s="21">
        <v>9182.5</v>
      </c>
      <c r="Z140" s="21">
        <v>15474.06</v>
      </c>
      <c r="AA140" s="21">
        <f>SUM(O140:Z140)</f>
        <v>201506.99</v>
      </c>
      <c r="AB140" s="311">
        <v>0.343229561631339</v>
      </c>
      <c r="AD140" s="21">
        <v>354547.43</v>
      </c>
      <c r="AE140" s="311">
        <v>0.29381199282206799</v>
      </c>
      <c r="AF140" s="50">
        <f t="shared" si="58"/>
        <v>-153040.44</v>
      </c>
      <c r="AG140" s="21">
        <v>289274.65000000002</v>
      </c>
      <c r="AH140" s="311">
        <v>0.336662644128504</v>
      </c>
      <c r="AI140" s="50">
        <f t="shared" si="59"/>
        <v>-87767.660000000033</v>
      </c>
    </row>
    <row r="141" spans="3:35" x14ac:dyDescent="0.25">
      <c r="C141" s="32"/>
      <c r="H141" s="149"/>
      <c r="I141" s="161"/>
      <c r="J141" s="161"/>
      <c r="L141" s="162"/>
      <c r="M141" s="162"/>
      <c r="N141" s="467" t="s">
        <v>762</v>
      </c>
      <c r="O141" s="172">
        <f t="shared" ref="O141:AA141" si="60">IFERROR(O140/O85,"")</f>
        <v>0.28036574807584314</v>
      </c>
      <c r="P141" s="172">
        <f t="shared" si="60"/>
        <v>0.3583206598539731</v>
      </c>
      <c r="Q141" s="172">
        <f t="shared" si="60"/>
        <v>0.34745030398972654</v>
      </c>
      <c r="R141" s="172">
        <f t="shared" si="60"/>
        <v>0.30192126635524941</v>
      </c>
      <c r="S141" s="172">
        <f t="shared" si="60"/>
        <v>0.38955931696708057</v>
      </c>
      <c r="T141" s="172">
        <f t="shared" si="60"/>
        <v>0.32323988920804514</v>
      </c>
      <c r="U141" s="172">
        <f t="shared" si="60"/>
        <v>0.33880866868231091</v>
      </c>
      <c r="V141" s="172">
        <f t="shared" si="60"/>
        <v>0.44568620483464672</v>
      </c>
      <c r="W141" s="172">
        <f t="shared" si="60"/>
        <v>0.2805489269784191</v>
      </c>
      <c r="X141" s="172">
        <f t="shared" si="60"/>
        <v>0.41250586965453823</v>
      </c>
      <c r="Y141" s="172">
        <f t="shared" si="60"/>
        <v>0.30621173812218594</v>
      </c>
      <c r="Z141" s="172">
        <f t="shared" si="60"/>
        <v>0.38026539836663936</v>
      </c>
      <c r="AA141" s="172">
        <f t="shared" si="60"/>
        <v>0.34322956163133883</v>
      </c>
      <c r="AB141" s="311"/>
      <c r="AD141" s="172">
        <f>IFERROR(AD140/AD85,"")</f>
        <v>0.29381199282206832</v>
      </c>
      <c r="AE141" s="311"/>
      <c r="AF141" s="468">
        <f t="shared" si="58"/>
        <v>4.9417568809270507E-2</v>
      </c>
      <c r="AG141" s="172">
        <f>IFERROR(AG140/AG85,"")</f>
        <v>0.33666264412850444</v>
      </c>
      <c r="AH141" s="311"/>
      <c r="AI141" s="468">
        <f t="shared" si="59"/>
        <v>6.5669175028343907E-3</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f t="shared" ref="O145:AA145" si="63">IFERROR(O$85/O87,"")-O88</f>
        <v>0</v>
      </c>
      <c r="P145" s="178">
        <f t="shared" si="63"/>
        <v>0</v>
      </c>
      <c r="Q145" s="178">
        <f t="shared" si="63"/>
        <v>0</v>
      </c>
      <c r="R145" s="178">
        <f t="shared" si="63"/>
        <v>-4.2632564145606011E-14</v>
      </c>
      <c r="S145" s="178">
        <f t="shared" si="63"/>
        <v>3.5527136788005009E-14</v>
      </c>
      <c r="T145" s="178">
        <f t="shared" si="63"/>
        <v>0</v>
      </c>
      <c r="U145" s="178">
        <f t="shared" si="63"/>
        <v>-3.907985046680551E-14</v>
      </c>
      <c r="V145" s="178">
        <f t="shared" si="63"/>
        <v>0</v>
      </c>
      <c r="W145" s="178">
        <f t="shared" si="63"/>
        <v>0</v>
      </c>
      <c r="X145" s="178">
        <f t="shared" si="63"/>
        <v>0</v>
      </c>
      <c r="Y145" s="178">
        <f t="shared" si="63"/>
        <v>4.9737991503207013E-14</v>
      </c>
      <c r="Z145" s="178">
        <f t="shared" si="63"/>
        <v>-3.5527136788005009E-14</v>
      </c>
      <c r="AA145" s="178">
        <f t="shared" si="63"/>
        <v>0</v>
      </c>
      <c r="AB145" s="17"/>
      <c r="AD145" s="178">
        <f>IFERROR(AD$85/AD87,"")-AD88</f>
        <v>0</v>
      </c>
      <c r="AE145" s="17"/>
      <c r="AF145" s="21"/>
      <c r="AG145" s="178">
        <f>IFERROR(AG$85/AG87,"")-AG88</f>
        <v>0</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96" priority="15">
      <formula>ROUND(O42,2)&lt;&gt;ROUND(O43,2)</formula>
    </cfRule>
  </conditionalFormatting>
  <conditionalFormatting sqref="N43">
    <cfRule type="expression" dxfId="295" priority="14">
      <formula>$G43&lt;&gt;0</formula>
    </cfRule>
  </conditionalFormatting>
  <conditionalFormatting sqref="O53:AA53 AD53 AF53:AG53">
    <cfRule type="expression" dxfId="294" priority="13">
      <formula>ROUND(O52,2)&lt;&gt;ROUND(O53,2)</formula>
    </cfRule>
  </conditionalFormatting>
  <conditionalFormatting sqref="N53">
    <cfRule type="expression" dxfId="293" priority="12">
      <formula>$G53&lt;&gt;0</formula>
    </cfRule>
  </conditionalFormatting>
  <conditionalFormatting sqref="O63:AA63 AD63 AF63:AG63">
    <cfRule type="expression" dxfId="292" priority="11">
      <formula>ROUND(O62,2)&lt;&gt;ROUND(O63,2)</formula>
    </cfRule>
  </conditionalFormatting>
  <conditionalFormatting sqref="N63">
    <cfRule type="expression" dxfId="291" priority="10">
      <formula>$G63&lt;&gt;0</formula>
    </cfRule>
  </conditionalFormatting>
  <conditionalFormatting sqref="O73:AA73 AD73 AF73:AG73">
    <cfRule type="expression" dxfId="290" priority="9">
      <formula>ROUND(O72,2)&lt;&gt;ROUND(O73,2)</formula>
    </cfRule>
  </conditionalFormatting>
  <conditionalFormatting sqref="N73">
    <cfRule type="expression" dxfId="289" priority="8">
      <formula>$G73&lt;&gt;0</formula>
    </cfRule>
  </conditionalFormatting>
  <conditionalFormatting sqref="N82">
    <cfRule type="expression" dxfId="288" priority="7">
      <formula>$G82&lt;&gt;0</formula>
    </cfRule>
  </conditionalFormatting>
  <conditionalFormatting sqref="AD82 AF82:AG82 O82:AA82">
    <cfRule type="expression" dxfId="287" priority="6">
      <formula>ROUND(O81,2)&lt;&gt;ROUND(O82,2)</formula>
    </cfRule>
  </conditionalFormatting>
  <conditionalFormatting sqref="AI43">
    <cfRule type="expression" dxfId="286" priority="5">
      <formula>ROUND(AI42,2)&lt;&gt;ROUND(AI43,2)</formula>
    </cfRule>
  </conditionalFormatting>
  <conditionalFormatting sqref="AI53">
    <cfRule type="expression" dxfId="285" priority="4">
      <formula>ROUND(AI52,2)&lt;&gt;ROUND(AI53,2)</formula>
    </cfRule>
  </conditionalFormatting>
  <conditionalFormatting sqref="AI63">
    <cfRule type="expression" dxfId="284" priority="3">
      <formula>ROUND(AI62,2)&lt;&gt;ROUND(AI63,2)</formula>
    </cfRule>
  </conditionalFormatting>
  <conditionalFormatting sqref="AI73">
    <cfRule type="expression" dxfId="283" priority="2">
      <formula>ROUND(AI72,2)&lt;&gt;ROUND(AI73,2)</formula>
    </cfRule>
  </conditionalFormatting>
  <conditionalFormatting sqref="AI82">
    <cfRule type="expression" dxfId="282" priority="1">
      <formula>ROUND(AI81,2)&lt;&gt;ROUND(AI82,2)</formula>
    </cfRule>
  </conditionalFormatting>
  <dataValidations count="2">
    <dataValidation type="list" allowBlank="1" sqref="B28" xr:uid="{00000000-0002-0000-1100-000000000000}">
      <formula1>"ACCOUNT,BUSINESSUNIT,CATEGORY,DATASRC,DEPARTMENT,INTCO,MEASURES,RPTCURRENCY,TIME"</formula1>
    </dataValidation>
    <dataValidation type="list" allowBlank="1" sqref="B29" xr:uid="{00000000-0002-0000-1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3894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8946" r:id="rId5" name="FPMExcelClientSheetOptionstb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726</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D2141</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D2141</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v>184.31</v>
      </c>
      <c r="Q35" s="310"/>
      <c r="R35" s="310"/>
      <c r="S35" s="310">
        <v>-31.14</v>
      </c>
      <c r="T35" s="310">
        <v>-98.79</v>
      </c>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v>33</v>
      </c>
      <c r="AH35" s="311" t="str">
        <f ca="1">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49"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v>8879.4</v>
      </c>
      <c r="P36" s="310">
        <v>13568.31</v>
      </c>
      <c r="Q36" s="310">
        <v>8685.86</v>
      </c>
      <c r="R36" s="310">
        <v>9466.52</v>
      </c>
      <c r="S36" s="310">
        <v>10475.1</v>
      </c>
      <c r="T36" s="310">
        <v>5901.5</v>
      </c>
      <c r="U36" s="310">
        <v>7834.2</v>
      </c>
      <c r="V36" s="310">
        <v>6607.81</v>
      </c>
      <c r="W36" s="310">
        <v>3875.3</v>
      </c>
      <c r="X36" s="310">
        <v>5821.5</v>
      </c>
      <c r="Y36" s="310">
        <v>4948.1000000000004</v>
      </c>
      <c r="Z36" s="310">
        <v>3030.6</v>
      </c>
      <c r="AA36" s="310" t="e">
        <f t="shared" ca="1" si="0"/>
        <v>#NAME?</v>
      </c>
      <c r="AB36" s="311" t="e">
        <f t="shared" ca="1" si="1"/>
        <v>#NAME?</v>
      </c>
      <c r="AC36" s="328"/>
      <c r="AD36" s="310">
        <v>170666.25235</v>
      </c>
      <c r="AE36" s="311" t="str">
        <f t="shared" ca="1" si="2"/>
        <v/>
      </c>
      <c r="AF36" s="312" t="e">
        <f t="shared" ca="1" si="3"/>
        <v>#NAME?</v>
      </c>
      <c r="AG36" s="310">
        <v>116819.07</v>
      </c>
      <c r="AH36" s="311" t="str">
        <f t="shared" ref="AH36:AH58" ca="1"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49"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v>1276</v>
      </c>
      <c r="P37" s="310">
        <v>134.5</v>
      </c>
      <c r="Q37" s="310">
        <v>193</v>
      </c>
      <c r="R37" s="310">
        <v>5</v>
      </c>
      <c r="S37" s="310">
        <v>160</v>
      </c>
      <c r="T37" s="310">
        <v>12</v>
      </c>
      <c r="U37" s="310"/>
      <c r="V37" s="310"/>
      <c r="W37" s="310"/>
      <c r="X37" s="310"/>
      <c r="Y37" s="310"/>
      <c r="Z37" s="310"/>
      <c r="AA37" s="310" t="e">
        <f t="shared" ca="1" si="0"/>
        <v>#NAME?</v>
      </c>
      <c r="AB37" s="311" t="e">
        <f t="shared" ca="1" si="1"/>
        <v>#NAME?</v>
      </c>
      <c r="AC37" s="328"/>
      <c r="AD37" s="310">
        <v>53970.861473999998</v>
      </c>
      <c r="AE37" s="311" t="str">
        <f t="shared" ca="1"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10155.4</v>
      </c>
      <c r="P40" s="134">
        <v>13887.12</v>
      </c>
      <c r="Q40" s="134">
        <v>8878.86</v>
      </c>
      <c r="R40" s="134">
        <v>9471.52</v>
      </c>
      <c r="S40" s="134">
        <v>10603.96</v>
      </c>
      <c r="T40" s="134">
        <v>5814.71</v>
      </c>
      <c r="U40" s="134">
        <v>7834.2</v>
      </c>
      <c r="V40" s="134">
        <v>6607.81</v>
      </c>
      <c r="W40" s="134">
        <v>3875.3</v>
      </c>
      <c r="X40" s="134">
        <v>5821.5</v>
      </c>
      <c r="Y40" s="134">
        <v>4948.1000000000004</v>
      </c>
      <c r="Z40" s="134">
        <v>3030.6</v>
      </c>
      <c r="AA40" s="134" t="e">
        <f t="shared" ca="1" si="0"/>
        <v>#NAME?</v>
      </c>
      <c r="AB40" s="135" t="e">
        <f t="shared" ca="1" si="1"/>
        <v>#NAME?</v>
      </c>
      <c r="AC40" s="137"/>
      <c r="AD40" s="134">
        <v>224637.113824</v>
      </c>
      <c r="AE40" s="135" t="str">
        <f t="shared" ca="1" si="2"/>
        <v/>
      </c>
      <c r="AF40" s="136" t="e">
        <f t="shared" ca="1" si="3"/>
        <v>#NAME?</v>
      </c>
      <c r="AG40" s="134">
        <v>116852.07</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v>116</v>
      </c>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v>-86</v>
      </c>
      <c r="AH42" s="311" t="str">
        <f t="shared" ca="1"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v>19939</v>
      </c>
      <c r="P43" s="310">
        <v>28373.62</v>
      </c>
      <c r="Q43" s="310">
        <v>25856.94</v>
      </c>
      <c r="R43" s="310">
        <v>20529.38</v>
      </c>
      <c r="S43" s="310">
        <v>20283.599999999999</v>
      </c>
      <c r="T43" s="310">
        <v>16428</v>
      </c>
      <c r="U43" s="310">
        <v>16655.3</v>
      </c>
      <c r="V43" s="310">
        <v>12000.99</v>
      </c>
      <c r="W43" s="310">
        <v>9587</v>
      </c>
      <c r="X43" s="310">
        <v>13018.3</v>
      </c>
      <c r="Y43" s="310">
        <v>10705.2</v>
      </c>
      <c r="Z43" s="310">
        <v>6015.89</v>
      </c>
      <c r="AA43" s="310" t="e">
        <f t="shared" ca="1" si="0"/>
        <v>#NAME?</v>
      </c>
      <c r="AB43" s="311" t="e">
        <f t="shared" ca="1" si="1"/>
        <v>#NAME?</v>
      </c>
      <c r="AC43" s="328"/>
      <c r="AD43" s="310">
        <v>342226.41765000002</v>
      </c>
      <c r="AE43" s="311" t="str">
        <f t="shared" ca="1" si="2"/>
        <v/>
      </c>
      <c r="AF43" s="312" t="e">
        <f t="shared" ca="1" si="3"/>
        <v>#NAME?</v>
      </c>
      <c r="AG43" s="310">
        <v>239584.19</v>
      </c>
      <c r="AH43" s="311" t="str">
        <f t="shared" ca="1"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v>54</v>
      </c>
      <c r="P44" s="310">
        <v>264</v>
      </c>
      <c r="Q44" s="310">
        <v>2210</v>
      </c>
      <c r="R44" s="310">
        <v>50</v>
      </c>
      <c r="S44" s="310">
        <v>482</v>
      </c>
      <c r="T44" s="310">
        <v>489</v>
      </c>
      <c r="U44" s="310"/>
      <c r="V44" s="310"/>
      <c r="W44" s="310"/>
      <c r="X44" s="310"/>
      <c r="Y44" s="310"/>
      <c r="Z44" s="310"/>
      <c r="AA44" s="310" t="e">
        <f t="shared" ca="1" si="0"/>
        <v>#NAME?</v>
      </c>
      <c r="AB44" s="311" t="e">
        <f t="shared" ca="1" si="1"/>
        <v>#NAME?</v>
      </c>
      <c r="AC44" s="328"/>
      <c r="AD44" s="310">
        <v>108025.968526</v>
      </c>
      <c r="AE44" s="311" t="str">
        <f t="shared" ca="1"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v>12</v>
      </c>
      <c r="P45" s="310">
        <v>-12</v>
      </c>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20005</v>
      </c>
      <c r="P47" s="134">
        <v>28741.62</v>
      </c>
      <c r="Q47" s="134">
        <v>28066.94</v>
      </c>
      <c r="R47" s="134">
        <v>20579.38</v>
      </c>
      <c r="S47" s="134">
        <v>20765.599999999999</v>
      </c>
      <c r="T47" s="134">
        <v>16917</v>
      </c>
      <c r="U47" s="134">
        <v>16655.3</v>
      </c>
      <c r="V47" s="134">
        <v>12000.99</v>
      </c>
      <c r="W47" s="134">
        <v>9587</v>
      </c>
      <c r="X47" s="134">
        <v>13018.3</v>
      </c>
      <c r="Y47" s="134">
        <v>10705.2</v>
      </c>
      <c r="Z47" s="134">
        <v>6015.89</v>
      </c>
      <c r="AA47" s="134" t="e">
        <f t="shared" ca="1" si="0"/>
        <v>#NAME?</v>
      </c>
      <c r="AB47" s="135" t="e">
        <f t="shared" ca="1" si="1"/>
        <v>#NAME?</v>
      </c>
      <c r="AC47" s="137"/>
      <c r="AD47" s="134">
        <v>450252.386176</v>
      </c>
      <c r="AE47" s="135" t="str">
        <f t="shared" ca="1" si="2"/>
        <v/>
      </c>
      <c r="AF47" s="136" t="e">
        <f t="shared" ca="1" si="3"/>
        <v>#NAME?</v>
      </c>
      <c r="AG47" s="134">
        <v>239498.19</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v>-148.49</v>
      </c>
      <c r="P48" s="47">
        <v>-174.37</v>
      </c>
      <c r="Q48" s="47"/>
      <c r="R48" s="47"/>
      <c r="S48" s="47"/>
      <c r="T48" s="47"/>
      <c r="U48" s="47">
        <v>12.58</v>
      </c>
      <c r="V48" s="47">
        <v>-242.96</v>
      </c>
      <c r="W48" s="47"/>
      <c r="X48" s="47"/>
      <c r="Y48" s="47">
        <v>-331.29</v>
      </c>
      <c r="Z48" s="47"/>
      <c r="AA48" s="47" t="e">
        <f t="shared" ca="1" si="0"/>
        <v>#NAME?</v>
      </c>
      <c r="AB48" s="48" t="e">
        <f t="shared" ca="1" si="1"/>
        <v>#NAME?</v>
      </c>
      <c r="AC48" s="54"/>
      <c r="AD48" s="47"/>
      <c r="AE48" s="48" t="str">
        <f t="shared" si="2"/>
        <v/>
      </c>
      <c r="AF48" s="150" t="e">
        <f t="shared" ca="1" si="3"/>
        <v>#NAME?</v>
      </c>
      <c r="AG48" s="47">
        <v>-1290.51</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30011.91</v>
      </c>
      <c r="P49" s="134">
        <v>42454.37</v>
      </c>
      <c r="Q49" s="134">
        <v>36945.800000000003</v>
      </c>
      <c r="R49" s="134">
        <v>30050.9</v>
      </c>
      <c r="S49" s="134">
        <v>31369.56</v>
      </c>
      <c r="T49" s="134">
        <v>22731.71</v>
      </c>
      <c r="U49" s="134">
        <v>24502.080000000002</v>
      </c>
      <c r="V49" s="134">
        <v>18365.84</v>
      </c>
      <c r="W49" s="134">
        <v>13462.3</v>
      </c>
      <c r="X49" s="134">
        <v>18839.8</v>
      </c>
      <c r="Y49" s="134">
        <v>15322.01</v>
      </c>
      <c r="Z49" s="134">
        <v>9046.49</v>
      </c>
      <c r="AA49" s="134" t="e">
        <f t="shared" ca="1" si="0"/>
        <v>#NAME?</v>
      </c>
      <c r="AB49" s="135" t="e">
        <f t="shared" ca="1" si="1"/>
        <v>#NAME?</v>
      </c>
      <c r="AC49" s="137"/>
      <c r="AD49" s="134">
        <v>674889.5</v>
      </c>
      <c r="AE49" s="135" t="str">
        <f t="shared" ca="1" si="2"/>
        <v/>
      </c>
      <c r="AF49" s="136" t="e">
        <f t="shared" ca="1" si="3"/>
        <v>#NAME?</v>
      </c>
      <c r="AG49" s="134">
        <v>355059.75</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5556.66</v>
      </c>
      <c r="P54" s="310">
        <v>7867.47</v>
      </c>
      <c r="Q54" s="310">
        <v>6807.87</v>
      </c>
      <c r="R54" s="310">
        <v>5638.5</v>
      </c>
      <c r="S54" s="310">
        <v>5967.36</v>
      </c>
      <c r="T54" s="310">
        <v>4189.47</v>
      </c>
      <c r="U54" s="310">
        <v>4579.0200000000004</v>
      </c>
      <c r="V54" s="310">
        <v>3474.9</v>
      </c>
      <c r="W54" s="310">
        <v>2495.16</v>
      </c>
      <c r="X54" s="310">
        <v>3551.94</v>
      </c>
      <c r="Y54" s="310">
        <v>2905.11</v>
      </c>
      <c r="Z54" s="310">
        <v>1679.81</v>
      </c>
      <c r="AA54" s="310" t="e">
        <f t="shared" ca="1" si="0"/>
        <v>#NAME?</v>
      </c>
      <c r="AB54" s="311" t="e">
        <f t="shared" ca="1" si="1"/>
        <v>#NAME?</v>
      </c>
      <c r="AC54" s="328"/>
      <c r="AD54" s="310">
        <v>121480.11</v>
      </c>
      <c r="AE54" s="311" t="str">
        <f t="shared" ca="1" si="2"/>
        <v/>
      </c>
      <c r="AF54" s="312" t="e">
        <f t="shared" ca="1" si="3"/>
        <v>#NAME?</v>
      </c>
      <c r="AG54" s="310">
        <v>64896.47</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11595.07</v>
      </c>
      <c r="P55" s="310">
        <v>10521.71</v>
      </c>
      <c r="Q55" s="310">
        <v>19789.43</v>
      </c>
      <c r="R55" s="310">
        <v>4725.97</v>
      </c>
      <c r="S55" s="310">
        <v>5216</v>
      </c>
      <c r="T55" s="310">
        <v>1239.3599999999999</v>
      </c>
      <c r="U55" s="310">
        <v>3318</v>
      </c>
      <c r="V55" s="310">
        <v>1447.97</v>
      </c>
      <c r="W55" s="310">
        <v>631.66</v>
      </c>
      <c r="X55" s="310">
        <v>1115.17</v>
      </c>
      <c r="Y55" s="310">
        <v>796.13</v>
      </c>
      <c r="Z55" s="310">
        <v>1390.12</v>
      </c>
      <c r="AA55" s="310" t="e">
        <f t="shared" ca="1" si="0"/>
        <v>#NAME?</v>
      </c>
      <c r="AB55" s="311" t="e">
        <f t="shared" ca="1" si="1"/>
        <v>#NAME?</v>
      </c>
      <c r="AC55" s="328"/>
      <c r="AD55" s="310">
        <v>76700</v>
      </c>
      <c r="AE55" s="311" t="str">
        <f t="shared" ca="1" si="2"/>
        <v/>
      </c>
      <c r="AF55" s="312" t="e">
        <f t="shared" ca="1" si="3"/>
        <v>#NAME?</v>
      </c>
      <c r="AG55" s="310">
        <v>25978.71</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17151.73</v>
      </c>
      <c r="P57" s="36">
        <v>18389.18</v>
      </c>
      <c r="Q57" s="36">
        <v>26597.3</v>
      </c>
      <c r="R57" s="36">
        <v>10364.469999999999</v>
      </c>
      <c r="S57" s="36">
        <v>11183.36</v>
      </c>
      <c r="T57" s="36">
        <v>5428.83</v>
      </c>
      <c r="U57" s="36">
        <v>7897.02</v>
      </c>
      <c r="V57" s="36">
        <v>4922.87</v>
      </c>
      <c r="W57" s="36">
        <v>3126.82</v>
      </c>
      <c r="X57" s="36">
        <v>4667.1099999999997</v>
      </c>
      <c r="Y57" s="36">
        <v>3701.24</v>
      </c>
      <c r="Z57" s="36">
        <v>3069.93</v>
      </c>
      <c r="AA57" s="36" t="e">
        <f t="shared" ca="1" si="0"/>
        <v>#NAME?</v>
      </c>
      <c r="AB57" s="37" t="e">
        <f t="shared" ca="1" si="1"/>
        <v>#NAME?</v>
      </c>
      <c r="AC57" s="35"/>
      <c r="AD57" s="36">
        <v>198180.11</v>
      </c>
      <c r="AE57" s="37" t="str">
        <f t="shared" ca="1" si="2"/>
        <v/>
      </c>
      <c r="AF57" s="58" t="e">
        <f t="shared" ca="1" si="3"/>
        <v>#NAME?</v>
      </c>
      <c r="AG57" s="36">
        <v>90875.18</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47163.64</v>
      </c>
      <c r="P58" s="134">
        <v>60843.55</v>
      </c>
      <c r="Q58" s="134">
        <v>63543.1</v>
      </c>
      <c r="R58" s="134">
        <v>40415.370000000003</v>
      </c>
      <c r="S58" s="134">
        <v>42552.92</v>
      </c>
      <c r="T58" s="134">
        <v>28160.54</v>
      </c>
      <c r="U58" s="134">
        <v>32399.1</v>
      </c>
      <c r="V58" s="134">
        <v>23288.71</v>
      </c>
      <c r="W58" s="134">
        <v>16589.12</v>
      </c>
      <c r="X58" s="134">
        <v>23506.91</v>
      </c>
      <c r="Y58" s="134">
        <v>19023.25</v>
      </c>
      <c r="Z58" s="134">
        <v>12116.42</v>
      </c>
      <c r="AA58" s="134" t="e">
        <f t="shared" ca="1" si="0"/>
        <v>#NAME?</v>
      </c>
      <c r="AB58" s="135" t="e">
        <f t="shared" ca="1" si="1"/>
        <v>#NAME?</v>
      </c>
      <c r="AC58" s="137"/>
      <c r="AD58" s="134">
        <v>873069.61</v>
      </c>
      <c r="AE58" s="135" t="str">
        <f t="shared" ca="1" si="2"/>
        <v/>
      </c>
      <c r="AF58" s="136" t="e">
        <f t="shared" ca="1" si="3"/>
        <v>#NAME?</v>
      </c>
      <c r="AG58" s="134">
        <v>445934.93</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2782.47</v>
      </c>
      <c r="P62" s="310">
        <v>3805.04</v>
      </c>
      <c r="Q62" s="310">
        <v>1109.75</v>
      </c>
      <c r="R62" s="310">
        <v>2368</v>
      </c>
      <c r="S62" s="310">
        <v>2651</v>
      </c>
      <c r="T62" s="310">
        <v>1478.5</v>
      </c>
      <c r="U62" s="310">
        <v>1958.55</v>
      </c>
      <c r="V62" s="310">
        <v>1652</v>
      </c>
      <c r="W62" s="310">
        <v>968.75</v>
      </c>
      <c r="X62" s="310">
        <v>1455.38</v>
      </c>
      <c r="Y62" s="310">
        <v>1237</v>
      </c>
      <c r="Z62" s="310">
        <v>757.75</v>
      </c>
      <c r="AA62" s="310" t="e">
        <f t="shared" ref="AA62:AA70" ca="1" si="12">IF($I62="B1","",SUM(O62:Z62))</f>
        <v>#NAME?</v>
      </c>
      <c r="AB62" s="311" t="e">
        <f ca="1">IF(AA62=0,"",IFERROR(AA62/_xll.EVGTS($B$1,1,_xll.EVPRO($B$1,$H62,"COSBASIS"),$B$3,$B$5,$B$6,$B$7,$B$9,AA$16,AA$17,AA$11),""))</f>
        <v>#NAME?</v>
      </c>
      <c r="AC62" s="328"/>
      <c r="AD62" s="310">
        <v>66267.97</v>
      </c>
      <c r="AE62" s="311" t="str">
        <f ca="1">IF(AD62=0,"",IFERROR(AD62/_xll.EVGTS($B$1,1,_xll.EVPRO($B$1,$H62,"COSBASIS"),$B$3,$B$5,$B$6,$B$7,$B$9,AD$16,AD$17,AD$18),""))</f>
        <v/>
      </c>
      <c r="AF62" s="312" t="e">
        <f t="shared" ref="AF62:AF70" ca="1" si="13">IF(AND($AA62="",AD62=""),"",$AA62-AD62)</f>
        <v>#NAME?</v>
      </c>
      <c r="AG62" s="310">
        <v>32396.67</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4058.5</v>
      </c>
      <c r="P63" s="324">
        <v>5820.09</v>
      </c>
      <c r="Q63" s="324">
        <v>5455.52</v>
      </c>
      <c r="R63" s="324">
        <v>3982.31</v>
      </c>
      <c r="S63" s="324">
        <v>4013.99</v>
      </c>
      <c r="T63" s="324">
        <v>3293.09</v>
      </c>
      <c r="U63" s="324">
        <v>3231.28</v>
      </c>
      <c r="V63" s="324">
        <v>2319.23</v>
      </c>
      <c r="W63" s="324">
        <v>1861.59</v>
      </c>
      <c r="X63" s="324">
        <v>2521.19</v>
      </c>
      <c r="Y63" s="324">
        <v>2052.4499999999998</v>
      </c>
      <c r="Z63" s="324">
        <v>1163.48</v>
      </c>
      <c r="AA63" s="324" t="e">
        <f t="shared" ca="1" si="12"/>
        <v>#NAME?</v>
      </c>
      <c r="AB63" s="325" t="e">
        <f ca="1">IF(AA63=0,"",IFERROR(AA63/_xll.EVGTS($B$1,1,_xll.EVPRO($B$1,$H63,"COSBASIS"),$B$3,$B$5,$B$6,$B$7,$B$9,AA$16,AA$17,AA$11),""))</f>
        <v>#NAME?</v>
      </c>
      <c r="AC63" s="290"/>
      <c r="AD63" s="324">
        <v>89301.42</v>
      </c>
      <c r="AE63" s="325" t="str">
        <f ca="1">IF(AD63=0,"",IFERROR(AD63/_xll.EVGTS($B$1,1,_xll.EVPRO($B$1,$H63,"COSBASIS"),$B$3,$B$5,$B$6,$B$7,$B$9,AD$16,AD$17,AD$18),""))</f>
        <v/>
      </c>
      <c r="AF63" s="326" t="e">
        <f t="shared" ca="1" si="13"/>
        <v>#NAME?</v>
      </c>
      <c r="AG63" s="324">
        <v>47241.07</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6840.97</v>
      </c>
      <c r="P64" s="134">
        <v>9625.1299999999992</v>
      </c>
      <c r="Q64" s="134">
        <v>6565.27</v>
      </c>
      <c r="R64" s="134">
        <v>6350.31</v>
      </c>
      <c r="S64" s="134">
        <v>6664.99</v>
      </c>
      <c r="T64" s="134">
        <v>4771.59</v>
      </c>
      <c r="U64" s="134">
        <v>5189.83</v>
      </c>
      <c r="V64" s="134">
        <v>3971.23</v>
      </c>
      <c r="W64" s="134">
        <v>2830.34</v>
      </c>
      <c r="X64" s="134">
        <v>3976.57</v>
      </c>
      <c r="Y64" s="134">
        <v>3289.45</v>
      </c>
      <c r="Z64" s="134">
        <v>1921.23</v>
      </c>
      <c r="AA64" s="134" t="e">
        <f t="shared" ca="1" si="12"/>
        <v>#NAME?</v>
      </c>
      <c r="AB64" s="135" t="e">
        <f ca="1">IF(AA64=0,"",IFERROR(AA64/_xll.EVGTS($B$1,1,_xll.EVPRO($B$1,$H64,"COSBASIS"),$B$3,$B$5,$B$6,$B$7,$B$9,AA$16,AA$17,AA$11),""))</f>
        <v>#NAME?</v>
      </c>
      <c r="AC64" s="137"/>
      <c r="AD64" s="134">
        <v>155569.39000000001</v>
      </c>
      <c r="AE64" s="135" t="str">
        <f ca="1">IF(AD64=0,"",IFERROR(AD64/_xll.EVGTS($B$1,1,_xll.EVPRO($B$1,$H64,"COSBASIS"),$B$3,$B$5,$B$6,$B$7,$B$9,AD$16,AD$17,AD$18),""))</f>
        <v/>
      </c>
      <c r="AF64" s="136" t="e">
        <f t="shared" ca="1" si="13"/>
        <v>#NAME?</v>
      </c>
      <c r="AG64" s="134">
        <v>79637.740000000005</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6840.97</v>
      </c>
      <c r="P70" s="134">
        <v>9625.1299999999992</v>
      </c>
      <c r="Q70" s="134">
        <v>6565.27</v>
      </c>
      <c r="R70" s="134">
        <v>6350.31</v>
      </c>
      <c r="S70" s="134">
        <v>6664.99</v>
      </c>
      <c r="T70" s="134">
        <v>4771.59</v>
      </c>
      <c r="U70" s="134">
        <v>5189.83</v>
      </c>
      <c r="V70" s="134">
        <v>3971.23</v>
      </c>
      <c r="W70" s="134">
        <v>2830.34</v>
      </c>
      <c r="X70" s="134">
        <v>3976.57</v>
      </c>
      <c r="Y70" s="134">
        <v>3289.45</v>
      </c>
      <c r="Z70" s="134">
        <v>1921.23</v>
      </c>
      <c r="AA70" s="134" t="e">
        <f t="shared" ca="1" si="12"/>
        <v>#NAME?</v>
      </c>
      <c r="AB70" s="135" t="e">
        <f ca="1">IF(AA70=0,"",IFERROR(AA70/_xll.EVGTS($B$1,1,_xll.EVPRO($B$1,$H70,"COSBASIS"),$B$3,$B$5,$B$6,$B$7,$B$9,AA$16,AA$17,AA$11),""))</f>
        <v>#NAME?</v>
      </c>
      <c r="AC70" s="137"/>
      <c r="AD70" s="134">
        <v>155569.39000000001</v>
      </c>
      <c r="AE70" s="135" t="str">
        <f ca="1">IF(AD70=0,"",IFERROR(AD70/_xll.EVGTS($B$1,1,_xll.EVPRO($B$1,$H70,"COSBASIS"),$B$3,$B$5,$B$6,$B$7,$B$9,AD$16,AD$17,AD$18),""))</f>
        <v/>
      </c>
      <c r="AF70" s="136" t="e">
        <f t="shared" ca="1" si="13"/>
        <v>#NAME?</v>
      </c>
      <c r="AG70" s="134">
        <v>79637.740000000005</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 t="shared" ref="O72:Z72" si="22">SUMIF($H$35:$H$70,"400000",O35:O70)-SUMIF($H$35:$H$70,"500001",O35:O70)</f>
        <v>40322.67</v>
      </c>
      <c r="P72" s="164">
        <f t="shared" si="22"/>
        <v>51218.420000000006</v>
      </c>
      <c r="Q72" s="164">
        <f t="shared" si="22"/>
        <v>56977.83</v>
      </c>
      <c r="R72" s="164">
        <f t="shared" si="22"/>
        <v>34065.060000000005</v>
      </c>
      <c r="S72" s="164">
        <f t="shared" si="22"/>
        <v>35887.93</v>
      </c>
      <c r="T72" s="164">
        <f t="shared" si="22"/>
        <v>23388.95</v>
      </c>
      <c r="U72" s="164">
        <f t="shared" si="22"/>
        <v>27209.269999999997</v>
      </c>
      <c r="V72" s="164">
        <f t="shared" si="22"/>
        <v>19317.48</v>
      </c>
      <c r="W72" s="164">
        <f t="shared" si="22"/>
        <v>13758.779999999999</v>
      </c>
      <c r="X72" s="164">
        <f t="shared" si="22"/>
        <v>19530.34</v>
      </c>
      <c r="Y72" s="164">
        <f t="shared" si="22"/>
        <v>15733.8</v>
      </c>
      <c r="Z72" s="164">
        <f t="shared" si="22"/>
        <v>10195.19</v>
      </c>
      <c r="AA72" s="134" t="e">
        <f ca="1">IF($I72="B1","",SUM(O72:Z72))</f>
        <v>#NAME?</v>
      </c>
      <c r="AB72" s="135" t="e">
        <f ca="1">IF(AA72=0,"",IFERROR(AA72/AA$19,""))</f>
        <v>#NAME?</v>
      </c>
      <c r="AD72" s="164">
        <f>SUMIF($H$35:$H$70,"400000",AD35:AD70)-SUMIF($H$35:$H$70,"500001",AD35:AD70)</f>
        <v>717500.22</v>
      </c>
      <c r="AE72" s="135" t="str">
        <f ca="1">IF(AD72=0,"",IFERROR(AD72/AD$19,""))</f>
        <v/>
      </c>
      <c r="AF72" s="165" t="e">
        <f t="shared" ca="1" si="21"/>
        <v>#NAME?</v>
      </c>
      <c r="AG72" s="164">
        <f>SUMIF($H$35:$H$70,"400000",AG35:AG70)-SUMIF($H$35:$H$70,"500001",AG35:AG70)</f>
        <v>366297.19</v>
      </c>
      <c r="AH72" s="135" t="str">
        <f ca="1">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M74" s="162"/>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M75" s="162"/>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t="shared" ref="AA76:AA85" ca="1" si="23">IF($I76="B1","",SUM(O76:Z76))</f>
        <v>#NAME?</v>
      </c>
      <c r="AB76" s="39" t="e">
        <f t="shared" ref="AB76:AB85" ca="1" si="24">IF(AA76=0,"",IFERROR(AA76/AA$19,""))</f>
        <v>#NAME?</v>
      </c>
      <c r="AD76" s="38"/>
      <c r="AE76" s="39" t="str">
        <f t="shared" ref="AE76:AE85" si="25">IF(AD76=0,"",IFERROR(AD76/AD$19,""))</f>
        <v/>
      </c>
      <c r="AF76" s="132" t="e">
        <f t="shared" ref="AF76:AF85" ca="1" si="26">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t="shared" ca="1" si="23"/>
        <v>#NAME?</v>
      </c>
      <c r="AB77" s="39" t="e">
        <f t="shared" ca="1" si="24"/>
        <v>#NAME?</v>
      </c>
      <c r="AD77" s="38"/>
      <c r="AE77" s="39" t="str">
        <f t="shared" si="25"/>
        <v/>
      </c>
      <c r="AF77" s="132" t="e">
        <f t="shared" ca="1" si="26"/>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47"/>
      <c r="P78" s="47"/>
      <c r="Q78" s="47"/>
      <c r="R78" s="47"/>
      <c r="S78" s="47"/>
      <c r="T78" s="47"/>
      <c r="U78" s="47"/>
      <c r="V78" s="47"/>
      <c r="W78" s="47"/>
      <c r="X78" s="47"/>
      <c r="Y78" s="47"/>
      <c r="Z78" s="47"/>
      <c r="AA78" s="324" t="e">
        <f t="shared" ca="1" si="23"/>
        <v>#NAME?</v>
      </c>
      <c r="AB78" s="48" t="e">
        <f t="shared" ca="1" si="24"/>
        <v>#NAME?</v>
      </c>
      <c r="AD78" s="47"/>
      <c r="AE78" s="48" t="str">
        <f t="shared" si="25"/>
        <v/>
      </c>
      <c r="AF78" s="150" t="e">
        <f t="shared" ca="1" si="26"/>
        <v>#NAME?</v>
      </c>
      <c r="AG78" s="47"/>
      <c r="AH78" s="48" t="str">
        <f>IF(AG78=0,"",IFERROR(AG78/AG$19,""))</f>
        <v/>
      </c>
      <c r="AI78" s="150" t="e">
        <f ca="1">IF(AND($AA78="",AG78=""),"",$AA78-AG78)</f>
        <v>#NAME?</v>
      </c>
      <c r="AJ78" s="409">
        <f ca="1">IFERROR(AA78/AA$20,0)</f>
        <v>0</v>
      </c>
      <c r="AK78" s="410">
        <f ca="1">IFERROR(AD78/AD$20,0)</f>
        <v>0</v>
      </c>
      <c r="AL78" s="411">
        <f ca="1">IFERROR(AG78/AG$20,0)</f>
        <v>0</v>
      </c>
      <c r="AM78" s="412">
        <f ca="1">+IFERROR(ROUND(($AB78-AE78)*100,2)&amp;" pts.",0)</f>
        <v>0</v>
      </c>
      <c r="AN78" s="413">
        <f ca="1">+IFERROR(ROUND(($AB78-AH78)*100,2)&amp;" pts.",0)</f>
        <v>0</v>
      </c>
    </row>
    <row r="79" spans="1:40" x14ac:dyDescent="0.25">
      <c r="C79" s="32"/>
      <c r="H79" s="15" t="s">
        <v>863</v>
      </c>
      <c r="I79" s="481" t="e">
        <f ca="1">_xll.EVPRO($B$1,$H79,"STYLE")</f>
        <v>#NAME?</v>
      </c>
      <c r="J79" s="481" t="e">
        <f ca="1">_xll.EVPRO($B$1,$H79,"CALC")</f>
        <v>#NAME?</v>
      </c>
      <c r="K79" s="226" t="e">
        <f ca="1">IF(AND(I79&gt;="T3"),"&gt;","")</f>
        <v>#NAME?</v>
      </c>
      <c r="L79" s="195" t="e">
        <f ca="1">_xll.EVPRO($B$1,H79,"JDEID")</f>
        <v>#NAME?</v>
      </c>
      <c r="M79" s="162" t="e">
        <f ca="1">IF(AND(I79="N",J79="N"),_xll.EVPRO($B$1,H79,"PSFTID"),"")</f>
        <v>#NAME?</v>
      </c>
      <c r="N79" s="195" t="e">
        <f ca="1">IF(_xll.EVDES(H79,$B$1)="#NODATA","",_xll.EVDES(H79,$B$1))</f>
        <v>#NAME?</v>
      </c>
      <c r="O79" s="36">
        <v>7357.58</v>
      </c>
      <c r="P79" s="36">
        <v>3590.24</v>
      </c>
      <c r="Q79" s="36">
        <v>2955.92</v>
      </c>
      <c r="R79" s="36">
        <v>3233.2</v>
      </c>
      <c r="S79" s="36">
        <v>2509.6</v>
      </c>
      <c r="T79" s="36"/>
      <c r="U79" s="36">
        <v>1960.16</v>
      </c>
      <c r="V79" s="36">
        <v>1863.12</v>
      </c>
      <c r="W79" s="36">
        <v>1327.12</v>
      </c>
      <c r="X79" s="36">
        <v>1880.56</v>
      </c>
      <c r="Y79" s="36">
        <v>1521.84</v>
      </c>
      <c r="Z79" s="36">
        <v>723.68</v>
      </c>
      <c r="AA79" s="36" t="e">
        <f t="shared" ca="1" si="23"/>
        <v>#NAME?</v>
      </c>
      <c r="AB79" s="37" t="e">
        <f t="shared" ca="1" si="24"/>
        <v>#NAME?</v>
      </c>
      <c r="AC79" s="35"/>
      <c r="AD79" s="36">
        <v>134014.271428571</v>
      </c>
      <c r="AE79" s="37" t="str">
        <f t="shared" ca="1" si="25"/>
        <v/>
      </c>
      <c r="AF79" s="58" t="e">
        <f t="shared" ca="1" si="26"/>
        <v>#NAME?</v>
      </c>
      <c r="AG79" s="36">
        <v>19789.740000000002</v>
      </c>
      <c r="AH79" s="37" t="str">
        <f ca="1">IF(AG79=0,"",IFERROR(AG79/AG$19,""))</f>
        <v/>
      </c>
      <c r="AI79" s="58" t="e">
        <f ca="1">IF(AND($AA79="",AG79=""),"",$AA79-AG79)</f>
        <v>#NAME?</v>
      </c>
      <c r="AJ79" s="372">
        <f ca="1">IFERROR(AA79/AA$20,0)</f>
        <v>0</v>
      </c>
      <c r="AK79" s="373">
        <f ca="1">IFERROR(AD79/AD$20,0)</f>
        <v>0</v>
      </c>
      <c r="AL79" s="375">
        <f ca="1">IFERROR(AG79/AG$20,0)</f>
        <v>0</v>
      </c>
      <c r="AM79" s="407">
        <f ca="1">+IFERROR(ROUND(($AB79-AE79)*100,2)&amp;" pts.",0)</f>
        <v>0</v>
      </c>
      <c r="AN79" s="408">
        <f ca="1">+IFERROR(ROUND(($AB79-AH79)*100,2)&amp;" pts.",0)</f>
        <v>0</v>
      </c>
    </row>
    <row r="80" spans="1:40" x14ac:dyDescent="0.25">
      <c r="A80" s="4" t="e">
        <f ca="1">_xll.EVDRE($B$1,A83:B90,A93:B99)</f>
        <v>#NAME?</v>
      </c>
      <c r="H80" s="15" t="s">
        <v>848</v>
      </c>
      <c r="I80" s="28" t="e">
        <f ca="1">_xll.EVPRO($B$1,$H80,"STYLE")</f>
        <v>#NAME?</v>
      </c>
      <c r="J80" s="28" t="e">
        <f ca="1">_xll.EVPRO($B$1,$H80,"CALC")</f>
        <v>#NAME?</v>
      </c>
      <c r="K80" s="69" t="e">
        <f t="shared" ref="K80:K85" ca="1" si="27">IF(AND(I80&gt;="T3"),"&gt;","")</f>
        <v>#NAME?</v>
      </c>
      <c r="L80" s="25" t="e">
        <f ca="1">_xll.EVPRO($B$1,H80,"JDEID")</f>
        <v>#NAME?</v>
      </c>
      <c r="M80" s="170" t="e">
        <f ca="1">IF(AND(I80="N",J80="N"),_xll.EVPRO($B$1,H80,"PSFTID"),"")</f>
        <v>#NAME?</v>
      </c>
      <c r="N80" s="25" t="e">
        <f ca="1">IF(_xll.EVDES(H80,$B$1)="#NODATA","",_xll.EVDES(H80,$B$1))</f>
        <v>#NAME?</v>
      </c>
      <c r="O80" s="134">
        <v>7357.58</v>
      </c>
      <c r="P80" s="134">
        <v>3590.24</v>
      </c>
      <c r="Q80" s="134">
        <v>2955.92</v>
      </c>
      <c r="R80" s="134">
        <v>3233.2</v>
      </c>
      <c r="S80" s="134">
        <v>2509.6</v>
      </c>
      <c r="T80" s="134"/>
      <c r="U80" s="134">
        <v>1960.16</v>
      </c>
      <c r="V80" s="134">
        <v>1863.12</v>
      </c>
      <c r="W80" s="134">
        <v>1327.12</v>
      </c>
      <c r="X80" s="134">
        <v>1880.56</v>
      </c>
      <c r="Y80" s="134">
        <v>1521.84</v>
      </c>
      <c r="Z80" s="134">
        <v>723.68</v>
      </c>
      <c r="AA80" s="134" t="e">
        <f t="shared" ca="1" si="23"/>
        <v>#NAME?</v>
      </c>
      <c r="AB80" s="135" t="e">
        <f t="shared" ca="1" si="24"/>
        <v>#NAME?</v>
      </c>
      <c r="AC80" s="137"/>
      <c r="AD80" s="134">
        <v>134014.271428571</v>
      </c>
      <c r="AE80" s="135" t="str">
        <f t="shared" ca="1" si="25"/>
        <v/>
      </c>
      <c r="AF80" s="136" t="e">
        <f t="shared" ca="1" si="26"/>
        <v>#NAME?</v>
      </c>
      <c r="AG80" s="134">
        <v>19789.740000000002</v>
      </c>
      <c r="AH80" s="135" t="str">
        <f t="shared" ref="AH80:AH85" ca="1" si="28">IF(AG80=0,"",IFERROR(AG80/AG$19,""))</f>
        <v/>
      </c>
      <c r="AI80" s="136" t="e">
        <f t="shared" ref="AI80:AI85" ca="1" si="29">IF(AND($AA80="",AG80=""),"",$AA80-AG80)</f>
        <v>#NAME?</v>
      </c>
      <c r="AJ80" s="360">
        <f t="shared" ref="AJ80:AJ85" ca="1" si="30">IFERROR(AA80/AA$20,0)</f>
        <v>0</v>
      </c>
      <c r="AK80" s="361">
        <f t="shared" ref="AK80:AK85" ca="1" si="31">IFERROR(AD80/AD$20,0)</f>
        <v>0</v>
      </c>
      <c r="AL80" s="363">
        <f t="shared" ref="AL80:AL85" ca="1" si="32">IFERROR(AG80/AG$20,0)</f>
        <v>0</v>
      </c>
      <c r="AM80" s="405">
        <f t="shared" ref="AM80:AM85" ca="1" si="33">+IFERROR(ROUND(($AB80-AE80)*100,2)&amp;" pts.",0)</f>
        <v>0</v>
      </c>
      <c r="AN80" s="406">
        <f t="shared" ref="AN80:AN85" ca="1" si="34">+IFERROR(ROUND(($AB80-AH80)*100,2)&amp;" pts.",0)</f>
        <v>0</v>
      </c>
    </row>
    <row r="81" spans="1:40" x14ac:dyDescent="0.25">
      <c r="H81" s="15" t="s">
        <v>864</v>
      </c>
      <c r="I81" s="481" t="e">
        <f ca="1">_xll.EVPRO($B$1,$H81,"STYLE")</f>
        <v>#NAME?</v>
      </c>
      <c r="J81" s="481" t="e">
        <f ca="1">_xll.EVPRO($B$1,$H81,"CALC")</f>
        <v>#NAME?</v>
      </c>
      <c r="K81" s="226" t="e">
        <f t="shared" ca="1" si="27"/>
        <v>#NAME?</v>
      </c>
      <c r="L81" s="195" t="e">
        <f ca="1">_xll.EVPRO($B$1,H81,"JDEID")</f>
        <v>#NAME?</v>
      </c>
      <c r="M81" s="162" t="e">
        <f ca="1">IF(AND(I81="N",J81="N"),_xll.EVPRO($B$1,H81,"PSFTID"),"")</f>
        <v>#NAME?</v>
      </c>
      <c r="N81" s="195" t="e">
        <f ca="1">IF(_xll.EVDES(H81,$B$1)="#NODATA","",_xll.EVDES(H81,$B$1))</f>
        <v>#NAME?</v>
      </c>
      <c r="O81" s="514">
        <v>5383.85</v>
      </c>
      <c r="P81" s="514">
        <v>7867.47</v>
      </c>
      <c r="Q81" s="514">
        <v>6807.87</v>
      </c>
      <c r="R81" s="514">
        <v>5638.5</v>
      </c>
      <c r="S81" s="514">
        <v>5967.36</v>
      </c>
      <c r="T81" s="514">
        <v>4365.47</v>
      </c>
      <c r="U81" s="514">
        <v>4579.0200000000004</v>
      </c>
      <c r="V81" s="514">
        <v>3474.9</v>
      </c>
      <c r="W81" s="514">
        <v>2495.16</v>
      </c>
      <c r="X81" s="514">
        <v>3551.94</v>
      </c>
      <c r="Y81" s="514">
        <v>2905.11</v>
      </c>
      <c r="Z81" s="514">
        <v>1679.81</v>
      </c>
      <c r="AA81" s="514" t="e">
        <f t="shared" ca="1" si="23"/>
        <v>#NAME?</v>
      </c>
      <c r="AB81" s="515" t="e">
        <f t="shared" ca="1" si="24"/>
        <v>#NAME?</v>
      </c>
      <c r="AC81" s="525"/>
      <c r="AD81" s="514">
        <v>121480.11</v>
      </c>
      <c r="AE81" s="515" t="str">
        <f t="shared" ca="1" si="25"/>
        <v/>
      </c>
      <c r="AF81" s="516" t="e">
        <f t="shared" ca="1" si="26"/>
        <v>#NAME?</v>
      </c>
      <c r="AG81" s="514">
        <v>64902.35</v>
      </c>
      <c r="AH81" s="515" t="str">
        <f t="shared" ca="1" si="28"/>
        <v/>
      </c>
      <c r="AI81" s="516" t="e">
        <f t="shared" ca="1" si="29"/>
        <v>#NAME?</v>
      </c>
      <c r="AJ81" s="517">
        <f t="shared" ca="1" si="30"/>
        <v>0</v>
      </c>
      <c r="AK81" s="518">
        <f t="shared" ca="1" si="31"/>
        <v>0</v>
      </c>
      <c r="AL81" s="519">
        <f t="shared" ca="1" si="32"/>
        <v>0</v>
      </c>
      <c r="AM81" s="520">
        <f t="shared" ca="1" si="33"/>
        <v>0</v>
      </c>
      <c r="AN81" s="521">
        <f t="shared" ca="1" si="34"/>
        <v>0</v>
      </c>
    </row>
    <row r="82" spans="1:40" x14ac:dyDescent="0.25">
      <c r="A82" s="3" t="s">
        <v>0</v>
      </c>
      <c r="B82" s="5" t="s">
        <v>1</v>
      </c>
      <c r="H82" s="15" t="s">
        <v>850</v>
      </c>
      <c r="I82" s="28" t="e">
        <f ca="1">_xll.EVPRO($B$1,$H82,"STYLE")</f>
        <v>#NAME?</v>
      </c>
      <c r="J82" s="28" t="e">
        <f ca="1">_xll.EVPRO($B$1,$H82,"CALC")</f>
        <v>#NAME?</v>
      </c>
      <c r="K82" s="69" t="e">
        <f t="shared" ca="1" si="27"/>
        <v>#NAME?</v>
      </c>
      <c r="L82" s="25" t="e">
        <f ca="1">_xll.EVPRO($B$1,H82,"JDEID")</f>
        <v>#NAME?</v>
      </c>
      <c r="M82" s="170" t="e">
        <f ca="1">IF(AND(I82="N",J82="N"),_xll.EVPRO($B$1,H82,"PSFTID"),"")</f>
        <v>#NAME?</v>
      </c>
      <c r="N82" s="25" t="e">
        <f ca="1">IF(_xll.EVDES(H82,$B$1)="#NODATA","",_xll.EVDES(H82,$B$1))</f>
        <v>#NAME?</v>
      </c>
      <c r="O82" s="134">
        <v>12741.43</v>
      </c>
      <c r="P82" s="134">
        <v>11457.71</v>
      </c>
      <c r="Q82" s="134">
        <v>9763.7900000000009</v>
      </c>
      <c r="R82" s="134">
        <v>8871.7000000000007</v>
      </c>
      <c r="S82" s="134">
        <v>8476.9599999999991</v>
      </c>
      <c r="T82" s="134">
        <v>4365.47</v>
      </c>
      <c r="U82" s="134">
        <v>6539.18</v>
      </c>
      <c r="V82" s="134">
        <v>5338.02</v>
      </c>
      <c r="W82" s="134">
        <v>3822.28</v>
      </c>
      <c r="X82" s="134">
        <v>5432.5</v>
      </c>
      <c r="Y82" s="134">
        <v>4426.95</v>
      </c>
      <c r="Z82" s="134">
        <v>2403.4899999999998</v>
      </c>
      <c r="AA82" s="134" t="e">
        <f t="shared" ca="1" si="23"/>
        <v>#NAME?</v>
      </c>
      <c r="AB82" s="135" t="e">
        <f t="shared" ca="1" si="24"/>
        <v>#NAME?</v>
      </c>
      <c r="AC82" s="137"/>
      <c r="AD82" s="134">
        <v>255494.38142857101</v>
      </c>
      <c r="AE82" s="135" t="str">
        <f t="shared" ca="1" si="25"/>
        <v/>
      </c>
      <c r="AF82" s="136" t="e">
        <f t="shared" ca="1" si="26"/>
        <v>#NAME?</v>
      </c>
      <c r="AG82" s="134">
        <v>84692.09</v>
      </c>
      <c r="AH82" s="135" t="str">
        <f t="shared" ca="1" si="28"/>
        <v/>
      </c>
      <c r="AI82" s="136" t="e">
        <f t="shared" ca="1" si="29"/>
        <v>#NAME?</v>
      </c>
      <c r="AJ82" s="360">
        <f t="shared" ca="1" si="30"/>
        <v>0</v>
      </c>
      <c r="AK82" s="361">
        <f t="shared" ca="1" si="31"/>
        <v>0</v>
      </c>
      <c r="AL82" s="363">
        <f t="shared" ca="1" si="32"/>
        <v>0</v>
      </c>
      <c r="AM82" s="405">
        <f t="shared" ca="1" si="33"/>
        <v>0</v>
      </c>
      <c r="AN82" s="406">
        <f t="shared" ca="1" si="34"/>
        <v>0</v>
      </c>
    </row>
    <row r="83" spans="1:40" x14ac:dyDescent="0.25">
      <c r="A83" s="6" t="s">
        <v>2</v>
      </c>
      <c r="B83" s="7" t="e">
        <f ca="1">_xll.EVRNG($B$2:$B$10)</f>
        <v>#NAME?</v>
      </c>
      <c r="H83" s="15" t="s">
        <v>853</v>
      </c>
      <c r="I83" s="481" t="e">
        <f ca="1">_xll.EVPRO($B$1,$H83,"STYLE")</f>
        <v>#NAME?</v>
      </c>
      <c r="J83" s="481" t="e">
        <f ca="1">_xll.EVPRO($B$1,$H83,"CALC")</f>
        <v>#NAME?</v>
      </c>
      <c r="K83" s="226" t="e">
        <f t="shared" ca="1" si="27"/>
        <v>#NAME?</v>
      </c>
      <c r="L83" s="195" t="e">
        <f ca="1">_xll.EVPRO($B$1,H83,"JDEID")</f>
        <v>#NAME?</v>
      </c>
      <c r="M83" s="162" t="e">
        <f ca="1">IF(AND(I83="N",J83="N"),_xll.EVPRO($B$1,H83,"PSFTID"),"")</f>
        <v>#NAME?</v>
      </c>
      <c r="N83" s="195" t="e">
        <f ca="1">IF(_xll.EVDES(H83,$B$1)="#NODATA","",_xll.EVDES(H83,$B$1))</f>
        <v>#NAME?</v>
      </c>
      <c r="O83" s="514"/>
      <c r="P83" s="514"/>
      <c r="Q83" s="514"/>
      <c r="R83" s="514"/>
      <c r="S83" s="514"/>
      <c r="T83" s="514"/>
      <c r="U83" s="514"/>
      <c r="V83" s="514"/>
      <c r="W83" s="514"/>
      <c r="X83" s="514"/>
      <c r="Y83" s="514"/>
      <c r="Z83" s="514"/>
      <c r="AA83" s="514" t="e">
        <f t="shared" ca="1" si="23"/>
        <v>#NAME?</v>
      </c>
      <c r="AB83" s="515" t="e">
        <f t="shared" ca="1" si="24"/>
        <v>#NAME?</v>
      </c>
      <c r="AC83" s="525"/>
      <c r="AD83" s="514">
        <v>4800</v>
      </c>
      <c r="AE83" s="515" t="str">
        <f t="shared" ca="1" si="25"/>
        <v/>
      </c>
      <c r="AF83" s="516" t="e">
        <f t="shared" ca="1" si="26"/>
        <v>#NAME?</v>
      </c>
      <c r="AG83" s="514"/>
      <c r="AH83" s="515" t="str">
        <f t="shared" si="28"/>
        <v/>
      </c>
      <c r="AI83" s="516" t="e">
        <f t="shared" ca="1" si="29"/>
        <v>#NAME?</v>
      </c>
      <c r="AJ83" s="517">
        <f t="shared" ca="1" si="30"/>
        <v>0</v>
      </c>
      <c r="AK83" s="518">
        <f t="shared" ca="1" si="31"/>
        <v>0</v>
      </c>
      <c r="AL83" s="519">
        <f t="shared" ca="1" si="32"/>
        <v>0</v>
      </c>
      <c r="AM83" s="520">
        <f t="shared" ca="1" si="33"/>
        <v>0</v>
      </c>
      <c r="AN83" s="521">
        <f t="shared" ca="1" si="34"/>
        <v>0</v>
      </c>
    </row>
    <row r="84" spans="1:40" x14ac:dyDescent="0.25">
      <c r="A84" s="6" t="s">
        <v>3</v>
      </c>
      <c r="B84" s="7" t="e">
        <f ca="1">_xll.EVRNG($O$16:$AN$18)</f>
        <v>#NAME?</v>
      </c>
      <c r="H84" s="15" t="s">
        <v>854</v>
      </c>
      <c r="I84" s="28" t="e">
        <f ca="1">_xll.EVPRO($B$1,$H84,"STYLE")</f>
        <v>#NAME?</v>
      </c>
      <c r="J84" s="28" t="e">
        <f ca="1">_xll.EVPRO($B$1,$H84,"CALC")</f>
        <v>#NAME?</v>
      </c>
      <c r="K84" s="69" t="e">
        <f t="shared" ca="1" si="27"/>
        <v>#NAME?</v>
      </c>
      <c r="L84" s="25" t="e">
        <f ca="1">_xll.EVPRO($B$1,H84,"JDEID")</f>
        <v>#NAME?</v>
      </c>
      <c r="M84" s="170" t="e">
        <f ca="1">IF(AND(I84="N",J84="N"),_xll.EVPRO($B$1,H84,"PSFTID"),"")</f>
        <v>#NAME?</v>
      </c>
      <c r="N84" s="25" t="e">
        <f ca="1">IF(_xll.EVDES(H84,$B$1)="#NODATA","",_xll.EVDES(H84,$B$1))</f>
        <v>#NAME?</v>
      </c>
      <c r="O84" s="36"/>
      <c r="P84" s="36"/>
      <c r="Q84" s="36"/>
      <c r="R84" s="36"/>
      <c r="S84" s="36"/>
      <c r="T84" s="36"/>
      <c r="U84" s="36"/>
      <c r="V84" s="36"/>
      <c r="W84" s="36"/>
      <c r="X84" s="36"/>
      <c r="Y84" s="36"/>
      <c r="Z84" s="36"/>
      <c r="AA84" s="36" t="e">
        <f t="shared" ca="1" si="23"/>
        <v>#NAME?</v>
      </c>
      <c r="AB84" s="37" t="e">
        <f t="shared" ca="1" si="24"/>
        <v>#NAME?</v>
      </c>
      <c r="AC84" s="35"/>
      <c r="AD84" s="36">
        <v>4800</v>
      </c>
      <c r="AE84" s="37" t="str">
        <f t="shared" ca="1" si="25"/>
        <v/>
      </c>
      <c r="AF84" s="58" t="e">
        <f t="shared" ca="1" si="26"/>
        <v>#NAME?</v>
      </c>
      <c r="AG84" s="36"/>
      <c r="AH84" s="37" t="str">
        <f t="shared" si="28"/>
        <v/>
      </c>
      <c r="AI84" s="58" t="e">
        <f t="shared" ca="1" si="29"/>
        <v>#NAME?</v>
      </c>
      <c r="AJ84" s="372">
        <f t="shared" ca="1" si="30"/>
        <v>0</v>
      </c>
      <c r="AK84" s="373">
        <f t="shared" ca="1" si="31"/>
        <v>0</v>
      </c>
      <c r="AL84" s="375">
        <f t="shared" ca="1" si="32"/>
        <v>0</v>
      </c>
      <c r="AM84" s="407">
        <f t="shared" ca="1" si="33"/>
        <v>0</v>
      </c>
      <c r="AN84" s="408">
        <f t="shared" ca="1" si="34"/>
        <v>0</v>
      </c>
    </row>
    <row r="85" spans="1:40" x14ac:dyDescent="0.25">
      <c r="A85" s="6" t="s">
        <v>4</v>
      </c>
      <c r="B85" s="7" t="e">
        <f ca="1">_xll.EVRNG(H76:H77,H79:H85,H88:H95)</f>
        <v>#NAME?</v>
      </c>
      <c r="H85" s="15" t="s">
        <v>76</v>
      </c>
      <c r="I85" s="28" t="e">
        <f ca="1">_xll.EVPRO($B$1,$H85,"STYLE")</f>
        <v>#NAME?</v>
      </c>
      <c r="J85" s="28" t="e">
        <f ca="1">_xll.EVPRO($B$1,$H85,"CALC")</f>
        <v>#NAME?</v>
      </c>
      <c r="K85" s="69" t="e">
        <f t="shared" ca="1" si="27"/>
        <v>#NAME?</v>
      </c>
      <c r="L85" s="25" t="e">
        <f ca="1">_xll.EVPRO($B$1,H85,"JDEID")</f>
        <v>#NAME?</v>
      </c>
      <c r="M85" s="170" t="e">
        <f ca="1">IF(AND(I85="N",J85="N"),_xll.EVPRO($B$1,H85,"PSFTID"),"")</f>
        <v>#NAME?</v>
      </c>
      <c r="N85" s="25" t="e">
        <f ca="1">IF(_xll.EVDES(H85,$B$1)="#NODATA","",_xll.EVDES(H85,$B$1))</f>
        <v>#NAME?</v>
      </c>
      <c r="O85" s="36">
        <v>12741.43</v>
      </c>
      <c r="P85" s="36">
        <v>11457.71</v>
      </c>
      <c r="Q85" s="36">
        <v>9763.7900000000009</v>
      </c>
      <c r="R85" s="36">
        <v>8871.7000000000007</v>
      </c>
      <c r="S85" s="36">
        <v>8476.9599999999991</v>
      </c>
      <c r="T85" s="36">
        <v>4365.47</v>
      </c>
      <c r="U85" s="36">
        <v>6539.18</v>
      </c>
      <c r="V85" s="36">
        <v>5338.02</v>
      </c>
      <c r="W85" s="36">
        <v>3822.28</v>
      </c>
      <c r="X85" s="36">
        <v>5432.5</v>
      </c>
      <c r="Y85" s="36">
        <v>4426.95</v>
      </c>
      <c r="Z85" s="36">
        <v>2403.4899999999998</v>
      </c>
      <c r="AA85" s="36" t="e">
        <f t="shared" ca="1" si="23"/>
        <v>#NAME?</v>
      </c>
      <c r="AB85" s="37" t="e">
        <f t="shared" ca="1" si="24"/>
        <v>#NAME?</v>
      </c>
      <c r="AC85" s="35"/>
      <c r="AD85" s="36">
        <v>260294.38142857101</v>
      </c>
      <c r="AE85" s="37" t="str">
        <f t="shared" ca="1" si="25"/>
        <v/>
      </c>
      <c r="AF85" s="58" t="e">
        <f t="shared" ca="1" si="26"/>
        <v>#NAME?</v>
      </c>
      <c r="AG85" s="36">
        <v>84692.09</v>
      </c>
      <c r="AH85" s="37" t="str">
        <f t="shared" ca="1" si="28"/>
        <v/>
      </c>
      <c r="AI85" s="58" t="e">
        <f t="shared" ca="1" si="29"/>
        <v>#NAME?</v>
      </c>
      <c r="AJ85" s="372">
        <f t="shared" ca="1" si="30"/>
        <v>0</v>
      </c>
      <c r="AK85" s="373">
        <f t="shared" ca="1" si="31"/>
        <v>0</v>
      </c>
      <c r="AL85" s="375">
        <f t="shared" ca="1" si="32"/>
        <v>0</v>
      </c>
      <c r="AM85" s="407">
        <f t="shared" ca="1" si="33"/>
        <v>0</v>
      </c>
      <c r="AN85" s="408">
        <f t="shared" ca="1" si="34"/>
        <v>0</v>
      </c>
    </row>
    <row r="86" spans="1:40" x14ac:dyDescent="0.25">
      <c r="A86" s="6" t="s">
        <v>5</v>
      </c>
      <c r="B86" s="7"/>
      <c r="O86" s="41"/>
      <c r="P86" s="45"/>
      <c r="Q86" s="45"/>
      <c r="R86" s="45"/>
      <c r="S86" s="45"/>
      <c r="T86" s="45"/>
      <c r="U86" s="45"/>
      <c r="V86" s="45"/>
      <c r="W86" s="45"/>
      <c r="X86" s="45"/>
      <c r="Y86" s="45"/>
      <c r="Z86" s="45"/>
      <c r="AA86" s="45"/>
      <c r="AB86" s="42"/>
      <c r="AD86" s="41"/>
      <c r="AE86" s="45"/>
      <c r="AF86" s="42"/>
      <c r="AG86" s="41"/>
      <c r="AH86" s="45"/>
      <c r="AI86" s="42"/>
    </row>
    <row r="87" spans="1:40" x14ac:dyDescent="0.25">
      <c r="A87" s="6" t="s">
        <v>6</v>
      </c>
      <c r="B87" s="7"/>
      <c r="H87" s="1" t="s">
        <v>82</v>
      </c>
      <c r="I87" s="11" t="e">
        <f ca="1">_xll.EVPRO($B$1,$H87,"STYLE")</f>
        <v>#NAME?</v>
      </c>
      <c r="J87" s="11" t="e">
        <f ca="1">_xll.EVPRO($B$1,$H87,"CALC")</f>
        <v>#NAME?</v>
      </c>
      <c r="N87" s="40" t="e">
        <f ca="1">IF(_xll.EVDES(H87,$B$1)="#NODATA","",_xll.EVDES(H87,$B$1))</f>
        <v>#NAME?</v>
      </c>
      <c r="O87" s="43"/>
      <c r="P87" s="46"/>
      <c r="Q87" s="46"/>
      <c r="R87" s="46"/>
      <c r="S87" s="46"/>
      <c r="T87" s="46"/>
      <c r="U87" s="46"/>
      <c r="V87" s="46"/>
      <c r="W87" s="46"/>
      <c r="X87" s="46"/>
      <c r="Y87" s="46"/>
      <c r="Z87" s="46"/>
      <c r="AA87" s="46"/>
      <c r="AB87" s="44"/>
      <c r="AD87" s="43"/>
      <c r="AE87" s="46"/>
      <c r="AF87" s="44"/>
      <c r="AG87" s="43"/>
      <c r="AH87" s="46"/>
      <c r="AI87" s="44"/>
    </row>
    <row r="88" spans="1:40" x14ac:dyDescent="0.25">
      <c r="A88" s="6" t="s">
        <v>7</v>
      </c>
      <c r="B88" s="7" t="e">
        <f ca="1">_xll.EVRNG(A102:F108)</f>
        <v>#NAME?</v>
      </c>
      <c r="H88" s="15" t="s">
        <v>832</v>
      </c>
      <c r="I88" s="161" t="e">
        <f ca="1">_xll.EVPRO($B$1,$H88,"STYLE")</f>
        <v>#NAME?</v>
      </c>
      <c r="J88" s="161" t="e">
        <f ca="1">_xll.EVPRO($B$1,$H88,"CALC")</f>
        <v>#NAME?</v>
      </c>
      <c r="K88" s="68" t="e">
        <f ca="1">IF(AND(I88&lt;&gt;"B1",J88="Y"),"&gt;","")</f>
        <v>#NAME?</v>
      </c>
      <c r="L88" s="162" t="e">
        <f ca="1">_xll.EVPRO($B$1,H88,"JDEID")</f>
        <v>#NAME?</v>
      </c>
      <c r="M88" s="162" t="e">
        <f ca="1">IF(AND(I88="N",J88="N"),_xll.EVPRO($B$1,H88,"PSFTID"),"")</f>
        <v>#NAME?</v>
      </c>
      <c r="N88" s="162" t="e">
        <f ca="1">IF(_xll.EVDES(H88,$B$1)="#NODATA","",_xll.EVDES(H88,$B$1))</f>
        <v>#NAME?</v>
      </c>
      <c r="O88" s="21">
        <v>164.31</v>
      </c>
      <c r="P88" s="21"/>
      <c r="Q88" s="21">
        <v>40.32</v>
      </c>
      <c r="R88" s="21">
        <v>130.77000000000001</v>
      </c>
      <c r="S88" s="21"/>
      <c r="T88" s="21">
        <v>489.93</v>
      </c>
      <c r="U88" s="21">
        <v>124.11</v>
      </c>
      <c r="V88" s="21">
        <v>64.66</v>
      </c>
      <c r="W88" s="21"/>
      <c r="X88" s="21">
        <v>207.57</v>
      </c>
      <c r="Y88" s="21"/>
      <c r="Z88" s="21"/>
      <c r="AA88" s="310" t="e">
        <f t="shared" ref="AA88:AA96" ca="1" si="35">IF($I88="B1","",SUM(O88:Z88))</f>
        <v>#NAME?</v>
      </c>
      <c r="AB88" s="17" t="e">
        <f t="shared" ref="AB88:AB96" ca="1" si="36">IF(AA88=0,"",IFERROR(AA88/AA$19,""))</f>
        <v>#NAME?</v>
      </c>
      <c r="AD88" s="21"/>
      <c r="AE88" s="17" t="str">
        <f t="shared" ref="AE88:AE96" si="37">IF(AD88=0,"",IFERROR(AD88/AD$19,""))</f>
        <v/>
      </c>
      <c r="AF88" s="50" t="e">
        <f t="shared" ref="AF88:AF96" ca="1" si="38">IF(AND($AA88="",AD88=""),"",$AA88-AD88)</f>
        <v>#NAME?</v>
      </c>
      <c r="AG88" s="21">
        <v>478.22</v>
      </c>
      <c r="AH88" s="17" t="str">
        <f ca="1">IF(AG88=0,"",IFERROR(AG88/AG$19,""))</f>
        <v/>
      </c>
      <c r="AI88" s="50" t="e">
        <f ca="1">IF(AND($AA88="",AG88=""),"",$AA88-AG88)</f>
        <v>#NAME?</v>
      </c>
      <c r="AJ88" s="399">
        <f ca="1">IFERROR(AA88/AA$20,0)</f>
        <v>0</v>
      </c>
      <c r="AK88" s="400">
        <f ca="1">IFERROR(AD88/AD$20,0)</f>
        <v>0</v>
      </c>
      <c r="AL88" s="401">
        <f ca="1">IFERROR(AG88/AG$20,0)</f>
        <v>0</v>
      </c>
      <c r="AM88" s="402">
        <f ca="1">+IFERROR(ROUND(($AB88-AE88)*100,2)&amp;" pts.",0)</f>
        <v>0</v>
      </c>
      <c r="AN88" s="403">
        <f ca="1">+IFERROR(ROUND(($AB88-AH88)*100,2)&amp;" pts.",0)</f>
        <v>0</v>
      </c>
    </row>
    <row r="89" spans="1:40" x14ac:dyDescent="0.25">
      <c r="A89" s="6" t="s">
        <v>47</v>
      </c>
      <c r="B89" s="7" t="e">
        <f ca="1">_xll.EVRNG($A$125:$B$146)</f>
        <v>#NAME?</v>
      </c>
      <c r="H89" s="15" t="s">
        <v>856</v>
      </c>
      <c r="I89" s="161" t="e">
        <f ca="1">_xll.EVPRO($B$1,$H89,"STYLE")</f>
        <v>#NAME?</v>
      </c>
      <c r="J89" s="161" t="e">
        <f ca="1">_xll.EVPRO($B$1,$H89,"CALC")</f>
        <v>#NAME?</v>
      </c>
      <c r="K89" s="68" t="e">
        <f t="shared" ref="K89:K95" ca="1" si="39">IF(AND(I89&lt;&gt;"B1",J89="Y"),"&gt;","")</f>
        <v>#NAME?</v>
      </c>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v>11.51</v>
      </c>
      <c r="Y89" s="21"/>
      <c r="Z89" s="21"/>
      <c r="AA89" s="310" t="e">
        <f t="shared" ca="1" si="35"/>
        <v>#NAME?</v>
      </c>
      <c r="AB89" s="17" t="e">
        <f t="shared" ca="1" si="36"/>
        <v>#NAME?</v>
      </c>
      <c r="AD89" s="21"/>
      <c r="AE89" s="17" t="str">
        <f t="shared" si="37"/>
        <v/>
      </c>
      <c r="AF89" s="50" t="e">
        <f t="shared" ca="1" si="38"/>
        <v>#NAME?</v>
      </c>
      <c r="AG89" s="21"/>
      <c r="AH89" s="17" t="str">
        <f t="shared" ref="AH89:AH95" si="40">IF(AG89=0,"",IFERROR(AG89/AG$19,""))</f>
        <v/>
      </c>
      <c r="AI89" s="50" t="e">
        <f t="shared" ref="AI89:AI95" ca="1" si="41">IF(AND($AA89="",AG89=""),"",$AA89-AG89)</f>
        <v>#NAME?</v>
      </c>
      <c r="AJ89" s="399">
        <f t="shared" ref="AJ89:AJ95" ca="1" si="42">IFERROR(AA89/AA$20,0)</f>
        <v>0</v>
      </c>
      <c r="AK89" s="400">
        <f t="shared" ref="AK89:AK95" ca="1" si="43">IFERROR(AD89/AD$20,0)</f>
        <v>0</v>
      </c>
      <c r="AL89" s="401">
        <f t="shared" ref="AL89:AL95" ca="1" si="44">IFERROR(AG89/AG$20,0)</f>
        <v>0</v>
      </c>
      <c r="AM89" s="402">
        <f t="shared" ref="AM89:AM95" ca="1" si="45">+IFERROR(ROUND(($AB89-AE89)*100,2)&amp;" pts.",0)</f>
        <v>0</v>
      </c>
      <c r="AN89" s="403">
        <f t="shared" ref="AN89:AN95" ca="1" si="46">+IFERROR(ROUND(($AB89-AH89)*100,2)&amp;" pts.",0)</f>
        <v>0</v>
      </c>
    </row>
    <row r="90" spans="1:40" x14ac:dyDescent="0.25">
      <c r="A90" s="6" t="s">
        <v>8</v>
      </c>
      <c r="B90" s="7"/>
      <c r="H90" s="15" t="s">
        <v>858</v>
      </c>
      <c r="I90" s="161" t="e">
        <f ca="1">_xll.EVPRO($B$1,$H90,"STYLE")</f>
        <v>#NAME?</v>
      </c>
      <c r="J90" s="161" t="e">
        <f ca="1">_xll.EVPRO($B$1,$H90,"CALC")</f>
        <v>#NAME?</v>
      </c>
      <c r="K90" s="68" t="e">
        <f t="shared" ca="1" si="39"/>
        <v>#NAME?</v>
      </c>
      <c r="L90" s="162" t="e">
        <f ca="1">_xll.EVPRO($B$1,H90,"JDEID")</f>
        <v>#NAME?</v>
      </c>
      <c r="M90" s="162" t="e">
        <f ca="1">IF(AND(I90="N",J90="N"),_xll.EVPRO($B$1,H90,"PSFTID"),"")</f>
        <v>#NAME?</v>
      </c>
      <c r="N90" s="162" t="e">
        <f ca="1">IF(_xll.EVDES(H90,$B$1)="#NODATA","",_xll.EVDES(H90,$B$1))</f>
        <v>#NAME?</v>
      </c>
      <c r="O90" s="21"/>
      <c r="P90" s="21"/>
      <c r="Q90" s="21"/>
      <c r="R90" s="21"/>
      <c r="S90" s="21"/>
      <c r="T90" s="21">
        <v>199.65</v>
      </c>
      <c r="U90" s="21">
        <v>180.47</v>
      </c>
      <c r="V90" s="21"/>
      <c r="W90" s="21"/>
      <c r="X90" s="21"/>
      <c r="Y90" s="21"/>
      <c r="Z90" s="21"/>
      <c r="AA90" s="310" t="e">
        <f t="shared" ca="1" si="35"/>
        <v>#NAME?</v>
      </c>
      <c r="AB90" s="17" t="e">
        <f t="shared" ca="1" si="36"/>
        <v>#NAME?</v>
      </c>
      <c r="AD90" s="21"/>
      <c r="AE90" s="17" t="str">
        <f t="shared" si="37"/>
        <v/>
      </c>
      <c r="AF90" s="50" t="e">
        <f t="shared" ca="1" si="38"/>
        <v>#NAME?</v>
      </c>
      <c r="AG90" s="21">
        <v>401.9</v>
      </c>
      <c r="AH90" s="17" t="str">
        <f t="shared" ca="1" si="40"/>
        <v/>
      </c>
      <c r="AI90" s="50" t="e">
        <f t="shared" ca="1" si="41"/>
        <v>#NAME?</v>
      </c>
      <c r="AJ90" s="399">
        <f t="shared" ca="1" si="42"/>
        <v>0</v>
      </c>
      <c r="AK90" s="400">
        <f t="shared" ca="1" si="43"/>
        <v>0</v>
      </c>
      <c r="AL90" s="401">
        <f t="shared" ca="1" si="44"/>
        <v>0</v>
      </c>
      <c r="AM90" s="402">
        <f t="shared" ca="1" si="45"/>
        <v>0</v>
      </c>
      <c r="AN90" s="403">
        <f t="shared" ca="1" si="46"/>
        <v>0</v>
      </c>
    </row>
    <row r="91" spans="1:40" x14ac:dyDescent="0.25">
      <c r="G91" s="14"/>
      <c r="H91" s="15" t="s">
        <v>833</v>
      </c>
      <c r="I91" s="161" t="e">
        <f ca="1">_xll.EVPRO($B$1,$H91,"STYLE")</f>
        <v>#NAME?</v>
      </c>
      <c r="J91" s="161" t="e">
        <f ca="1">_xll.EVPRO($B$1,$H91,"CALC")</f>
        <v>#NAME?</v>
      </c>
      <c r="K91" s="68" t="e">
        <f t="shared" ca="1" si="39"/>
        <v>#NAME?</v>
      </c>
      <c r="L91" s="162" t="e">
        <f ca="1">_xll.EVPRO($B$1,H91,"JDEID")</f>
        <v>#NAME?</v>
      </c>
      <c r="M91" s="162" t="e">
        <f ca="1">IF(AND(I91="N",J91="N"),_xll.EVPRO($B$1,H91,"PSFTID"),"")</f>
        <v>#NAME?</v>
      </c>
      <c r="N91" s="162" t="e">
        <f ca="1">IF(_xll.EVDES(H91,$B$1)="#NODATA","",_xll.EVDES(H91,$B$1))</f>
        <v>#NAME?</v>
      </c>
      <c r="O91" s="21"/>
      <c r="P91" s="21">
        <v>300</v>
      </c>
      <c r="Q91" s="21">
        <v>150</v>
      </c>
      <c r="R91" s="21"/>
      <c r="S91" s="21">
        <v>150</v>
      </c>
      <c r="T91" s="21">
        <v>75</v>
      </c>
      <c r="U91" s="21"/>
      <c r="V91" s="21">
        <v>150</v>
      </c>
      <c r="W91" s="21">
        <v>75</v>
      </c>
      <c r="X91" s="21">
        <v>75</v>
      </c>
      <c r="Y91" s="21">
        <v>75</v>
      </c>
      <c r="Z91" s="21">
        <v>75</v>
      </c>
      <c r="AA91" s="310" t="e">
        <f t="shared" ca="1" si="35"/>
        <v>#NAME?</v>
      </c>
      <c r="AB91" s="17" t="e">
        <f t="shared" ca="1" si="36"/>
        <v>#NAME?</v>
      </c>
      <c r="AD91" s="21">
        <v>1800</v>
      </c>
      <c r="AE91" s="17" t="str">
        <f t="shared" ca="1" si="37"/>
        <v/>
      </c>
      <c r="AF91" s="50" t="e">
        <f t="shared" ca="1" si="38"/>
        <v>#NAME?</v>
      </c>
      <c r="AG91" s="21">
        <v>1200</v>
      </c>
      <c r="AH91" s="17" t="str">
        <f t="shared" ca="1" si="40"/>
        <v/>
      </c>
      <c r="AI91" s="50" t="e">
        <f t="shared" ca="1" si="41"/>
        <v>#NAME?</v>
      </c>
      <c r="AJ91" s="399">
        <f t="shared" ca="1" si="42"/>
        <v>0</v>
      </c>
      <c r="AK91" s="400">
        <f t="shared" ca="1" si="43"/>
        <v>0</v>
      </c>
      <c r="AL91" s="401">
        <f t="shared" ca="1" si="44"/>
        <v>0</v>
      </c>
      <c r="AM91" s="402">
        <f t="shared" ca="1" si="45"/>
        <v>0</v>
      </c>
      <c r="AN91" s="403">
        <f t="shared" ca="1" si="46"/>
        <v>0</v>
      </c>
    </row>
    <row r="92" spans="1:40" x14ac:dyDescent="0.25">
      <c r="A92" s="3" t="s">
        <v>9</v>
      </c>
      <c r="B92" s="5" t="s">
        <v>10</v>
      </c>
      <c r="H92" s="15" t="s">
        <v>877</v>
      </c>
      <c r="I92" s="161" t="e">
        <f ca="1">_xll.EVPRO($B$1,$H92,"STYLE")</f>
        <v>#NAME?</v>
      </c>
      <c r="J92" s="161" t="e">
        <f ca="1">_xll.EVPRO($B$1,$H92,"CALC")</f>
        <v>#NAME?</v>
      </c>
      <c r="K92" s="68" t="e">
        <f t="shared" ca="1" si="39"/>
        <v>#NAME?</v>
      </c>
      <c r="L92" s="162" t="e">
        <f ca="1">_xll.EVPRO($B$1,H92,"JDEID")</f>
        <v>#NAME?</v>
      </c>
      <c r="M92" s="162" t="e">
        <f ca="1">IF(AND(I92="N",J92="N"),_xll.EVPRO($B$1,H92,"PSFTID"),"")</f>
        <v>#NAME?</v>
      </c>
      <c r="N92" s="162" t="e">
        <f ca="1">IF(_xll.EVDES(H92,$B$1)="#NODATA","",_xll.EVDES(H92,$B$1))</f>
        <v>#NAME?</v>
      </c>
      <c r="O92" s="21"/>
      <c r="P92" s="21"/>
      <c r="Q92" s="21"/>
      <c r="R92" s="21">
        <v>340.28</v>
      </c>
      <c r="S92" s="21"/>
      <c r="T92" s="21"/>
      <c r="U92" s="21"/>
      <c r="V92" s="21"/>
      <c r="W92" s="21"/>
      <c r="X92" s="21"/>
      <c r="Y92" s="21"/>
      <c r="Z92" s="21"/>
      <c r="AA92" s="310" t="e">
        <f t="shared" ca="1" si="35"/>
        <v>#NAME?</v>
      </c>
      <c r="AB92" s="17" t="e">
        <f t="shared" ca="1" si="36"/>
        <v>#NAME?</v>
      </c>
      <c r="AD92" s="21"/>
      <c r="AE92" s="17" t="str">
        <f t="shared" si="37"/>
        <v/>
      </c>
      <c r="AF92" s="50" t="e">
        <f t="shared" ca="1" si="38"/>
        <v>#NAME?</v>
      </c>
      <c r="AG92" s="21"/>
      <c r="AH92" s="17" t="str">
        <f t="shared" si="40"/>
        <v/>
      </c>
      <c r="AI92" s="50" t="e">
        <f t="shared" ca="1" si="41"/>
        <v>#NAME?</v>
      </c>
      <c r="AJ92" s="399">
        <f t="shared" ca="1" si="42"/>
        <v>0</v>
      </c>
      <c r="AK92" s="400">
        <f t="shared" ca="1" si="43"/>
        <v>0</v>
      </c>
      <c r="AL92" s="401">
        <f t="shared" ca="1" si="44"/>
        <v>0</v>
      </c>
      <c r="AM92" s="402">
        <f t="shared" ca="1" si="45"/>
        <v>0</v>
      </c>
      <c r="AN92" s="403">
        <f t="shared" ca="1" si="46"/>
        <v>0</v>
      </c>
    </row>
    <row r="93" spans="1:40" x14ac:dyDescent="0.25">
      <c r="A93" s="6" t="s">
        <v>11</v>
      </c>
      <c r="B93" s="7" t="s">
        <v>21</v>
      </c>
      <c r="H93" s="15" t="s">
        <v>878</v>
      </c>
      <c r="I93" s="161" t="e">
        <f ca="1">_xll.EVPRO($B$1,$H93,"STYLE")</f>
        <v>#NAME?</v>
      </c>
      <c r="J93" s="161" t="e">
        <f ca="1">_xll.EVPRO($B$1,$H93,"CALC")</f>
        <v>#NAME?</v>
      </c>
      <c r="K93" s="68" t="e">
        <f t="shared" ca="1" si="39"/>
        <v>#NAME?</v>
      </c>
      <c r="L93" s="162" t="e">
        <f ca="1">_xll.EVPRO($B$1,H93,"JDEID")</f>
        <v>#NAME?</v>
      </c>
      <c r="M93" s="162" t="e">
        <f ca="1">IF(AND(I93="N",J93="N"),_xll.EVPRO($B$1,H93,"PSFTID"),"")</f>
        <v>#NAME?</v>
      </c>
      <c r="N93" s="162" t="e">
        <f ca="1">IF(_xll.EVDES(H93,$B$1)="#NODATA","",_xll.EVDES(H93,$B$1))</f>
        <v>#NAME?</v>
      </c>
      <c r="O93" s="21"/>
      <c r="P93" s="21"/>
      <c r="Q93" s="21"/>
      <c r="R93" s="21"/>
      <c r="S93" s="21"/>
      <c r="T93" s="21">
        <v>216.44</v>
      </c>
      <c r="U93" s="21"/>
      <c r="V93" s="21"/>
      <c r="W93" s="21"/>
      <c r="X93" s="21"/>
      <c r="Y93" s="21"/>
      <c r="Z93" s="21"/>
      <c r="AA93" s="310" t="e">
        <f t="shared" ca="1" si="35"/>
        <v>#NAME?</v>
      </c>
      <c r="AB93" s="17" t="e">
        <f t="shared" ca="1" si="36"/>
        <v>#NAME?</v>
      </c>
      <c r="AD93" s="21"/>
      <c r="AE93" s="17" t="str">
        <f t="shared" si="37"/>
        <v/>
      </c>
      <c r="AF93" s="50" t="e">
        <f t="shared" ca="1" si="38"/>
        <v>#NAME?</v>
      </c>
      <c r="AG93" s="21"/>
      <c r="AH93" s="17" t="str">
        <f t="shared" si="40"/>
        <v/>
      </c>
      <c r="AI93" s="50" t="e">
        <f t="shared" ca="1" si="41"/>
        <v>#NAME?</v>
      </c>
      <c r="AJ93" s="399">
        <f t="shared" ca="1" si="42"/>
        <v>0</v>
      </c>
      <c r="AK93" s="400">
        <f t="shared" ca="1" si="43"/>
        <v>0</v>
      </c>
      <c r="AL93" s="401">
        <f t="shared" ca="1" si="44"/>
        <v>0</v>
      </c>
      <c r="AM93" s="402">
        <f t="shared" ca="1" si="45"/>
        <v>0</v>
      </c>
      <c r="AN93" s="403">
        <f t="shared" ca="1" si="46"/>
        <v>0</v>
      </c>
    </row>
    <row r="94" spans="1:40" x14ac:dyDescent="0.25">
      <c r="A94" s="6" t="s">
        <v>12</v>
      </c>
      <c r="B94" s="7" t="s">
        <v>22</v>
      </c>
      <c r="H94" s="15" t="s">
        <v>880</v>
      </c>
      <c r="I94" s="161" t="e">
        <f ca="1">_xll.EVPRO($B$1,$H94,"STYLE")</f>
        <v>#NAME?</v>
      </c>
      <c r="J94" s="161" t="e">
        <f ca="1">_xll.EVPRO($B$1,$H94,"CALC")</f>
        <v>#NAME?</v>
      </c>
      <c r="K94" s="68" t="e">
        <f t="shared" ca="1" si="39"/>
        <v>#NAME?</v>
      </c>
      <c r="L94" s="162" t="e">
        <f ca="1">_xll.EVPRO($B$1,H94,"JDEID")</f>
        <v>#NAME?</v>
      </c>
      <c r="M94" s="162" t="e">
        <f ca="1">IF(AND(I94="N",J94="N"),_xll.EVPRO($B$1,H94,"PSFTID"),"")</f>
        <v>#NAME?</v>
      </c>
      <c r="N94" s="162" t="e">
        <f ca="1">IF(_xll.EVDES(H94,$B$1)="#NODATA","",_xll.EVDES(H94,$B$1))</f>
        <v>#NAME?</v>
      </c>
      <c r="O94" s="21"/>
      <c r="P94" s="21"/>
      <c r="Q94" s="21"/>
      <c r="R94" s="21"/>
      <c r="S94" s="21"/>
      <c r="T94" s="21"/>
      <c r="U94" s="21"/>
      <c r="V94" s="21"/>
      <c r="W94" s="21"/>
      <c r="X94" s="21">
        <v>251.76</v>
      </c>
      <c r="Y94" s="21"/>
      <c r="Z94" s="21"/>
      <c r="AA94" s="310" t="e">
        <f t="shared" ca="1" si="35"/>
        <v>#NAME?</v>
      </c>
      <c r="AB94" s="17" t="e">
        <f t="shared" ca="1" si="36"/>
        <v>#NAME?</v>
      </c>
      <c r="AD94" s="21"/>
      <c r="AE94" s="17" t="str">
        <f t="shared" si="37"/>
        <v/>
      </c>
      <c r="AF94" s="50" t="e">
        <f t="shared" ca="1" si="38"/>
        <v>#NAME?</v>
      </c>
      <c r="AG94" s="21"/>
      <c r="AH94" s="17" t="str">
        <f t="shared" si="40"/>
        <v/>
      </c>
      <c r="AI94" s="50" t="e">
        <f t="shared" ca="1" si="41"/>
        <v>#NAME?</v>
      </c>
      <c r="AJ94" s="399">
        <f t="shared" ca="1" si="42"/>
        <v>0</v>
      </c>
      <c r="AK94" s="400">
        <f t="shared" ca="1" si="43"/>
        <v>0</v>
      </c>
      <c r="AL94" s="401">
        <f t="shared" ca="1" si="44"/>
        <v>0</v>
      </c>
      <c r="AM94" s="402">
        <f t="shared" ca="1" si="45"/>
        <v>0</v>
      </c>
      <c r="AN94" s="403">
        <f t="shared" ca="1" si="46"/>
        <v>0</v>
      </c>
    </row>
    <row r="95" spans="1:40" x14ac:dyDescent="0.25">
      <c r="A95" s="6" t="s">
        <v>13</v>
      </c>
      <c r="B95" s="7" t="s">
        <v>737</v>
      </c>
      <c r="H95" s="15" t="s">
        <v>881</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c r="R95" s="21"/>
      <c r="S95" s="21"/>
      <c r="T95" s="21"/>
      <c r="U95" s="21">
        <v>1000</v>
      </c>
      <c r="V95" s="21"/>
      <c r="W95" s="21"/>
      <c r="X95" s="21"/>
      <c r="Y95" s="21"/>
      <c r="Z95" s="21"/>
      <c r="AA95" s="310" t="e">
        <f t="shared" ca="1" si="35"/>
        <v>#NAME?</v>
      </c>
      <c r="AB95" s="17" t="e">
        <f t="shared" ca="1" si="36"/>
        <v>#NAME?</v>
      </c>
      <c r="AD95" s="21">
        <v>10250</v>
      </c>
      <c r="AE95" s="17" t="str">
        <f t="shared" ca="1" si="37"/>
        <v/>
      </c>
      <c r="AF95" s="50" t="e">
        <f t="shared" ca="1" si="38"/>
        <v>#NAME?</v>
      </c>
      <c r="AG95" s="21"/>
      <c r="AH95" s="17" t="str">
        <f t="shared" si="40"/>
        <v/>
      </c>
      <c r="AI95" s="50" t="e">
        <f t="shared" ca="1" si="41"/>
        <v>#NAME?</v>
      </c>
      <c r="AJ95" s="399">
        <f t="shared" ca="1" si="42"/>
        <v>0</v>
      </c>
      <c r="AK95" s="400">
        <f t="shared" ca="1" si="43"/>
        <v>0</v>
      </c>
      <c r="AL95" s="401">
        <f t="shared" ca="1" si="44"/>
        <v>0</v>
      </c>
      <c r="AM95" s="402">
        <f t="shared" ca="1" si="45"/>
        <v>0</v>
      </c>
      <c r="AN95" s="403">
        <f t="shared" ca="1" si="46"/>
        <v>0</v>
      </c>
    </row>
    <row r="96" spans="1:40" x14ac:dyDescent="0.25">
      <c r="A96" s="6" t="s">
        <v>14</v>
      </c>
      <c r="B96" s="7"/>
      <c r="H96" s="15" t="s">
        <v>79</v>
      </c>
      <c r="I96" s="27" t="e">
        <f ca="1">_xll.EVPRO($B$1,$H96,"STYLE")</f>
        <v>#NAME?</v>
      </c>
      <c r="J96" s="27" t="e">
        <f ca="1">_xll.EVPRO($B$1,$H96,"CALC")</f>
        <v>#NAME?</v>
      </c>
      <c r="K96" s="26"/>
      <c r="L96" s="26"/>
      <c r="M96" s="26"/>
      <c r="N96" s="25" t="e">
        <f ca="1">IF(_xll.EVDES(H96,$B$1)="#NODATA","",_xll.EVDES(H96,$B$1))</f>
        <v>#NAME?</v>
      </c>
      <c r="O96" s="33">
        <v>164.31</v>
      </c>
      <c r="P96" s="33">
        <v>300</v>
      </c>
      <c r="Q96" s="33">
        <v>190.32</v>
      </c>
      <c r="R96" s="33">
        <v>471.05</v>
      </c>
      <c r="S96" s="33">
        <v>150</v>
      </c>
      <c r="T96" s="33">
        <v>981.02</v>
      </c>
      <c r="U96" s="33">
        <v>1304.58</v>
      </c>
      <c r="V96" s="33">
        <v>214.66</v>
      </c>
      <c r="W96" s="33">
        <v>75</v>
      </c>
      <c r="X96" s="33">
        <v>545.84</v>
      </c>
      <c r="Y96" s="33">
        <v>75</v>
      </c>
      <c r="Z96" s="33">
        <v>75</v>
      </c>
      <c r="AA96" s="33" t="e">
        <f t="shared" ca="1" si="35"/>
        <v>#NAME?</v>
      </c>
      <c r="AB96" s="34" t="e">
        <f t="shared" ca="1" si="36"/>
        <v>#NAME?</v>
      </c>
      <c r="AD96" s="33">
        <v>12050</v>
      </c>
      <c r="AE96" s="34" t="str">
        <f t="shared" ca="1" si="37"/>
        <v/>
      </c>
      <c r="AF96" s="52" t="e">
        <f t="shared" ca="1" si="38"/>
        <v>#NAME?</v>
      </c>
      <c r="AG96" s="33">
        <v>2080.12</v>
      </c>
      <c r="AH96" s="34" t="str">
        <f ca="1">IF(AG96=0,"",IFERROR(AG96/AG$19,""))</f>
        <v/>
      </c>
      <c r="AI96" s="52" t="e">
        <f ca="1">IF(AND($AA96="",AG96=""),"",$AA96-AG96)</f>
        <v>#NAME?</v>
      </c>
      <c r="AJ96" s="415">
        <f ca="1">IFERROR(AA96/AA$20,0)</f>
        <v>0</v>
      </c>
      <c r="AK96" s="416">
        <f ca="1">IFERROR(AD96/AD$20,0)</f>
        <v>0</v>
      </c>
      <c r="AL96" s="417">
        <f ca="1">IFERROR(AG96/AG$20,0)</f>
        <v>0</v>
      </c>
      <c r="AM96" s="418">
        <f ca="1">+IFERROR(ROUND(($AB96-AE96)*100,2)&amp;" pts.",0)</f>
        <v>0</v>
      </c>
      <c r="AN96" s="436">
        <f ca="1">+IFERROR(ROUND(($AB96-AH96)*100,2)&amp;" pts.",0)</f>
        <v>0</v>
      </c>
    </row>
    <row r="97" spans="1:40" x14ac:dyDescent="0.25">
      <c r="A97" s="6" t="s">
        <v>15</v>
      </c>
      <c r="B97" s="7"/>
    </row>
    <row r="98" spans="1:40" x14ac:dyDescent="0.25">
      <c r="A98" s="6" t="s">
        <v>16</v>
      </c>
      <c r="B98" s="7" t="s">
        <v>78</v>
      </c>
      <c r="H98" s="15" t="s">
        <v>80</v>
      </c>
      <c r="I98" s="27" t="e">
        <f ca="1">_xll.EVPRO($B$1,$H98,"STYLE")</f>
        <v>#NAME?</v>
      </c>
      <c r="J98" s="27" t="e">
        <f ca="1">_xll.EVPRO($B$1,$H98,"CALC")</f>
        <v>#NAME?</v>
      </c>
      <c r="K98" s="25"/>
      <c r="L98" s="25"/>
      <c r="M98" s="25"/>
      <c r="N98" s="25" t="e">
        <f ca="1">IF(_xll.EVDES(H98,$B$1)="#NODATA","",_xll.EVDES(H98,$B$1))</f>
        <v>#NAME?</v>
      </c>
      <c r="O98" s="36">
        <v>12905.74</v>
      </c>
      <c r="P98" s="36">
        <v>11757.71</v>
      </c>
      <c r="Q98" s="36">
        <v>9954.11</v>
      </c>
      <c r="R98" s="36">
        <v>9342.75</v>
      </c>
      <c r="S98" s="36">
        <v>8626.9599999999991</v>
      </c>
      <c r="T98" s="36">
        <v>5346.49</v>
      </c>
      <c r="U98" s="36">
        <v>7843.76</v>
      </c>
      <c r="V98" s="36">
        <v>5552.68</v>
      </c>
      <c r="W98" s="36">
        <v>3897.28</v>
      </c>
      <c r="X98" s="36">
        <v>5978.34</v>
      </c>
      <c r="Y98" s="36">
        <v>4501.95</v>
      </c>
      <c r="Z98" s="36">
        <v>2478.4899999999998</v>
      </c>
      <c r="AA98" s="36" t="e">
        <f ca="1">IF($I98="B1","",SUM(O98:Z98))</f>
        <v>#NAME?</v>
      </c>
      <c r="AB98" s="37" t="e">
        <f ca="1">IF(AA98=0,"",IFERROR(AA98/AA$19,""))</f>
        <v>#NAME?</v>
      </c>
      <c r="AD98" s="36">
        <v>272344.38142857101</v>
      </c>
      <c r="AE98" s="37" t="str">
        <f ca="1">IF(AD98=0,"",IFERROR(AD98/AD$19,""))</f>
        <v/>
      </c>
      <c r="AF98" s="59" t="e">
        <f ca="1">IF(AND($AA98="",AD98=""),"",$AA98-AD98)</f>
        <v>#NAME?</v>
      </c>
      <c r="AG98" s="60">
        <v>86772.21</v>
      </c>
      <c r="AH98" s="61" t="str">
        <f ca="1">IF(AG98=0,"",IFERROR(AG98/AG$19,""))</f>
        <v/>
      </c>
      <c r="AI98" s="59" t="e">
        <f ca="1">IF(AND($AA98="",AG98=""),"",$AA98-AG98)</f>
        <v>#NAME?</v>
      </c>
      <c r="AJ98" s="392">
        <f ca="1">IFERROR(AA98/AA$20,0)</f>
        <v>0</v>
      </c>
      <c r="AK98" s="393">
        <f ca="1">IFERROR(AD98/AD$20,0)</f>
        <v>0</v>
      </c>
      <c r="AL98" s="394">
        <f ca="1">IFERROR(AG98/AG$20,0)</f>
        <v>0</v>
      </c>
      <c r="AM98" s="395">
        <f ca="1">+IFERROR(ROUND(($AB98-AE98)*100,2)&amp;" pts.",0)</f>
        <v>0</v>
      </c>
      <c r="AN98" s="437">
        <f ca="1">+IFERROR(ROUND(($AB98-AH98)*100,2)&amp;" pts.",0)</f>
        <v>0</v>
      </c>
    </row>
    <row r="99" spans="1:40" ht="15.75" thickBot="1" x14ac:dyDescent="0.3">
      <c r="A99" s="6" t="s">
        <v>17</v>
      </c>
      <c r="B99" s="7"/>
      <c r="H99" s="15" t="s">
        <v>81</v>
      </c>
      <c r="I99" s="27" t="e">
        <f ca="1">_xll.EVPRO($B$1,$H99,"STYLE")</f>
        <v>#NAME?</v>
      </c>
      <c r="J99" s="27" t="e">
        <f ca="1">_xll.EVPRO($B$1,$H99,"CALC")</f>
        <v>#NAME?</v>
      </c>
      <c r="K99" s="25"/>
      <c r="L99" s="25"/>
      <c r="M99" s="25"/>
      <c r="N99" s="25" t="e">
        <f ca="1">IF(_xll.EVDES(H99,$B$1)="#NODATA","",_xll.EVDES(H99,$B$1))</f>
        <v>#NAME?</v>
      </c>
      <c r="O99" s="62">
        <v>27416.93</v>
      </c>
      <c r="P99" s="62">
        <v>39460.71</v>
      </c>
      <c r="Q99" s="62">
        <v>47023.72</v>
      </c>
      <c r="R99" s="62">
        <v>24722.31</v>
      </c>
      <c r="S99" s="62">
        <v>27260.97</v>
      </c>
      <c r="T99" s="62">
        <v>18042.46</v>
      </c>
      <c r="U99" s="62">
        <v>19365.509999999998</v>
      </c>
      <c r="V99" s="62">
        <v>13764.8</v>
      </c>
      <c r="W99" s="62">
        <v>9861.5</v>
      </c>
      <c r="X99" s="62">
        <v>13552</v>
      </c>
      <c r="Y99" s="62">
        <v>11231.85</v>
      </c>
      <c r="Z99" s="62">
        <v>7716.7</v>
      </c>
      <c r="AA99" s="62" t="e">
        <f ca="1">IF($I99="B1","",SUM(O99:Z99))</f>
        <v>#NAME?</v>
      </c>
      <c r="AB99" s="63" t="e">
        <f ca="1">IF(AA99=0,"",IFERROR(AA99/AA$19,""))</f>
        <v>#NAME?</v>
      </c>
      <c r="AD99" s="62">
        <v>445155.83857142902</v>
      </c>
      <c r="AE99" s="63" t="str">
        <f ca="1">IF(AD99=0,"",IFERROR(AD99/AD$19,""))</f>
        <v/>
      </c>
      <c r="AF99" s="64" t="e">
        <f ca="1">IF(AND($AA99="",AD99=""),"",$AA99-AD99)</f>
        <v>#NAME?</v>
      </c>
      <c r="AG99" s="62">
        <v>279524.98</v>
      </c>
      <c r="AH99" s="63" t="str">
        <f ca="1">IF(AG99=0,"",IFERROR(AG99/AG$19,""))</f>
        <v/>
      </c>
      <c r="AI99" s="64" t="e">
        <f ca="1">IF(AND($AA99="",AG99=""),"",$AA99-AG99)</f>
        <v>#NAME?</v>
      </c>
      <c r="AJ99" s="430">
        <f ca="1">IFERROR(AA99/AA$20,0)</f>
        <v>0</v>
      </c>
      <c r="AK99" s="431">
        <f ca="1">IFERROR(AD99/AD$20,0)</f>
        <v>0</v>
      </c>
      <c r="AL99" s="432">
        <f ca="1">IFERROR(AG99/AG$20,0)</f>
        <v>0</v>
      </c>
      <c r="AM99" s="433">
        <f ca="1">+IFERROR(ROUND(($AB99-AE99)*100,2)&amp;" pts.",0)</f>
        <v>0</v>
      </c>
      <c r="AN99" s="438">
        <f ca="1">+IFERROR(ROUND(($AB99-AH99)*100,2)&amp;" pts.",0)</f>
        <v>0</v>
      </c>
    </row>
    <row r="100" spans="1:40" ht="15.75" thickTop="1" x14ac:dyDescent="0.25"/>
    <row r="101" spans="1:40" x14ac:dyDescent="0.25">
      <c r="A101" s="22" t="s">
        <v>92</v>
      </c>
      <c r="B101" s="23" t="s">
        <v>93</v>
      </c>
      <c r="C101" s="23" t="s">
        <v>94</v>
      </c>
      <c r="D101" s="23" t="s">
        <v>95</v>
      </c>
      <c r="E101" s="23" t="s">
        <v>96</v>
      </c>
      <c r="F101" s="24" t="s">
        <v>97</v>
      </c>
      <c r="N101" s="26" t="e">
        <f ca="1">N98&amp;" - Check"</f>
        <v>#NAME?</v>
      </c>
      <c r="O101" s="139">
        <f t="shared" ref="O101:AA101" si="47">SUMIF($H$35:$H$99,"600000",O$35:O$99)+SUMIF($H$35:$H$99,"700000",O$35:O$99)-SUMIF($H$35:$H$99,"TOTDEPTEXP",O$35:O$99)</f>
        <v>0</v>
      </c>
      <c r="P101" s="139">
        <f t="shared" si="47"/>
        <v>0</v>
      </c>
      <c r="Q101" s="139">
        <f t="shared" si="47"/>
        <v>0</v>
      </c>
      <c r="R101" s="139">
        <f t="shared" si="47"/>
        <v>0</v>
      </c>
      <c r="S101" s="139">
        <f t="shared" si="47"/>
        <v>0</v>
      </c>
      <c r="T101" s="139">
        <f t="shared" si="47"/>
        <v>0</v>
      </c>
      <c r="U101" s="139">
        <f t="shared" si="47"/>
        <v>0</v>
      </c>
      <c r="V101" s="139">
        <f t="shared" si="47"/>
        <v>0</v>
      </c>
      <c r="W101" s="139">
        <f t="shared" si="47"/>
        <v>0</v>
      </c>
      <c r="X101" s="139">
        <f t="shared" si="47"/>
        <v>0</v>
      </c>
      <c r="Y101" s="139">
        <f t="shared" si="47"/>
        <v>0</v>
      </c>
      <c r="Z101" s="139">
        <f t="shared" si="47"/>
        <v>0</v>
      </c>
      <c r="AA101" s="139" t="e">
        <f t="shared" ca="1" si="47"/>
        <v>#NAME?</v>
      </c>
      <c r="AB101" s="17"/>
      <c r="AD101" s="139">
        <f>SUMIF($H$35:$H$99,"600000",AD$35:AD$99)+SUMIF($H$35:$H$99,"700000",AD$35:AD$99)-SUMIF($H$35:$H$99,"TOTDEPTEXP",AD$35:AD$99)</f>
        <v>0</v>
      </c>
      <c r="AE101" s="17"/>
      <c r="AF101" s="21"/>
      <c r="AG101" s="139">
        <f>SUMIF($H$35:$H$99,"600000",AG$35:AG$99)+SUMIF($H$35:$H$99,"700000",AG$35:AG$99)-SUMIF($H$35:$H$99,"TOTDEPTEXP",AG$35:AG$99)</f>
        <v>0</v>
      </c>
      <c r="AH101" s="17"/>
      <c r="AI101" s="21"/>
    </row>
    <row r="102" spans="1:40" x14ac:dyDescent="0.25">
      <c r="N102" s="26" t="e">
        <f ca="1">N99&amp;" - Check"</f>
        <v>#NAME?</v>
      </c>
      <c r="O102" s="139">
        <f t="shared" ref="O102:AA102" si="48">SUMIF($H$35:$H$99,"KPI_GP",O$35:O$99)-SUMIF($H$35:$H$99,"TOTDEPTEXP",O$35:O$99)-SUMIF($H$35:$H$99,"TOTDEPTPL",O$35:O$99)</f>
        <v>0</v>
      </c>
      <c r="P102" s="139">
        <f t="shared" si="48"/>
        <v>0</v>
      </c>
      <c r="Q102" s="139">
        <f t="shared" si="48"/>
        <v>0</v>
      </c>
      <c r="R102" s="139">
        <f t="shared" si="48"/>
        <v>0</v>
      </c>
      <c r="S102" s="139">
        <f t="shared" si="48"/>
        <v>0</v>
      </c>
      <c r="T102" s="139">
        <f t="shared" si="48"/>
        <v>0</v>
      </c>
      <c r="U102" s="139">
        <f t="shared" si="48"/>
        <v>0</v>
      </c>
      <c r="V102" s="139">
        <f t="shared" si="48"/>
        <v>0</v>
      </c>
      <c r="W102" s="139">
        <f t="shared" si="48"/>
        <v>0</v>
      </c>
      <c r="X102" s="139">
        <f t="shared" si="48"/>
        <v>0</v>
      </c>
      <c r="Y102" s="139">
        <f t="shared" si="48"/>
        <v>0</v>
      </c>
      <c r="Z102" s="139">
        <f t="shared" si="48"/>
        <v>0</v>
      </c>
      <c r="AA102" s="139" t="e">
        <f t="shared" ca="1" si="48"/>
        <v>#NAME?</v>
      </c>
      <c r="AB102" s="17"/>
      <c r="AD102" s="139">
        <f>SUMIF($H$35:$H$99,"KPI_GP",AD$35:AD$99)-SUMIF($H$35:$H$99,"TOTDEPTEXP",AD$35:AD$99)-SUMIF($H$35:$H$99,"TOTDEPTPL",AD$35:AD$99)</f>
        <v>0</v>
      </c>
      <c r="AE102" s="17"/>
      <c r="AF102" s="21"/>
      <c r="AG102" s="139">
        <f>SUMIF($H$35:$H$99,"KPI_GP",AG$35:AG$99)-SUMIF($H$35:$H$99,"TOTDEPTEXP",AG$35:AG$99)-SUMIF($H$35:$H$99,"TOTDEPTPL",AG$35:AG$99)</f>
        <v>0</v>
      </c>
      <c r="AH102" s="17"/>
      <c r="AI102" s="21"/>
    </row>
    <row r="103" spans="1:40" x14ac:dyDescent="0.25">
      <c r="A103" s="1" t="s">
        <v>108</v>
      </c>
      <c r="C103" s="26" t="s">
        <v>101</v>
      </c>
      <c r="D103" s="1" t="s">
        <v>106</v>
      </c>
      <c r="F103" s="1" t="s">
        <v>98</v>
      </c>
    </row>
    <row r="104" spans="1:40" x14ac:dyDescent="0.25">
      <c r="A104" s="1" t="s">
        <v>100</v>
      </c>
      <c r="C104" s="8" t="s">
        <v>101</v>
      </c>
      <c r="D104" s="1" t="s">
        <v>106</v>
      </c>
      <c r="F104" s="1" t="s">
        <v>98</v>
      </c>
      <c r="O104" s="166"/>
      <c r="P104" s="166"/>
      <c r="Q104" s="166"/>
      <c r="R104" s="166"/>
      <c r="S104" s="166"/>
      <c r="T104" s="166"/>
      <c r="U104" s="166"/>
      <c r="V104" s="166"/>
      <c r="W104" s="166"/>
      <c r="X104" s="166"/>
      <c r="Y104" s="166"/>
      <c r="Z104" s="166"/>
      <c r="AA104" s="166"/>
      <c r="AD104" s="166"/>
      <c r="AG104" s="166"/>
    </row>
    <row r="105" spans="1:40" x14ac:dyDescent="0.25">
      <c r="A105" s="1" t="s">
        <v>109</v>
      </c>
      <c r="C105" s="25" t="s">
        <v>101</v>
      </c>
      <c r="D105" s="1" t="s">
        <v>106</v>
      </c>
      <c r="F105" s="1" t="s">
        <v>98</v>
      </c>
      <c r="G105" s="14"/>
    </row>
    <row r="106" spans="1:40" x14ac:dyDescent="0.25">
      <c r="A106" s="1" t="s">
        <v>109</v>
      </c>
      <c r="C106" s="151" t="s">
        <v>101</v>
      </c>
      <c r="D106" s="1" t="s">
        <v>107</v>
      </c>
      <c r="F106" s="1" t="s">
        <v>99</v>
      </c>
      <c r="O106" s="166"/>
      <c r="P106" s="166"/>
      <c r="Q106" s="166"/>
      <c r="R106" s="166"/>
      <c r="S106" s="166"/>
      <c r="T106" s="166"/>
      <c r="U106" s="166"/>
      <c r="V106" s="166"/>
      <c r="W106" s="166"/>
      <c r="X106" s="166"/>
      <c r="Y106" s="166"/>
      <c r="Z106" s="166"/>
      <c r="AA106" s="166"/>
      <c r="AD106" s="166"/>
      <c r="AG106" s="166"/>
    </row>
    <row r="107" spans="1:40" x14ac:dyDescent="0.25">
      <c r="A107" s="1" t="s">
        <v>110</v>
      </c>
      <c r="C107" s="25" t="s">
        <v>101</v>
      </c>
      <c r="D107" s="1" t="s">
        <v>106</v>
      </c>
      <c r="F107" s="1" t="s">
        <v>98</v>
      </c>
    </row>
    <row r="108" spans="1:40" x14ac:dyDescent="0.25">
      <c r="A108" s="1" t="s">
        <v>110</v>
      </c>
      <c r="C108" s="29" t="s">
        <v>101</v>
      </c>
      <c r="D108" s="1" t="s">
        <v>107</v>
      </c>
      <c r="F108" s="1" t="s">
        <v>99</v>
      </c>
    </row>
    <row r="109" spans="1:40" x14ac:dyDescent="0.25">
      <c r="C109" s="32"/>
      <c r="H109" s="11"/>
      <c r="J109" s="1"/>
    </row>
    <row r="110" spans="1:40" x14ac:dyDescent="0.25">
      <c r="H110" s="11"/>
      <c r="J110" s="1"/>
    </row>
    <row r="111" spans="1:40" x14ac:dyDescent="0.25">
      <c r="A111" s="4" t="e">
        <f ca="1">_xll.EVDRE($B$1,A114:B121)</f>
        <v>#NAME?</v>
      </c>
      <c r="B111" s="1" t="s">
        <v>736</v>
      </c>
      <c r="G111" s="14"/>
      <c r="H111" s="11"/>
      <c r="J111" s="1"/>
    </row>
    <row r="112" spans="1:4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_xll.EVRNG(H96:H99)</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c r="H130" s="11"/>
      <c r="J130" s="1"/>
    </row>
    <row r="131" spans="1:10" x14ac:dyDescent="0.25">
      <c r="A131" s="6" t="s">
        <v>31</v>
      </c>
      <c r="B131" s="7" t="s">
        <v>78</v>
      </c>
      <c r="H131" s="11"/>
      <c r="J131" s="1"/>
    </row>
    <row r="132" spans="1:10" x14ac:dyDescent="0.25">
      <c r="A132" s="6" t="s">
        <v>32</v>
      </c>
      <c r="B132" s="7"/>
    </row>
    <row r="133" spans="1:10" x14ac:dyDescent="0.25">
      <c r="A133" s="6" t="s">
        <v>33</v>
      </c>
      <c r="B133" s="7"/>
    </row>
    <row r="134" spans="1:10" x14ac:dyDescent="0.25">
      <c r="A134" s="6" t="s">
        <v>34</v>
      </c>
      <c r="B134" s="7"/>
    </row>
    <row r="135" spans="1:10" x14ac:dyDescent="0.25">
      <c r="A135" s="6" t="s">
        <v>35</v>
      </c>
      <c r="B135" s="7"/>
    </row>
    <row r="136" spans="1:10" x14ac:dyDescent="0.25">
      <c r="A136" s="6" t="s">
        <v>36</v>
      </c>
      <c r="B136" s="7"/>
    </row>
    <row r="137" spans="1:10" x14ac:dyDescent="0.25">
      <c r="A137" s="6" t="s">
        <v>37</v>
      </c>
      <c r="B137" s="7"/>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34" x14ac:dyDescent="0.25">
      <c r="E163" s="76"/>
    </row>
    <row r="167" spans="5:34" x14ac:dyDescent="0.25">
      <c r="E167" s="76"/>
    </row>
    <row r="172" spans="5:34" x14ac:dyDescent="0.25">
      <c r="I172" s="76"/>
      <c r="J172" s="1"/>
      <c r="K172" s="76"/>
      <c r="L172" s="76"/>
      <c r="M172" s="76"/>
      <c r="O172" s="76"/>
      <c r="P172" s="76"/>
      <c r="Q172" s="76"/>
      <c r="R172" s="76"/>
      <c r="S172" s="76"/>
      <c r="T172" s="76"/>
      <c r="U172" s="76"/>
      <c r="V172" s="76"/>
      <c r="W172" s="76"/>
      <c r="X172" s="76"/>
      <c r="Y172" s="76"/>
      <c r="Z172" s="76"/>
      <c r="AA172" s="76"/>
      <c r="AD172" s="76"/>
      <c r="AF172" s="76"/>
      <c r="AH172" s="76"/>
    </row>
    <row r="176" spans="5:34" x14ac:dyDescent="0.25">
      <c r="I176" s="76"/>
      <c r="J176" s="1"/>
      <c r="K176" s="76"/>
      <c r="L176" s="76"/>
      <c r="M176" s="76"/>
      <c r="O176" s="76"/>
      <c r="P176" s="76"/>
      <c r="Q176" s="76"/>
      <c r="R176" s="76"/>
      <c r="S176" s="76"/>
      <c r="T176" s="76"/>
      <c r="U176" s="76"/>
      <c r="V176" s="76"/>
      <c r="W176" s="76"/>
      <c r="X176" s="76"/>
      <c r="Y176" s="76"/>
      <c r="Z176" s="76"/>
      <c r="AA176" s="76"/>
      <c r="AD176" s="76"/>
      <c r="AF176" s="76"/>
      <c r="AH176"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1200-000000000000}">
      <formula1>"SELF,ALL,BAS,DEP,BASMEMBERS,MEMBERS,NOEXPAND,GDEP"</formula1>
    </dataValidation>
    <dataValidation type="list" allowBlank="1" sqref="B28 B94 B61" xr:uid="{00000000-0002-0000-1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9">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t="s">
        <v>1356</v>
      </c>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726</v>
      </c>
      <c r="C6" s="1" t="s">
        <v>1357</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1358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1359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1360</v>
      </c>
      <c r="G19" s="18" t="str">
        <f>$B$6</f>
        <v>D2141</v>
      </c>
      <c r="H19" s="18">
        <v>400000</v>
      </c>
      <c r="I19" s="19"/>
      <c r="J19" s="19"/>
      <c r="K19" s="18"/>
      <c r="L19" s="18"/>
      <c r="M19" s="18"/>
      <c r="N19" s="18" t="s">
        <v>1003</v>
      </c>
      <c r="O19" s="20">
        <v>47163.64</v>
      </c>
      <c r="P19" s="20">
        <v>60843.55</v>
      </c>
      <c r="Q19" s="20">
        <v>63543.1</v>
      </c>
      <c r="R19" s="20">
        <v>40415.370000000003</v>
      </c>
      <c r="S19" s="20">
        <v>42552.92</v>
      </c>
      <c r="T19" s="20">
        <v>28160.54</v>
      </c>
      <c r="U19" s="20">
        <v>32399.1</v>
      </c>
      <c r="V19" s="20">
        <v>23288.71</v>
      </c>
      <c r="W19" s="20">
        <v>16589.12</v>
      </c>
      <c r="X19" s="20">
        <v>23506.91</v>
      </c>
      <c r="Y19" s="20">
        <v>19023.25</v>
      </c>
      <c r="Z19" s="20">
        <v>12116.42</v>
      </c>
      <c r="AA19" s="20">
        <f>SUM(O19:Z19)</f>
        <v>409602.62999999995</v>
      </c>
      <c r="AB19" s="18"/>
      <c r="AC19" s="18"/>
      <c r="AD19" s="20">
        <v>873069.61</v>
      </c>
      <c r="AE19" s="18"/>
      <c r="AF19" s="18"/>
      <c r="AG19" s="20">
        <v>445934.93</v>
      </c>
      <c r="AH19" s="18"/>
      <c r="AI19" s="18"/>
    </row>
    <row r="20" spans="1:40" hidden="1" outlineLevel="1" x14ac:dyDescent="0.25">
      <c r="A20" s="6" t="s">
        <v>5</v>
      </c>
      <c r="B20" s="7"/>
      <c r="G20" s="18" t="str">
        <f>$B$6</f>
        <v>D2141</v>
      </c>
      <c r="H20" s="18">
        <v>946000</v>
      </c>
      <c r="I20" s="19"/>
      <c r="J20" s="19"/>
      <c r="K20" s="18"/>
      <c r="L20" s="19"/>
      <c r="M20" s="19"/>
      <c r="N20" s="18" t="s">
        <v>1196</v>
      </c>
      <c r="O20" s="20">
        <v>601</v>
      </c>
      <c r="P20" s="20">
        <v>842</v>
      </c>
      <c r="Q20" s="20">
        <v>1328</v>
      </c>
      <c r="R20" s="20">
        <v>803</v>
      </c>
      <c r="S20" s="20">
        <v>989</v>
      </c>
      <c r="T20" s="20">
        <v>1035</v>
      </c>
      <c r="U20" s="20">
        <v>771</v>
      </c>
      <c r="V20" s="20">
        <v>650</v>
      </c>
      <c r="W20" s="20">
        <v>458</v>
      </c>
      <c r="X20" s="20">
        <v>618</v>
      </c>
      <c r="Y20" s="20">
        <v>474</v>
      </c>
      <c r="Z20" s="20">
        <v>297</v>
      </c>
      <c r="AA20" s="20">
        <f>SUM(O20:Z20)</f>
        <v>8866</v>
      </c>
      <c r="AB20" s="18"/>
      <c r="AC20" s="18"/>
      <c r="AD20" s="20">
        <v>18585</v>
      </c>
      <c r="AE20" s="18"/>
      <c r="AF20" s="18"/>
      <c r="AG20" s="20">
        <v>12011</v>
      </c>
      <c r="AH20" s="18"/>
      <c r="AI20" s="18"/>
    </row>
    <row r="21" spans="1:40" hidden="1" outlineLevel="1" x14ac:dyDescent="0.25">
      <c r="A21" s="6" t="s">
        <v>6</v>
      </c>
      <c r="B21" s="7"/>
      <c r="I21" s="1"/>
      <c r="J21" s="1"/>
    </row>
    <row r="22" spans="1:40" hidden="1" outlineLevel="1" x14ac:dyDescent="0.25">
      <c r="A22" s="6" t="s">
        <v>7</v>
      </c>
      <c r="B22" s="16" t="s">
        <v>1361</v>
      </c>
      <c r="I22" s="1"/>
      <c r="J22" s="1"/>
    </row>
    <row r="23" spans="1:40" hidden="1" outlineLevel="1" x14ac:dyDescent="0.25">
      <c r="A23" s="6" t="s">
        <v>47</v>
      </c>
      <c r="B23" s="16" t="s">
        <v>1362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1356</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v>184.31</v>
      </c>
      <c r="Q35" s="310"/>
      <c r="R35" s="310"/>
      <c r="S35" s="310">
        <v>-31.14</v>
      </c>
      <c r="T35" s="310">
        <v>-98.79</v>
      </c>
      <c r="U35" s="310"/>
      <c r="V35" s="310"/>
      <c r="W35" s="310"/>
      <c r="X35" s="310"/>
      <c r="Y35" s="310"/>
      <c r="Z35" s="310"/>
      <c r="AA35" s="310">
        <f t="shared" ref="AA35:AA58" si="1">IF($I35="B1","",SUM(O35:Z35))</f>
        <v>54.38000000000001</v>
      </c>
      <c r="AB35" s="311">
        <f t="shared" ref="AB35:AB58" si="2">IF(AA35=0,"",IFERROR(AA35/AA$19,""))</f>
        <v>1.3276281941842027E-4</v>
      </c>
      <c r="AC35" s="328"/>
      <c r="AD35" s="310"/>
      <c r="AE35" s="311" t="str">
        <f t="shared" ref="AE35:AE58" si="3">IF(AD35=0,"",IFERROR(AD35/AD$19,""))</f>
        <v/>
      </c>
      <c r="AF35" s="312">
        <f t="shared" ref="AF35:AF58" si="4">IF(AND($AA35="",AD35=""),"",$AA35-AD35)</f>
        <v>54.38000000000001</v>
      </c>
      <c r="AG35" s="310">
        <v>33</v>
      </c>
      <c r="AH35" s="311">
        <f t="shared" ref="AH35:AH58" si="5">IF(AG35=0,"",IFERROR(AG35/AG$19,""))</f>
        <v>7.4001828024550576E-5</v>
      </c>
      <c r="AI35" s="313">
        <f t="shared" ref="AI35:AI58" si="6">IF(AND($AA35="",AG35=""),"",$AA35-AG35)</f>
        <v>21.38000000000001</v>
      </c>
      <c r="AJ35" s="399">
        <f t="shared" ref="AJ35:AJ58" si="7">IFERROR(AA35/AA$20,0)</f>
        <v>6.1335438754793609E-3</v>
      </c>
      <c r="AK35" s="400">
        <f t="shared" ref="AK35:AK58" si="8">IFERROR(AD35/AD$20,0)</f>
        <v>0</v>
      </c>
      <c r="AL35" s="401">
        <f t="shared" ref="AL35:AL58" si="9">IFERROR(AG35/AG$20,0)</f>
        <v>2.7474814753142953E-3</v>
      </c>
      <c r="AM35" s="402">
        <f t="shared" ref="AM35:AM58" si="10">+IFERROR(ROUND(($AB35-AE35)*100,2)&amp;" pts.",0)</f>
        <v>0</v>
      </c>
      <c r="AN35" s="403" t="str">
        <f t="shared" ref="AN35:AN58" si="11">+IFERROR(ROUND(($AB35-AH35)*100,2)&amp;" pts.",0)</f>
        <v>0.01 pts.</v>
      </c>
    </row>
    <row r="36" spans="1:40" x14ac:dyDescent="0.25">
      <c r="H36" s="149" t="s">
        <v>261</v>
      </c>
      <c r="I36" s="161" t="s">
        <v>1058</v>
      </c>
      <c r="J36" s="161" t="s">
        <v>78</v>
      </c>
      <c r="K36" s="68" t="str">
        <f t="shared" si="0"/>
        <v>&gt;</v>
      </c>
      <c r="L36" s="162">
        <v>462100</v>
      </c>
      <c r="M36" s="162"/>
      <c r="N36" s="162" t="s">
        <v>1265</v>
      </c>
      <c r="O36" s="309">
        <v>8879.4</v>
      </c>
      <c r="P36" s="310">
        <v>13568.31</v>
      </c>
      <c r="Q36" s="310">
        <v>8685.86</v>
      </c>
      <c r="R36" s="310">
        <v>9466.52</v>
      </c>
      <c r="S36" s="310">
        <v>10475.1</v>
      </c>
      <c r="T36" s="310">
        <v>5901.5</v>
      </c>
      <c r="U36" s="310">
        <v>7834.2</v>
      </c>
      <c r="V36" s="310">
        <v>6607.81</v>
      </c>
      <c r="W36" s="310">
        <v>3875.3</v>
      </c>
      <c r="X36" s="310">
        <v>5821.5</v>
      </c>
      <c r="Y36" s="310">
        <v>4948.1000000000004</v>
      </c>
      <c r="Z36" s="310">
        <v>3030.6</v>
      </c>
      <c r="AA36" s="310">
        <f t="shared" si="1"/>
        <v>89094.200000000012</v>
      </c>
      <c r="AB36" s="311">
        <f t="shared" si="2"/>
        <v>0.2175137400851162</v>
      </c>
      <c r="AC36" s="328"/>
      <c r="AD36" s="310">
        <v>170666.25235</v>
      </c>
      <c r="AE36" s="311">
        <f t="shared" si="3"/>
        <v>0.19547840217459866</v>
      </c>
      <c r="AF36" s="312">
        <f t="shared" si="4"/>
        <v>-81572.052349999984</v>
      </c>
      <c r="AG36" s="310">
        <v>116819.07</v>
      </c>
      <c r="AH36" s="311">
        <f t="shared" si="5"/>
        <v>0.26196438570084657</v>
      </c>
      <c r="AI36" s="313">
        <f t="shared" si="6"/>
        <v>-27724.869999999995</v>
      </c>
      <c r="AJ36" s="399">
        <f t="shared" si="7"/>
        <v>10.048973607038125</v>
      </c>
      <c r="AK36" s="400">
        <f t="shared" si="8"/>
        <v>9.1830106187785852</v>
      </c>
      <c r="AL36" s="401">
        <f t="shared" si="9"/>
        <v>9.7260069935892108</v>
      </c>
      <c r="AM36" s="402" t="str">
        <f t="shared" si="10"/>
        <v>2.2 pts.</v>
      </c>
      <c r="AN36" s="403" t="str">
        <f t="shared" si="11"/>
        <v>-4.45 pts.</v>
      </c>
    </row>
    <row r="37" spans="1:40" x14ac:dyDescent="0.25">
      <c r="A37" s="1" t="s">
        <v>209</v>
      </c>
      <c r="B37" s="1" t="s">
        <v>21</v>
      </c>
      <c r="C37" s="74"/>
      <c r="D37" s="1" t="s">
        <v>590</v>
      </c>
      <c r="F37" s="1" t="s">
        <v>99</v>
      </c>
      <c r="H37" s="149" t="s">
        <v>262</v>
      </c>
      <c r="I37" s="161" t="s">
        <v>1058</v>
      </c>
      <c r="J37" s="161" t="s">
        <v>78</v>
      </c>
      <c r="K37" s="68" t="str">
        <f t="shared" si="0"/>
        <v>&gt;</v>
      </c>
      <c r="L37" s="162">
        <v>463100</v>
      </c>
      <c r="M37" s="162"/>
      <c r="N37" s="162" t="s">
        <v>1272</v>
      </c>
      <c r="O37" s="309">
        <v>1276</v>
      </c>
      <c r="P37" s="310">
        <v>134.5</v>
      </c>
      <c r="Q37" s="310">
        <v>193</v>
      </c>
      <c r="R37" s="310">
        <v>5</v>
      </c>
      <c r="S37" s="310">
        <v>160</v>
      </c>
      <c r="T37" s="310">
        <v>12</v>
      </c>
      <c r="U37" s="310"/>
      <c r="V37" s="310"/>
      <c r="W37" s="310"/>
      <c r="X37" s="310"/>
      <c r="Y37" s="310"/>
      <c r="Z37" s="310"/>
      <c r="AA37" s="310">
        <f t="shared" si="1"/>
        <v>1780.5</v>
      </c>
      <c r="AB37" s="311">
        <f t="shared" si="2"/>
        <v>4.3468959171477986E-3</v>
      </c>
      <c r="AC37" s="328"/>
      <c r="AD37" s="310">
        <v>53970.861473999998</v>
      </c>
      <c r="AE37" s="311">
        <f t="shared" si="3"/>
        <v>6.1817363536453868E-2</v>
      </c>
      <c r="AF37" s="312">
        <f t="shared" si="4"/>
        <v>-52190.361473999998</v>
      </c>
      <c r="AG37" s="310"/>
      <c r="AH37" s="311" t="str">
        <f t="shared" si="5"/>
        <v/>
      </c>
      <c r="AI37" s="313">
        <f t="shared" si="6"/>
        <v>1780.5</v>
      </c>
      <c r="AJ37" s="399">
        <f t="shared" si="7"/>
        <v>0.20082337017820889</v>
      </c>
      <c r="AK37" s="400">
        <f t="shared" si="8"/>
        <v>2.9040011554479417</v>
      </c>
      <c r="AL37" s="401">
        <f t="shared" si="9"/>
        <v>0</v>
      </c>
      <c r="AM37" s="402" t="str">
        <f t="shared" si="10"/>
        <v>-5.75 pts.</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v>10155.4</v>
      </c>
      <c r="P40" s="134">
        <v>13887.12</v>
      </c>
      <c r="Q40" s="134">
        <v>8878.86</v>
      </c>
      <c r="R40" s="134">
        <v>9471.52</v>
      </c>
      <c r="S40" s="134">
        <v>10603.96</v>
      </c>
      <c r="T40" s="134">
        <v>5814.71</v>
      </c>
      <c r="U40" s="134">
        <v>7834.2</v>
      </c>
      <c r="V40" s="134">
        <v>6607.81</v>
      </c>
      <c r="W40" s="134">
        <v>3875.3</v>
      </c>
      <c r="X40" s="134">
        <v>5821.5</v>
      </c>
      <c r="Y40" s="134">
        <v>4948.1000000000004</v>
      </c>
      <c r="Z40" s="134">
        <v>3030.6</v>
      </c>
      <c r="AA40" s="134">
        <f t="shared" si="1"/>
        <v>90929.080000000016</v>
      </c>
      <c r="AB40" s="135">
        <f t="shared" si="2"/>
        <v>0.22199339882168245</v>
      </c>
      <c r="AC40" s="137"/>
      <c r="AD40" s="134">
        <v>224637.113824</v>
      </c>
      <c r="AE40" s="135">
        <f t="shared" si="3"/>
        <v>0.2572957657110525</v>
      </c>
      <c r="AF40" s="136">
        <f t="shared" si="4"/>
        <v>-133708.03382399998</v>
      </c>
      <c r="AG40" s="134">
        <v>116852.07</v>
      </c>
      <c r="AH40" s="135">
        <f t="shared" si="5"/>
        <v>0.2620383875288711</v>
      </c>
      <c r="AI40" s="291">
        <f t="shared" si="6"/>
        <v>-25922.989999999991</v>
      </c>
      <c r="AJ40" s="360">
        <f t="shared" si="7"/>
        <v>10.255930521091813</v>
      </c>
      <c r="AK40" s="361">
        <f t="shared" si="8"/>
        <v>12.087011774226527</v>
      </c>
      <c r="AL40" s="363">
        <f t="shared" si="9"/>
        <v>9.728754475064525</v>
      </c>
      <c r="AM40" s="405" t="str">
        <f t="shared" si="10"/>
        <v>-3.53 pts.</v>
      </c>
      <c r="AN40" s="406" t="str">
        <f t="shared" si="11"/>
        <v>-4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v>116</v>
      </c>
      <c r="Q42" s="310"/>
      <c r="R42" s="310"/>
      <c r="S42" s="310"/>
      <c r="T42" s="310"/>
      <c r="U42" s="310"/>
      <c r="V42" s="310"/>
      <c r="W42" s="310"/>
      <c r="X42" s="310"/>
      <c r="Y42" s="310"/>
      <c r="Z42" s="310"/>
      <c r="AA42" s="310">
        <f t="shared" si="1"/>
        <v>116</v>
      </c>
      <c r="AB42" s="311">
        <f t="shared" si="2"/>
        <v>2.8320130659317301E-4</v>
      </c>
      <c r="AC42" s="328"/>
      <c r="AD42" s="310"/>
      <c r="AE42" s="311" t="str">
        <f t="shared" si="3"/>
        <v/>
      </c>
      <c r="AF42" s="312">
        <f t="shared" si="4"/>
        <v>116</v>
      </c>
      <c r="AG42" s="310">
        <v>-86</v>
      </c>
      <c r="AH42" s="311">
        <f t="shared" si="5"/>
        <v>-1.9285324879125303E-4</v>
      </c>
      <c r="AI42" s="313">
        <f t="shared" si="6"/>
        <v>202</v>
      </c>
      <c r="AJ42" s="399">
        <f t="shared" si="7"/>
        <v>1.3083690503045342E-2</v>
      </c>
      <c r="AK42" s="400">
        <f t="shared" si="8"/>
        <v>0</v>
      </c>
      <c r="AL42" s="401">
        <f t="shared" si="9"/>
        <v>-7.1601032386978602E-3</v>
      </c>
      <c r="AM42" s="402">
        <f t="shared" si="10"/>
        <v>0</v>
      </c>
      <c r="AN42" s="403" t="str">
        <f t="shared" si="11"/>
        <v>0.05 pts.</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v>19939</v>
      </c>
      <c r="P43" s="310">
        <v>28373.62</v>
      </c>
      <c r="Q43" s="310">
        <v>25856.94</v>
      </c>
      <c r="R43" s="310">
        <v>20529.38</v>
      </c>
      <c r="S43" s="310">
        <v>20283.599999999999</v>
      </c>
      <c r="T43" s="310">
        <v>16428</v>
      </c>
      <c r="U43" s="310">
        <v>16655.3</v>
      </c>
      <c r="V43" s="310">
        <v>12000.99</v>
      </c>
      <c r="W43" s="310">
        <v>9587</v>
      </c>
      <c r="X43" s="310">
        <v>13018.3</v>
      </c>
      <c r="Y43" s="310">
        <v>10705.2</v>
      </c>
      <c r="Z43" s="310">
        <v>6015.89</v>
      </c>
      <c r="AA43" s="310">
        <f t="shared" si="1"/>
        <v>199393.22</v>
      </c>
      <c r="AB43" s="311">
        <f t="shared" si="2"/>
        <v>0.48679672784327588</v>
      </c>
      <c r="AC43" s="328"/>
      <c r="AD43" s="310">
        <v>342226.41765000002</v>
      </c>
      <c r="AE43" s="311">
        <f t="shared" si="3"/>
        <v>0.39198067797824282</v>
      </c>
      <c r="AF43" s="312">
        <f t="shared" si="4"/>
        <v>-142833.19765000002</v>
      </c>
      <c r="AG43" s="310">
        <v>239584.19</v>
      </c>
      <c r="AH43" s="311">
        <f t="shared" si="5"/>
        <v>0.53726266744791673</v>
      </c>
      <c r="AI43" s="313">
        <f t="shared" si="6"/>
        <v>-40190.97</v>
      </c>
      <c r="AJ43" s="399">
        <f t="shared" si="7"/>
        <v>22.489648093841641</v>
      </c>
      <c r="AK43" s="400">
        <f t="shared" si="8"/>
        <v>18.414119862792575</v>
      </c>
      <c r="AL43" s="401">
        <f t="shared" si="9"/>
        <v>19.947064357672133</v>
      </c>
      <c r="AM43" s="402" t="str">
        <f t="shared" si="10"/>
        <v>9.48 pts.</v>
      </c>
      <c r="AN43" s="403" t="str">
        <f t="shared" si="11"/>
        <v>-5.05 pts.</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v>54</v>
      </c>
      <c r="P44" s="310">
        <v>264</v>
      </c>
      <c r="Q44" s="310">
        <v>2210</v>
      </c>
      <c r="R44" s="310">
        <v>50</v>
      </c>
      <c r="S44" s="310">
        <v>482</v>
      </c>
      <c r="T44" s="310">
        <v>489</v>
      </c>
      <c r="U44" s="310"/>
      <c r="V44" s="310"/>
      <c r="W44" s="310"/>
      <c r="X44" s="310"/>
      <c r="Y44" s="310"/>
      <c r="Z44" s="310"/>
      <c r="AA44" s="310">
        <f t="shared" si="1"/>
        <v>3549</v>
      </c>
      <c r="AB44" s="311">
        <f t="shared" si="2"/>
        <v>8.6644951474066471E-3</v>
      </c>
      <c r="AC44" s="328"/>
      <c r="AD44" s="310">
        <v>108025.968526</v>
      </c>
      <c r="AE44" s="311">
        <f t="shared" si="3"/>
        <v>0.12373122061366905</v>
      </c>
      <c r="AF44" s="312">
        <f t="shared" si="4"/>
        <v>-104476.968526</v>
      </c>
      <c r="AG44" s="310"/>
      <c r="AH44" s="311" t="str">
        <f t="shared" si="5"/>
        <v/>
      </c>
      <c r="AI44" s="313">
        <f t="shared" si="6"/>
        <v>3549</v>
      </c>
      <c r="AJ44" s="399">
        <f t="shared" si="7"/>
        <v>0.40029325513196479</v>
      </c>
      <c r="AK44" s="400">
        <f t="shared" si="8"/>
        <v>5.8125352986817322</v>
      </c>
      <c r="AL44" s="401">
        <f t="shared" si="9"/>
        <v>0</v>
      </c>
      <c r="AM44" s="402" t="str">
        <f t="shared" si="10"/>
        <v>-11.51 pts.</v>
      </c>
      <c r="AN44" s="403">
        <f t="shared" si="11"/>
        <v>0</v>
      </c>
    </row>
    <row r="45" spans="1:40" x14ac:dyDescent="0.25">
      <c r="H45" s="15" t="s">
        <v>270</v>
      </c>
      <c r="I45" s="161" t="s">
        <v>1058</v>
      </c>
      <c r="J45" s="161" t="s">
        <v>78</v>
      </c>
      <c r="K45" s="68" t="str">
        <f t="shared" si="0"/>
        <v>&gt;</v>
      </c>
      <c r="L45" s="162"/>
      <c r="M45" s="162"/>
      <c r="N45" s="162" t="s">
        <v>1319</v>
      </c>
      <c r="O45" s="309">
        <v>12</v>
      </c>
      <c r="P45" s="310">
        <v>-12</v>
      </c>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v>20005</v>
      </c>
      <c r="P47" s="134">
        <v>28741.62</v>
      </c>
      <c r="Q47" s="134">
        <v>28066.94</v>
      </c>
      <c r="R47" s="134">
        <v>20579.38</v>
      </c>
      <c r="S47" s="134">
        <v>20765.599999999999</v>
      </c>
      <c r="T47" s="134">
        <v>16917</v>
      </c>
      <c r="U47" s="134">
        <v>16655.3</v>
      </c>
      <c r="V47" s="134">
        <v>12000.99</v>
      </c>
      <c r="W47" s="134">
        <v>9587</v>
      </c>
      <c r="X47" s="134">
        <v>13018.3</v>
      </c>
      <c r="Y47" s="134">
        <v>10705.2</v>
      </c>
      <c r="Z47" s="134">
        <v>6015.89</v>
      </c>
      <c r="AA47" s="134">
        <f t="shared" si="1"/>
        <v>203058.22</v>
      </c>
      <c r="AB47" s="135">
        <f t="shared" si="2"/>
        <v>0.49574442429727572</v>
      </c>
      <c r="AC47" s="137"/>
      <c r="AD47" s="134">
        <v>450252.386176</v>
      </c>
      <c r="AE47" s="135">
        <f t="shared" si="3"/>
        <v>0.5157118985919118</v>
      </c>
      <c r="AF47" s="136">
        <f t="shared" si="4"/>
        <v>-247194.166176</v>
      </c>
      <c r="AG47" s="134">
        <v>239498.19</v>
      </c>
      <c r="AH47" s="135">
        <f t="shared" si="5"/>
        <v>0.53706981419912547</v>
      </c>
      <c r="AI47" s="291">
        <f t="shared" si="6"/>
        <v>-36439.97</v>
      </c>
      <c r="AJ47" s="360">
        <f t="shared" si="7"/>
        <v>22.903025039476653</v>
      </c>
      <c r="AK47" s="361">
        <f t="shared" si="8"/>
        <v>24.226655161474309</v>
      </c>
      <c r="AL47" s="363">
        <f t="shared" si="9"/>
        <v>19.939904254433436</v>
      </c>
      <c r="AM47" s="405" t="str">
        <f t="shared" si="10"/>
        <v>-2 pts.</v>
      </c>
      <c r="AN47" s="406" t="str">
        <f t="shared" si="11"/>
        <v>-4.13 pts.</v>
      </c>
    </row>
    <row r="48" spans="1:40" x14ac:dyDescent="0.25">
      <c r="H48" s="15" t="s">
        <v>486</v>
      </c>
      <c r="I48" s="161" t="s">
        <v>1058</v>
      </c>
      <c r="J48" s="161" t="s">
        <v>78</v>
      </c>
      <c r="K48" s="68" t="str">
        <f t="shared" si="0"/>
        <v>&gt;</v>
      </c>
      <c r="L48" s="162"/>
      <c r="M48" s="162"/>
      <c r="N48" s="162" t="s">
        <v>1213</v>
      </c>
      <c r="O48" s="330">
        <v>-148.49</v>
      </c>
      <c r="P48" s="47">
        <v>-174.37</v>
      </c>
      <c r="Q48" s="47"/>
      <c r="R48" s="47"/>
      <c r="S48" s="47"/>
      <c r="T48" s="47"/>
      <c r="U48" s="47">
        <v>12.58</v>
      </c>
      <c r="V48" s="47">
        <v>-242.96</v>
      </c>
      <c r="W48" s="47"/>
      <c r="X48" s="47"/>
      <c r="Y48" s="47">
        <v>-331.29</v>
      </c>
      <c r="Z48" s="47"/>
      <c r="AA48" s="47">
        <f t="shared" si="1"/>
        <v>-884.53</v>
      </c>
      <c r="AB48" s="48">
        <f t="shared" si="2"/>
        <v>-2.1594832044901668E-3</v>
      </c>
      <c r="AC48" s="54"/>
      <c r="AD48" s="47"/>
      <c r="AE48" s="48" t="str">
        <f t="shared" si="3"/>
        <v/>
      </c>
      <c r="AF48" s="150">
        <f t="shared" si="4"/>
        <v>-884.53</v>
      </c>
      <c r="AG48" s="47">
        <v>-1290.51</v>
      </c>
      <c r="AH48" s="48">
        <f t="shared" si="5"/>
        <v>-2.89394239648372E-3</v>
      </c>
      <c r="AI48" s="331">
        <f t="shared" si="6"/>
        <v>405.98</v>
      </c>
      <c r="AJ48" s="420">
        <f t="shared" si="7"/>
        <v>-9.9766523798781856E-2</v>
      </c>
      <c r="AK48" s="421">
        <f t="shared" si="8"/>
        <v>0</v>
      </c>
      <c r="AL48" s="422">
        <f t="shared" si="9"/>
        <v>-0.10744400965781367</v>
      </c>
      <c r="AM48" s="423">
        <f t="shared" si="10"/>
        <v>0</v>
      </c>
      <c r="AN48" s="424" t="str">
        <f t="shared" si="11"/>
        <v>0.07 pts.</v>
      </c>
    </row>
    <row r="49" spans="1:40" x14ac:dyDescent="0.25">
      <c r="A49" s="3" t="s">
        <v>0</v>
      </c>
      <c r="B49" s="5" t="s">
        <v>1</v>
      </c>
      <c r="H49" s="15" t="s">
        <v>273</v>
      </c>
      <c r="I49" s="479" t="s">
        <v>1064</v>
      </c>
      <c r="J49" s="479" t="s">
        <v>78</v>
      </c>
      <c r="K49" s="480" t="str">
        <f t="shared" si="0"/>
        <v/>
      </c>
      <c r="L49" s="170"/>
      <c r="M49" s="170"/>
      <c r="N49" s="170" t="s">
        <v>1214</v>
      </c>
      <c r="O49" s="224">
        <v>30011.91</v>
      </c>
      <c r="P49" s="134">
        <v>42454.37</v>
      </c>
      <c r="Q49" s="134">
        <v>36945.800000000003</v>
      </c>
      <c r="R49" s="134">
        <v>30050.9</v>
      </c>
      <c r="S49" s="134">
        <v>31369.56</v>
      </c>
      <c r="T49" s="134">
        <v>22731.71</v>
      </c>
      <c r="U49" s="134">
        <v>24502.080000000002</v>
      </c>
      <c r="V49" s="134">
        <v>18365.84</v>
      </c>
      <c r="W49" s="134">
        <v>13462.3</v>
      </c>
      <c r="X49" s="134">
        <v>18839.8</v>
      </c>
      <c r="Y49" s="134">
        <v>15322.01</v>
      </c>
      <c r="Z49" s="134">
        <v>9046.49</v>
      </c>
      <c r="AA49" s="134">
        <f t="shared" si="1"/>
        <v>293102.77</v>
      </c>
      <c r="AB49" s="135">
        <f t="shared" si="2"/>
        <v>0.71557833991446795</v>
      </c>
      <c r="AC49" s="137"/>
      <c r="AD49" s="134">
        <v>674889.5</v>
      </c>
      <c r="AE49" s="135">
        <f t="shared" si="3"/>
        <v>0.7730076643029643</v>
      </c>
      <c r="AF49" s="136">
        <f t="shared" si="4"/>
        <v>-381786.73</v>
      </c>
      <c r="AG49" s="134">
        <v>355059.75</v>
      </c>
      <c r="AH49" s="135">
        <f t="shared" si="5"/>
        <v>0.7962142593315128</v>
      </c>
      <c r="AI49" s="291">
        <f t="shared" si="6"/>
        <v>-61956.979999999981</v>
      </c>
      <c r="AJ49" s="360">
        <f t="shared" si="7"/>
        <v>33.059189036769681</v>
      </c>
      <c r="AK49" s="361">
        <f t="shared" si="8"/>
        <v>36.313666935700837</v>
      </c>
      <c r="AL49" s="363">
        <f t="shared" si="9"/>
        <v>29.561214719840148</v>
      </c>
      <c r="AM49" s="405" t="str">
        <f t="shared" si="10"/>
        <v>-5.74 pts.</v>
      </c>
      <c r="AN49" s="406" t="str">
        <f t="shared" si="11"/>
        <v>-8.06 pts.</v>
      </c>
    </row>
    <row r="50" spans="1:40" x14ac:dyDescent="0.25">
      <c r="A50" s="6" t="s">
        <v>2</v>
      </c>
      <c r="B50" s="16" t="s">
        <v>1358</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1359</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1363</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v>5556.66</v>
      </c>
      <c r="P54" s="310">
        <v>7867.47</v>
      </c>
      <c r="Q54" s="310">
        <v>6807.87</v>
      </c>
      <c r="R54" s="310">
        <v>5638.5</v>
      </c>
      <c r="S54" s="310">
        <v>5967.36</v>
      </c>
      <c r="T54" s="310">
        <v>4189.47</v>
      </c>
      <c r="U54" s="310">
        <v>4579.0200000000004</v>
      </c>
      <c r="V54" s="310">
        <v>3474.9</v>
      </c>
      <c r="W54" s="310">
        <v>2495.16</v>
      </c>
      <c r="X54" s="310">
        <v>3551.94</v>
      </c>
      <c r="Y54" s="310">
        <v>2905.11</v>
      </c>
      <c r="Z54" s="310">
        <v>1679.81</v>
      </c>
      <c r="AA54" s="310">
        <f t="shared" si="1"/>
        <v>54713.270000000004</v>
      </c>
      <c r="AB54" s="311">
        <f t="shared" si="2"/>
        <v>0.13357646165504361</v>
      </c>
      <c r="AC54" s="328"/>
      <c r="AD54" s="310">
        <v>121480.11</v>
      </c>
      <c r="AE54" s="311">
        <f t="shared" si="3"/>
        <v>0.1391413795745336</v>
      </c>
      <c r="AF54" s="312">
        <f t="shared" si="4"/>
        <v>-66766.84</v>
      </c>
      <c r="AG54" s="310">
        <v>64896.47</v>
      </c>
      <c r="AH54" s="311">
        <f t="shared" si="5"/>
        <v>0.14552901249516381</v>
      </c>
      <c r="AI54" s="313">
        <f t="shared" si="6"/>
        <v>-10183.199999999997</v>
      </c>
      <c r="AJ54" s="399">
        <f t="shared" si="7"/>
        <v>6.17113354387548</v>
      </c>
      <c r="AK54" s="400">
        <f t="shared" si="8"/>
        <v>6.5364600484261501</v>
      </c>
      <c r="AL54" s="401">
        <f t="shared" si="9"/>
        <v>5.4030863375239369</v>
      </c>
      <c r="AM54" s="402" t="str">
        <f t="shared" si="10"/>
        <v>-0.56 pts.</v>
      </c>
      <c r="AN54" s="403" t="str">
        <f t="shared" si="11"/>
        <v>-1.2 pts.</v>
      </c>
    </row>
    <row r="55" spans="1:40" x14ac:dyDescent="0.25">
      <c r="A55" s="6" t="s">
        <v>7</v>
      </c>
      <c r="B55" s="16" t="s">
        <v>1364</v>
      </c>
      <c r="F55" s="152"/>
      <c r="H55" s="15" t="s">
        <v>283</v>
      </c>
      <c r="I55" s="161" t="s">
        <v>1058</v>
      </c>
      <c r="J55" s="161" t="s">
        <v>78</v>
      </c>
      <c r="K55" s="68" t="str">
        <f t="shared" si="0"/>
        <v>&gt;</v>
      </c>
      <c r="L55" s="162"/>
      <c r="M55" s="162"/>
      <c r="N55" s="162" t="s">
        <v>1220</v>
      </c>
      <c r="O55" s="309">
        <v>11595.07</v>
      </c>
      <c r="P55" s="310">
        <v>10521.71</v>
      </c>
      <c r="Q55" s="310">
        <v>19789.43</v>
      </c>
      <c r="R55" s="310">
        <v>4725.97</v>
      </c>
      <c r="S55" s="310">
        <v>5216</v>
      </c>
      <c r="T55" s="310">
        <v>1239.3599999999999</v>
      </c>
      <c r="U55" s="310">
        <v>3318</v>
      </c>
      <c r="V55" s="310">
        <v>1447.97</v>
      </c>
      <c r="W55" s="310">
        <v>631.66</v>
      </c>
      <c r="X55" s="310">
        <v>1115.17</v>
      </c>
      <c r="Y55" s="310">
        <v>796.13</v>
      </c>
      <c r="Z55" s="310">
        <v>1390.12</v>
      </c>
      <c r="AA55" s="310">
        <f t="shared" si="1"/>
        <v>61786.590000000004</v>
      </c>
      <c r="AB55" s="311">
        <f t="shared" si="2"/>
        <v>0.15084519843048863</v>
      </c>
      <c r="AC55" s="328"/>
      <c r="AD55" s="310">
        <v>76700</v>
      </c>
      <c r="AE55" s="311">
        <f t="shared" si="3"/>
        <v>8.7850956122502072E-2</v>
      </c>
      <c r="AF55" s="312">
        <f t="shared" si="4"/>
        <v>-14913.409999999996</v>
      </c>
      <c r="AG55" s="310">
        <v>25978.71</v>
      </c>
      <c r="AH55" s="311">
        <f t="shared" si="5"/>
        <v>5.8256728173323405E-2</v>
      </c>
      <c r="AI55" s="313">
        <f t="shared" si="6"/>
        <v>35807.880000000005</v>
      </c>
      <c r="AJ55" s="399">
        <f t="shared" si="7"/>
        <v>6.9689363861944509</v>
      </c>
      <c r="AK55" s="400">
        <f t="shared" si="8"/>
        <v>4.1269841269841274</v>
      </c>
      <c r="AL55" s="401">
        <f t="shared" si="9"/>
        <v>2.1629098326534009</v>
      </c>
      <c r="AM55" s="402" t="str">
        <f t="shared" si="10"/>
        <v>6.3 pts.</v>
      </c>
      <c r="AN55" s="403" t="str">
        <f t="shared" si="11"/>
        <v>9.26 pts.</v>
      </c>
    </row>
    <row r="56" spans="1:40" x14ac:dyDescent="0.25">
      <c r="A56" s="6" t="s">
        <v>47</v>
      </c>
      <c r="B56" s="16" t="s">
        <v>1362</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v>17151.73</v>
      </c>
      <c r="P57" s="36">
        <v>18389.18</v>
      </c>
      <c r="Q57" s="36">
        <v>26597.3</v>
      </c>
      <c r="R57" s="36">
        <v>10364.469999999999</v>
      </c>
      <c r="S57" s="36">
        <v>11183.36</v>
      </c>
      <c r="T57" s="36">
        <v>5428.83</v>
      </c>
      <c r="U57" s="36">
        <v>7897.02</v>
      </c>
      <c r="V57" s="36">
        <v>4922.87</v>
      </c>
      <c r="W57" s="36">
        <v>3126.82</v>
      </c>
      <c r="X57" s="36">
        <v>4667.1099999999997</v>
      </c>
      <c r="Y57" s="36">
        <v>3701.24</v>
      </c>
      <c r="Z57" s="36">
        <v>3069.93</v>
      </c>
      <c r="AA57" s="36">
        <f t="shared" si="1"/>
        <v>116499.86000000002</v>
      </c>
      <c r="AB57" s="37">
        <f t="shared" si="2"/>
        <v>0.28442166008553221</v>
      </c>
      <c r="AC57" s="35"/>
      <c r="AD57" s="36">
        <v>198180.11</v>
      </c>
      <c r="AE57" s="37">
        <f t="shared" si="3"/>
        <v>0.22699233569703564</v>
      </c>
      <c r="AF57" s="58">
        <f t="shared" si="4"/>
        <v>-81680.249999999971</v>
      </c>
      <c r="AG57" s="36">
        <v>90875.18</v>
      </c>
      <c r="AH57" s="37">
        <f t="shared" si="5"/>
        <v>0.2037857406684872</v>
      </c>
      <c r="AI57" s="292">
        <f t="shared" si="6"/>
        <v>25624.680000000022</v>
      </c>
      <c r="AJ57" s="372">
        <f t="shared" si="7"/>
        <v>13.140069930069933</v>
      </c>
      <c r="AK57" s="373">
        <f t="shared" si="8"/>
        <v>10.663444175410277</v>
      </c>
      <c r="AL57" s="375">
        <f t="shared" si="9"/>
        <v>7.5659961701773373</v>
      </c>
      <c r="AM57" s="407" t="str">
        <f t="shared" si="10"/>
        <v>5.74 pts.</v>
      </c>
      <c r="AN57" s="408" t="str">
        <f t="shared" si="11"/>
        <v>8.06 pts.</v>
      </c>
    </row>
    <row r="58" spans="1:40" x14ac:dyDescent="0.25">
      <c r="G58" s="14"/>
      <c r="H58" s="15" t="s">
        <v>280</v>
      </c>
      <c r="I58" s="479" t="s">
        <v>1012</v>
      </c>
      <c r="J58" s="479" t="s">
        <v>78</v>
      </c>
      <c r="K58" s="480" t="str">
        <f t="shared" si="0"/>
        <v/>
      </c>
      <c r="L58" s="170">
        <v>400000</v>
      </c>
      <c r="M58" s="170"/>
      <c r="N58" s="170" t="s">
        <v>1003</v>
      </c>
      <c r="O58" s="224">
        <v>47163.64</v>
      </c>
      <c r="P58" s="134">
        <v>60843.55</v>
      </c>
      <c r="Q58" s="134">
        <v>63543.1</v>
      </c>
      <c r="R58" s="134">
        <v>40415.370000000003</v>
      </c>
      <c r="S58" s="134">
        <v>42552.92</v>
      </c>
      <c r="T58" s="134">
        <v>28160.54</v>
      </c>
      <c r="U58" s="134">
        <v>32399.1</v>
      </c>
      <c r="V58" s="134">
        <v>23288.71</v>
      </c>
      <c r="W58" s="134">
        <v>16589.12</v>
      </c>
      <c r="X58" s="134">
        <v>23506.91</v>
      </c>
      <c r="Y58" s="134">
        <v>19023.25</v>
      </c>
      <c r="Z58" s="134">
        <v>12116.42</v>
      </c>
      <c r="AA58" s="134">
        <f t="shared" si="1"/>
        <v>409602.62999999995</v>
      </c>
      <c r="AB58" s="135">
        <f t="shared" si="2"/>
        <v>1</v>
      </c>
      <c r="AC58" s="137"/>
      <c r="AD58" s="134">
        <v>873069.61</v>
      </c>
      <c r="AE58" s="135">
        <f t="shared" si="3"/>
        <v>1</v>
      </c>
      <c r="AF58" s="136">
        <f t="shared" si="4"/>
        <v>-463466.98000000004</v>
      </c>
      <c r="AG58" s="134">
        <v>445934.93</v>
      </c>
      <c r="AH58" s="135">
        <f t="shared" si="5"/>
        <v>1</v>
      </c>
      <c r="AI58" s="291">
        <f t="shared" si="6"/>
        <v>-36332.300000000047</v>
      </c>
      <c r="AJ58" s="360">
        <f t="shared" si="7"/>
        <v>46.199258966839608</v>
      </c>
      <c r="AK58" s="361">
        <f t="shared" si="8"/>
        <v>46.977111111111107</v>
      </c>
      <c r="AL58" s="363">
        <f t="shared" si="9"/>
        <v>37.12721089001748</v>
      </c>
      <c r="AM58" s="405" t="str">
        <f t="shared" si="10"/>
        <v>0 pts.</v>
      </c>
      <c r="AN58" s="406" t="str">
        <f t="shared" si="11"/>
        <v>0 pts.</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v>2782.47</v>
      </c>
      <c r="P62" s="310">
        <v>3805.04</v>
      </c>
      <c r="Q62" s="310">
        <v>1109.75</v>
      </c>
      <c r="R62" s="310">
        <v>2368</v>
      </c>
      <c r="S62" s="310">
        <v>2651</v>
      </c>
      <c r="T62" s="310">
        <v>1478.5</v>
      </c>
      <c r="U62" s="310">
        <v>1958.55</v>
      </c>
      <c r="V62" s="310">
        <v>1652</v>
      </c>
      <c r="W62" s="310">
        <v>968.75</v>
      </c>
      <c r="X62" s="310">
        <v>1455.38</v>
      </c>
      <c r="Y62" s="310">
        <v>1237</v>
      </c>
      <c r="Z62" s="310">
        <v>757.75</v>
      </c>
      <c r="AA62" s="310">
        <f t="shared" ref="AA62:AA70" si="13">IF($I62="B1","",SUM(O62:Z62))</f>
        <v>22224.19</v>
      </c>
      <c r="AB62" s="311">
        <v>0.24441234861278699</v>
      </c>
      <c r="AC62" s="328"/>
      <c r="AD62" s="310">
        <v>66267.97</v>
      </c>
      <c r="AE62" s="311">
        <v>0.29500009536233601</v>
      </c>
      <c r="AF62" s="312">
        <f t="shared" ref="AF62:AF72" si="14">IF(AND($AA62="",AD62=""),"",$AA62-AD62)</f>
        <v>-44043.78</v>
      </c>
      <c r="AG62" s="310">
        <v>32396.67</v>
      </c>
      <c r="AH62" s="311">
        <v>0.27724515278163198</v>
      </c>
      <c r="AI62" s="313">
        <f t="shared" ref="AI62:AI72" si="15">IF(AND($AA62="",AG62=""),"",$AA62-AG62)</f>
        <v>-10172.48</v>
      </c>
      <c r="AJ62" s="399">
        <f t="shared" ref="AJ62:AJ70" si="16">IFERROR(AA62/AA$20,0)</f>
        <v>2.5066760658696139</v>
      </c>
      <c r="AK62" s="400">
        <f t="shared" ref="AK62:AK70" si="17">IFERROR(AD62/AD$20,0)</f>
        <v>3.5656696260425074</v>
      </c>
      <c r="AL62" s="401">
        <f t="shared" ref="AL62:AL70" si="18">IFERROR(AG62/AG$20,0)</f>
        <v>2.6972500208142534</v>
      </c>
      <c r="AM62" s="402" t="str">
        <f t="shared" ref="AM62:AM70" si="19">+IFERROR(ROUND(($AB62-AE62)*100,2)&amp;" pts.",0)</f>
        <v>-5.06 pts.</v>
      </c>
      <c r="AN62" s="403" t="str">
        <f t="shared" ref="AN62:AN70" si="20">+IFERROR(ROUND(($AB62-AH62)*100,2)&amp;" pts.",0)</f>
        <v>-3.28 pts.</v>
      </c>
    </row>
    <row r="63" spans="1:40" x14ac:dyDescent="0.25">
      <c r="A63" s="6" t="s">
        <v>14</v>
      </c>
      <c r="B63" s="7"/>
      <c r="H63" s="15" t="s">
        <v>636</v>
      </c>
      <c r="I63" s="161" t="s">
        <v>1058</v>
      </c>
      <c r="J63" s="161" t="s">
        <v>78</v>
      </c>
      <c r="K63" s="68" t="str">
        <f t="shared" si="12"/>
        <v>&gt;</v>
      </c>
      <c r="L63" s="162"/>
      <c r="M63" s="162"/>
      <c r="N63" s="162" t="s">
        <v>1226</v>
      </c>
      <c r="O63" s="323">
        <v>4058.5</v>
      </c>
      <c r="P63" s="324">
        <v>5820.09</v>
      </c>
      <c r="Q63" s="324">
        <v>5455.52</v>
      </c>
      <c r="R63" s="324">
        <v>3982.31</v>
      </c>
      <c r="S63" s="324">
        <v>4013.99</v>
      </c>
      <c r="T63" s="324">
        <v>3293.09</v>
      </c>
      <c r="U63" s="324">
        <v>3231.28</v>
      </c>
      <c r="V63" s="324">
        <v>2319.23</v>
      </c>
      <c r="W63" s="324">
        <v>1861.59</v>
      </c>
      <c r="X63" s="324">
        <v>2521.19</v>
      </c>
      <c r="Y63" s="324">
        <v>2052.4499999999998</v>
      </c>
      <c r="Z63" s="324">
        <v>1163.48</v>
      </c>
      <c r="AA63" s="324">
        <f t="shared" si="13"/>
        <v>39772.720000000001</v>
      </c>
      <c r="AB63" s="325">
        <v>0.19586855434860001</v>
      </c>
      <c r="AC63" s="290"/>
      <c r="AD63" s="324">
        <v>89301.42</v>
      </c>
      <c r="AE63" s="325">
        <v>0.19833636143150299</v>
      </c>
      <c r="AF63" s="326">
        <f t="shared" si="14"/>
        <v>-49528.7</v>
      </c>
      <c r="AG63" s="324">
        <v>47241.07</v>
      </c>
      <c r="AH63" s="325">
        <v>0.19725021721458499</v>
      </c>
      <c r="AI63" s="327">
        <f t="shared" si="15"/>
        <v>-7468.3499999999985</v>
      </c>
      <c r="AJ63" s="409">
        <f t="shared" si="16"/>
        <v>4.4859824046920824</v>
      </c>
      <c r="AK63" s="410">
        <f t="shared" si="17"/>
        <v>4.8050266343825667</v>
      </c>
      <c r="AL63" s="411">
        <f t="shared" si="18"/>
        <v>3.933150445425027</v>
      </c>
      <c r="AM63" s="412" t="str">
        <f t="shared" si="19"/>
        <v>-0.25 pts.</v>
      </c>
      <c r="AN63" s="413" t="str">
        <f t="shared" si="20"/>
        <v>-0.14 pts.</v>
      </c>
    </row>
    <row r="64" spans="1:40" x14ac:dyDescent="0.25">
      <c r="A64" s="6" t="s">
        <v>15</v>
      </c>
      <c r="B64" s="7"/>
      <c r="H64" s="15" t="s">
        <v>286</v>
      </c>
      <c r="I64" s="479" t="s">
        <v>1064</v>
      </c>
      <c r="J64" s="479" t="s">
        <v>78</v>
      </c>
      <c r="K64" s="480" t="str">
        <f t="shared" si="12"/>
        <v/>
      </c>
      <c r="L64" s="170"/>
      <c r="M64" s="170"/>
      <c r="N64" s="170" t="s">
        <v>1227</v>
      </c>
      <c r="O64" s="224">
        <v>6840.97</v>
      </c>
      <c r="P64" s="134">
        <v>9625.1299999999992</v>
      </c>
      <c r="Q64" s="134">
        <v>6565.27</v>
      </c>
      <c r="R64" s="134">
        <v>6350.31</v>
      </c>
      <c r="S64" s="134">
        <v>6664.99</v>
      </c>
      <c r="T64" s="134">
        <v>4771.59</v>
      </c>
      <c r="U64" s="134">
        <v>5189.83</v>
      </c>
      <c r="V64" s="134">
        <v>3971.23</v>
      </c>
      <c r="W64" s="134">
        <v>2830.34</v>
      </c>
      <c r="X64" s="134">
        <v>3976.57</v>
      </c>
      <c r="Y64" s="134">
        <v>3289.45</v>
      </c>
      <c r="Z64" s="134">
        <v>1921.23</v>
      </c>
      <c r="AA64" s="134">
        <f t="shared" si="13"/>
        <v>61996.91</v>
      </c>
      <c r="AB64" s="135">
        <v>0.211519358892446</v>
      </c>
      <c r="AC64" s="137"/>
      <c r="AD64" s="134">
        <v>155569.39000000001</v>
      </c>
      <c r="AE64" s="135">
        <v>0.23051090585940401</v>
      </c>
      <c r="AF64" s="136">
        <f t="shared" si="14"/>
        <v>-93572.48000000001</v>
      </c>
      <c r="AG64" s="134">
        <v>79637.740000000005</v>
      </c>
      <c r="AH64" s="135">
        <v>0.22429391109524499</v>
      </c>
      <c r="AI64" s="291">
        <f t="shared" si="15"/>
        <v>-17640.830000000002</v>
      </c>
      <c r="AJ64" s="360">
        <f t="shared" si="16"/>
        <v>6.9926584705616968</v>
      </c>
      <c r="AK64" s="361">
        <f t="shared" si="17"/>
        <v>8.3706962604250741</v>
      </c>
      <c r="AL64" s="363">
        <f t="shared" si="18"/>
        <v>6.6304004662392808</v>
      </c>
      <c r="AM64" s="405" t="str">
        <f t="shared" si="19"/>
        <v>-1.9 pts.</v>
      </c>
      <c r="AN64" s="406" t="str">
        <f t="shared" si="20"/>
        <v>-1.28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v>6840.97</v>
      </c>
      <c r="P70" s="134">
        <v>9625.1299999999992</v>
      </c>
      <c r="Q70" s="134">
        <v>6565.27</v>
      </c>
      <c r="R70" s="134">
        <v>6350.31</v>
      </c>
      <c r="S70" s="134">
        <v>6664.99</v>
      </c>
      <c r="T70" s="134">
        <v>4771.59</v>
      </c>
      <c r="U70" s="134">
        <v>5189.83</v>
      </c>
      <c r="V70" s="134">
        <v>3971.23</v>
      </c>
      <c r="W70" s="134">
        <v>2830.34</v>
      </c>
      <c r="X70" s="134">
        <v>3976.57</v>
      </c>
      <c r="Y70" s="134">
        <v>3289.45</v>
      </c>
      <c r="Z70" s="134">
        <v>1921.23</v>
      </c>
      <c r="AA70" s="134">
        <f t="shared" si="13"/>
        <v>61996.91</v>
      </c>
      <c r="AB70" s="135">
        <v>0.15135867169602901</v>
      </c>
      <c r="AC70" s="137"/>
      <c r="AD70" s="134">
        <v>155569.39000000001</v>
      </c>
      <c r="AE70" s="135">
        <v>0.17818669693473799</v>
      </c>
      <c r="AF70" s="136">
        <f t="shared" si="14"/>
        <v>-93572.48000000001</v>
      </c>
      <c r="AG70" s="134">
        <v>79637.740000000005</v>
      </c>
      <c r="AH70" s="135">
        <v>0.17858601029526899</v>
      </c>
      <c r="AI70" s="291">
        <f t="shared" si="15"/>
        <v>-17640.830000000002</v>
      </c>
      <c r="AJ70" s="360">
        <f t="shared" si="16"/>
        <v>6.9926584705616968</v>
      </c>
      <c r="AK70" s="361">
        <f t="shared" si="17"/>
        <v>8.3706962604250741</v>
      </c>
      <c r="AL70" s="363">
        <f t="shared" si="18"/>
        <v>6.6304004662392808</v>
      </c>
      <c r="AM70" s="405" t="str">
        <f t="shared" si="19"/>
        <v>-2.68 pts.</v>
      </c>
      <c r="AN70" s="406" t="str">
        <f t="shared" si="20"/>
        <v>-2.72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40322.67</v>
      </c>
      <c r="P72" s="164">
        <f t="shared" si="21"/>
        <v>51218.420000000006</v>
      </c>
      <c r="Q72" s="164">
        <f t="shared" si="21"/>
        <v>56977.83</v>
      </c>
      <c r="R72" s="164">
        <f t="shared" si="21"/>
        <v>34065.060000000005</v>
      </c>
      <c r="S72" s="164">
        <f t="shared" si="21"/>
        <v>35887.93</v>
      </c>
      <c r="T72" s="164">
        <f t="shared" si="21"/>
        <v>23388.95</v>
      </c>
      <c r="U72" s="164">
        <f t="shared" si="21"/>
        <v>27209.269999999997</v>
      </c>
      <c r="V72" s="164">
        <f t="shared" si="21"/>
        <v>19317.48</v>
      </c>
      <c r="W72" s="164">
        <f t="shared" si="21"/>
        <v>13758.779999999999</v>
      </c>
      <c r="X72" s="164">
        <f t="shared" si="21"/>
        <v>19530.34</v>
      </c>
      <c r="Y72" s="164">
        <f t="shared" si="21"/>
        <v>15733.8</v>
      </c>
      <c r="Z72" s="164">
        <f t="shared" si="21"/>
        <v>10195.19</v>
      </c>
      <c r="AA72" s="134">
        <f>IF($I72="B1","",SUM(O72:Z72))</f>
        <v>347605.72000000003</v>
      </c>
      <c r="AB72" s="135">
        <f>IF(AA72=0,"",IFERROR(AA72/AA$19,""))</f>
        <v>0.84864132830397132</v>
      </c>
      <c r="AD72" s="164">
        <f>SUMIF($H$35:$H$70,"400000",AD35:AD70)-SUMIF($H$35:$H$70,"500001",AD35:AD70)</f>
        <v>717500.22</v>
      </c>
      <c r="AE72" s="135">
        <f>IF(AD72=0,"",IFERROR(AD72/AD$19,""))</f>
        <v>0.8218133030652619</v>
      </c>
      <c r="AF72" s="165">
        <f t="shared" si="14"/>
        <v>-369894.49999999994</v>
      </c>
      <c r="AG72" s="164">
        <f>SUMIF($H$35:$H$70,"400000",AG35:AG70)-SUMIF($H$35:$H$70,"500001",AG35:AG70)</f>
        <v>366297.19</v>
      </c>
      <c r="AH72" s="135">
        <f>IF(AG72=0,"",IFERROR(AG72/AG$19,""))</f>
        <v>0.82141398970473112</v>
      </c>
      <c r="AI72" s="165">
        <f t="shared" si="15"/>
        <v>-18691.469999999972</v>
      </c>
      <c r="AJ72" s="360">
        <f>IFERROR(AA72/AA$20,0)</f>
        <v>39.206600496277922</v>
      </c>
      <c r="AK72" s="361">
        <f>IFERROR(AD72/AD$20,0)</f>
        <v>38.606414850686036</v>
      </c>
      <c r="AL72" s="363">
        <f>IFERROR(AG72/AG$20,0)</f>
        <v>30.496810423778204</v>
      </c>
      <c r="AM72" s="405" t="str">
        <f>+IFERROR(ROUND(($AB72-AE72)*100,2)&amp;" pts.",0)</f>
        <v>2.68 pts.</v>
      </c>
      <c r="AN72" s="406" t="str">
        <f>+IFERROR(ROUND(($AB72-AH72)*100,2)&amp;" pts.",0)</f>
        <v>2.72 pts.</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M74" s="162"/>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M75" s="162"/>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 t="shared" ref="K76:K85" si="22">IF(AND(I76&gt;="T3"),"&gt;","")</f>
        <v/>
      </c>
      <c r="L76" s="162"/>
      <c r="M76" s="162"/>
      <c r="N76" s="162"/>
      <c r="O76" s="38"/>
      <c r="P76" s="38"/>
      <c r="Q76" s="38"/>
      <c r="R76" s="38"/>
      <c r="S76" s="38"/>
      <c r="T76" s="38"/>
      <c r="U76" s="38"/>
      <c r="V76" s="38"/>
      <c r="W76" s="38"/>
      <c r="X76" s="38"/>
      <c r="Y76" s="38"/>
      <c r="Z76" s="38"/>
      <c r="AA76" s="310">
        <f t="shared" ref="AA76:AA85" si="23">IF($I76="B1","",SUM(O76:Z76))</f>
        <v>0</v>
      </c>
      <c r="AB76" s="39" t="str">
        <f t="shared" ref="AB76:AB85" si="24">IF(AA76=0,"",IFERROR(AA76/AA$19,""))</f>
        <v/>
      </c>
      <c r="AD76" s="38"/>
      <c r="AE76" s="39" t="str">
        <f t="shared" ref="AE76:AE85" si="25">IF(AD76=0,"",IFERROR(AD76/AD$19,""))</f>
        <v/>
      </c>
      <c r="AF76" s="132">
        <f t="shared" ref="AF76:AF85" si="26">IF(AND($AA76="",AD76=""),"",$AA76-AD76)</f>
        <v>0</v>
      </c>
      <c r="AG76" s="38"/>
      <c r="AH76" s="39" t="str">
        <f t="shared" ref="AH76:AH85" si="27">IF(AG76=0,"",IFERROR(AG76/AG$19,""))</f>
        <v/>
      </c>
      <c r="AI76" s="132">
        <f t="shared" ref="AI76:AI85" si="28">IF(AND($AA76="",AG76=""),"",$AA76-AG76)</f>
        <v>0</v>
      </c>
      <c r="AJ76" s="399">
        <f t="shared" ref="AJ76:AJ85" si="29">IFERROR(AA76/AA$20,0)</f>
        <v>0</v>
      </c>
      <c r="AK76" s="400">
        <f t="shared" ref="AK76:AK85" si="30">IFERROR(AD76/AD$20,0)</f>
        <v>0</v>
      </c>
      <c r="AL76" s="401">
        <f t="shared" ref="AL76:AL85" si="31">IFERROR(AG76/AG$20,0)</f>
        <v>0</v>
      </c>
      <c r="AM76" s="402">
        <f t="shared" ref="AM76:AM85" si="32">+IFERROR(ROUND(($AB76-AE76)*100,2)&amp;" pts.",0)</f>
        <v>0</v>
      </c>
      <c r="AN76" s="403">
        <f t="shared" ref="AN76:AN85" si="33">+IFERROR(ROUND(($AB76-AH76)*100,2)&amp;" pts.",0)</f>
        <v>0</v>
      </c>
    </row>
    <row r="77" spans="1:40" hidden="1" x14ac:dyDescent="0.25">
      <c r="A77" s="1" t="s">
        <v>108</v>
      </c>
      <c r="C77" s="151" t="s">
        <v>101</v>
      </c>
      <c r="D77" s="1" t="s">
        <v>107</v>
      </c>
      <c r="F77" s="1" t="s">
        <v>99</v>
      </c>
      <c r="H77" s="15"/>
      <c r="I77" s="161"/>
      <c r="J77" s="161"/>
      <c r="K77" s="68" t="str">
        <f t="shared" si="22"/>
        <v/>
      </c>
      <c r="L77" s="162"/>
      <c r="M77" s="162"/>
      <c r="N77" s="162"/>
      <c r="O77" s="38"/>
      <c r="P77" s="38"/>
      <c r="Q77" s="38"/>
      <c r="R77" s="38"/>
      <c r="S77" s="38"/>
      <c r="T77" s="38"/>
      <c r="U77" s="38"/>
      <c r="V77" s="38"/>
      <c r="W77" s="38"/>
      <c r="X77" s="38"/>
      <c r="Y77" s="38"/>
      <c r="Z77" s="38"/>
      <c r="AA77" s="310">
        <f t="shared" si="23"/>
        <v>0</v>
      </c>
      <c r="AB77" s="39" t="str">
        <f t="shared" si="24"/>
        <v/>
      </c>
      <c r="AD77" s="38"/>
      <c r="AE77" s="39" t="str">
        <f t="shared" si="25"/>
        <v/>
      </c>
      <c r="AF77" s="132">
        <f t="shared" si="26"/>
        <v>0</v>
      </c>
      <c r="AG77" s="38"/>
      <c r="AH77" s="39" t="str">
        <f t="shared" si="27"/>
        <v/>
      </c>
      <c r="AI77" s="132">
        <f t="shared" si="28"/>
        <v>0</v>
      </c>
      <c r="AJ77" s="399">
        <f t="shared" si="29"/>
        <v>0</v>
      </c>
      <c r="AK77" s="400">
        <f t="shared" si="30"/>
        <v>0</v>
      </c>
      <c r="AL77" s="401">
        <f t="shared" si="31"/>
        <v>0</v>
      </c>
      <c r="AM77" s="402">
        <f t="shared" si="32"/>
        <v>0</v>
      </c>
      <c r="AN77" s="403">
        <f t="shared" si="33"/>
        <v>0</v>
      </c>
    </row>
    <row r="78" spans="1:40" x14ac:dyDescent="0.25">
      <c r="H78" s="15" t="s">
        <v>75</v>
      </c>
      <c r="I78" s="28" t="s">
        <v>1011</v>
      </c>
      <c r="J78" s="28" t="s">
        <v>78</v>
      </c>
      <c r="K78" s="69" t="str">
        <f t="shared" si="22"/>
        <v/>
      </c>
      <c r="L78" s="25"/>
      <c r="M78" s="162"/>
      <c r="N78" s="25" t="s">
        <v>1082</v>
      </c>
      <c r="O78" s="47"/>
      <c r="P78" s="47"/>
      <c r="Q78" s="47"/>
      <c r="R78" s="47"/>
      <c r="S78" s="47"/>
      <c r="T78" s="47"/>
      <c r="U78" s="47"/>
      <c r="V78" s="47"/>
      <c r="W78" s="47"/>
      <c r="X78" s="47"/>
      <c r="Y78" s="47"/>
      <c r="Z78" s="47"/>
      <c r="AA78" s="324" t="str">
        <f t="shared" si="23"/>
        <v/>
      </c>
      <c r="AB78" s="48" t="str">
        <f t="shared" si="24"/>
        <v/>
      </c>
      <c r="AD78" s="47"/>
      <c r="AE78" s="48" t="str">
        <f t="shared" si="25"/>
        <v/>
      </c>
      <c r="AF78" s="150" t="str">
        <f t="shared" si="26"/>
        <v/>
      </c>
      <c r="AG78" s="47"/>
      <c r="AH78" s="48" t="str">
        <f t="shared" si="27"/>
        <v/>
      </c>
      <c r="AI78" s="150" t="str">
        <f t="shared" si="28"/>
        <v/>
      </c>
      <c r="AJ78" s="409">
        <f t="shared" si="29"/>
        <v>0</v>
      </c>
      <c r="AK78" s="410">
        <f t="shared" si="30"/>
        <v>0</v>
      </c>
      <c r="AL78" s="411">
        <f t="shared" si="31"/>
        <v>0</v>
      </c>
      <c r="AM78" s="412">
        <f t="shared" si="32"/>
        <v>0</v>
      </c>
      <c r="AN78" s="413">
        <f t="shared" si="33"/>
        <v>0</v>
      </c>
    </row>
    <row r="79" spans="1:40" x14ac:dyDescent="0.25">
      <c r="C79" s="32"/>
      <c r="H79" s="15" t="s">
        <v>863</v>
      </c>
      <c r="I79" s="481" t="s">
        <v>1012</v>
      </c>
      <c r="J79" s="481" t="s">
        <v>78</v>
      </c>
      <c r="K79" s="226" t="str">
        <f t="shared" si="22"/>
        <v>&gt;</v>
      </c>
      <c r="L79" s="195"/>
      <c r="M79" s="162"/>
      <c r="N79" s="195" t="s">
        <v>336</v>
      </c>
      <c r="O79" s="36">
        <v>7357.58</v>
      </c>
      <c r="P79" s="36">
        <v>3590.24</v>
      </c>
      <c r="Q79" s="36">
        <v>2955.92</v>
      </c>
      <c r="R79" s="36">
        <v>3233.2</v>
      </c>
      <c r="S79" s="36">
        <v>2509.6</v>
      </c>
      <c r="T79" s="36"/>
      <c r="U79" s="36">
        <v>1960.16</v>
      </c>
      <c r="V79" s="36">
        <v>1863.12</v>
      </c>
      <c r="W79" s="36">
        <v>1327.12</v>
      </c>
      <c r="X79" s="36">
        <v>1880.56</v>
      </c>
      <c r="Y79" s="36">
        <v>1521.84</v>
      </c>
      <c r="Z79" s="36">
        <v>723.68</v>
      </c>
      <c r="AA79" s="36">
        <f t="shared" si="23"/>
        <v>28923.019999999997</v>
      </c>
      <c r="AB79" s="37">
        <f t="shared" si="24"/>
        <v>7.061238840190065E-2</v>
      </c>
      <c r="AC79" s="35"/>
      <c r="AD79" s="36">
        <v>134014.271428571</v>
      </c>
      <c r="AE79" s="37">
        <f t="shared" si="25"/>
        <v>0.15349780807119262</v>
      </c>
      <c r="AF79" s="58">
        <f t="shared" si="26"/>
        <v>-105091.25142857101</v>
      </c>
      <c r="AG79" s="36">
        <v>19789.740000000002</v>
      </c>
      <c r="AH79" s="37">
        <f t="shared" si="27"/>
        <v>4.4378088973653626E-2</v>
      </c>
      <c r="AI79" s="58">
        <f t="shared" si="28"/>
        <v>9133.2799999999952</v>
      </c>
      <c r="AJ79" s="372">
        <f t="shared" si="29"/>
        <v>3.2622400180464695</v>
      </c>
      <c r="AK79" s="373">
        <f t="shared" si="30"/>
        <v>7.2108835850724233</v>
      </c>
      <c r="AL79" s="375">
        <f t="shared" si="31"/>
        <v>1.6476346682207976</v>
      </c>
      <c r="AM79" s="407" t="str">
        <f t="shared" si="32"/>
        <v>-8.29 pts.</v>
      </c>
      <c r="AN79" s="408" t="str">
        <f t="shared" si="33"/>
        <v>2.62 pts.</v>
      </c>
    </row>
    <row r="80" spans="1:40" x14ac:dyDescent="0.25">
      <c r="A80" s="4" t="s">
        <v>988</v>
      </c>
      <c r="H80" s="15" t="s">
        <v>848</v>
      </c>
      <c r="I80" s="28" t="s">
        <v>1010</v>
      </c>
      <c r="J80" s="28" t="s">
        <v>78</v>
      </c>
      <c r="K80" s="69" t="str">
        <f t="shared" si="22"/>
        <v/>
      </c>
      <c r="L80" s="25"/>
      <c r="M80" s="170"/>
      <c r="N80" s="25" t="s">
        <v>1085</v>
      </c>
      <c r="O80" s="134">
        <v>7357.58</v>
      </c>
      <c r="P80" s="134">
        <v>3590.24</v>
      </c>
      <c r="Q80" s="134">
        <v>2955.92</v>
      </c>
      <c r="R80" s="134">
        <v>3233.2</v>
      </c>
      <c r="S80" s="134">
        <v>2509.6</v>
      </c>
      <c r="T80" s="134"/>
      <c r="U80" s="134">
        <v>1960.16</v>
      </c>
      <c r="V80" s="134">
        <v>1863.12</v>
      </c>
      <c r="W80" s="134">
        <v>1327.12</v>
      </c>
      <c r="X80" s="134">
        <v>1880.56</v>
      </c>
      <c r="Y80" s="134">
        <v>1521.84</v>
      </c>
      <c r="Z80" s="134">
        <v>723.68</v>
      </c>
      <c r="AA80" s="134">
        <f t="shared" si="23"/>
        <v>28923.019999999997</v>
      </c>
      <c r="AB80" s="135">
        <f t="shared" si="24"/>
        <v>7.061238840190065E-2</v>
      </c>
      <c r="AC80" s="137"/>
      <c r="AD80" s="134">
        <v>134014.271428571</v>
      </c>
      <c r="AE80" s="135">
        <f t="shared" si="25"/>
        <v>0.15349780807119262</v>
      </c>
      <c r="AF80" s="136">
        <f t="shared" si="26"/>
        <v>-105091.25142857101</v>
      </c>
      <c r="AG80" s="134">
        <v>19789.740000000002</v>
      </c>
      <c r="AH80" s="135">
        <f t="shared" si="27"/>
        <v>4.4378088973653626E-2</v>
      </c>
      <c r="AI80" s="136">
        <f t="shared" si="28"/>
        <v>9133.2799999999952</v>
      </c>
      <c r="AJ80" s="360">
        <f t="shared" si="29"/>
        <v>3.2622400180464695</v>
      </c>
      <c r="AK80" s="361">
        <f t="shared" si="30"/>
        <v>7.2108835850724233</v>
      </c>
      <c r="AL80" s="363">
        <f t="shared" si="31"/>
        <v>1.6476346682207976</v>
      </c>
      <c r="AM80" s="405" t="str">
        <f t="shared" si="32"/>
        <v>-8.29 pts.</v>
      </c>
      <c r="AN80" s="406" t="str">
        <f t="shared" si="33"/>
        <v>2.62 pts.</v>
      </c>
    </row>
    <row r="81" spans="1:40" x14ac:dyDescent="0.25">
      <c r="H81" s="15" t="s">
        <v>864</v>
      </c>
      <c r="I81" s="481" t="s">
        <v>1012</v>
      </c>
      <c r="J81" s="481" t="s">
        <v>78</v>
      </c>
      <c r="K81" s="226" t="str">
        <f t="shared" si="22"/>
        <v>&gt;</v>
      </c>
      <c r="L81" s="195"/>
      <c r="M81" s="162"/>
      <c r="N81" s="195" t="s">
        <v>1238</v>
      </c>
      <c r="O81" s="514">
        <v>5383.85</v>
      </c>
      <c r="P81" s="514">
        <v>7867.47</v>
      </c>
      <c r="Q81" s="514">
        <v>6807.87</v>
      </c>
      <c r="R81" s="514">
        <v>5638.5</v>
      </c>
      <c r="S81" s="514">
        <v>5967.36</v>
      </c>
      <c r="T81" s="514">
        <v>4365.47</v>
      </c>
      <c r="U81" s="514">
        <v>4579.0200000000004</v>
      </c>
      <c r="V81" s="514">
        <v>3474.9</v>
      </c>
      <c r="W81" s="514">
        <v>2495.16</v>
      </c>
      <c r="X81" s="514">
        <v>3551.94</v>
      </c>
      <c r="Y81" s="514">
        <v>2905.11</v>
      </c>
      <c r="Z81" s="514">
        <v>1679.81</v>
      </c>
      <c r="AA81" s="514">
        <f t="shared" si="23"/>
        <v>54716.459999999992</v>
      </c>
      <c r="AB81" s="515">
        <f t="shared" si="24"/>
        <v>0.13358424969097488</v>
      </c>
      <c r="AC81" s="525"/>
      <c r="AD81" s="514">
        <v>121480.11</v>
      </c>
      <c r="AE81" s="515">
        <f t="shared" si="25"/>
        <v>0.1391413795745336</v>
      </c>
      <c r="AF81" s="516">
        <f t="shared" si="26"/>
        <v>-66763.650000000009</v>
      </c>
      <c r="AG81" s="514">
        <v>64902.35</v>
      </c>
      <c r="AH81" s="515">
        <f t="shared" si="27"/>
        <v>0.14554219827543</v>
      </c>
      <c r="AI81" s="516">
        <f t="shared" si="28"/>
        <v>-10185.890000000007</v>
      </c>
      <c r="AJ81" s="517">
        <f t="shared" si="29"/>
        <v>6.1714933453643122</v>
      </c>
      <c r="AK81" s="518">
        <f t="shared" si="30"/>
        <v>6.5364600484261501</v>
      </c>
      <c r="AL81" s="519">
        <f t="shared" si="31"/>
        <v>5.4035758887686285</v>
      </c>
      <c r="AM81" s="520" t="str">
        <f t="shared" si="32"/>
        <v>-0.56 pts.</v>
      </c>
      <c r="AN81" s="521" t="str">
        <f t="shared" si="33"/>
        <v>-1.2 pts.</v>
      </c>
    </row>
    <row r="82" spans="1:40" x14ac:dyDescent="0.25">
      <c r="A82" s="3" t="s">
        <v>0</v>
      </c>
      <c r="B82" s="5" t="s">
        <v>1</v>
      </c>
      <c r="H82" s="15" t="s">
        <v>850</v>
      </c>
      <c r="I82" s="28" t="s">
        <v>1010</v>
      </c>
      <c r="J82" s="28" t="s">
        <v>78</v>
      </c>
      <c r="K82" s="69" t="str">
        <f t="shared" si="22"/>
        <v/>
      </c>
      <c r="L82" s="25"/>
      <c r="M82" s="170"/>
      <c r="N82" s="25" t="s">
        <v>1088</v>
      </c>
      <c r="O82" s="134">
        <v>12741.43</v>
      </c>
      <c r="P82" s="134">
        <v>11457.71</v>
      </c>
      <c r="Q82" s="134">
        <v>9763.7900000000009</v>
      </c>
      <c r="R82" s="134">
        <v>8871.7000000000007</v>
      </c>
      <c r="S82" s="134">
        <v>8476.9599999999991</v>
      </c>
      <c r="T82" s="134">
        <v>4365.47</v>
      </c>
      <c r="U82" s="134">
        <v>6539.18</v>
      </c>
      <c r="V82" s="134">
        <v>5338.02</v>
      </c>
      <c r="W82" s="134">
        <v>3822.28</v>
      </c>
      <c r="X82" s="134">
        <v>5432.5</v>
      </c>
      <c r="Y82" s="134">
        <v>4426.95</v>
      </c>
      <c r="Z82" s="134">
        <v>2403.4899999999998</v>
      </c>
      <c r="AA82" s="134">
        <f t="shared" si="23"/>
        <v>83639.48000000001</v>
      </c>
      <c r="AB82" s="135">
        <f t="shared" si="24"/>
        <v>0.20419663809287558</v>
      </c>
      <c r="AC82" s="137"/>
      <c r="AD82" s="134">
        <v>255494.38142857101</v>
      </c>
      <c r="AE82" s="135">
        <f t="shared" si="25"/>
        <v>0.29263918764572622</v>
      </c>
      <c r="AF82" s="136">
        <f t="shared" si="26"/>
        <v>-171854.901428571</v>
      </c>
      <c r="AG82" s="134">
        <v>84692.09</v>
      </c>
      <c r="AH82" s="135">
        <f t="shared" si="27"/>
        <v>0.18992028724908364</v>
      </c>
      <c r="AI82" s="136">
        <f t="shared" si="28"/>
        <v>-1052.609999999986</v>
      </c>
      <c r="AJ82" s="360">
        <f t="shared" si="29"/>
        <v>9.4337333634107843</v>
      </c>
      <c r="AK82" s="361">
        <f t="shared" si="30"/>
        <v>13.747343633498575</v>
      </c>
      <c r="AL82" s="363">
        <f t="shared" si="31"/>
        <v>7.0512105569894263</v>
      </c>
      <c r="AM82" s="405" t="str">
        <f t="shared" si="32"/>
        <v>-8.84 pts.</v>
      </c>
      <c r="AN82" s="406" t="str">
        <f t="shared" si="33"/>
        <v>1.43 pts.</v>
      </c>
    </row>
    <row r="83" spans="1:40" x14ac:dyDescent="0.25">
      <c r="A83" s="6" t="s">
        <v>2</v>
      </c>
      <c r="B83" s="16" t="s">
        <v>1358</v>
      </c>
      <c r="H83" s="15" t="s">
        <v>853</v>
      </c>
      <c r="I83" s="481" t="s">
        <v>1012</v>
      </c>
      <c r="J83" s="481" t="s">
        <v>78</v>
      </c>
      <c r="K83" s="226" t="str">
        <f t="shared" si="22"/>
        <v>&gt;</v>
      </c>
      <c r="L83" s="195"/>
      <c r="M83" s="162"/>
      <c r="N83" s="195" t="s">
        <v>562</v>
      </c>
      <c r="O83" s="514"/>
      <c r="P83" s="514"/>
      <c r="Q83" s="514"/>
      <c r="R83" s="514"/>
      <c r="S83" s="514"/>
      <c r="T83" s="514"/>
      <c r="U83" s="514"/>
      <c r="V83" s="514"/>
      <c r="W83" s="514"/>
      <c r="X83" s="514"/>
      <c r="Y83" s="514"/>
      <c r="Z83" s="514"/>
      <c r="AA83" s="514">
        <f t="shared" si="23"/>
        <v>0</v>
      </c>
      <c r="AB83" s="515" t="str">
        <f t="shared" si="24"/>
        <v/>
      </c>
      <c r="AC83" s="525"/>
      <c r="AD83" s="514">
        <v>4800</v>
      </c>
      <c r="AE83" s="515">
        <f t="shared" si="25"/>
        <v>5.497843407927118E-3</v>
      </c>
      <c r="AF83" s="516">
        <f t="shared" si="26"/>
        <v>-4800</v>
      </c>
      <c r="AG83" s="514"/>
      <c r="AH83" s="515" t="str">
        <f t="shared" si="27"/>
        <v/>
      </c>
      <c r="AI83" s="516">
        <f t="shared" si="28"/>
        <v>0</v>
      </c>
      <c r="AJ83" s="517">
        <f t="shared" si="29"/>
        <v>0</v>
      </c>
      <c r="AK83" s="518">
        <f t="shared" si="30"/>
        <v>0.25827280064568198</v>
      </c>
      <c r="AL83" s="519">
        <f t="shared" si="31"/>
        <v>0</v>
      </c>
      <c r="AM83" s="520">
        <f t="shared" si="32"/>
        <v>0</v>
      </c>
      <c r="AN83" s="521">
        <f t="shared" si="33"/>
        <v>0</v>
      </c>
    </row>
    <row r="84" spans="1:40" x14ac:dyDescent="0.25">
      <c r="A84" s="6" t="s">
        <v>3</v>
      </c>
      <c r="B84" s="16" t="s">
        <v>1359</v>
      </c>
      <c r="H84" s="15" t="s">
        <v>854</v>
      </c>
      <c r="I84" s="28" t="s">
        <v>1010</v>
      </c>
      <c r="J84" s="28" t="s">
        <v>78</v>
      </c>
      <c r="K84" s="69" t="str">
        <f t="shared" si="22"/>
        <v/>
      </c>
      <c r="L84" s="25"/>
      <c r="M84" s="170"/>
      <c r="N84" s="25" t="s">
        <v>1089</v>
      </c>
      <c r="O84" s="36"/>
      <c r="P84" s="36"/>
      <c r="Q84" s="36"/>
      <c r="R84" s="36"/>
      <c r="S84" s="36"/>
      <c r="T84" s="36"/>
      <c r="U84" s="36"/>
      <c r="V84" s="36"/>
      <c r="W84" s="36"/>
      <c r="X84" s="36"/>
      <c r="Y84" s="36"/>
      <c r="Z84" s="36"/>
      <c r="AA84" s="36">
        <f t="shared" si="23"/>
        <v>0</v>
      </c>
      <c r="AB84" s="37" t="str">
        <f t="shared" si="24"/>
        <v/>
      </c>
      <c r="AC84" s="35"/>
      <c r="AD84" s="36">
        <v>4800</v>
      </c>
      <c r="AE84" s="37">
        <f t="shared" si="25"/>
        <v>5.497843407927118E-3</v>
      </c>
      <c r="AF84" s="58">
        <f t="shared" si="26"/>
        <v>-4800</v>
      </c>
      <c r="AG84" s="36"/>
      <c r="AH84" s="37" t="str">
        <f t="shared" si="27"/>
        <v/>
      </c>
      <c r="AI84" s="58">
        <f t="shared" si="28"/>
        <v>0</v>
      </c>
      <c r="AJ84" s="372">
        <f t="shared" si="29"/>
        <v>0</v>
      </c>
      <c r="AK84" s="373">
        <f t="shared" si="30"/>
        <v>0.25827280064568198</v>
      </c>
      <c r="AL84" s="375">
        <f t="shared" si="31"/>
        <v>0</v>
      </c>
      <c r="AM84" s="407">
        <f t="shared" si="32"/>
        <v>0</v>
      </c>
      <c r="AN84" s="408">
        <f t="shared" si="33"/>
        <v>0</v>
      </c>
    </row>
    <row r="85" spans="1:40" x14ac:dyDescent="0.25">
      <c r="A85" s="6" t="s">
        <v>4</v>
      </c>
      <c r="B85" s="16" t="s">
        <v>1365</v>
      </c>
      <c r="H85" s="15" t="s">
        <v>76</v>
      </c>
      <c r="I85" s="28" t="s">
        <v>1046</v>
      </c>
      <c r="J85" s="28" t="s">
        <v>78</v>
      </c>
      <c r="K85" s="69" t="str">
        <f t="shared" si="22"/>
        <v/>
      </c>
      <c r="L85" s="25">
        <v>600000</v>
      </c>
      <c r="M85" s="170"/>
      <c r="N85" s="25" t="s">
        <v>1090</v>
      </c>
      <c r="O85" s="36">
        <v>12741.43</v>
      </c>
      <c r="P85" s="36">
        <v>11457.71</v>
      </c>
      <c r="Q85" s="36">
        <v>9763.7900000000009</v>
      </c>
      <c r="R85" s="36">
        <v>8871.7000000000007</v>
      </c>
      <c r="S85" s="36">
        <v>8476.9599999999991</v>
      </c>
      <c r="T85" s="36">
        <v>4365.47</v>
      </c>
      <c r="U85" s="36">
        <v>6539.18</v>
      </c>
      <c r="V85" s="36">
        <v>5338.02</v>
      </c>
      <c r="W85" s="36">
        <v>3822.28</v>
      </c>
      <c r="X85" s="36">
        <v>5432.5</v>
      </c>
      <c r="Y85" s="36">
        <v>4426.95</v>
      </c>
      <c r="Z85" s="36">
        <v>2403.4899999999998</v>
      </c>
      <c r="AA85" s="36">
        <f t="shared" si="23"/>
        <v>83639.48000000001</v>
      </c>
      <c r="AB85" s="37">
        <f t="shared" si="24"/>
        <v>0.20419663809287558</v>
      </c>
      <c r="AC85" s="35"/>
      <c r="AD85" s="36">
        <v>260294.38142857101</v>
      </c>
      <c r="AE85" s="37">
        <f t="shared" si="25"/>
        <v>0.29813703105365336</v>
      </c>
      <c r="AF85" s="58">
        <f t="shared" si="26"/>
        <v>-176654.901428571</v>
      </c>
      <c r="AG85" s="36">
        <v>84692.09</v>
      </c>
      <c r="AH85" s="37">
        <f t="shared" si="27"/>
        <v>0.18992028724908364</v>
      </c>
      <c r="AI85" s="58">
        <f t="shared" si="28"/>
        <v>-1052.609999999986</v>
      </c>
      <c r="AJ85" s="372">
        <f t="shared" si="29"/>
        <v>9.4337333634107843</v>
      </c>
      <c r="AK85" s="373">
        <f t="shared" si="30"/>
        <v>14.005616434144256</v>
      </c>
      <c r="AL85" s="375">
        <f t="shared" si="31"/>
        <v>7.0512105569894263</v>
      </c>
      <c r="AM85" s="407" t="str">
        <f t="shared" si="32"/>
        <v>-9.39 pts.</v>
      </c>
      <c r="AN85" s="408" t="str">
        <f t="shared" si="33"/>
        <v>1.43 pts.</v>
      </c>
    </row>
    <row r="86" spans="1:40" x14ac:dyDescent="0.25">
      <c r="A86" s="6" t="s">
        <v>5</v>
      </c>
      <c r="B86" s="7"/>
      <c r="O86" s="41"/>
      <c r="P86" s="45"/>
      <c r="Q86" s="45"/>
      <c r="R86" s="45"/>
      <c r="S86" s="45"/>
      <c r="T86" s="45"/>
      <c r="U86" s="45"/>
      <c r="V86" s="45"/>
      <c r="W86" s="45"/>
      <c r="X86" s="45"/>
      <c r="Y86" s="45"/>
      <c r="Z86" s="45"/>
      <c r="AA86" s="45"/>
      <c r="AB86" s="42"/>
      <c r="AD86" s="41"/>
      <c r="AE86" s="45"/>
      <c r="AF86" s="42"/>
      <c r="AG86" s="41"/>
      <c r="AH86" s="45"/>
      <c r="AI86" s="42"/>
    </row>
    <row r="87" spans="1:40" x14ac:dyDescent="0.25">
      <c r="A87" s="6" t="s">
        <v>6</v>
      </c>
      <c r="B87" s="7"/>
      <c r="H87" s="1" t="s">
        <v>82</v>
      </c>
      <c r="I87" s="11" t="s">
        <v>1011</v>
      </c>
      <c r="J87" s="11" t="s">
        <v>78</v>
      </c>
      <c r="N87" s="40" t="s">
        <v>1092</v>
      </c>
      <c r="O87" s="43"/>
      <c r="P87" s="46"/>
      <c r="Q87" s="46"/>
      <c r="R87" s="46"/>
      <c r="S87" s="46"/>
      <c r="T87" s="46"/>
      <c r="U87" s="46"/>
      <c r="V87" s="46"/>
      <c r="W87" s="46"/>
      <c r="X87" s="46"/>
      <c r="Y87" s="46"/>
      <c r="Z87" s="46"/>
      <c r="AA87" s="46"/>
      <c r="AB87" s="44"/>
      <c r="AD87" s="43"/>
      <c r="AE87" s="46"/>
      <c r="AF87" s="44"/>
      <c r="AG87" s="43"/>
      <c r="AH87" s="46"/>
      <c r="AI87" s="44"/>
    </row>
    <row r="88" spans="1:40" x14ac:dyDescent="0.25">
      <c r="A88" s="6" t="s">
        <v>7</v>
      </c>
      <c r="B88" s="16" t="s">
        <v>1366</v>
      </c>
      <c r="H88" s="15" t="s">
        <v>832</v>
      </c>
      <c r="I88" s="161" t="s">
        <v>1064</v>
      </c>
      <c r="J88" s="161" t="s">
        <v>78</v>
      </c>
      <c r="K88" s="68" t="str">
        <f t="shared" ref="K88:K95" si="34">IF(AND(I88&lt;&gt;"B1",J88="Y"),"&gt;","")</f>
        <v>&gt;</v>
      </c>
      <c r="L88" s="162">
        <v>701500</v>
      </c>
      <c r="M88" s="162"/>
      <c r="N88" s="162" t="s">
        <v>1094</v>
      </c>
      <c r="O88" s="21">
        <v>164.31</v>
      </c>
      <c r="P88" s="21"/>
      <c r="Q88" s="21">
        <v>40.32</v>
      </c>
      <c r="R88" s="21">
        <v>130.77000000000001</v>
      </c>
      <c r="S88" s="21"/>
      <c r="T88" s="21">
        <v>489.93</v>
      </c>
      <c r="U88" s="21">
        <v>124.11</v>
      </c>
      <c r="V88" s="21">
        <v>64.66</v>
      </c>
      <c r="W88" s="21"/>
      <c r="X88" s="21">
        <v>207.57</v>
      </c>
      <c r="Y88" s="21"/>
      <c r="Z88" s="21"/>
      <c r="AA88" s="310">
        <f t="shared" ref="AA88:AA96" si="35">IF($I88="B1","",SUM(O88:Z88))</f>
        <v>1221.6699999999998</v>
      </c>
      <c r="AB88" s="17">
        <f t="shared" ref="AB88:AB96" si="36">IF(AA88=0,"",IFERROR(AA88/AA$19,""))</f>
        <v>2.9825736226351865E-3</v>
      </c>
      <c r="AD88" s="21"/>
      <c r="AE88" s="17" t="str">
        <f t="shared" ref="AE88:AE96" si="37">IF(AD88=0,"",IFERROR(AD88/AD$19,""))</f>
        <v/>
      </c>
      <c r="AF88" s="50">
        <f t="shared" ref="AF88:AF96" si="38">IF(AND($AA88="",AD88=""),"",$AA88-AD88)</f>
        <v>1221.6699999999998</v>
      </c>
      <c r="AG88" s="21">
        <v>478.22</v>
      </c>
      <c r="AH88" s="17">
        <f t="shared" ref="AH88:AH96" si="39">IF(AG88=0,"",IFERROR(AG88/AG$19,""))</f>
        <v>1.0723986120575934E-3</v>
      </c>
      <c r="AI88" s="50">
        <f t="shared" ref="AI88:AI96" si="40">IF(AND($AA88="",AG88=""),"",$AA88-AG88)</f>
        <v>743.44999999999982</v>
      </c>
      <c r="AJ88" s="399">
        <f t="shared" ref="AJ88:AJ96" si="41">IFERROR(AA88/AA$20,0)</f>
        <v>0.13779269117978793</v>
      </c>
      <c r="AK88" s="400">
        <f t="shared" ref="AK88:AK96" si="42">IFERROR(AD88/AD$20,0)</f>
        <v>0</v>
      </c>
      <c r="AL88" s="401">
        <f t="shared" ref="AL88:AL96" si="43">IFERROR(AG88/AG$20,0)</f>
        <v>3.9815169428024315E-2</v>
      </c>
      <c r="AM88" s="402">
        <f t="shared" ref="AM88:AM96" si="44">+IFERROR(ROUND(($AB88-AE88)*100,2)&amp;" pts.",0)</f>
        <v>0</v>
      </c>
      <c r="AN88" s="403" t="str">
        <f t="shared" ref="AN88:AN96" si="45">+IFERROR(ROUND(($AB88-AH88)*100,2)&amp;" pts.",0)</f>
        <v>0.19 pts.</v>
      </c>
    </row>
    <row r="89" spans="1:40" x14ac:dyDescent="0.25">
      <c r="A89" s="6" t="s">
        <v>47</v>
      </c>
      <c r="B89" s="16" t="s">
        <v>1362</v>
      </c>
      <c r="H89" s="15" t="s">
        <v>856</v>
      </c>
      <c r="I89" s="161" t="s">
        <v>1009</v>
      </c>
      <c r="J89" s="161" t="s">
        <v>1009</v>
      </c>
      <c r="K89" s="68" t="str">
        <f t="shared" si="34"/>
        <v/>
      </c>
      <c r="L89" s="162">
        <v>701600</v>
      </c>
      <c r="M89" s="162">
        <v>590015</v>
      </c>
      <c r="N89" s="162" t="s">
        <v>1095</v>
      </c>
      <c r="O89" s="21"/>
      <c r="P89" s="21"/>
      <c r="Q89" s="21"/>
      <c r="R89" s="21"/>
      <c r="S89" s="21"/>
      <c r="T89" s="21"/>
      <c r="U89" s="21"/>
      <c r="V89" s="21"/>
      <c r="W89" s="21"/>
      <c r="X89" s="21">
        <v>11.51</v>
      </c>
      <c r="Y89" s="21"/>
      <c r="Z89" s="21"/>
      <c r="AA89" s="310">
        <f t="shared" si="35"/>
        <v>11.51</v>
      </c>
      <c r="AB89" s="17">
        <f t="shared" si="36"/>
        <v>2.8100405507650186E-5</v>
      </c>
      <c r="AD89" s="21"/>
      <c r="AE89" s="17" t="str">
        <f t="shared" si="37"/>
        <v/>
      </c>
      <c r="AF89" s="50">
        <f t="shared" si="38"/>
        <v>11.51</v>
      </c>
      <c r="AG89" s="21"/>
      <c r="AH89" s="17" t="str">
        <f t="shared" si="39"/>
        <v/>
      </c>
      <c r="AI89" s="50">
        <f t="shared" si="40"/>
        <v>11.51</v>
      </c>
      <c r="AJ89" s="399">
        <f t="shared" si="41"/>
        <v>1.2982179111211368E-3</v>
      </c>
      <c r="AK89" s="400">
        <f t="shared" si="42"/>
        <v>0</v>
      </c>
      <c r="AL89" s="401">
        <f t="shared" si="43"/>
        <v>0</v>
      </c>
      <c r="AM89" s="402">
        <f t="shared" si="44"/>
        <v>0</v>
      </c>
      <c r="AN89" s="403">
        <f t="shared" si="45"/>
        <v>0</v>
      </c>
    </row>
    <row r="90" spans="1:40" x14ac:dyDescent="0.25">
      <c r="A90" s="6" t="s">
        <v>8</v>
      </c>
      <c r="B90" s="7"/>
      <c r="H90" s="15" t="s">
        <v>858</v>
      </c>
      <c r="I90" s="161" t="s">
        <v>1009</v>
      </c>
      <c r="J90" s="161" t="s">
        <v>1009</v>
      </c>
      <c r="K90" s="68" t="str">
        <f t="shared" si="34"/>
        <v/>
      </c>
      <c r="L90" s="162">
        <v>702300</v>
      </c>
      <c r="M90" s="162">
        <v>590040</v>
      </c>
      <c r="N90" s="162" t="s">
        <v>1097</v>
      </c>
      <c r="O90" s="21"/>
      <c r="P90" s="21"/>
      <c r="Q90" s="21"/>
      <c r="R90" s="21"/>
      <c r="S90" s="21"/>
      <c r="T90" s="21">
        <v>199.65</v>
      </c>
      <c r="U90" s="21">
        <v>180.47</v>
      </c>
      <c r="V90" s="21"/>
      <c r="W90" s="21"/>
      <c r="X90" s="21"/>
      <c r="Y90" s="21"/>
      <c r="Z90" s="21"/>
      <c r="AA90" s="310">
        <f t="shared" si="35"/>
        <v>380.12</v>
      </c>
      <c r="AB90" s="17">
        <f t="shared" si="36"/>
        <v>9.2802138501893905E-4</v>
      </c>
      <c r="AD90" s="21"/>
      <c r="AE90" s="17" t="str">
        <f t="shared" si="37"/>
        <v/>
      </c>
      <c r="AF90" s="50">
        <f t="shared" si="38"/>
        <v>380.12</v>
      </c>
      <c r="AG90" s="21">
        <v>401.9</v>
      </c>
      <c r="AH90" s="17">
        <f t="shared" si="39"/>
        <v>9.0125256615354165E-4</v>
      </c>
      <c r="AI90" s="50">
        <f t="shared" si="40"/>
        <v>-21.779999999999973</v>
      </c>
      <c r="AJ90" s="399">
        <f t="shared" si="41"/>
        <v>4.2873900293255135E-2</v>
      </c>
      <c r="AK90" s="400">
        <f t="shared" si="42"/>
        <v>0</v>
      </c>
      <c r="AL90" s="401">
        <f t="shared" si="43"/>
        <v>3.3460994088751979E-2</v>
      </c>
      <c r="AM90" s="402">
        <f t="shared" si="44"/>
        <v>0</v>
      </c>
      <c r="AN90" s="403" t="str">
        <f t="shared" si="45"/>
        <v>0 pts.</v>
      </c>
    </row>
    <row r="91" spans="1:40" x14ac:dyDescent="0.25">
      <c r="G91" s="14"/>
      <c r="H91" s="15" t="s">
        <v>833</v>
      </c>
      <c r="I91" s="161" t="s">
        <v>1064</v>
      </c>
      <c r="J91" s="161" t="s">
        <v>78</v>
      </c>
      <c r="K91" s="68" t="str">
        <f t="shared" si="34"/>
        <v>&gt;</v>
      </c>
      <c r="L91" s="162"/>
      <c r="M91" s="162"/>
      <c r="N91" s="162" t="s">
        <v>1099</v>
      </c>
      <c r="O91" s="21"/>
      <c r="P91" s="21">
        <v>300</v>
      </c>
      <c r="Q91" s="21">
        <v>150</v>
      </c>
      <c r="R91" s="21"/>
      <c r="S91" s="21">
        <v>150</v>
      </c>
      <c r="T91" s="21">
        <v>75</v>
      </c>
      <c r="U91" s="21"/>
      <c r="V91" s="21">
        <v>150</v>
      </c>
      <c r="W91" s="21">
        <v>75</v>
      </c>
      <c r="X91" s="21">
        <v>75</v>
      </c>
      <c r="Y91" s="21">
        <v>75</v>
      </c>
      <c r="Z91" s="21">
        <v>75</v>
      </c>
      <c r="AA91" s="310">
        <f t="shared" si="35"/>
        <v>1125</v>
      </c>
      <c r="AB91" s="17">
        <f t="shared" si="36"/>
        <v>2.7465643958389627E-3</v>
      </c>
      <c r="AD91" s="21">
        <v>1800</v>
      </c>
      <c r="AE91" s="17">
        <f t="shared" si="37"/>
        <v>2.0616912779726692E-3</v>
      </c>
      <c r="AF91" s="50">
        <f t="shared" si="38"/>
        <v>-675</v>
      </c>
      <c r="AG91" s="21">
        <v>1200</v>
      </c>
      <c r="AH91" s="17">
        <f t="shared" si="39"/>
        <v>2.6909755645291118E-3</v>
      </c>
      <c r="AI91" s="50">
        <f t="shared" si="40"/>
        <v>-75</v>
      </c>
      <c r="AJ91" s="399">
        <f t="shared" si="41"/>
        <v>0.12688923979246561</v>
      </c>
      <c r="AK91" s="400">
        <f t="shared" si="42"/>
        <v>9.6852300242130748E-2</v>
      </c>
      <c r="AL91" s="401">
        <f t="shared" si="43"/>
        <v>9.9908417284156184E-2</v>
      </c>
      <c r="AM91" s="402" t="str">
        <f t="shared" si="44"/>
        <v>0.07 pts.</v>
      </c>
      <c r="AN91" s="403" t="str">
        <f t="shared" si="45"/>
        <v>0.01 pts.</v>
      </c>
    </row>
    <row r="92" spans="1:40" x14ac:dyDescent="0.25">
      <c r="A92" s="3" t="s">
        <v>9</v>
      </c>
      <c r="B92" s="5" t="s">
        <v>10</v>
      </c>
      <c r="H92" s="15" t="s">
        <v>877</v>
      </c>
      <c r="I92" s="161" t="s">
        <v>1009</v>
      </c>
      <c r="J92" s="161" t="s">
        <v>1009</v>
      </c>
      <c r="K92" s="68" t="str">
        <f t="shared" si="34"/>
        <v/>
      </c>
      <c r="L92" s="162">
        <v>703500</v>
      </c>
      <c r="M92" s="162">
        <v>590004</v>
      </c>
      <c r="N92" s="162" t="s">
        <v>1247</v>
      </c>
      <c r="O92" s="21"/>
      <c r="P92" s="21"/>
      <c r="Q92" s="21"/>
      <c r="R92" s="21">
        <v>340.28</v>
      </c>
      <c r="S92" s="21"/>
      <c r="T92" s="21"/>
      <c r="U92" s="21"/>
      <c r="V92" s="21"/>
      <c r="W92" s="21"/>
      <c r="X92" s="21"/>
      <c r="Y92" s="21"/>
      <c r="Z92" s="21"/>
      <c r="AA92" s="310">
        <f t="shared" si="35"/>
        <v>340.28</v>
      </c>
      <c r="AB92" s="17">
        <f t="shared" si="36"/>
        <v>8.3075638454762854E-4</v>
      </c>
      <c r="AD92" s="21"/>
      <c r="AE92" s="17" t="str">
        <f t="shared" si="37"/>
        <v/>
      </c>
      <c r="AF92" s="50">
        <f t="shared" si="38"/>
        <v>340.28</v>
      </c>
      <c r="AG92" s="21"/>
      <c r="AH92" s="17" t="str">
        <f t="shared" si="39"/>
        <v/>
      </c>
      <c r="AI92" s="50">
        <f t="shared" si="40"/>
        <v>340.28</v>
      </c>
      <c r="AJ92" s="399">
        <f t="shared" si="41"/>
        <v>3.8380329348071278E-2</v>
      </c>
      <c r="AK92" s="400">
        <f t="shared" si="42"/>
        <v>0</v>
      </c>
      <c r="AL92" s="401">
        <f t="shared" si="43"/>
        <v>0</v>
      </c>
      <c r="AM92" s="402">
        <f t="shared" si="44"/>
        <v>0</v>
      </c>
      <c r="AN92" s="403">
        <f t="shared" si="45"/>
        <v>0</v>
      </c>
    </row>
    <row r="93" spans="1:40" x14ac:dyDescent="0.25">
      <c r="A93" s="6" t="s">
        <v>11</v>
      </c>
      <c r="B93" s="7" t="s">
        <v>21</v>
      </c>
      <c r="H93" s="15" t="s">
        <v>878</v>
      </c>
      <c r="I93" s="161" t="s">
        <v>1009</v>
      </c>
      <c r="J93" s="161" t="s">
        <v>1009</v>
      </c>
      <c r="K93" s="68" t="str">
        <f t="shared" si="34"/>
        <v/>
      </c>
      <c r="L93" s="162">
        <v>703510</v>
      </c>
      <c r="M93" s="162">
        <v>590003</v>
      </c>
      <c r="N93" s="162" t="s">
        <v>1248</v>
      </c>
      <c r="O93" s="21"/>
      <c r="P93" s="21"/>
      <c r="Q93" s="21"/>
      <c r="R93" s="21"/>
      <c r="S93" s="21"/>
      <c r="T93" s="21">
        <v>216.44</v>
      </c>
      <c r="U93" s="21"/>
      <c r="V93" s="21"/>
      <c r="W93" s="21"/>
      <c r="X93" s="21"/>
      <c r="Y93" s="21"/>
      <c r="Z93" s="21"/>
      <c r="AA93" s="310">
        <f t="shared" si="35"/>
        <v>216.44</v>
      </c>
      <c r="AB93" s="17">
        <f t="shared" si="36"/>
        <v>5.2841457585367556E-4</v>
      </c>
      <c r="AD93" s="21"/>
      <c r="AE93" s="17" t="str">
        <f t="shared" si="37"/>
        <v/>
      </c>
      <c r="AF93" s="50">
        <f t="shared" si="38"/>
        <v>216.44</v>
      </c>
      <c r="AG93" s="21"/>
      <c r="AH93" s="17" t="str">
        <f t="shared" si="39"/>
        <v/>
      </c>
      <c r="AI93" s="50">
        <f t="shared" si="40"/>
        <v>216.44</v>
      </c>
      <c r="AJ93" s="399">
        <f t="shared" si="41"/>
        <v>2.4412361831716672E-2</v>
      </c>
      <c r="AK93" s="400">
        <f t="shared" si="42"/>
        <v>0</v>
      </c>
      <c r="AL93" s="401">
        <f t="shared" si="43"/>
        <v>0</v>
      </c>
      <c r="AM93" s="402">
        <f t="shared" si="44"/>
        <v>0</v>
      </c>
      <c r="AN93" s="403">
        <f t="shared" si="45"/>
        <v>0</v>
      </c>
    </row>
    <row r="94" spans="1:40" x14ac:dyDescent="0.25">
      <c r="A94" s="6" t="s">
        <v>12</v>
      </c>
      <c r="B94" s="7" t="s">
        <v>22</v>
      </c>
      <c r="H94" s="15" t="s">
        <v>880</v>
      </c>
      <c r="I94" s="161" t="s">
        <v>1009</v>
      </c>
      <c r="J94" s="161" t="s">
        <v>1009</v>
      </c>
      <c r="K94" s="68" t="str">
        <f t="shared" si="34"/>
        <v/>
      </c>
      <c r="L94" s="162">
        <v>703700</v>
      </c>
      <c r="M94" s="162">
        <v>590046</v>
      </c>
      <c r="N94" s="162" t="s">
        <v>1250</v>
      </c>
      <c r="O94" s="21"/>
      <c r="P94" s="21"/>
      <c r="Q94" s="21"/>
      <c r="R94" s="21"/>
      <c r="S94" s="21"/>
      <c r="T94" s="21"/>
      <c r="U94" s="21"/>
      <c r="V94" s="21"/>
      <c r="W94" s="21"/>
      <c r="X94" s="21">
        <v>251.76</v>
      </c>
      <c r="Y94" s="21"/>
      <c r="Z94" s="21"/>
      <c r="AA94" s="310">
        <f t="shared" si="35"/>
        <v>251.76</v>
      </c>
      <c r="AB94" s="17">
        <f t="shared" si="36"/>
        <v>6.1464449093014866E-4</v>
      </c>
      <c r="AD94" s="21"/>
      <c r="AE94" s="17" t="str">
        <f t="shared" si="37"/>
        <v/>
      </c>
      <c r="AF94" s="50">
        <f t="shared" si="38"/>
        <v>251.76</v>
      </c>
      <c r="AG94" s="21"/>
      <c r="AH94" s="17" t="str">
        <f t="shared" si="39"/>
        <v/>
      </c>
      <c r="AI94" s="50">
        <f t="shared" si="40"/>
        <v>251.76</v>
      </c>
      <c r="AJ94" s="399">
        <f t="shared" si="41"/>
        <v>2.8396120009023234E-2</v>
      </c>
      <c r="AK94" s="400">
        <f t="shared" si="42"/>
        <v>0</v>
      </c>
      <c r="AL94" s="401">
        <f t="shared" si="43"/>
        <v>0</v>
      </c>
      <c r="AM94" s="402">
        <f t="shared" si="44"/>
        <v>0</v>
      </c>
      <c r="AN94" s="403">
        <f t="shared" si="45"/>
        <v>0</v>
      </c>
    </row>
    <row r="95" spans="1:40" x14ac:dyDescent="0.25">
      <c r="A95" s="6" t="s">
        <v>13</v>
      </c>
      <c r="B95" s="7" t="s">
        <v>737</v>
      </c>
      <c r="H95" s="15" t="s">
        <v>881</v>
      </c>
      <c r="I95" s="161" t="s">
        <v>1009</v>
      </c>
      <c r="J95" s="161" t="s">
        <v>1009</v>
      </c>
      <c r="K95" s="68" t="str">
        <f t="shared" si="34"/>
        <v/>
      </c>
      <c r="L95" s="162">
        <v>704100</v>
      </c>
      <c r="M95" s="162">
        <v>690241</v>
      </c>
      <c r="N95" s="162" t="s">
        <v>1252</v>
      </c>
      <c r="O95" s="21"/>
      <c r="P95" s="21"/>
      <c r="Q95" s="21"/>
      <c r="R95" s="21"/>
      <c r="S95" s="21"/>
      <c r="T95" s="21"/>
      <c r="U95" s="21">
        <v>1000</v>
      </c>
      <c r="V95" s="21"/>
      <c r="W95" s="21"/>
      <c r="X95" s="21"/>
      <c r="Y95" s="21"/>
      <c r="Z95" s="21"/>
      <c r="AA95" s="310">
        <f t="shared" si="35"/>
        <v>1000</v>
      </c>
      <c r="AB95" s="17">
        <f t="shared" si="36"/>
        <v>2.441390574079078E-3</v>
      </c>
      <c r="AD95" s="21">
        <v>10250</v>
      </c>
      <c r="AE95" s="17">
        <f t="shared" si="37"/>
        <v>1.1740186444011034E-2</v>
      </c>
      <c r="AF95" s="50">
        <f t="shared" si="38"/>
        <v>-9250</v>
      </c>
      <c r="AG95" s="21"/>
      <c r="AH95" s="17" t="str">
        <f t="shared" si="39"/>
        <v/>
      </c>
      <c r="AI95" s="50">
        <f t="shared" si="40"/>
        <v>1000</v>
      </c>
      <c r="AJ95" s="399">
        <f t="shared" si="41"/>
        <v>0.11279043537108054</v>
      </c>
      <c r="AK95" s="400">
        <f t="shared" si="42"/>
        <v>0.55152004304546676</v>
      </c>
      <c r="AL95" s="401">
        <f t="shared" si="43"/>
        <v>0</v>
      </c>
      <c r="AM95" s="402" t="str">
        <f t="shared" si="44"/>
        <v>-0.93 pts.</v>
      </c>
      <c r="AN95" s="403">
        <f t="shared" si="45"/>
        <v>0</v>
      </c>
    </row>
    <row r="96" spans="1:40" x14ac:dyDescent="0.25">
      <c r="A96" s="6" t="s">
        <v>14</v>
      </c>
      <c r="B96" s="7"/>
      <c r="H96" s="15" t="s">
        <v>79</v>
      </c>
      <c r="I96" s="27" t="s">
        <v>1012</v>
      </c>
      <c r="J96" s="27" t="s">
        <v>78</v>
      </c>
      <c r="K96" s="26"/>
      <c r="L96" s="26"/>
      <c r="M96" s="26"/>
      <c r="N96" s="25" t="s">
        <v>1116</v>
      </c>
      <c r="O96" s="33">
        <v>164.31</v>
      </c>
      <c r="P96" s="33">
        <v>300</v>
      </c>
      <c r="Q96" s="33">
        <v>190.32</v>
      </c>
      <c r="R96" s="33">
        <v>471.05</v>
      </c>
      <c r="S96" s="33">
        <v>150</v>
      </c>
      <c r="T96" s="33">
        <v>981.02</v>
      </c>
      <c r="U96" s="33">
        <v>1304.58</v>
      </c>
      <c r="V96" s="33">
        <v>214.66</v>
      </c>
      <c r="W96" s="33">
        <v>75</v>
      </c>
      <c r="X96" s="33">
        <v>545.84</v>
      </c>
      <c r="Y96" s="33">
        <v>75</v>
      </c>
      <c r="Z96" s="33">
        <v>75</v>
      </c>
      <c r="AA96" s="33">
        <f t="shared" si="35"/>
        <v>4546.78</v>
      </c>
      <c r="AB96" s="34">
        <f t="shared" si="36"/>
        <v>1.110046583441127E-2</v>
      </c>
      <c r="AD96" s="33">
        <v>12050</v>
      </c>
      <c r="AE96" s="34">
        <f t="shared" si="37"/>
        <v>1.3801877721983703E-2</v>
      </c>
      <c r="AF96" s="52">
        <f t="shared" si="38"/>
        <v>-7503.22</v>
      </c>
      <c r="AG96" s="33">
        <v>2080.12</v>
      </c>
      <c r="AH96" s="34">
        <f t="shared" si="39"/>
        <v>4.6646267427402468E-3</v>
      </c>
      <c r="AI96" s="52">
        <f t="shared" si="40"/>
        <v>2466.66</v>
      </c>
      <c r="AJ96" s="415">
        <f t="shared" si="41"/>
        <v>0.51283329573652148</v>
      </c>
      <c r="AK96" s="416">
        <f t="shared" si="42"/>
        <v>0.64837234328759752</v>
      </c>
      <c r="AL96" s="417">
        <f t="shared" si="43"/>
        <v>0.17318458080093246</v>
      </c>
      <c r="AM96" s="418" t="str">
        <f t="shared" si="44"/>
        <v>-0.27 pts.</v>
      </c>
      <c r="AN96" s="436" t="str">
        <f t="shared" si="45"/>
        <v>0.64 pts.</v>
      </c>
    </row>
    <row r="97" spans="1:40" x14ac:dyDescent="0.25">
      <c r="A97" s="6" t="s">
        <v>15</v>
      </c>
      <c r="B97" s="7"/>
    </row>
    <row r="98" spans="1:40" x14ac:dyDescent="0.25">
      <c r="A98" s="6" t="s">
        <v>16</v>
      </c>
      <c r="B98" s="7" t="s">
        <v>78</v>
      </c>
      <c r="H98" s="15" t="s">
        <v>80</v>
      </c>
      <c r="I98" s="27" t="s">
        <v>1012</v>
      </c>
      <c r="J98" s="27" t="s">
        <v>78</v>
      </c>
      <c r="K98" s="25"/>
      <c r="L98" s="25"/>
      <c r="M98" s="25"/>
      <c r="N98" s="25" t="s">
        <v>1117</v>
      </c>
      <c r="O98" s="36">
        <v>12905.74</v>
      </c>
      <c r="P98" s="36">
        <v>11757.71</v>
      </c>
      <c r="Q98" s="36">
        <v>9954.11</v>
      </c>
      <c r="R98" s="36">
        <v>9342.75</v>
      </c>
      <c r="S98" s="36">
        <v>8626.9599999999991</v>
      </c>
      <c r="T98" s="36">
        <v>5346.49</v>
      </c>
      <c r="U98" s="36">
        <v>7843.76</v>
      </c>
      <c r="V98" s="36">
        <v>5552.68</v>
      </c>
      <c r="W98" s="36">
        <v>3897.28</v>
      </c>
      <c r="X98" s="36">
        <v>5978.34</v>
      </c>
      <c r="Y98" s="36">
        <v>4501.95</v>
      </c>
      <c r="Z98" s="36">
        <v>2478.4899999999998</v>
      </c>
      <c r="AA98" s="36">
        <f>IF($I98="B1","",SUM(O98:Z98))</f>
        <v>88186.25999999998</v>
      </c>
      <c r="AB98" s="37">
        <f>IF(AA98=0,"",IFERROR(AA98/AA$19,""))</f>
        <v>0.21529710392728676</v>
      </c>
      <c r="AD98" s="36">
        <v>272344.38142857101</v>
      </c>
      <c r="AE98" s="37">
        <f>IF(AD98=0,"",IFERROR(AD98/AD$19,""))</f>
        <v>0.31193890877563707</v>
      </c>
      <c r="AF98" s="59">
        <f>IF(AND($AA98="",AD98=""),"",$AA98-AD98)</f>
        <v>-184158.12142857103</v>
      </c>
      <c r="AG98" s="60">
        <v>86772.21</v>
      </c>
      <c r="AH98" s="61">
        <f>IF(AG98=0,"",IFERROR(AG98/AG$19,""))</f>
        <v>0.1945849139918239</v>
      </c>
      <c r="AI98" s="59">
        <f>IF(AND($AA98="",AG98=""),"",$AA98-AG98)</f>
        <v>1414.0499999999738</v>
      </c>
      <c r="AJ98" s="392">
        <f>IFERROR(AA98/AA$20,0)</f>
        <v>9.9465666591473028</v>
      </c>
      <c r="AK98" s="393">
        <f>IFERROR(AD98/AD$20,0)</f>
        <v>14.653988777431854</v>
      </c>
      <c r="AL98" s="394">
        <f>IFERROR(AG98/AG$20,0)</f>
        <v>7.224395137790359</v>
      </c>
      <c r="AM98" s="395" t="str">
        <f>+IFERROR(ROUND(($AB98-AE98)*100,2)&amp;" pts.",0)</f>
        <v>-9.66 pts.</v>
      </c>
      <c r="AN98" s="437" t="str">
        <f>+IFERROR(ROUND(($AB98-AH98)*100,2)&amp;" pts.",0)</f>
        <v>2.07 pts.</v>
      </c>
    </row>
    <row r="99" spans="1:40" ht="15.75" thickBot="1" x14ac:dyDescent="0.3">
      <c r="A99" s="6" t="s">
        <v>17</v>
      </c>
      <c r="B99" s="7"/>
      <c r="H99" s="15" t="s">
        <v>81</v>
      </c>
      <c r="I99" s="27" t="s">
        <v>1012</v>
      </c>
      <c r="J99" s="27" t="s">
        <v>78</v>
      </c>
      <c r="K99" s="25"/>
      <c r="L99" s="25"/>
      <c r="M99" s="25"/>
      <c r="N99" s="25" t="s">
        <v>1118</v>
      </c>
      <c r="O99" s="62">
        <v>27416.93</v>
      </c>
      <c r="P99" s="62">
        <v>39460.71</v>
      </c>
      <c r="Q99" s="62">
        <v>47023.72</v>
      </c>
      <c r="R99" s="62">
        <v>24722.31</v>
      </c>
      <c r="S99" s="62">
        <v>27260.97</v>
      </c>
      <c r="T99" s="62">
        <v>18042.46</v>
      </c>
      <c r="U99" s="62">
        <v>19365.509999999998</v>
      </c>
      <c r="V99" s="62">
        <v>13764.8</v>
      </c>
      <c r="W99" s="62">
        <v>9861.5</v>
      </c>
      <c r="X99" s="62">
        <v>13552</v>
      </c>
      <c r="Y99" s="62">
        <v>11231.85</v>
      </c>
      <c r="Z99" s="62">
        <v>7716.7</v>
      </c>
      <c r="AA99" s="62">
        <f>IF($I99="B1","",SUM(O99:Z99))</f>
        <v>259419.46000000002</v>
      </c>
      <c r="AB99" s="63">
        <f>IF(AA99=0,"",IFERROR(AA99/AA$19,""))</f>
        <v>0.63334422437668447</v>
      </c>
      <c r="AD99" s="62">
        <v>445155.83857142902</v>
      </c>
      <c r="AE99" s="63">
        <f>IF(AD99=0,"",IFERROR(AD99/AD$19,""))</f>
        <v>0.50987439428962489</v>
      </c>
      <c r="AF99" s="64">
        <f>IF(AND($AA99="",AD99=""),"",$AA99-AD99)</f>
        <v>-185736.378571429</v>
      </c>
      <c r="AG99" s="62">
        <v>279524.98</v>
      </c>
      <c r="AH99" s="63">
        <f>IF(AG99=0,"",IFERROR(AG99/AG$19,""))</f>
        <v>0.62682907571290725</v>
      </c>
      <c r="AI99" s="64">
        <f>IF(AND($AA99="",AG99=""),"",$AA99-AG99)</f>
        <v>-20105.51999999996</v>
      </c>
      <c r="AJ99" s="430">
        <f>IFERROR(AA99/AA$20,0)</f>
        <v>29.260033837130614</v>
      </c>
      <c r="AK99" s="431">
        <f>IFERROR(AD99/AD$20,0)</f>
        <v>23.952426073254184</v>
      </c>
      <c r="AL99" s="432">
        <f>IFERROR(AG99/AG$20,0)</f>
        <v>23.272415285987844</v>
      </c>
      <c r="AM99" s="433" t="str">
        <f>+IFERROR(ROUND(($AB99-AE99)*100,2)&amp;" pts.",0)</f>
        <v>12.35 pts.</v>
      </c>
      <c r="AN99" s="438" t="str">
        <f>+IFERROR(ROUND(($AB99-AH99)*100,2)&amp;" pts.",0)</f>
        <v>0.65 pts.</v>
      </c>
    </row>
    <row r="100" spans="1:40" ht="15.75" thickTop="1" x14ac:dyDescent="0.25"/>
    <row r="101" spans="1:40" x14ac:dyDescent="0.25">
      <c r="A101" s="22" t="s">
        <v>92</v>
      </c>
      <c r="B101" s="23" t="s">
        <v>93</v>
      </c>
      <c r="C101" s="23" t="s">
        <v>94</v>
      </c>
      <c r="D101" s="23" t="s">
        <v>95</v>
      </c>
      <c r="E101" s="23" t="s">
        <v>96</v>
      </c>
      <c r="F101" s="24" t="s">
        <v>97</v>
      </c>
      <c r="N101" s="26" t="str">
        <f>N98&amp;" - Check"</f>
        <v>Total Expenses - Check</v>
      </c>
      <c r="O101" s="139">
        <f t="shared" ref="O101:AA101" si="46">SUMIF($H$35:$H$99,"600000",O$35:O$99)+SUMIF($H$35:$H$99,"700000",O$35:O$99)-SUMIF($H$35:$H$99,"TOTDEPTEXP",O$35:O$99)</f>
        <v>0</v>
      </c>
      <c r="P101" s="139">
        <f t="shared" si="46"/>
        <v>0</v>
      </c>
      <c r="Q101" s="139">
        <f t="shared" si="46"/>
        <v>0</v>
      </c>
      <c r="R101" s="139">
        <f t="shared" si="46"/>
        <v>0</v>
      </c>
      <c r="S101" s="139">
        <f t="shared" si="46"/>
        <v>0</v>
      </c>
      <c r="T101" s="139">
        <f t="shared" si="46"/>
        <v>0</v>
      </c>
      <c r="U101" s="139">
        <f t="shared" si="46"/>
        <v>0</v>
      </c>
      <c r="V101" s="139">
        <f t="shared" si="46"/>
        <v>0</v>
      </c>
      <c r="W101" s="139">
        <f t="shared" si="46"/>
        <v>0</v>
      </c>
      <c r="X101" s="139">
        <f t="shared" si="46"/>
        <v>0</v>
      </c>
      <c r="Y101" s="139">
        <f t="shared" si="46"/>
        <v>0</v>
      </c>
      <c r="Z101" s="139">
        <f t="shared" si="46"/>
        <v>0</v>
      </c>
      <c r="AA101" s="139">
        <f t="shared" si="46"/>
        <v>0</v>
      </c>
      <c r="AB101" s="17"/>
      <c r="AD101" s="139">
        <f>SUMIF($H$35:$H$99,"600000",AD$35:AD$99)+SUMIF($H$35:$H$99,"700000",AD$35:AD$99)-SUMIF($H$35:$H$99,"TOTDEPTEXP",AD$35:AD$99)</f>
        <v>0</v>
      </c>
      <c r="AE101" s="17"/>
      <c r="AF101" s="21"/>
      <c r="AG101" s="139">
        <f>SUMIF($H$35:$H$99,"600000",AG$35:AG$99)+SUMIF($H$35:$H$99,"700000",AG$35:AG$99)-SUMIF($H$35:$H$99,"TOTDEPTEXP",AG$35:AG$99)</f>
        <v>0</v>
      </c>
      <c r="AH101" s="17"/>
      <c r="AI101" s="21"/>
    </row>
    <row r="102" spans="1:40" x14ac:dyDescent="0.25">
      <c r="N102" s="26" t="str">
        <f>N99&amp;" - Check"</f>
        <v>Department Profit (Loss) - Check</v>
      </c>
      <c r="O102" s="139">
        <f t="shared" ref="O102:AA102" si="47">SUMIF($H$35:$H$99,"KPI_GP",O$35:O$99)-SUMIF($H$35:$H$99,"TOTDEPTEXP",O$35:O$99)-SUMIF($H$35:$H$99,"TOTDEPTPL",O$35:O$99)</f>
        <v>0</v>
      </c>
      <c r="P102" s="139">
        <f t="shared" si="47"/>
        <v>0</v>
      </c>
      <c r="Q102" s="139">
        <f t="shared" si="47"/>
        <v>0</v>
      </c>
      <c r="R102" s="139">
        <f t="shared" si="47"/>
        <v>0</v>
      </c>
      <c r="S102" s="139">
        <f t="shared" si="47"/>
        <v>0</v>
      </c>
      <c r="T102" s="139">
        <f t="shared" si="47"/>
        <v>0</v>
      </c>
      <c r="U102" s="139">
        <f t="shared" si="47"/>
        <v>0</v>
      </c>
      <c r="V102" s="139">
        <f t="shared" si="47"/>
        <v>0</v>
      </c>
      <c r="W102" s="139">
        <f t="shared" si="47"/>
        <v>0</v>
      </c>
      <c r="X102" s="139">
        <f t="shared" si="47"/>
        <v>0</v>
      </c>
      <c r="Y102" s="139">
        <f t="shared" si="47"/>
        <v>0</v>
      </c>
      <c r="Z102" s="139">
        <f t="shared" si="47"/>
        <v>0</v>
      </c>
      <c r="AA102" s="139">
        <f t="shared" si="47"/>
        <v>0</v>
      </c>
      <c r="AB102" s="17"/>
      <c r="AD102" s="139">
        <f>SUMIF($H$35:$H$99,"KPI_GP",AD$35:AD$99)-SUMIF($H$35:$H$99,"TOTDEPTEXP",AD$35:AD$99)-SUMIF($H$35:$H$99,"TOTDEPTPL",AD$35:AD$99)</f>
        <v>0</v>
      </c>
      <c r="AE102" s="17"/>
      <c r="AF102" s="21"/>
      <c r="AG102" s="139">
        <f>SUMIF($H$35:$H$99,"KPI_GP",AG$35:AG$99)-SUMIF($H$35:$H$99,"TOTDEPTEXP",AG$35:AG$99)-SUMIF($H$35:$H$99,"TOTDEPTPL",AG$35:AG$99)</f>
        <v>0</v>
      </c>
      <c r="AH102" s="17"/>
      <c r="AI102" s="21"/>
    </row>
    <row r="103" spans="1:40" x14ac:dyDescent="0.25">
      <c r="A103" s="1" t="s">
        <v>108</v>
      </c>
      <c r="C103" s="26" t="s">
        <v>101</v>
      </c>
      <c r="D103" s="1" t="s">
        <v>106</v>
      </c>
      <c r="F103" s="1" t="s">
        <v>98</v>
      </c>
    </row>
    <row r="104" spans="1:40" x14ac:dyDescent="0.25">
      <c r="A104" s="1" t="s">
        <v>100</v>
      </c>
      <c r="C104" s="8" t="s">
        <v>101</v>
      </c>
      <c r="D104" s="1" t="s">
        <v>106</v>
      </c>
      <c r="F104" s="1" t="s">
        <v>98</v>
      </c>
      <c r="O104" s="166"/>
      <c r="P104" s="166"/>
      <c r="Q104" s="166"/>
      <c r="R104" s="166"/>
      <c r="S104" s="166"/>
      <c r="T104" s="166"/>
      <c r="U104" s="166"/>
      <c r="V104" s="166"/>
      <c r="W104" s="166"/>
      <c r="X104" s="166"/>
      <c r="Y104" s="166"/>
      <c r="Z104" s="166"/>
      <c r="AA104" s="166"/>
      <c r="AD104" s="166"/>
      <c r="AG104" s="166"/>
    </row>
    <row r="105" spans="1:40" x14ac:dyDescent="0.25">
      <c r="A105" s="1" t="s">
        <v>109</v>
      </c>
      <c r="C105" s="25" t="s">
        <v>101</v>
      </c>
      <c r="D105" s="1" t="s">
        <v>106</v>
      </c>
      <c r="F105" s="1" t="s">
        <v>98</v>
      </c>
      <c r="G105" s="14"/>
    </row>
    <row r="106" spans="1:40" x14ac:dyDescent="0.25">
      <c r="A106" s="1" t="s">
        <v>109</v>
      </c>
      <c r="C106" s="151" t="s">
        <v>101</v>
      </c>
      <c r="D106" s="1" t="s">
        <v>107</v>
      </c>
      <c r="F106" s="1" t="s">
        <v>99</v>
      </c>
      <c r="O106" s="166"/>
      <c r="P106" s="166"/>
      <c r="Q106" s="166"/>
      <c r="R106" s="166"/>
      <c r="S106" s="166"/>
      <c r="T106" s="166"/>
      <c r="U106" s="166"/>
      <c r="V106" s="166"/>
      <c r="W106" s="166"/>
      <c r="X106" s="166"/>
      <c r="Y106" s="166"/>
      <c r="Z106" s="166"/>
      <c r="AA106" s="166"/>
      <c r="AD106" s="166"/>
      <c r="AG106" s="166"/>
    </row>
    <row r="107" spans="1:40" x14ac:dyDescent="0.25">
      <c r="A107" s="1" t="s">
        <v>110</v>
      </c>
      <c r="C107" s="25" t="s">
        <v>101</v>
      </c>
      <c r="D107" s="1" t="s">
        <v>106</v>
      </c>
      <c r="F107" s="1" t="s">
        <v>98</v>
      </c>
    </row>
    <row r="108" spans="1:40" x14ac:dyDescent="0.25">
      <c r="A108" s="1" t="s">
        <v>110</v>
      </c>
      <c r="C108" s="29" t="s">
        <v>101</v>
      </c>
      <c r="D108" s="1" t="s">
        <v>107</v>
      </c>
      <c r="F108" s="1" t="s">
        <v>99</v>
      </c>
    </row>
    <row r="109" spans="1:40" x14ac:dyDescent="0.25">
      <c r="C109" s="32"/>
      <c r="H109" s="11"/>
      <c r="J109" s="1"/>
    </row>
    <row r="110" spans="1:40" x14ac:dyDescent="0.25">
      <c r="H110" s="11"/>
      <c r="J110" s="1"/>
    </row>
    <row r="111" spans="1:40" x14ac:dyDescent="0.25">
      <c r="A111" s="4" t="s">
        <v>988</v>
      </c>
      <c r="B111" s="1" t="s">
        <v>736</v>
      </c>
      <c r="G111" s="14"/>
      <c r="H111" s="11"/>
      <c r="J111" s="1"/>
    </row>
    <row r="112" spans="1:40" x14ac:dyDescent="0.25">
      <c r="H112" s="11"/>
      <c r="J112" s="1"/>
    </row>
    <row r="113" spans="1:10" x14ac:dyDescent="0.25">
      <c r="A113" s="3" t="s">
        <v>0</v>
      </c>
      <c r="B113" s="5" t="s">
        <v>1</v>
      </c>
      <c r="H113" s="11"/>
      <c r="J113" s="1"/>
    </row>
    <row r="114" spans="1:10" x14ac:dyDescent="0.25">
      <c r="A114" s="6" t="s">
        <v>2</v>
      </c>
      <c r="B114" s="16" t="s">
        <v>1358</v>
      </c>
      <c r="H114" s="11"/>
      <c r="J114" s="1"/>
    </row>
    <row r="115" spans="1:10" x14ac:dyDescent="0.25">
      <c r="A115" s="6" t="s">
        <v>3</v>
      </c>
      <c r="B115" s="16" t="s">
        <v>1359</v>
      </c>
      <c r="H115" s="11"/>
      <c r="J115" s="1"/>
    </row>
    <row r="116" spans="1:10" x14ac:dyDescent="0.25">
      <c r="A116" s="6" t="s">
        <v>4</v>
      </c>
      <c r="B116" s="16" t="s">
        <v>1367</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1362</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c r="H130" s="11"/>
      <c r="J130" s="1"/>
    </row>
    <row r="131" spans="1:10" x14ac:dyDescent="0.25">
      <c r="A131" s="6" t="s">
        <v>31</v>
      </c>
      <c r="B131" s="7" t="s">
        <v>78</v>
      </c>
      <c r="H131" s="11"/>
      <c r="J131" s="1"/>
    </row>
    <row r="132" spans="1:10" x14ac:dyDescent="0.25">
      <c r="A132" s="6" t="s">
        <v>32</v>
      </c>
      <c r="B132" s="7"/>
    </row>
    <row r="133" spans="1:10" x14ac:dyDescent="0.25">
      <c r="A133" s="6" t="s">
        <v>33</v>
      </c>
      <c r="B133" s="7"/>
    </row>
    <row r="134" spans="1:10" x14ac:dyDescent="0.25">
      <c r="A134" s="6" t="s">
        <v>34</v>
      </c>
      <c r="B134" s="7"/>
    </row>
    <row r="135" spans="1:10" x14ac:dyDescent="0.25">
      <c r="A135" s="6" t="s">
        <v>35</v>
      </c>
      <c r="B135" s="7"/>
    </row>
    <row r="136" spans="1:10" x14ac:dyDescent="0.25">
      <c r="A136" s="6" t="s">
        <v>36</v>
      </c>
      <c r="B136" s="7"/>
    </row>
    <row r="137" spans="1:10" x14ac:dyDescent="0.25">
      <c r="A137" s="6" t="s">
        <v>37</v>
      </c>
      <c r="B137" s="7"/>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34" x14ac:dyDescent="0.25">
      <c r="E163" s="76"/>
    </row>
    <row r="167" spans="5:34" x14ac:dyDescent="0.25">
      <c r="E167" s="76"/>
    </row>
    <row r="172" spans="5:34" x14ac:dyDescent="0.25">
      <c r="I172" s="76"/>
      <c r="J172" s="1"/>
      <c r="K172" s="76"/>
      <c r="L172" s="76"/>
      <c r="M172" s="76"/>
      <c r="O172" s="76"/>
      <c r="P172" s="76"/>
      <c r="Q172" s="76"/>
      <c r="R172" s="76"/>
      <c r="S172" s="76"/>
      <c r="T172" s="76"/>
      <c r="U172" s="76"/>
      <c r="V172" s="76"/>
      <c r="W172" s="76"/>
      <c r="X172" s="76"/>
      <c r="Y172" s="76"/>
      <c r="Z172" s="76"/>
      <c r="AA172" s="76"/>
      <c r="AD172" s="76"/>
      <c r="AF172" s="76"/>
      <c r="AH172" s="76"/>
    </row>
    <row r="176" spans="5:34" x14ac:dyDescent="0.25">
      <c r="I176" s="76"/>
      <c r="J176" s="1"/>
      <c r="K176" s="76"/>
      <c r="L176" s="76"/>
      <c r="M176" s="76"/>
      <c r="O176" s="76"/>
      <c r="P176" s="76"/>
      <c r="Q176" s="76"/>
      <c r="R176" s="76"/>
      <c r="S176" s="76"/>
      <c r="T176" s="76"/>
      <c r="U176" s="76"/>
      <c r="V176" s="76"/>
      <c r="W176" s="76"/>
      <c r="X176" s="76"/>
      <c r="Y176" s="76"/>
      <c r="Z176" s="76"/>
      <c r="AA176" s="76"/>
      <c r="AD176" s="76"/>
      <c r="AF176" s="76"/>
      <c r="AH176"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1300-000000000000}">
      <formula1>"ACCOUNT,BUSINESSUNIT,CATEGORY,DATASRC,DEPARTMENT,INTCO,MEASURES,RPTCURRENCY,TIME"</formula1>
    </dataValidation>
    <dataValidation type="list" allowBlank="1" sqref="B29 B95 B62" xr:uid="{00000000-0002-0000-1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9973"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39973" r:id="rId5" name="FPMExcelClientSheetOptionstb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'+dizOA3Sw0KBoxqLoMq_qQ=='!N1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726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D2141</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D2141</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v>184.31</v>
      </c>
      <c r="Q35" s="21"/>
      <c r="R35" s="21"/>
      <c r="S35" s="21">
        <v>-31.14</v>
      </c>
      <c r="T35" s="21">
        <v>-98.79</v>
      </c>
      <c r="U35" s="21"/>
      <c r="V35" s="21"/>
      <c r="W35" s="21"/>
      <c r="X35" s="21"/>
      <c r="Y35" s="21"/>
      <c r="Z35" s="21"/>
      <c r="AA35" s="21">
        <f t="shared" ref="AA35:AA41" si="0">SUM(O35:Z35)</f>
        <v>54.38000000000001</v>
      </c>
      <c r="AB35" s="17" t="str">
        <f ca="1">IF(AA35=0,"",IFERROR(AA35/AA$19,""))</f>
        <v/>
      </c>
      <c r="AD35" s="21"/>
      <c r="AE35" s="17" t="str">
        <f>IF(AD35=0,"",IFERROR(AD35/AD$19,""))</f>
        <v/>
      </c>
      <c r="AF35" s="50">
        <f t="shared" ref="AF35:AF42" si="1">IF(AND($AA35="",AD35=""),"",$AA35-AD35)</f>
        <v>54.38000000000001</v>
      </c>
      <c r="AG35" s="21">
        <v>33</v>
      </c>
      <c r="AH35" s="17" t="str">
        <f ca="1">IF(AG35=0,"",IFERROR(AG35/AG$19,""))</f>
        <v/>
      </c>
      <c r="AI35" s="50">
        <f t="shared" ref="AI35:AI42" si="2">IF(AND($AA35="",AG35=""),"",$AA35-AG35)</f>
        <v>21.38000000000001</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v>116</v>
      </c>
      <c r="Q36" s="21"/>
      <c r="R36" s="21"/>
      <c r="S36" s="21"/>
      <c r="T36" s="21"/>
      <c r="U36" s="21"/>
      <c r="V36" s="21"/>
      <c r="W36" s="21"/>
      <c r="X36" s="21"/>
      <c r="Y36" s="21"/>
      <c r="Z36" s="21"/>
      <c r="AA36" s="21">
        <f t="shared" si="0"/>
        <v>116</v>
      </c>
      <c r="AB36" s="17" t="str">
        <f ca="1">IF(AA36=0,"",IFERROR(AA36/AA$19,""))</f>
        <v/>
      </c>
      <c r="AD36" s="21"/>
      <c r="AE36" s="17" t="str">
        <f>IF(AD36=0,"",IFERROR(AD36/AD$19,""))</f>
        <v/>
      </c>
      <c r="AF36" s="50">
        <f t="shared" si="1"/>
        <v>116</v>
      </c>
      <c r="AG36" s="21">
        <v>-86</v>
      </c>
      <c r="AH36" s="17" t="str">
        <f t="shared" ref="AH36:AH79" ca="1" si="3">IF(AG36=0,"",IFERROR(AG36/AG$19,""))</f>
        <v/>
      </c>
      <c r="AI36" s="50">
        <f t="shared" si="2"/>
        <v>202</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v>300.31</v>
      </c>
      <c r="Q39" s="164"/>
      <c r="R39" s="164"/>
      <c r="S39" s="164">
        <v>-31.14</v>
      </c>
      <c r="T39" s="164">
        <v>-98.79</v>
      </c>
      <c r="U39" s="164"/>
      <c r="V39" s="164"/>
      <c r="W39" s="164"/>
      <c r="X39" s="164"/>
      <c r="Y39" s="164"/>
      <c r="Z39" s="164"/>
      <c r="AA39" s="164">
        <f t="shared" si="0"/>
        <v>170.38</v>
      </c>
      <c r="AB39" s="175" t="str">
        <f ca="1">IF(AA39=0,"",IFERROR(AA39/AA$19,""))</f>
        <v/>
      </c>
      <c r="AD39" s="164"/>
      <c r="AE39" s="175" t="str">
        <f>IF(AD39=0,"",IFERROR(AD39/AD$19,""))</f>
        <v/>
      </c>
      <c r="AF39" s="165">
        <f t="shared" si="1"/>
        <v>170.38</v>
      </c>
      <c r="AG39" s="164">
        <v>-53</v>
      </c>
      <c r="AH39" s="175" t="str">
        <f t="shared" ca="1" si="3"/>
        <v/>
      </c>
      <c r="AI39" s="165">
        <f t="shared" si="2"/>
        <v>223.38</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8879.4</v>
      </c>
      <c r="P45" s="21">
        <v>13568.31</v>
      </c>
      <c r="Q45" s="21">
        <v>8685.86</v>
      </c>
      <c r="R45" s="21">
        <v>9466.52</v>
      </c>
      <c r="S45" s="21">
        <v>10475.1</v>
      </c>
      <c r="T45" s="21">
        <v>5901.5</v>
      </c>
      <c r="U45" s="21">
        <v>7834.2</v>
      </c>
      <c r="V45" s="21">
        <v>6607.81</v>
      </c>
      <c r="W45" s="21">
        <v>3875.3</v>
      </c>
      <c r="X45" s="21">
        <v>5821.5</v>
      </c>
      <c r="Y45" s="21">
        <v>4948.1000000000004</v>
      </c>
      <c r="Z45" s="21">
        <v>3030.6</v>
      </c>
      <c r="AA45" s="21">
        <f t="shared" ref="AA45:AA51" si="6">SUM(O45:Z45)</f>
        <v>89094.200000000012</v>
      </c>
      <c r="AB45" s="17" t="str">
        <f ca="1">IF(AA45=0,"",IFERROR(AA45/AA$19,""))</f>
        <v/>
      </c>
      <c r="AD45" s="21">
        <v>170666.25235</v>
      </c>
      <c r="AE45" s="17" t="str">
        <f ca="1">IF(AD45=0,"",IFERROR(AD45/AD$19,""))</f>
        <v/>
      </c>
      <c r="AF45" s="50">
        <f t="shared" ref="AF45:AF52" si="7">IF(AND($AA45="",AD45=""),"",$AA45-AD45)</f>
        <v>-81572.052349999984</v>
      </c>
      <c r="AG45" s="21">
        <v>116819.07</v>
      </c>
      <c r="AH45" s="17" t="str">
        <f t="shared" ca="1" si="3"/>
        <v/>
      </c>
      <c r="AI45" s="50">
        <f t="shared" ref="AI45:AI52" si="8">IF(AND($AA45="",AG45=""),"",$AA45-AG45)</f>
        <v>-27724.869999999995</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v>13736.8</v>
      </c>
      <c r="P46" s="21">
        <v>20086.02</v>
      </c>
      <c r="Q46" s="21">
        <v>20842.54</v>
      </c>
      <c r="R46" s="21">
        <v>15545.78</v>
      </c>
      <c r="S46" s="21">
        <v>14877.4</v>
      </c>
      <c r="T46" s="21">
        <v>13668</v>
      </c>
      <c r="U46" s="21">
        <v>13117.5</v>
      </c>
      <c r="V46" s="21">
        <v>8754.59</v>
      </c>
      <c r="W46" s="21">
        <v>7821</v>
      </c>
      <c r="X46" s="21">
        <v>9753.4</v>
      </c>
      <c r="Y46" s="21">
        <v>6623.2</v>
      </c>
      <c r="Z46" s="21">
        <v>4350.49</v>
      </c>
      <c r="AA46" s="21">
        <f t="shared" si="6"/>
        <v>149176.72</v>
      </c>
      <c r="AB46" s="17" t="str">
        <f ca="1">IF(AA46=0,"",IFERROR(AA46/AA$19,""))</f>
        <v/>
      </c>
      <c r="AD46" s="21">
        <v>271551.49635999999</v>
      </c>
      <c r="AE46" s="17" t="str">
        <f ca="1">IF(AD46=0,"",IFERROR(AD46/AD$19,""))</f>
        <v/>
      </c>
      <c r="AF46" s="50">
        <f t="shared" si="7"/>
        <v>-122374.77635999999</v>
      </c>
      <c r="AG46" s="21">
        <v>188852.57</v>
      </c>
      <c r="AH46" s="17" t="str">
        <f t="shared" ca="1" si="3"/>
        <v/>
      </c>
      <c r="AI46" s="50">
        <f t="shared" si="8"/>
        <v>-39675.850000000006</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v>3690.2</v>
      </c>
      <c r="P47" s="21">
        <v>5207.6000000000004</v>
      </c>
      <c r="Q47" s="21">
        <v>3226</v>
      </c>
      <c r="R47" s="21">
        <v>3651.6</v>
      </c>
      <c r="S47" s="21">
        <v>3709.6</v>
      </c>
      <c r="T47" s="21">
        <v>2024</v>
      </c>
      <c r="U47" s="21">
        <v>2505</v>
      </c>
      <c r="V47" s="21">
        <v>2225.1999999999998</v>
      </c>
      <c r="W47" s="21">
        <v>1469</v>
      </c>
      <c r="X47" s="21">
        <v>2056.5</v>
      </c>
      <c r="Y47" s="21">
        <v>2786</v>
      </c>
      <c r="Z47" s="21">
        <v>1000.6</v>
      </c>
      <c r="AA47" s="21">
        <f t="shared" si="6"/>
        <v>33551.300000000003</v>
      </c>
      <c r="AB47" s="17" t="str">
        <f ca="1">IF(AA47=0,"",IFERROR(AA47/AA$19,""))</f>
        <v/>
      </c>
      <c r="AD47" s="21">
        <v>46723.502503999996</v>
      </c>
      <c r="AE47" s="17" t="str">
        <f ca="1">IF(AD47=0,"",IFERROR(AD47/AD$19,""))</f>
        <v/>
      </c>
      <c r="AF47" s="50">
        <f t="shared" si="7"/>
        <v>-13172.202503999993</v>
      </c>
      <c r="AG47" s="21">
        <v>34806.199999999997</v>
      </c>
      <c r="AH47" s="17" t="str">
        <f t="shared" ca="1" si="3"/>
        <v/>
      </c>
      <c r="AI47" s="50">
        <f t="shared" si="8"/>
        <v>-1254.8999999999942</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v>2512</v>
      </c>
      <c r="P48" s="30">
        <v>3080</v>
      </c>
      <c r="Q48" s="30">
        <v>1788.4</v>
      </c>
      <c r="R48" s="30">
        <v>1332</v>
      </c>
      <c r="S48" s="30">
        <v>1696.6</v>
      </c>
      <c r="T48" s="30">
        <v>736</v>
      </c>
      <c r="U48" s="30">
        <v>1032.8</v>
      </c>
      <c r="V48" s="30">
        <v>1021.2</v>
      </c>
      <c r="W48" s="30">
        <v>297</v>
      </c>
      <c r="X48" s="30">
        <v>1208.4000000000001</v>
      </c>
      <c r="Y48" s="30">
        <v>1296</v>
      </c>
      <c r="Z48" s="30">
        <v>664.8</v>
      </c>
      <c r="AA48" s="30">
        <f t="shared" si="6"/>
        <v>16665.2</v>
      </c>
      <c r="AB48" s="31" t="str">
        <f ca="1">IF(AA48=0,"",IFERROR(AA48/AA$19,""))</f>
        <v/>
      </c>
      <c r="AD48" s="30">
        <v>23951.418785999998</v>
      </c>
      <c r="AE48" s="31" t="str">
        <f ca="1">IF(AD48=0,"",IFERROR(AD48/AD$19,""))</f>
        <v/>
      </c>
      <c r="AF48" s="51">
        <f t="shared" si="7"/>
        <v>-7286.2187859999976</v>
      </c>
      <c r="AG48" s="30">
        <v>15925.42</v>
      </c>
      <c r="AH48" s="31" t="str">
        <f t="shared" ca="1" si="3"/>
        <v/>
      </c>
      <c r="AI48" s="51">
        <f t="shared" si="8"/>
        <v>739.78000000000065</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v>28818.400000000001</v>
      </c>
      <c r="P49" s="164">
        <v>41941.93</v>
      </c>
      <c r="Q49" s="164">
        <v>34542.800000000003</v>
      </c>
      <c r="R49" s="164">
        <v>29995.9</v>
      </c>
      <c r="S49" s="164">
        <v>30758.7</v>
      </c>
      <c r="T49" s="164">
        <v>22329.5</v>
      </c>
      <c r="U49" s="164">
        <v>24489.5</v>
      </c>
      <c r="V49" s="164">
        <v>18608.8</v>
      </c>
      <c r="W49" s="164">
        <v>13462.3</v>
      </c>
      <c r="X49" s="164">
        <v>18839.8</v>
      </c>
      <c r="Y49" s="164">
        <v>15653.3</v>
      </c>
      <c r="Z49" s="164">
        <v>9046.49</v>
      </c>
      <c r="AA49" s="164">
        <f t="shared" si="6"/>
        <v>288487.42</v>
      </c>
      <c r="AB49" s="175" t="str">
        <f ca="1">IF(AA49=0,"",IFERROR(AA49/AA$19,""))</f>
        <v/>
      </c>
      <c r="AD49" s="164">
        <v>512892.67</v>
      </c>
      <c r="AE49" s="175" t="str">
        <f ca="1">IF(AD49=0,"",IFERROR(AD49/AD$19,""))</f>
        <v/>
      </c>
      <c r="AF49" s="165">
        <f t="shared" si="7"/>
        <v>-224405.25</v>
      </c>
      <c r="AG49" s="164">
        <v>356403.26</v>
      </c>
      <c r="AH49" s="175" t="str">
        <f t="shared" ca="1" si="3"/>
        <v/>
      </c>
      <c r="AI49" s="165">
        <f t="shared" si="8"/>
        <v>-67915.840000000026</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v>29</v>
      </c>
      <c r="P50" s="38">
        <v>26</v>
      </c>
      <c r="Q50" s="38">
        <v>29</v>
      </c>
      <c r="R50" s="38">
        <v>27</v>
      </c>
      <c r="S50" s="38">
        <v>31</v>
      </c>
      <c r="T50" s="38"/>
      <c r="U50" s="38">
        <v>30</v>
      </c>
      <c r="V50" s="38">
        <v>29</v>
      </c>
      <c r="W50" s="38">
        <v>25</v>
      </c>
      <c r="X50" s="38">
        <v>29</v>
      </c>
      <c r="Y50" s="38">
        <v>27</v>
      </c>
      <c r="Z50" s="38">
        <v>21</v>
      </c>
      <c r="AA50" s="38">
        <f t="shared" si="6"/>
        <v>303</v>
      </c>
      <c r="AB50" s="39"/>
      <c r="AD50" s="38">
        <v>365</v>
      </c>
      <c r="AE50" s="39"/>
      <c r="AF50" s="132">
        <f t="shared" si="7"/>
        <v>-62</v>
      </c>
      <c r="AG50" s="38">
        <v>338</v>
      </c>
      <c r="AH50" s="39"/>
      <c r="AI50" s="132">
        <f t="shared" si="8"/>
        <v>-35</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v>567</v>
      </c>
      <c r="P51" s="38">
        <v>830</v>
      </c>
      <c r="Q51" s="38">
        <v>1235</v>
      </c>
      <c r="R51" s="38">
        <v>799</v>
      </c>
      <c r="S51" s="38">
        <v>966</v>
      </c>
      <c r="T51" s="38">
        <v>1011</v>
      </c>
      <c r="U51" s="38">
        <v>771</v>
      </c>
      <c r="V51" s="38">
        <v>650</v>
      </c>
      <c r="W51" s="38">
        <v>458</v>
      </c>
      <c r="X51" s="38">
        <v>618</v>
      </c>
      <c r="Y51" s="38">
        <v>474</v>
      </c>
      <c r="Z51" s="38">
        <v>297</v>
      </c>
      <c r="AA51" s="38">
        <f t="shared" si="6"/>
        <v>8676</v>
      </c>
      <c r="AB51" s="39">
        <f>IF(AA51=0,"",IFERROR(AA51/AA$87,""))</f>
        <v>0.97856981727949466</v>
      </c>
      <c r="AD51" s="38">
        <v>14084</v>
      </c>
      <c r="AE51" s="39">
        <f>IF(AD51=0,"",IFERROR(AD51/AD$87,""))</f>
        <v>0.75781544256120525</v>
      </c>
      <c r="AF51" s="132">
        <f t="shared" si="7"/>
        <v>-5408</v>
      </c>
      <c r="AG51" s="38">
        <v>12011</v>
      </c>
      <c r="AH51" s="39">
        <f>IF(AG51=0,"",IFERROR(AG51/AG$87,""))</f>
        <v>1</v>
      </c>
      <c r="AI51" s="132">
        <f t="shared" si="8"/>
        <v>-3335</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v>50.826102292769001</v>
      </c>
      <c r="P52" s="176">
        <v>50.532445783132502</v>
      </c>
      <c r="Q52" s="176">
        <v>27.969878542510099</v>
      </c>
      <c r="R52" s="176">
        <v>37.541802252815998</v>
      </c>
      <c r="S52" s="176">
        <v>31.8413043478261</v>
      </c>
      <c r="T52" s="176">
        <v>22.0865479723047</v>
      </c>
      <c r="U52" s="176">
        <v>31.763294422827499</v>
      </c>
      <c r="V52" s="176">
        <v>28.628923076923101</v>
      </c>
      <c r="W52" s="176">
        <v>29.3936681222707</v>
      </c>
      <c r="X52" s="176">
        <v>30.485113268608401</v>
      </c>
      <c r="Y52" s="176">
        <v>33.023839662447301</v>
      </c>
      <c r="Z52" s="176">
        <v>30.459562289562299</v>
      </c>
      <c r="AA52" s="176">
        <f>IFERROR(AA49/AA51,"")</f>
        <v>33.251201014292299</v>
      </c>
      <c r="AB52" s="176"/>
      <c r="AD52" s="176">
        <v>36.416690570860503</v>
      </c>
      <c r="AE52" s="176"/>
      <c r="AF52" s="177">
        <f t="shared" si="7"/>
        <v>-3.165489556568204</v>
      </c>
      <c r="AG52" s="176">
        <v>29.673071351261299</v>
      </c>
      <c r="AH52" s="176"/>
      <c r="AI52" s="177">
        <f t="shared" si="8"/>
        <v>3.5781296630309996</v>
      </c>
    </row>
    <row r="53" spans="1:35" x14ac:dyDescent="0.25">
      <c r="A53" s="6" t="s">
        <v>41</v>
      </c>
      <c r="B53" s="7"/>
      <c r="G53" s="181">
        <f>COUNTIF(O54:AI54,FALSE)</f>
        <v>0</v>
      </c>
      <c r="H53" s="15"/>
      <c r="I53" s="161"/>
      <c r="J53" s="161"/>
      <c r="K53" s="162"/>
      <c r="L53" s="162"/>
      <c r="M53" s="162"/>
      <c r="N53" s="182" t="s">
        <v>345</v>
      </c>
      <c r="O53" s="179">
        <f t="shared" ref="O53:AA53" si="9">ROUND(IFERROR(O49/O51,0),2)</f>
        <v>50.83</v>
      </c>
      <c r="P53" s="184">
        <f t="shared" si="9"/>
        <v>50.53</v>
      </c>
      <c r="Q53" s="184">
        <f t="shared" si="9"/>
        <v>27.97</v>
      </c>
      <c r="R53" s="184">
        <f t="shared" si="9"/>
        <v>37.54</v>
      </c>
      <c r="S53" s="184">
        <f t="shared" si="9"/>
        <v>31.84</v>
      </c>
      <c r="T53" s="184">
        <f t="shared" si="9"/>
        <v>22.09</v>
      </c>
      <c r="U53" s="184">
        <f t="shared" si="9"/>
        <v>31.76</v>
      </c>
      <c r="V53" s="184">
        <f t="shared" si="9"/>
        <v>28.63</v>
      </c>
      <c r="W53" s="184">
        <f t="shared" si="9"/>
        <v>29.39</v>
      </c>
      <c r="X53" s="184">
        <f t="shared" si="9"/>
        <v>30.49</v>
      </c>
      <c r="Y53" s="184">
        <f t="shared" si="9"/>
        <v>33.020000000000003</v>
      </c>
      <c r="Z53" s="184">
        <f t="shared" si="9"/>
        <v>30.46</v>
      </c>
      <c r="AA53" s="184">
        <f t="shared" si="9"/>
        <v>33.25</v>
      </c>
      <c r="AB53" s="183"/>
      <c r="AD53" s="179">
        <f>ROUND(IFERROR(AD49/AD51,0),2)</f>
        <v>36.42</v>
      </c>
      <c r="AE53" s="184"/>
      <c r="AF53" s="180"/>
      <c r="AG53" s="179">
        <f>ROUND(IFERROR(AG49/AG51,0),2)</f>
        <v>29.67</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b">
        <f t="shared" si="10"/>
        <v>1</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1276</v>
      </c>
      <c r="P55" s="21">
        <v>134.5</v>
      </c>
      <c r="Q55" s="21">
        <v>193</v>
      </c>
      <c r="R55" s="21">
        <v>5</v>
      </c>
      <c r="S55" s="21">
        <v>160</v>
      </c>
      <c r="T55" s="21">
        <v>12</v>
      </c>
      <c r="U55" s="21"/>
      <c r="V55" s="21"/>
      <c r="W55" s="21"/>
      <c r="X55" s="21"/>
      <c r="Y55" s="21"/>
      <c r="Z55" s="21"/>
      <c r="AA55" s="21">
        <f t="shared" ref="AA55:AA61" si="11">SUM(O55:Z55)</f>
        <v>1780.5</v>
      </c>
      <c r="AB55" s="17" t="str">
        <f ca="1">IF(AA55=0,"",IFERROR(AA55/AA$19,""))</f>
        <v/>
      </c>
      <c r="AD55" s="21">
        <v>53970.861473999998</v>
      </c>
      <c r="AE55" s="17" t="str">
        <f ca="1">IF(AD55=0,"",IFERROR(AD55/AD$19,""))</f>
        <v/>
      </c>
      <c r="AF55" s="50">
        <f t="shared" ref="AF55:AF62" si="12">IF(AND($AA55="",AD55=""),"",$AA55-AD55)</f>
        <v>-52190.361473999998</v>
      </c>
      <c r="AG55" s="21"/>
      <c r="AH55" s="17" t="str">
        <f t="shared" si="3"/>
        <v/>
      </c>
      <c r="AI55" s="50">
        <f t="shared" ref="AI55:AI62" si="13">IF(AND($AA55="",AG55=""),"",$AA55-AG55)</f>
        <v>1780.5</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v>34</v>
      </c>
      <c r="P56" s="21">
        <v>199</v>
      </c>
      <c r="Q56" s="21">
        <v>1838</v>
      </c>
      <c r="R56" s="21">
        <v>18</v>
      </c>
      <c r="S56" s="21">
        <v>359</v>
      </c>
      <c r="T56" s="21">
        <v>489</v>
      </c>
      <c r="U56" s="21"/>
      <c r="V56" s="21"/>
      <c r="W56" s="21"/>
      <c r="X56" s="21"/>
      <c r="Y56" s="21"/>
      <c r="Z56" s="21"/>
      <c r="AA56" s="21">
        <f t="shared" si="11"/>
        <v>2937</v>
      </c>
      <c r="AB56" s="17" t="str">
        <f ca="1">IF(AA56=0,"",IFERROR(AA56/AA$19,""))</f>
        <v/>
      </c>
      <c r="AD56" s="21">
        <v>85994.505921000004</v>
      </c>
      <c r="AE56" s="17" t="str">
        <f ca="1">IF(AD56=0,"",IFERROR(AD56/AD$19,""))</f>
        <v/>
      </c>
      <c r="AF56" s="50">
        <f t="shared" si="12"/>
        <v>-83057.505921000004</v>
      </c>
      <c r="AG56" s="21"/>
      <c r="AH56" s="17" t="str">
        <f t="shared" si="3"/>
        <v/>
      </c>
      <c r="AI56" s="50">
        <f t="shared" si="13"/>
        <v>2937</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v>20</v>
      </c>
      <c r="P57" s="21">
        <v>17</v>
      </c>
      <c r="Q57" s="21">
        <v>372</v>
      </c>
      <c r="R57" s="21">
        <v>32</v>
      </c>
      <c r="S57" s="21">
        <v>110</v>
      </c>
      <c r="T57" s="21"/>
      <c r="U57" s="21"/>
      <c r="V57" s="21"/>
      <c r="W57" s="21"/>
      <c r="X57" s="21"/>
      <c r="Y57" s="21"/>
      <c r="Z57" s="21"/>
      <c r="AA57" s="21">
        <f t="shared" si="11"/>
        <v>551</v>
      </c>
      <c r="AB57" s="17" t="str">
        <f ca="1">IF(AA57=0,"",IFERROR(AA57/AA$19,""))</f>
        <v/>
      </c>
      <c r="AD57" s="21">
        <v>14767.710492</v>
      </c>
      <c r="AE57" s="17" t="str">
        <f ca="1">IF(AD57=0,"",IFERROR(AD57/AD$19,""))</f>
        <v/>
      </c>
      <c r="AF57" s="50">
        <f t="shared" si="12"/>
        <v>-14216.710492</v>
      </c>
      <c r="AG57" s="21"/>
      <c r="AH57" s="17" t="str">
        <f t="shared" si="3"/>
        <v/>
      </c>
      <c r="AI57" s="50">
        <f t="shared" si="13"/>
        <v>551</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v>48</v>
      </c>
      <c r="Q58" s="30"/>
      <c r="R58" s="30"/>
      <c r="S58" s="30">
        <v>13</v>
      </c>
      <c r="T58" s="30"/>
      <c r="U58" s="30"/>
      <c r="V58" s="30"/>
      <c r="W58" s="30"/>
      <c r="X58" s="30"/>
      <c r="Y58" s="30"/>
      <c r="Z58" s="30"/>
      <c r="AA58" s="30">
        <f t="shared" si="11"/>
        <v>61</v>
      </c>
      <c r="AB58" s="31" t="str">
        <f ca="1">IF(AA58=0,"",IFERROR(AA58/AA$19,""))</f>
        <v/>
      </c>
      <c r="AD58" s="30">
        <v>7263.7521129999996</v>
      </c>
      <c r="AE58" s="31" t="str">
        <f ca="1">IF(AD58=0,"",IFERROR(AD58/AD$19,""))</f>
        <v/>
      </c>
      <c r="AF58" s="51">
        <f t="shared" si="12"/>
        <v>-7202.7521129999996</v>
      </c>
      <c r="AG58" s="30"/>
      <c r="AH58" s="31" t="str">
        <f t="shared" si="3"/>
        <v/>
      </c>
      <c r="AI58" s="51">
        <f t="shared" si="13"/>
        <v>61</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v>1330</v>
      </c>
      <c r="P59" s="164">
        <v>398.5</v>
      </c>
      <c r="Q59" s="164">
        <v>2403</v>
      </c>
      <c r="R59" s="164">
        <v>55</v>
      </c>
      <c r="S59" s="164">
        <v>642</v>
      </c>
      <c r="T59" s="164">
        <v>501</v>
      </c>
      <c r="U59" s="164"/>
      <c r="V59" s="164"/>
      <c r="W59" s="164"/>
      <c r="X59" s="164"/>
      <c r="Y59" s="164"/>
      <c r="Z59" s="164"/>
      <c r="AA59" s="164">
        <f t="shared" si="11"/>
        <v>5329.5</v>
      </c>
      <c r="AB59" s="175" t="str">
        <f ca="1">IF(AA59=0,"",IFERROR(AA59/AA$19,""))</f>
        <v/>
      </c>
      <c r="AD59" s="164">
        <v>161996.82999999999</v>
      </c>
      <c r="AE59" s="175" t="str">
        <f ca="1">IF(AD59=0,"",IFERROR(AD59/AD$19,""))</f>
        <v/>
      </c>
      <c r="AF59" s="165">
        <f t="shared" si="12"/>
        <v>-156667.32999999999</v>
      </c>
      <c r="AG59" s="164"/>
      <c r="AH59" s="175" t="str">
        <f t="shared" si="3"/>
        <v/>
      </c>
      <c r="AI59" s="165">
        <f t="shared" si="13"/>
        <v>5329.5</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v>1</v>
      </c>
      <c r="P60" s="38">
        <v>5</v>
      </c>
      <c r="Q60" s="38">
        <v>5</v>
      </c>
      <c r="R60" s="38">
        <v>3</v>
      </c>
      <c r="S60" s="38">
        <v>2</v>
      </c>
      <c r="T60" s="38"/>
      <c r="U60" s="38"/>
      <c r="V60" s="38"/>
      <c r="W60" s="38"/>
      <c r="X60" s="38"/>
      <c r="Y60" s="38"/>
      <c r="Z60" s="38"/>
      <c r="AA60" s="38">
        <f t="shared" si="11"/>
        <v>16</v>
      </c>
      <c r="AB60" s="39"/>
      <c r="AD60" s="38">
        <v>365</v>
      </c>
      <c r="AE60" s="39"/>
      <c r="AF60" s="132">
        <f t="shared" si="12"/>
        <v>-349</v>
      </c>
      <c r="AG60" s="38"/>
      <c r="AH60" s="39"/>
      <c r="AI60" s="132">
        <f t="shared" si="13"/>
        <v>16</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v>34</v>
      </c>
      <c r="P61" s="38">
        <v>12</v>
      </c>
      <c r="Q61" s="38">
        <v>93</v>
      </c>
      <c r="R61" s="38">
        <v>4</v>
      </c>
      <c r="S61" s="38">
        <v>23</v>
      </c>
      <c r="T61" s="38">
        <v>24</v>
      </c>
      <c r="U61" s="38"/>
      <c r="V61" s="38"/>
      <c r="W61" s="38"/>
      <c r="X61" s="38"/>
      <c r="Y61" s="38"/>
      <c r="Z61" s="38"/>
      <c r="AA61" s="38">
        <f t="shared" si="11"/>
        <v>190</v>
      </c>
      <c r="AB61" s="39">
        <f>IF(AA61=0,"",IFERROR(AA61/AA$87,""))</f>
        <v>2.14301827205053E-2</v>
      </c>
      <c r="AD61" s="38">
        <v>4501</v>
      </c>
      <c r="AE61" s="39">
        <f>IF(AD61=0,"",IFERROR(AD61/AD$87,""))</f>
        <v>0.24218455743879472</v>
      </c>
      <c r="AF61" s="132">
        <f t="shared" si="12"/>
        <v>-4311</v>
      </c>
      <c r="AG61" s="38"/>
      <c r="AH61" s="39" t="str">
        <f>IF(AG61=0,"",IFERROR(AG61/AG$87,""))</f>
        <v/>
      </c>
      <c r="AI61" s="132">
        <f t="shared" si="13"/>
        <v>190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v>39.117647058823501</v>
      </c>
      <c r="P62" s="176">
        <v>33.2083333333333</v>
      </c>
      <c r="Q62" s="176">
        <v>25.838709677419399</v>
      </c>
      <c r="R62" s="176">
        <v>13.75</v>
      </c>
      <c r="S62" s="176">
        <v>27.913043478260899</v>
      </c>
      <c r="T62" s="176">
        <v>20.875</v>
      </c>
      <c r="U62" s="176"/>
      <c r="V62" s="176"/>
      <c r="W62" s="176"/>
      <c r="X62" s="176"/>
      <c r="Y62" s="176"/>
      <c r="Z62" s="176"/>
      <c r="AA62" s="176">
        <f>IFERROR(AA59/AA61,"")</f>
        <v>28.05</v>
      </c>
      <c r="AB62" s="176"/>
      <c r="AD62" s="176">
        <v>35.991297489446801</v>
      </c>
      <c r="AE62" s="176"/>
      <c r="AF62" s="177">
        <f t="shared" si="12"/>
        <v>-7.9412974894468</v>
      </c>
      <c r="AG62" s="176"/>
      <c r="AH62" s="176"/>
      <c r="AI62" s="177">
        <f t="shared" si="13"/>
        <v>28.05</v>
      </c>
    </row>
    <row r="63" spans="1:35" x14ac:dyDescent="0.25">
      <c r="G63" s="181">
        <f>COUNTIF(O64:AI64,FALSE)</f>
        <v>0</v>
      </c>
      <c r="H63" s="15"/>
      <c r="I63" s="161"/>
      <c r="J63" s="161"/>
      <c r="K63" s="162"/>
      <c r="L63" s="162"/>
      <c r="M63" s="162"/>
      <c r="N63" s="182" t="s">
        <v>345</v>
      </c>
      <c r="O63" s="179">
        <f t="shared" ref="O63:AA63" si="14">ROUND(IFERROR(O59/O61,0),2)</f>
        <v>39.119999999999997</v>
      </c>
      <c r="P63" s="184">
        <f t="shared" si="14"/>
        <v>33.21</v>
      </c>
      <c r="Q63" s="184">
        <f t="shared" si="14"/>
        <v>25.84</v>
      </c>
      <c r="R63" s="184">
        <f t="shared" si="14"/>
        <v>13.75</v>
      </c>
      <c r="S63" s="184">
        <f t="shared" si="14"/>
        <v>27.91</v>
      </c>
      <c r="T63" s="184">
        <f t="shared" si="14"/>
        <v>20.88</v>
      </c>
      <c r="U63" s="184">
        <f t="shared" si="14"/>
        <v>0</v>
      </c>
      <c r="V63" s="184">
        <f t="shared" si="14"/>
        <v>0</v>
      </c>
      <c r="W63" s="184">
        <f t="shared" si="14"/>
        <v>0</v>
      </c>
      <c r="X63" s="184">
        <f t="shared" si="14"/>
        <v>0</v>
      </c>
      <c r="Y63" s="184">
        <f t="shared" si="14"/>
        <v>0</v>
      </c>
      <c r="Z63" s="184">
        <f t="shared" si="14"/>
        <v>0</v>
      </c>
      <c r="AA63" s="184">
        <f t="shared" si="14"/>
        <v>28.05</v>
      </c>
      <c r="AB63" s="183"/>
      <c r="AD63" s="179">
        <f>ROUND(IFERROR(AD59/AD61,0),2)</f>
        <v>35.99</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b">
        <f t="shared" si="15"/>
        <v>1</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v>12</v>
      </c>
      <c r="P68" s="30">
        <v>-12</v>
      </c>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v>12</v>
      </c>
      <c r="P69" s="164">
        <v>-12</v>
      </c>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v>-148.49</v>
      </c>
      <c r="P83" s="21">
        <v>-174.37</v>
      </c>
      <c r="Q83" s="21"/>
      <c r="R83" s="21"/>
      <c r="S83" s="21"/>
      <c r="T83" s="21"/>
      <c r="U83" s="21">
        <v>12.58</v>
      </c>
      <c r="V83" s="21">
        <v>-242.96</v>
      </c>
      <c r="W83" s="21"/>
      <c r="X83" s="21"/>
      <c r="Y83" s="21">
        <v>-331.29</v>
      </c>
      <c r="Z83" s="21"/>
      <c r="AA83" s="21">
        <f>SUM(O83:Z83)</f>
        <v>-884.53</v>
      </c>
      <c r="AB83" s="17" t="str">
        <f ca="1">IF(AA83=0,"",IFERROR(AA83/AA$19,""))</f>
        <v/>
      </c>
      <c r="AD83" s="21"/>
      <c r="AE83" s="17" t="str">
        <f>IF(AD83=0,"",IFERROR(AD83/AD$19,""))</f>
        <v/>
      </c>
      <c r="AF83" s="50">
        <f>IF(AND($AA83="",AD83=""),"",$AA83-AD83)</f>
        <v>-884.53</v>
      </c>
      <c r="AG83" s="21">
        <v>-1290.51</v>
      </c>
      <c r="AH83" s="17" t="str">
        <f ca="1">IF(AG83=0,"",IFERROR(AG83/AG$19,""))</f>
        <v/>
      </c>
      <c r="AI83" s="50">
        <f>IF(AND($AA83="",AG83=""),"",$AA83-AG83)</f>
        <v>405.98</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30011.91</v>
      </c>
      <c r="P85" s="171">
        <v>42454.37</v>
      </c>
      <c r="Q85" s="171">
        <v>36945.800000000003</v>
      </c>
      <c r="R85" s="171">
        <v>30050.9</v>
      </c>
      <c r="S85" s="171">
        <v>31369.56</v>
      </c>
      <c r="T85" s="171">
        <v>22731.71</v>
      </c>
      <c r="U85" s="171">
        <v>24502.080000000002</v>
      </c>
      <c r="V85" s="171">
        <v>18365.84</v>
      </c>
      <c r="W85" s="171">
        <v>13462.3</v>
      </c>
      <c r="X85" s="171">
        <v>18839.8</v>
      </c>
      <c r="Y85" s="171">
        <v>15322.01</v>
      </c>
      <c r="Z85" s="171">
        <v>9046.49</v>
      </c>
      <c r="AA85" s="171">
        <f>SUM(O85:Z85)</f>
        <v>293102.77</v>
      </c>
      <c r="AB85" s="172" t="str">
        <f ca="1">IF(AA85=0,"",IFERROR(AA85/AA$19,""))</f>
        <v/>
      </c>
      <c r="AD85" s="171">
        <v>674889.5</v>
      </c>
      <c r="AE85" s="172" t="str">
        <f ca="1">IF(AD85=0,"",IFERROR(AD85/AD$19,""))</f>
        <v/>
      </c>
      <c r="AF85" s="173">
        <f>IF(AND($AA85="",AD85=""),"",$AA85-AD85)</f>
        <v>-381786.73</v>
      </c>
      <c r="AG85" s="171">
        <v>355059.75</v>
      </c>
      <c r="AH85" s="172" t="str">
        <f ca="1">IF(AG85=0,"",IFERROR(AG85/AG$19,""))</f>
        <v/>
      </c>
      <c r="AI85" s="173">
        <f>IF(AND($AA85="",AG85=""),"",$AA85-AG85)</f>
        <v>-61956.979999999981</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601</v>
      </c>
      <c r="P87" s="171">
        <v>842</v>
      </c>
      <c r="Q87" s="171">
        <v>1328</v>
      </c>
      <c r="R87" s="171">
        <v>803</v>
      </c>
      <c r="S87" s="171">
        <v>989</v>
      </c>
      <c r="T87" s="171">
        <v>1035</v>
      </c>
      <c r="U87" s="171">
        <v>771</v>
      </c>
      <c r="V87" s="171">
        <v>650</v>
      </c>
      <c r="W87" s="171">
        <v>458</v>
      </c>
      <c r="X87" s="171">
        <v>618</v>
      </c>
      <c r="Y87" s="171">
        <v>474</v>
      </c>
      <c r="Z87" s="171">
        <v>297</v>
      </c>
      <c r="AA87" s="171">
        <f>SUM(O87:Z87)</f>
        <v>8866</v>
      </c>
      <c r="AB87" s="172" t="str">
        <f ca="1">IF(AA87=0,"",IFERROR(AA87/AA$20,""))</f>
        <v/>
      </c>
      <c r="AD87" s="171">
        <v>18585</v>
      </c>
      <c r="AE87" s="172" t="str">
        <f ca="1">IF(AD87=0,"",IFERROR(AD87/AD$20,""))</f>
        <v/>
      </c>
      <c r="AF87" s="173">
        <f>IF(AND($AA87="",AD87=""),"",$AA87-AD87)</f>
        <v>-9719</v>
      </c>
      <c r="AG87" s="171">
        <v>12011</v>
      </c>
      <c r="AH87" s="172" t="str">
        <f ca="1">IF(AG87=0,"",IFERROR(AG87/AG$20,""))</f>
        <v/>
      </c>
      <c r="AI87" s="173">
        <f>IF(AND($AA87="",AG87=""),"",$AA87-AG87)</f>
        <v>-3145</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49.936622296172999</v>
      </c>
      <c r="P88" s="176">
        <v>50.420866983372903</v>
      </c>
      <c r="Q88" s="176">
        <v>27.820632530120498</v>
      </c>
      <c r="R88" s="176">
        <v>37.423287671232899</v>
      </c>
      <c r="S88" s="176">
        <v>31.718463094034401</v>
      </c>
      <c r="T88" s="176">
        <v>21.9630048309179</v>
      </c>
      <c r="U88" s="176">
        <v>31.779610894941602</v>
      </c>
      <c r="V88" s="176">
        <v>28.2551384615385</v>
      </c>
      <c r="W88" s="176">
        <v>29.3936681222707</v>
      </c>
      <c r="X88" s="176">
        <v>30.485113268608401</v>
      </c>
      <c r="Y88" s="176">
        <v>32.324915611814298</v>
      </c>
      <c r="Z88" s="176">
        <v>30.459562289562299</v>
      </c>
      <c r="AA88" s="176">
        <f>IFERROR(AA85/AA87,"")</f>
        <v>33.059189036769681</v>
      </c>
      <c r="AB88" s="176"/>
      <c r="AD88" s="176">
        <v>36.313666935700802</v>
      </c>
      <c r="AE88" s="176"/>
      <c r="AF88" s="177">
        <f>IF(AND($AA88="",AD88=""),"",$AA88-AD88)</f>
        <v>-3.2544778989311212</v>
      </c>
      <c r="AG88" s="176">
        <v>29.561214719840201</v>
      </c>
      <c r="AH88" s="176"/>
      <c r="AI88" s="177">
        <f>IF(AND($AA88="",AG88=""),"",$AA88-AG88)</f>
        <v>3.4979743169294792</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v>11064.857142856999</v>
      </c>
      <c r="AE92" s="17"/>
      <c r="AF92" s="50">
        <f>IF(AND($AA92="",AD92=""),"",$AA92-AD92)</f>
        <v>-11064.857142856999</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f>IFERROR(AD$87/AD92,"")</f>
        <v>1.6796421101557271</v>
      </c>
      <c r="AE94" s="139"/>
      <c r="AF94" s="140" t="e">
        <f>IF(AND($AA94="",AD94=""),"",$AA94-AD94)</f>
        <v>#VALUE!</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v>116</v>
      </c>
      <c r="Q98" s="21"/>
      <c r="R98" s="21"/>
      <c r="S98" s="21"/>
      <c r="T98" s="21"/>
      <c r="U98" s="21"/>
      <c r="V98" s="21"/>
      <c r="W98" s="21"/>
      <c r="X98" s="21"/>
      <c r="Y98" s="21"/>
      <c r="Z98" s="21"/>
      <c r="AA98" s="21">
        <f t="shared" ref="AA98:AA103" si="28">SUM(O98:Z98)</f>
        <v>116</v>
      </c>
      <c r="AB98" s="17" t="str">
        <f t="shared" ref="AB98:AB103" ca="1" si="29">IF(AA98=0,"",IFERROR(AA98/AA$19,""))</f>
        <v/>
      </c>
      <c r="AD98" s="21"/>
      <c r="AE98" s="17" t="str">
        <f t="shared" ref="AE98:AE103" si="30">IF(AD98=0,"",IFERROR(AD98/AD$19,""))</f>
        <v/>
      </c>
      <c r="AF98" s="50">
        <f t="shared" ref="AF98:AF103" si="31">IF(AND($AA98="",AD98=""),"",$AA98-AD98)</f>
        <v>116</v>
      </c>
      <c r="AG98" s="21">
        <v>-86</v>
      </c>
      <c r="AH98" s="17" t="str">
        <f t="shared" ref="AH98:AH103" ca="1" si="32">IF(AG98=0,"",IFERROR(AG98/AG$19,""))</f>
        <v/>
      </c>
      <c r="AI98" s="50">
        <f t="shared" ref="AI98:AI103" si="33">IF(AND($AA98="",AG98=""),"",$AA98-AG98)</f>
        <v>202</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v>13736.8</v>
      </c>
      <c r="P99" s="21">
        <v>20086.02</v>
      </c>
      <c r="Q99" s="21">
        <v>20842.54</v>
      </c>
      <c r="R99" s="21">
        <v>15545.78</v>
      </c>
      <c r="S99" s="21">
        <v>14877.4</v>
      </c>
      <c r="T99" s="21">
        <v>13668</v>
      </c>
      <c r="U99" s="21">
        <v>13117.5</v>
      </c>
      <c r="V99" s="21">
        <v>8754.59</v>
      </c>
      <c r="W99" s="21">
        <v>7821</v>
      </c>
      <c r="X99" s="21">
        <v>9753.4</v>
      </c>
      <c r="Y99" s="21">
        <v>6623.2</v>
      </c>
      <c r="Z99" s="21">
        <v>4350.49</v>
      </c>
      <c r="AA99" s="21">
        <f t="shared" si="28"/>
        <v>149176.72</v>
      </c>
      <c r="AB99" s="17" t="str">
        <f t="shared" ca="1" si="29"/>
        <v/>
      </c>
      <c r="AD99" s="21">
        <v>271551.49635999999</v>
      </c>
      <c r="AE99" s="17" t="str">
        <f t="shared" ca="1" si="30"/>
        <v/>
      </c>
      <c r="AF99" s="50">
        <f t="shared" si="31"/>
        <v>-122374.77635999999</v>
      </c>
      <c r="AG99" s="21">
        <v>188852.57</v>
      </c>
      <c r="AH99" s="17" t="str">
        <f t="shared" ca="1" si="32"/>
        <v/>
      </c>
      <c r="AI99" s="50">
        <f t="shared" si="33"/>
        <v>-39675.850000000006</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v>34</v>
      </c>
      <c r="P100" s="21">
        <v>199</v>
      </c>
      <c r="Q100" s="21">
        <v>1838</v>
      </c>
      <c r="R100" s="21">
        <v>18</v>
      </c>
      <c r="S100" s="21">
        <v>359</v>
      </c>
      <c r="T100" s="21">
        <v>489</v>
      </c>
      <c r="U100" s="21"/>
      <c r="V100" s="21"/>
      <c r="W100" s="21"/>
      <c r="X100" s="21"/>
      <c r="Y100" s="21"/>
      <c r="Z100" s="21"/>
      <c r="AA100" s="21">
        <f t="shared" si="28"/>
        <v>2937</v>
      </c>
      <c r="AB100" s="17" t="str">
        <f t="shared" ca="1" si="29"/>
        <v/>
      </c>
      <c r="AD100" s="21">
        <v>85994.505921000004</v>
      </c>
      <c r="AE100" s="17" t="str">
        <f t="shared" ca="1" si="30"/>
        <v/>
      </c>
      <c r="AF100" s="50">
        <f t="shared" si="31"/>
        <v>-83057.505921000004</v>
      </c>
      <c r="AG100" s="21"/>
      <c r="AH100" s="17" t="str">
        <f t="shared" si="32"/>
        <v/>
      </c>
      <c r="AI100" s="50">
        <f t="shared" si="33"/>
        <v>2937</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13770.8</v>
      </c>
      <c r="P103" s="164">
        <v>20401.02</v>
      </c>
      <c r="Q103" s="164">
        <v>22680.54</v>
      </c>
      <c r="R103" s="164">
        <v>15563.78</v>
      </c>
      <c r="S103" s="164">
        <v>15236.4</v>
      </c>
      <c r="T103" s="164">
        <v>14157</v>
      </c>
      <c r="U103" s="164">
        <v>13117.5</v>
      </c>
      <c r="V103" s="164">
        <v>8754.59</v>
      </c>
      <c r="W103" s="164">
        <v>7821</v>
      </c>
      <c r="X103" s="164">
        <v>9753.4</v>
      </c>
      <c r="Y103" s="164">
        <v>6623.2</v>
      </c>
      <c r="Z103" s="164">
        <v>4350.49</v>
      </c>
      <c r="AA103" s="164">
        <f t="shared" si="28"/>
        <v>152229.72</v>
      </c>
      <c r="AB103" s="175" t="str">
        <f t="shared" ca="1" si="29"/>
        <v/>
      </c>
      <c r="AD103" s="164">
        <v>357546.00228100002</v>
      </c>
      <c r="AE103" s="175" t="str">
        <f t="shared" ca="1" si="30"/>
        <v/>
      </c>
      <c r="AF103" s="165">
        <f t="shared" si="31"/>
        <v>-205316.28228100002</v>
      </c>
      <c r="AG103" s="164">
        <v>188766.57</v>
      </c>
      <c r="AH103" s="175" t="str">
        <f t="shared" ca="1" si="32"/>
        <v/>
      </c>
      <c r="AI103" s="165">
        <f t="shared" si="33"/>
        <v>-36536.850000000006</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v>3690.2</v>
      </c>
      <c r="P107" s="21">
        <v>5207.6000000000004</v>
      </c>
      <c r="Q107" s="21">
        <v>3226</v>
      </c>
      <c r="R107" s="21">
        <v>3651.6</v>
      </c>
      <c r="S107" s="21">
        <v>3709.6</v>
      </c>
      <c r="T107" s="21">
        <v>2024</v>
      </c>
      <c r="U107" s="21">
        <v>2505</v>
      </c>
      <c r="V107" s="21">
        <v>2225.1999999999998</v>
      </c>
      <c r="W107" s="21">
        <v>1469</v>
      </c>
      <c r="X107" s="21">
        <v>2056.5</v>
      </c>
      <c r="Y107" s="21">
        <v>2786</v>
      </c>
      <c r="Z107" s="21">
        <v>1000.6</v>
      </c>
      <c r="AA107" s="21">
        <f t="shared" si="34"/>
        <v>33551.300000000003</v>
      </c>
      <c r="AB107" s="17" t="str">
        <f t="shared" ca="1" si="35"/>
        <v/>
      </c>
      <c r="AD107" s="21">
        <v>46723.502503999996</v>
      </c>
      <c r="AE107" s="17" t="str">
        <f t="shared" ca="1" si="36"/>
        <v/>
      </c>
      <c r="AF107" s="50">
        <f t="shared" si="37"/>
        <v>-13172.202503999993</v>
      </c>
      <c r="AG107" s="21">
        <v>34806.199999999997</v>
      </c>
      <c r="AH107" s="17" t="str">
        <f t="shared" ca="1" si="38"/>
        <v/>
      </c>
      <c r="AI107" s="50">
        <f t="shared" si="39"/>
        <v>-1254.8999999999942</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v>20</v>
      </c>
      <c r="P108" s="21">
        <v>17</v>
      </c>
      <c r="Q108" s="21">
        <v>372</v>
      </c>
      <c r="R108" s="21">
        <v>32</v>
      </c>
      <c r="S108" s="21">
        <v>110</v>
      </c>
      <c r="T108" s="21"/>
      <c r="U108" s="21"/>
      <c r="V108" s="21"/>
      <c r="W108" s="21"/>
      <c r="X108" s="21"/>
      <c r="Y108" s="21"/>
      <c r="Z108" s="21"/>
      <c r="AA108" s="21">
        <f t="shared" si="34"/>
        <v>551</v>
      </c>
      <c r="AB108" s="17" t="str">
        <f t="shared" ca="1" si="35"/>
        <v/>
      </c>
      <c r="AD108" s="21">
        <v>14767.710492</v>
      </c>
      <c r="AE108" s="17" t="str">
        <f t="shared" ca="1" si="36"/>
        <v/>
      </c>
      <c r="AF108" s="50">
        <f t="shared" si="37"/>
        <v>-14216.710492</v>
      </c>
      <c r="AG108" s="21"/>
      <c r="AH108" s="17" t="str">
        <f t="shared" si="38"/>
        <v/>
      </c>
      <c r="AI108" s="50">
        <f t="shared" si="39"/>
        <v>551</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3710.2</v>
      </c>
      <c r="P111" s="164">
        <v>5224.6000000000004</v>
      </c>
      <c r="Q111" s="164">
        <v>3598</v>
      </c>
      <c r="R111" s="164">
        <v>3683.6</v>
      </c>
      <c r="S111" s="164">
        <v>3819.6</v>
      </c>
      <c r="T111" s="164">
        <v>2024</v>
      </c>
      <c r="U111" s="164">
        <v>2505</v>
      </c>
      <c r="V111" s="164">
        <v>2225.1999999999998</v>
      </c>
      <c r="W111" s="164">
        <v>1469</v>
      </c>
      <c r="X111" s="164">
        <v>2056.5</v>
      </c>
      <c r="Y111" s="164">
        <v>2786</v>
      </c>
      <c r="Z111" s="164">
        <v>1000.6</v>
      </c>
      <c r="AA111" s="164">
        <f t="shared" si="34"/>
        <v>34102.299999999996</v>
      </c>
      <c r="AB111" s="175" t="str">
        <f t="shared" ca="1" si="35"/>
        <v/>
      </c>
      <c r="AD111" s="164">
        <v>61491.212996000002</v>
      </c>
      <c r="AE111" s="175" t="str">
        <f t="shared" ca="1" si="36"/>
        <v/>
      </c>
      <c r="AF111" s="165">
        <f t="shared" si="37"/>
        <v>-27388.912996000006</v>
      </c>
      <c r="AG111" s="164">
        <v>34806.199999999997</v>
      </c>
      <c r="AH111" s="175" t="str">
        <f t="shared" ca="1" si="38"/>
        <v/>
      </c>
      <c r="AI111" s="165">
        <f t="shared" si="39"/>
        <v>-703.90000000000146</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v>2512</v>
      </c>
      <c r="P115" s="21">
        <v>3080</v>
      </c>
      <c r="Q115" s="21">
        <v>1788.4</v>
      </c>
      <c r="R115" s="21">
        <v>1332</v>
      </c>
      <c r="S115" s="21">
        <v>1696.6</v>
      </c>
      <c r="T115" s="21">
        <v>736</v>
      </c>
      <c r="U115" s="21">
        <v>1032.8</v>
      </c>
      <c r="V115" s="21">
        <v>1021.2</v>
      </c>
      <c r="W115" s="21">
        <v>297</v>
      </c>
      <c r="X115" s="21">
        <v>1208.4000000000001</v>
      </c>
      <c r="Y115" s="21">
        <v>1296</v>
      </c>
      <c r="Z115" s="21">
        <v>664.8</v>
      </c>
      <c r="AA115" s="21">
        <f t="shared" si="40"/>
        <v>16665.2</v>
      </c>
      <c r="AB115" s="17" t="str">
        <f t="shared" ca="1" si="41"/>
        <v/>
      </c>
      <c r="AD115" s="21">
        <v>23951.418785999998</v>
      </c>
      <c r="AE115" s="17" t="str">
        <f t="shared" ca="1" si="42"/>
        <v/>
      </c>
      <c r="AF115" s="50">
        <f t="shared" si="43"/>
        <v>-7286.2187859999976</v>
      </c>
      <c r="AG115" s="21">
        <v>15925.42</v>
      </c>
      <c r="AH115" s="17" t="str">
        <f t="shared" ca="1" si="44"/>
        <v/>
      </c>
      <c r="AI115" s="50">
        <f t="shared" si="45"/>
        <v>739.78000000000065</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v>48</v>
      </c>
      <c r="Q116" s="21"/>
      <c r="R116" s="21"/>
      <c r="S116" s="21">
        <v>13</v>
      </c>
      <c r="T116" s="21"/>
      <c r="U116" s="21"/>
      <c r="V116" s="21"/>
      <c r="W116" s="21"/>
      <c r="X116" s="21"/>
      <c r="Y116" s="21"/>
      <c r="Z116" s="21"/>
      <c r="AA116" s="21">
        <f t="shared" si="40"/>
        <v>61</v>
      </c>
      <c r="AB116" s="17" t="str">
        <f t="shared" ca="1" si="41"/>
        <v/>
      </c>
      <c r="AD116" s="21">
        <v>7263.7521129999996</v>
      </c>
      <c r="AE116" s="17" t="str">
        <f t="shared" ca="1" si="42"/>
        <v/>
      </c>
      <c r="AF116" s="50">
        <f t="shared" si="43"/>
        <v>-7202.7521129999996</v>
      </c>
      <c r="AG116" s="21"/>
      <c r="AH116" s="17" t="str">
        <f t="shared" si="44"/>
        <v/>
      </c>
      <c r="AI116" s="50">
        <f t="shared" si="45"/>
        <v>61</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v>12</v>
      </c>
      <c r="P117" s="21">
        <v>-12</v>
      </c>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2524</v>
      </c>
      <c r="P119" s="164">
        <v>3116</v>
      </c>
      <c r="Q119" s="164">
        <v>1788.4</v>
      </c>
      <c r="R119" s="164">
        <v>1332</v>
      </c>
      <c r="S119" s="164">
        <v>1709.6</v>
      </c>
      <c r="T119" s="164">
        <v>736</v>
      </c>
      <c r="U119" s="164">
        <v>1032.8</v>
      </c>
      <c r="V119" s="164">
        <v>1021.2</v>
      </c>
      <c r="W119" s="164">
        <v>297</v>
      </c>
      <c r="X119" s="164">
        <v>1208.4000000000001</v>
      </c>
      <c r="Y119" s="164">
        <v>1296</v>
      </c>
      <c r="Z119" s="164">
        <v>664.8</v>
      </c>
      <c r="AA119" s="164">
        <f t="shared" si="40"/>
        <v>16726.2</v>
      </c>
      <c r="AB119" s="175" t="str">
        <f t="shared" ca="1" si="41"/>
        <v/>
      </c>
      <c r="AD119" s="164">
        <v>31215.170899000001</v>
      </c>
      <c r="AE119" s="175" t="str">
        <f t="shared" ca="1" si="42"/>
        <v/>
      </c>
      <c r="AF119" s="165">
        <f t="shared" si="43"/>
        <v>-14488.970899</v>
      </c>
      <c r="AG119" s="164">
        <v>15925.42</v>
      </c>
      <c r="AH119" s="175" t="str">
        <f t="shared" ca="1" si="44"/>
        <v/>
      </c>
      <c r="AI119" s="165">
        <f t="shared" si="45"/>
        <v>800.78000000000065</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116</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116</v>
      </c>
      <c r="AB121" s="17" t="str">
        <f t="shared" ref="AB121:AB126" ca="1" si="48">IF(AA121=0,"",IFERROR(AA121/AA$19,""))</f>
        <v/>
      </c>
      <c r="AD121" s="21">
        <f>AD98+AD106+AD114</f>
        <v>0</v>
      </c>
      <c r="AE121" s="17" t="str">
        <f t="shared" ref="AE121:AE126" si="49">IF(AD121=0,"",IFERROR(AD121/AD$19,""))</f>
        <v/>
      </c>
      <c r="AF121" s="50">
        <f t="shared" ref="AF121:AF126" si="50">IF(AND($AA121="",AD121=""),"",$AA121-AD121)</f>
        <v>116</v>
      </c>
      <c r="AG121" s="21">
        <f>AG98+AG106+AG114</f>
        <v>-86</v>
      </c>
      <c r="AH121" s="17" t="str">
        <f t="shared" ref="AH121:AH126" ca="1" si="51">IF(AG121=0,"",IFERROR(AG121/AG$19,""))</f>
        <v/>
      </c>
      <c r="AI121" s="50">
        <f t="shared" ref="AI121:AI126" si="52">IF(AND($AA121="",AG121=""),"",$AA121-AG121)</f>
        <v>202</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19939</v>
      </c>
      <c r="P122" s="21">
        <f t="shared" si="53"/>
        <v>28373.620000000003</v>
      </c>
      <c r="Q122" s="21">
        <f t="shared" si="53"/>
        <v>25856.940000000002</v>
      </c>
      <c r="R122" s="21">
        <f t="shared" si="53"/>
        <v>20529.38</v>
      </c>
      <c r="S122" s="21">
        <f t="shared" si="53"/>
        <v>20283.599999999999</v>
      </c>
      <c r="T122" s="21">
        <f t="shared" si="53"/>
        <v>16428</v>
      </c>
      <c r="U122" s="21">
        <f t="shared" si="53"/>
        <v>16655.3</v>
      </c>
      <c r="V122" s="21">
        <f t="shared" si="53"/>
        <v>12000.990000000002</v>
      </c>
      <c r="W122" s="21">
        <f t="shared" si="53"/>
        <v>9587</v>
      </c>
      <c r="X122" s="21">
        <f t="shared" si="53"/>
        <v>13018.3</v>
      </c>
      <c r="Y122" s="21">
        <f t="shared" si="53"/>
        <v>10705.2</v>
      </c>
      <c r="Z122" s="21">
        <f t="shared" si="53"/>
        <v>6015.89</v>
      </c>
      <c r="AA122" s="21">
        <f t="shared" si="47"/>
        <v>199393.22</v>
      </c>
      <c r="AB122" s="17" t="str">
        <f t="shared" ca="1" si="48"/>
        <v/>
      </c>
      <c r="AD122" s="21">
        <f>AD99+AD107+AD115</f>
        <v>342226.41764999996</v>
      </c>
      <c r="AE122" s="17" t="str">
        <f t="shared" ca="1" si="49"/>
        <v/>
      </c>
      <c r="AF122" s="50">
        <f t="shared" si="50"/>
        <v>-142833.19764999996</v>
      </c>
      <c r="AG122" s="21">
        <f>AG99+AG107+AG115</f>
        <v>239584.19000000003</v>
      </c>
      <c r="AH122" s="17" t="str">
        <f t="shared" ca="1" si="51"/>
        <v/>
      </c>
      <c r="AI122" s="50">
        <f t="shared" si="52"/>
        <v>-40190.97000000003</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54</v>
      </c>
      <c r="P123" s="21">
        <f t="shared" si="54"/>
        <v>264</v>
      </c>
      <c r="Q123" s="21">
        <f t="shared" si="54"/>
        <v>2210</v>
      </c>
      <c r="R123" s="21">
        <f t="shared" si="54"/>
        <v>50</v>
      </c>
      <c r="S123" s="21">
        <f t="shared" si="54"/>
        <v>482</v>
      </c>
      <c r="T123" s="21">
        <f t="shared" si="54"/>
        <v>489</v>
      </c>
      <c r="U123" s="21">
        <f t="shared" si="54"/>
        <v>0</v>
      </c>
      <c r="V123" s="21">
        <f t="shared" si="54"/>
        <v>0</v>
      </c>
      <c r="W123" s="21">
        <f t="shared" si="54"/>
        <v>0</v>
      </c>
      <c r="X123" s="21">
        <f t="shared" si="54"/>
        <v>0</v>
      </c>
      <c r="Y123" s="21">
        <f t="shared" si="54"/>
        <v>0</v>
      </c>
      <c r="Z123" s="21">
        <f t="shared" si="54"/>
        <v>0</v>
      </c>
      <c r="AA123" s="21">
        <f t="shared" si="47"/>
        <v>3549</v>
      </c>
      <c r="AB123" s="17" t="str">
        <f t="shared" ca="1" si="48"/>
        <v/>
      </c>
      <c r="AD123" s="21">
        <f>AD100+AD108+AD116</f>
        <v>108025.968526</v>
      </c>
      <c r="AE123" s="17" t="str">
        <f t="shared" ca="1" si="49"/>
        <v/>
      </c>
      <c r="AF123" s="50">
        <f t="shared" si="50"/>
        <v>-104476.968526</v>
      </c>
      <c r="AG123" s="21">
        <f>AG100+AG108+AG116</f>
        <v>0</v>
      </c>
      <c r="AH123" s="17" t="str">
        <f t="shared" si="51"/>
        <v/>
      </c>
      <c r="AI123" s="50">
        <f t="shared" si="52"/>
        <v>3549</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12</v>
      </c>
      <c r="P124" s="21">
        <f t="shared" si="55"/>
        <v>-12</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20005</v>
      </c>
      <c r="P126" s="164">
        <f t="shared" si="57"/>
        <v>28741.620000000003</v>
      </c>
      <c r="Q126" s="164">
        <f t="shared" si="57"/>
        <v>28066.940000000002</v>
      </c>
      <c r="R126" s="164">
        <f t="shared" si="57"/>
        <v>20579.38</v>
      </c>
      <c r="S126" s="164">
        <f t="shared" si="57"/>
        <v>20765.599999999999</v>
      </c>
      <c r="T126" s="164">
        <f t="shared" si="57"/>
        <v>16917</v>
      </c>
      <c r="U126" s="164">
        <f t="shared" si="57"/>
        <v>16655.3</v>
      </c>
      <c r="V126" s="164">
        <f t="shared" si="57"/>
        <v>12000.990000000002</v>
      </c>
      <c r="W126" s="164">
        <f t="shared" si="57"/>
        <v>9587</v>
      </c>
      <c r="X126" s="164">
        <f t="shared" si="57"/>
        <v>13018.3</v>
      </c>
      <c r="Y126" s="164">
        <f t="shared" si="57"/>
        <v>10705.2</v>
      </c>
      <c r="Z126" s="164">
        <f t="shared" si="57"/>
        <v>6015.89</v>
      </c>
      <c r="AA126" s="164">
        <f t="shared" si="47"/>
        <v>203058.22</v>
      </c>
      <c r="AB126" s="175" t="str">
        <f t="shared" ca="1" si="48"/>
        <v/>
      </c>
      <c r="AD126" s="164">
        <f>SUM(AD121:AD125)</f>
        <v>450252.38617599994</v>
      </c>
      <c r="AE126" s="175" t="str">
        <f t="shared" ca="1" si="49"/>
        <v/>
      </c>
      <c r="AF126" s="165">
        <f t="shared" si="50"/>
        <v>-247194.16617599994</v>
      </c>
      <c r="AG126" s="164">
        <f>SUM(AG121:AG125)</f>
        <v>239498.19000000003</v>
      </c>
      <c r="AH126" s="175" t="str">
        <f t="shared" ca="1" si="51"/>
        <v/>
      </c>
      <c r="AI126" s="165">
        <f t="shared" si="52"/>
        <v>-36439.97000000003</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2782.47</v>
      </c>
      <c r="P130" s="21">
        <v>3805.04</v>
      </c>
      <c r="Q130" s="21">
        <v>1109.75</v>
      </c>
      <c r="R130" s="21">
        <v>2368</v>
      </c>
      <c r="S130" s="21">
        <v>2651</v>
      </c>
      <c r="T130" s="21">
        <v>1478.5</v>
      </c>
      <c r="U130" s="21">
        <v>1958.55</v>
      </c>
      <c r="V130" s="21">
        <v>1652</v>
      </c>
      <c r="W130" s="21">
        <v>968.75</v>
      </c>
      <c r="X130" s="21">
        <v>1455.38</v>
      </c>
      <c r="Y130" s="21">
        <v>1237</v>
      </c>
      <c r="Z130" s="21">
        <v>757.75</v>
      </c>
      <c r="AA130" s="21">
        <f>SUM(O130:Z130)</f>
        <v>22224.19</v>
      </c>
      <c r="AB130" s="311" t="str">
        <f ca="1">IF(AA130=0,"",IFERROR(AA130/_xll.EVGTS($B$1,1,_xll.EVPRO($B$1,$H130,"COSBASIS"),$B$3,$B$5,$B$6,$B$7,$B$9,AA$16,AA$17,AA$11),""))</f>
        <v/>
      </c>
      <c r="AD130" s="21">
        <v>66267.97</v>
      </c>
      <c r="AE130" s="311" t="str">
        <f ca="1">IF(AD130=0,"",IFERROR(AD130/_xll.EVGTS($B$1,1,_xll.EVPRO($B$1,$H130,"COSBASIS"),$B$3,$B$5,$B$6,$B$7,$B$9,AD$16,AD$17,AD$18),""))</f>
        <v/>
      </c>
      <c r="AF130" s="50">
        <f t="shared" ref="AF130:AF140" si="59">IF(AND($AA130="",AD130=""),"",$AA130-AD130)</f>
        <v>-44043.78</v>
      </c>
      <c r="AG130" s="21">
        <v>32396.67</v>
      </c>
      <c r="AH130" s="311" t="str">
        <f ca="1">IF(AG130=0,"",IFERROR(AG130/_xll.EVGTS($B$1,1,_xll.EVPRO($B$1,$H130,"COSBASIS"),$B$3,$B$5,$B$6,$B$7,$B$9,AG$16,AG$17,AG$18),""))</f>
        <v/>
      </c>
      <c r="AI130" s="50">
        <f t="shared" ref="AI130:AI141" si="60">IF(AND($AA130="",AG130=""),"",$AA130-AG130)</f>
        <v>-10172.48</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0.27398920771215302</v>
      </c>
      <c r="P131" s="172">
        <v>0.27399777635679701</v>
      </c>
      <c r="Q131" s="172">
        <v>0.12498789258981401</v>
      </c>
      <c r="R131" s="172">
        <v>0.25001266956095702</v>
      </c>
      <c r="S131" s="172">
        <v>0.25000094304391901</v>
      </c>
      <c r="T131" s="172">
        <v>0.25426891452884098</v>
      </c>
      <c r="U131" s="172">
        <v>0.25</v>
      </c>
      <c r="V131" s="172">
        <v>0.25000718846334902</v>
      </c>
      <c r="W131" s="172">
        <v>0.249980646659613</v>
      </c>
      <c r="X131" s="172">
        <v>0.25000085888516699</v>
      </c>
      <c r="Y131" s="172">
        <v>0.24999494755562701</v>
      </c>
      <c r="Z131" s="172">
        <v>0.25003299676631702</v>
      </c>
      <c r="AA131" s="172">
        <v>0.24441234861278699</v>
      </c>
      <c r="AB131" s="311"/>
      <c r="AD131" s="172">
        <v>0.29500009536233601</v>
      </c>
      <c r="AE131" s="311"/>
      <c r="AF131" s="468">
        <f t="shared" si="59"/>
        <v>-5.0587746749549023E-2</v>
      </c>
      <c r="AG131" s="172">
        <v>0.27724515278163198</v>
      </c>
      <c r="AH131" s="311"/>
      <c r="AI131" s="468">
        <f t="shared" si="60"/>
        <v>-3.2832804168844987E-2</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4058.5</v>
      </c>
      <c r="P132" s="21">
        <v>5820.09</v>
      </c>
      <c r="Q132" s="21">
        <v>5455.52</v>
      </c>
      <c r="R132" s="21">
        <v>3982.31</v>
      </c>
      <c r="S132" s="21">
        <v>4013.99</v>
      </c>
      <c r="T132" s="21">
        <v>3293.09</v>
      </c>
      <c r="U132" s="21">
        <v>3231.28</v>
      </c>
      <c r="V132" s="21">
        <v>2319.23</v>
      </c>
      <c r="W132" s="21">
        <v>1861.59</v>
      </c>
      <c r="X132" s="21">
        <v>2521.19</v>
      </c>
      <c r="Y132" s="21">
        <v>2052.4499999999998</v>
      </c>
      <c r="Z132" s="21">
        <v>1163.48</v>
      </c>
      <c r="AA132" s="21">
        <f>SUM(O132:Z132)</f>
        <v>39772.720000000001</v>
      </c>
      <c r="AB132" s="311" t="str">
        <f ca="1">IF(AA132=0,"",IFERROR(AA132/_xll.EVGTS($B$1,1,_xll.EVPRO($B$1,$H132,"COSBASIS"),$B$3,$B$5,$B$6,$B$7,$B$9,AA$16,AA$17,AA$11),""))</f>
        <v/>
      </c>
      <c r="AD132" s="21">
        <v>89301.42</v>
      </c>
      <c r="AE132" s="311" t="str">
        <f ca="1">IF(AD132=0,"",IFERROR(AD132/_xll.EVGTS($B$1,1,_xll.EVPRO($B$1,$H132,"COSBASIS"),$B$3,$B$5,$B$6,$B$7,$B$9,AD$16,AD$17,AD$18),""))</f>
        <v/>
      </c>
      <c r="AF132" s="50">
        <f t="shared" si="59"/>
        <v>-49528.7</v>
      </c>
      <c r="AG132" s="21">
        <v>47241.07</v>
      </c>
      <c r="AH132" s="311" t="str">
        <f ca="1">IF(AG132=0,"",IFERROR(AG132/_xll.EVGTS($B$1,1,_xll.EVPRO($B$1,$H132,"COSBASIS"),$B$3,$B$5,$B$6,$B$7,$B$9,AG$16,AG$17,AG$18),""))</f>
        <v/>
      </c>
      <c r="AI132" s="50">
        <f t="shared" si="60"/>
        <v>-7468.3499999999985</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0.20287428142964301</v>
      </c>
      <c r="P133" s="172">
        <v>0.20249693649836001</v>
      </c>
      <c r="Q133" s="172">
        <v>0.19437530418349799</v>
      </c>
      <c r="R133" s="172">
        <v>0.19350971700799499</v>
      </c>
      <c r="S133" s="172">
        <v>0.19329997688484801</v>
      </c>
      <c r="T133" s="172">
        <v>0.19466158302299499</v>
      </c>
      <c r="U133" s="172">
        <v>0.19400911421589501</v>
      </c>
      <c r="V133" s="172">
        <v>0.19325322327574601</v>
      </c>
      <c r="W133" s="172">
        <v>0.19417857515385401</v>
      </c>
      <c r="X133" s="172">
        <v>0.19366507147630599</v>
      </c>
      <c r="Y133" s="172">
        <v>0.191724582445914</v>
      </c>
      <c r="Z133" s="172">
        <v>0.19340114264057401</v>
      </c>
      <c r="AA133" s="172">
        <v>0.19586855434860001</v>
      </c>
      <c r="AB133" s="311"/>
      <c r="AD133" s="172">
        <v>0.19833636143150399</v>
      </c>
      <c r="AE133" s="311"/>
      <c r="AF133" s="468">
        <f t="shared" si="59"/>
        <v>-2.4678070829039778E-3</v>
      </c>
      <c r="AG133" s="172">
        <v>0.19725021721458499</v>
      </c>
      <c r="AH133" s="311"/>
      <c r="AI133" s="468">
        <f t="shared" si="60"/>
        <v>-1.3816628659849839E-3</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2712.89</v>
      </c>
      <c r="P134" s="21">
        <v>4018</v>
      </c>
      <c r="Q134" s="21">
        <v>4468.16</v>
      </c>
      <c r="R134" s="21">
        <v>3066.11</v>
      </c>
      <c r="S134" s="21">
        <v>3001.49</v>
      </c>
      <c r="T134" s="21">
        <v>2788.93</v>
      </c>
      <c r="U134" s="21">
        <v>2584.15</v>
      </c>
      <c r="V134" s="21">
        <v>1724.74</v>
      </c>
      <c r="W134" s="21">
        <v>1540.74</v>
      </c>
      <c r="X134" s="21">
        <v>1921.42</v>
      </c>
      <c r="Y134" s="21">
        <v>1304.73</v>
      </c>
      <c r="Z134" s="21">
        <v>856.95</v>
      </c>
      <c r="AA134" s="21">
        <f>SUM(O134:Z134)</f>
        <v>29988.310000000005</v>
      </c>
      <c r="AB134" s="311" t="str">
        <f ca="1">IF(AA134=0,"",IFERROR(AA134/_xll.EVGTS($B$1,1,_xll.EVPRO($B$1,$H134,"COSBASIS"),$B$3,$B$5,$B$6,$B$7,$B$9,AA$16,AA$17,AA$11),""))</f>
        <v/>
      </c>
      <c r="AD134" s="21">
        <v>69363.92</v>
      </c>
      <c r="AE134" s="311" t="str">
        <f ca="1">IF(AD134=0,"",IFERROR(AD134/_xll.EVGTS($B$1,1,_xll.EVPRO($B$1,$H134,"COSBASIS"),$B$3,$B$5,$B$6,$B$7,$B$9,AD$16,AD$17,AD$18),""))</f>
        <v/>
      </c>
      <c r="AF134" s="50">
        <f t="shared" si="59"/>
        <v>-39375.609999999993</v>
      </c>
      <c r="AG134" s="21">
        <v>36913.4</v>
      </c>
      <c r="AH134" s="311" t="str">
        <f ca="1">IF(AG134=0,"",IFERROR(AG134/_xll.EVGTS($B$1,1,_xll.EVPRO($B$1,$H134,"COSBASIS"),$B$3,$B$5,$B$6,$B$7,$B$9,AG$16,AG$17,AG$18),""))</f>
        <v/>
      </c>
      <c r="AI134" s="50">
        <f t="shared" si="60"/>
        <v>-6925.0899999999965</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0.197003078978709</v>
      </c>
      <c r="P135" s="172">
        <v>0.19695093676688699</v>
      </c>
      <c r="Q135" s="172">
        <v>0.197004127767681</v>
      </c>
      <c r="R135" s="172">
        <v>0.197002913174049</v>
      </c>
      <c r="S135" s="172">
        <v>0.19699469691003099</v>
      </c>
      <c r="T135" s="172">
        <v>0.19700007063643399</v>
      </c>
      <c r="U135" s="172">
        <v>0.19700019058509599</v>
      </c>
      <c r="V135" s="172">
        <v>0.19700979714641101</v>
      </c>
      <c r="W135" s="172">
        <v>0.197000383582662</v>
      </c>
      <c r="X135" s="172">
        <v>0.19700002050567</v>
      </c>
      <c r="Y135" s="172">
        <v>0.19699390022949601</v>
      </c>
      <c r="Z135" s="172">
        <v>0.19697781169477499</v>
      </c>
      <c r="AA135" s="172">
        <v>0.19699379332761</v>
      </c>
      <c r="AB135" s="311"/>
      <c r="AD135" s="172">
        <v>0.19399998757498599</v>
      </c>
      <c r="AE135" s="311"/>
      <c r="AF135" s="468">
        <f t="shared" si="59"/>
        <v>2.9938057526240069E-3</v>
      </c>
      <c r="AG135" s="172">
        <v>0.19555051511504401</v>
      </c>
      <c r="AH135" s="311"/>
      <c r="AI135" s="468">
        <f t="shared" si="60"/>
        <v>1.4432782125659849E-3</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775.39</v>
      </c>
      <c r="P136" s="21">
        <v>1092.03</v>
      </c>
      <c r="Q136" s="21">
        <v>647.64</v>
      </c>
      <c r="R136" s="21">
        <v>663.12</v>
      </c>
      <c r="S136" s="21">
        <v>687.6</v>
      </c>
      <c r="T136" s="21">
        <v>364.32</v>
      </c>
      <c r="U136" s="21">
        <v>450.9</v>
      </c>
      <c r="V136" s="21">
        <v>400.5</v>
      </c>
      <c r="W136" s="21">
        <v>264.42</v>
      </c>
      <c r="X136" s="21">
        <v>370.17</v>
      </c>
      <c r="Y136" s="21">
        <v>501.48</v>
      </c>
      <c r="Z136" s="21">
        <v>180.18</v>
      </c>
      <c r="AA136" s="21">
        <f>SUM(O136:Z136)</f>
        <v>6397.75</v>
      </c>
      <c r="AB136" s="311" t="str">
        <f ca="1">IF(AA136=0,"",IFERROR(AA136/_xll.EVGTS($B$1,1,_xll.EVPRO($B$1,$H136,"COSBASIS"),$B$3,$B$5,$B$6,$B$7,$B$9,AA$16,AA$17,AA$11),""))</f>
        <v/>
      </c>
      <c r="AD136" s="21">
        <v>12851.65</v>
      </c>
      <c r="AE136" s="311" t="str">
        <f ca="1">IF(AD136=0,"",IFERROR(AD136/_xll.EVGTS($B$1,1,_xll.EVPRO($B$1,$H136,"COSBASIS"),$B$3,$B$5,$B$6,$B$7,$B$9,AD$16,AD$17,AD$18),""))</f>
        <v/>
      </c>
      <c r="AF136" s="50">
        <f t="shared" si="59"/>
        <v>-6453.9</v>
      </c>
      <c r="AG136" s="21">
        <v>7297.87</v>
      </c>
      <c r="AH136" s="311" t="str">
        <f ca="1">IF(AG136=0,"",IFERROR(AG136/_xll.EVGTS($B$1,1,_xll.EVPRO($B$1,$H136,"COSBASIS"),$B$3,$B$5,$B$6,$B$7,$B$9,AG$16,AG$17,AG$18),""))</f>
        <v/>
      </c>
      <c r="AI136" s="50">
        <f t="shared" si="60"/>
        <v>-900.11999999999989</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0.20898873376098301</v>
      </c>
      <c r="P137" s="172">
        <v>0.209016958236037</v>
      </c>
      <c r="Q137" s="172">
        <v>0.18</v>
      </c>
      <c r="R137" s="172">
        <v>0.18001954609620999</v>
      </c>
      <c r="S137" s="172">
        <v>0.180018850141376</v>
      </c>
      <c r="T137" s="172">
        <v>0.18</v>
      </c>
      <c r="U137" s="172">
        <v>0.18</v>
      </c>
      <c r="V137" s="172">
        <v>0.17998382167895</v>
      </c>
      <c r="W137" s="172">
        <v>0.18</v>
      </c>
      <c r="X137" s="172">
        <v>0.18</v>
      </c>
      <c r="Y137" s="172">
        <v>0.18</v>
      </c>
      <c r="Z137" s="172">
        <v>0.18007195682590399</v>
      </c>
      <c r="AA137" s="172">
        <v>0.187604648366826</v>
      </c>
      <c r="AB137" s="311"/>
      <c r="AD137" s="172">
        <v>0.20899978019356999</v>
      </c>
      <c r="AE137" s="311"/>
      <c r="AF137" s="468">
        <f t="shared" si="59"/>
        <v>-2.139513182674399E-2</v>
      </c>
      <c r="AG137" s="172">
        <v>0.209671552769334</v>
      </c>
      <c r="AH137" s="311"/>
      <c r="AI137" s="468">
        <f t="shared" si="60"/>
        <v>-2.2066904402507997E-2</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570.22</v>
      </c>
      <c r="P138" s="21">
        <v>710.06</v>
      </c>
      <c r="Q138" s="21">
        <v>339.72</v>
      </c>
      <c r="R138" s="21">
        <v>253.08</v>
      </c>
      <c r="S138" s="21">
        <v>324.89999999999998</v>
      </c>
      <c r="T138" s="21">
        <v>139.84</v>
      </c>
      <c r="U138" s="21">
        <v>196.23</v>
      </c>
      <c r="V138" s="21">
        <v>193.99</v>
      </c>
      <c r="W138" s="21">
        <v>56.43</v>
      </c>
      <c r="X138" s="21">
        <v>229.6</v>
      </c>
      <c r="Y138" s="21">
        <v>246.24</v>
      </c>
      <c r="Z138" s="21">
        <v>126.35</v>
      </c>
      <c r="AA138" s="21">
        <f>SUM(O138:Z138)</f>
        <v>3386.6599999999994</v>
      </c>
      <c r="AB138" s="311" t="str">
        <f ca="1">IF(AA138=0,"",IFERROR(AA138/_xll.EVGTS($B$1,1,_xll.EVPRO($B$1,$H138,"COSBASIS"),$B$3,$B$5,$B$6,$B$7,$B$9,AA$16,AA$17,AA$11),""))</f>
        <v/>
      </c>
      <c r="AD138" s="21">
        <v>7085.85</v>
      </c>
      <c r="AE138" s="311" t="str">
        <f ca="1">IF(AD138=0,"",IFERROR(AD138/_xll.EVGTS($B$1,1,_xll.EVPRO($B$1,$H138,"COSBASIS"),$B$3,$B$5,$B$6,$B$7,$B$9,AD$16,AD$17,AD$18),""))</f>
        <v/>
      </c>
      <c r="AF138" s="50">
        <f t="shared" si="59"/>
        <v>-3699.190000000001</v>
      </c>
      <c r="AG138" s="21">
        <v>3029.8</v>
      </c>
      <c r="AH138" s="311" t="str">
        <f ca="1">IF(AG138=0,"",IFERROR(AG138/_xll.EVGTS($B$1,1,_xll.EVPRO($B$1,$H138,"COSBASIS"),$B$3,$B$5,$B$6,$B$7,$B$9,AG$16,AG$17,AG$18),""))</f>
        <v/>
      </c>
      <c r="AI138" s="50">
        <f t="shared" si="60"/>
        <v>356.85999999999922</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0.22591917591125199</v>
      </c>
      <c r="P139" s="172">
        <v>0.22787548138639299</v>
      </c>
      <c r="Q139" s="172">
        <v>0.18995750391411301</v>
      </c>
      <c r="R139" s="172">
        <v>0.19</v>
      </c>
      <c r="S139" s="172">
        <v>0.19004445484323801</v>
      </c>
      <c r="T139" s="172">
        <v>0.19</v>
      </c>
      <c r="U139" s="172">
        <v>0.18999806351665399</v>
      </c>
      <c r="V139" s="172">
        <v>0.18996278887583201</v>
      </c>
      <c r="W139" s="172">
        <v>0.19</v>
      </c>
      <c r="X139" s="172">
        <v>0.19000331016219801</v>
      </c>
      <c r="Y139" s="172">
        <v>0.19</v>
      </c>
      <c r="Z139" s="172">
        <v>0.190057160048135</v>
      </c>
      <c r="AA139" s="172">
        <v>0.20247635446186199</v>
      </c>
      <c r="AB139" s="311"/>
      <c r="AD139" s="172">
        <v>0.227000198811245</v>
      </c>
      <c r="AE139" s="311"/>
      <c r="AF139" s="468">
        <f t="shared" si="59"/>
        <v>-2.4523844349383012E-2</v>
      </c>
      <c r="AG139" s="172">
        <v>0.19024929954751599</v>
      </c>
      <c r="AH139" s="311"/>
      <c r="AI139" s="468">
        <f t="shared" si="60"/>
        <v>1.2227054914346003E-2</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6840.97</v>
      </c>
      <c r="P140" s="21">
        <v>9625.1299999999992</v>
      </c>
      <c r="Q140" s="21">
        <v>6565.27</v>
      </c>
      <c r="R140" s="21">
        <v>6350.31</v>
      </c>
      <c r="S140" s="21">
        <v>6664.99</v>
      </c>
      <c r="T140" s="21">
        <v>4771.59</v>
      </c>
      <c r="U140" s="21">
        <v>5189.83</v>
      </c>
      <c r="V140" s="21">
        <v>3971.23</v>
      </c>
      <c r="W140" s="21">
        <v>2830.34</v>
      </c>
      <c r="X140" s="21">
        <v>3976.57</v>
      </c>
      <c r="Y140" s="21">
        <v>3289.45</v>
      </c>
      <c r="Z140" s="21">
        <v>1921.23</v>
      </c>
      <c r="AA140" s="21">
        <f>SUM(O140:Z140)</f>
        <v>61996.91</v>
      </c>
      <c r="AB140" s="311" t="str">
        <f ca="1">IF(AA140=0,"",IFERROR(AA140/_xll.EVGTS($B$1,1,_xll.EVPRO($B$1,$H140,"COSBASIS"),$B$3,$B$5,$B$6,$B$7,$B$9,AA$16,AA$17,AA$11),""))</f>
        <v/>
      </c>
      <c r="AD140" s="21">
        <v>155569.39000000001</v>
      </c>
      <c r="AE140" s="311" t="str">
        <f ca="1">IF(AD140=0,"",IFERROR(AD140/_xll.EVGTS($B$1,1,_xll.EVPRO($B$1,$H140,"COSBASIS"),$B$3,$B$5,$B$6,$B$7,$B$9,AD$16,AD$17,AD$18),""))</f>
        <v/>
      </c>
      <c r="AF140" s="50">
        <f t="shared" si="59"/>
        <v>-93572.48000000001</v>
      </c>
      <c r="AG140" s="21">
        <v>79637.740000000005</v>
      </c>
      <c r="AH140" s="311" t="str">
        <f ca="1">IF(AG140=0,"",IFERROR(AG140/_xll.EVGTS($B$1,1,_xll.EVPRO($B$1,$H140,"COSBASIS"),$B$3,$B$5,$B$6,$B$7,$B$9,AG$16,AG$17,AG$18),""))</f>
        <v/>
      </c>
      <c r="AI140" s="50">
        <f t="shared" si="60"/>
        <v>-17640.830000000002</v>
      </c>
    </row>
    <row r="141" spans="3:35" x14ac:dyDescent="0.25">
      <c r="C141" s="32"/>
      <c r="H141" s="149"/>
      <c r="I141" s="161"/>
      <c r="J141" s="161"/>
      <c r="L141" s="162"/>
      <c r="M141" s="162"/>
      <c r="N141" s="467" t="s">
        <v>762</v>
      </c>
      <c r="O141" s="172">
        <f>IFERROR(O140/O85,"")</f>
        <v>0.22794184042268553</v>
      </c>
      <c r="P141" s="172">
        <f t="shared" ref="P141:AA141" si="61">IFERROR(P140/P85,"")</f>
        <v>0.22671706116472812</v>
      </c>
      <c r="Q141" s="172">
        <f t="shared" si="61"/>
        <v>0.17770003626934591</v>
      </c>
      <c r="R141" s="172">
        <f t="shared" si="61"/>
        <v>0.2113184630077635</v>
      </c>
      <c r="S141" s="172">
        <f t="shared" si="61"/>
        <v>0.21246679902427701</v>
      </c>
      <c r="T141" s="172">
        <f t="shared" si="61"/>
        <v>0.20990897737125805</v>
      </c>
      <c r="U141" s="172">
        <f t="shared" si="61"/>
        <v>0.21181181352766784</v>
      </c>
      <c r="V141" s="172">
        <f t="shared" si="61"/>
        <v>0.21622915151171959</v>
      </c>
      <c r="W141" s="172">
        <f t="shared" si="61"/>
        <v>0.21024193488482654</v>
      </c>
      <c r="X141" s="172">
        <f t="shared" si="61"/>
        <v>0.2110728351681016</v>
      </c>
      <c r="Y141" s="172">
        <f t="shared" si="61"/>
        <v>0.21468789016584638</v>
      </c>
      <c r="Z141" s="172">
        <f t="shared" si="61"/>
        <v>0.21237297559605992</v>
      </c>
      <c r="AA141" s="172">
        <f t="shared" si="61"/>
        <v>0.2115193588924458</v>
      </c>
      <c r="AB141" s="311"/>
      <c r="AD141" s="172">
        <f>IFERROR(AD140/AD85,"")</f>
        <v>0.23051090585940368</v>
      </c>
      <c r="AE141" s="311"/>
      <c r="AF141" s="468">
        <f t="shared" ref="AF141" si="62">IF(AND($AA141="",AD141=""),"",$AA141-AD141)</f>
        <v>-1.8991546966957873E-2</v>
      </c>
      <c r="AG141" s="172">
        <f>IFERROR(AG140/AG85,"")</f>
        <v>0.22429391109524524</v>
      </c>
      <c r="AH141" s="311"/>
      <c r="AI141" s="468">
        <f t="shared" si="60"/>
        <v>-1.2774552202799438E-2</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0</v>
      </c>
      <c r="P145" s="178">
        <f t="shared" ref="P145:Z145" si="65">IFERROR(P$85/P87,"")-P88</f>
        <v>0</v>
      </c>
      <c r="Q145" s="178">
        <f t="shared" si="65"/>
        <v>0</v>
      </c>
      <c r="R145" s="178">
        <f t="shared" si="65"/>
        <v>0</v>
      </c>
      <c r="S145" s="178">
        <f t="shared" si="65"/>
        <v>0</v>
      </c>
      <c r="T145" s="178">
        <f t="shared" si="65"/>
        <v>0</v>
      </c>
      <c r="U145" s="178">
        <f t="shared" si="65"/>
        <v>3.5527136788005009E-14</v>
      </c>
      <c r="V145" s="178">
        <f t="shared" si="65"/>
        <v>-3.907985046680551E-14</v>
      </c>
      <c r="W145" s="178">
        <f t="shared" si="65"/>
        <v>3.907985046680551E-14</v>
      </c>
      <c r="X145" s="178">
        <f t="shared" si="65"/>
        <v>0</v>
      </c>
      <c r="Y145" s="178">
        <f t="shared" si="65"/>
        <v>0</v>
      </c>
      <c r="Z145" s="178">
        <f t="shared" si="65"/>
        <v>0</v>
      </c>
      <c r="AA145" s="178">
        <f>IFERROR(AA$85/AA87,"")-AA88</f>
        <v>0</v>
      </c>
      <c r="AB145" s="17"/>
      <c r="AD145" s="178">
        <f>IFERROR(AD$85/AD87,"")-AD88</f>
        <v>0</v>
      </c>
      <c r="AE145" s="17"/>
      <c r="AF145" s="21"/>
      <c r="AG145" s="178">
        <f>IFERROR(AG$85/AG87,"")-AG88</f>
        <v>-5.3290705182007514E-14</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81" priority="15">
      <formula>ROUND(O42,2)&lt;&gt;ROUND(O43,2)</formula>
    </cfRule>
  </conditionalFormatting>
  <conditionalFormatting sqref="N43">
    <cfRule type="expression" dxfId="280" priority="14">
      <formula>$G43&lt;&gt;0</formula>
    </cfRule>
  </conditionalFormatting>
  <conditionalFormatting sqref="O53:AA53 AD53 AF53:AG53">
    <cfRule type="expression" dxfId="279" priority="13">
      <formula>ROUND(O52,2)&lt;&gt;ROUND(O53,2)</formula>
    </cfRule>
  </conditionalFormatting>
  <conditionalFormatting sqref="N53">
    <cfRule type="expression" dxfId="278" priority="12">
      <formula>$G53&lt;&gt;0</formula>
    </cfRule>
  </conditionalFormatting>
  <conditionalFormatting sqref="O63:AA63 AD63 AF63:AG63">
    <cfRule type="expression" dxfId="277" priority="11">
      <formula>ROUND(O62,2)&lt;&gt;ROUND(O63,2)</formula>
    </cfRule>
  </conditionalFormatting>
  <conditionalFormatting sqref="N63">
    <cfRule type="expression" dxfId="276" priority="10">
      <formula>$G63&lt;&gt;0</formula>
    </cfRule>
  </conditionalFormatting>
  <conditionalFormatting sqref="O73:AA73 AD73 AF73:AG73">
    <cfRule type="expression" dxfId="275" priority="9">
      <formula>ROUND(O72,2)&lt;&gt;ROUND(O73,2)</formula>
    </cfRule>
  </conditionalFormatting>
  <conditionalFormatting sqref="N73">
    <cfRule type="expression" dxfId="274" priority="8">
      <formula>$G73&lt;&gt;0</formula>
    </cfRule>
  </conditionalFormatting>
  <conditionalFormatting sqref="N82">
    <cfRule type="expression" dxfId="273" priority="7">
      <formula>$G82&lt;&gt;0</formula>
    </cfRule>
  </conditionalFormatting>
  <conditionalFormatting sqref="AD82 AF82:AG82 O82:AA82">
    <cfRule type="expression" dxfId="272" priority="6">
      <formula>ROUND(O81,2)&lt;&gt;ROUND(O82,2)</formula>
    </cfRule>
  </conditionalFormatting>
  <conditionalFormatting sqref="AI43">
    <cfRule type="expression" dxfId="271" priority="5">
      <formula>ROUND(AI42,2)&lt;&gt;ROUND(AI43,2)</formula>
    </cfRule>
  </conditionalFormatting>
  <conditionalFormatting sqref="AI53">
    <cfRule type="expression" dxfId="270" priority="4">
      <formula>ROUND(AI52,2)&lt;&gt;ROUND(AI53,2)</formula>
    </cfRule>
  </conditionalFormatting>
  <conditionalFormatting sqref="AI63">
    <cfRule type="expression" dxfId="269" priority="3">
      <formula>ROUND(AI62,2)&lt;&gt;ROUND(AI63,2)</formula>
    </cfRule>
  </conditionalFormatting>
  <conditionalFormatting sqref="AI73">
    <cfRule type="expression" dxfId="268" priority="2">
      <formula>ROUND(AI72,2)&lt;&gt;ROUND(AI73,2)</formula>
    </cfRule>
  </conditionalFormatting>
  <conditionalFormatting sqref="AI82">
    <cfRule type="expression" dxfId="267" priority="1">
      <formula>ROUND(AI81,2)&lt;&gt;ROUND(AI82,2)</formula>
    </cfRule>
  </conditionalFormatting>
  <dataValidations disablePrompts="1" count="2">
    <dataValidation type="list" allowBlank="1" sqref="B28" xr:uid="{00000000-0002-0000-1400-000000000000}">
      <formula1>"ACCOUNT,BUSINESSUNIT,CATEGORY,DATASRC,DEPARTMENT,INTCO,MEASURES,RPTCURRENCY,TIME"</formula1>
    </dataValidation>
    <dataValidation type="list" allowBlank="1" sqref="B29" xr:uid="{00000000-0002-0000-1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0">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t="str">
        <f>Venue2!N1</f>
        <v>Pool Bar</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726</v>
      </c>
      <c r="C6" s="1" t="s">
        <v>1357</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1368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1369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1370</v>
      </c>
      <c r="G19" s="18" t="str">
        <f>$B$6</f>
        <v>D2141</v>
      </c>
      <c r="H19" s="18" t="s">
        <v>273</v>
      </c>
      <c r="I19" s="19"/>
      <c r="J19" s="19"/>
      <c r="K19" s="18"/>
      <c r="L19" s="18"/>
      <c r="M19" s="18"/>
      <c r="N19" s="18" t="s">
        <v>1214</v>
      </c>
      <c r="O19" s="20">
        <v>30011.91</v>
      </c>
      <c r="P19" s="20">
        <v>42454.37</v>
      </c>
      <c r="Q19" s="20">
        <v>36945.800000000003</v>
      </c>
      <c r="R19" s="20">
        <v>30050.9</v>
      </c>
      <c r="S19" s="20">
        <v>31369.56</v>
      </c>
      <c r="T19" s="20">
        <v>22731.71</v>
      </c>
      <c r="U19" s="20">
        <v>24502.080000000002</v>
      </c>
      <c r="V19" s="20">
        <v>18365.84</v>
      </c>
      <c r="W19" s="20">
        <v>13462.3</v>
      </c>
      <c r="X19" s="20">
        <v>18839.8</v>
      </c>
      <c r="Y19" s="20">
        <v>15322.01</v>
      </c>
      <c r="Z19" s="20">
        <v>9046.49</v>
      </c>
      <c r="AA19" s="20">
        <f>SUM(O19:Z19)</f>
        <v>293102.77</v>
      </c>
      <c r="AB19" s="18"/>
      <c r="AC19" s="18"/>
      <c r="AD19" s="20">
        <v>674889.5</v>
      </c>
      <c r="AE19" s="18"/>
      <c r="AF19" s="18"/>
      <c r="AG19" s="20">
        <v>355059.75</v>
      </c>
      <c r="AH19" s="18"/>
      <c r="AI19" s="18"/>
    </row>
    <row r="20" spans="1:35" hidden="1" outlineLevel="1" x14ac:dyDescent="0.25">
      <c r="A20" s="6" t="s">
        <v>5</v>
      </c>
      <c r="B20" s="7"/>
      <c r="G20" s="18" t="str">
        <f>$B$6</f>
        <v>D2141</v>
      </c>
      <c r="H20" s="18">
        <v>946000</v>
      </c>
      <c r="I20" s="19"/>
      <c r="J20" s="19"/>
      <c r="K20" s="18"/>
      <c r="L20" s="18"/>
      <c r="M20" s="18"/>
      <c r="N20" s="18" t="s">
        <v>1196</v>
      </c>
      <c r="O20" s="20">
        <v>601</v>
      </c>
      <c r="P20" s="20">
        <v>842</v>
      </c>
      <c r="Q20" s="20">
        <v>1328</v>
      </c>
      <c r="R20" s="20">
        <v>803</v>
      </c>
      <c r="S20" s="20">
        <v>989</v>
      </c>
      <c r="T20" s="20">
        <v>1035</v>
      </c>
      <c r="U20" s="20">
        <v>771</v>
      </c>
      <c r="V20" s="20">
        <v>650</v>
      </c>
      <c r="W20" s="20">
        <v>458</v>
      </c>
      <c r="X20" s="20">
        <v>618</v>
      </c>
      <c r="Y20" s="20">
        <v>474</v>
      </c>
      <c r="Z20" s="20">
        <v>297</v>
      </c>
      <c r="AA20" s="20">
        <f>SUM(O20:Z20)</f>
        <v>8866</v>
      </c>
      <c r="AB20" s="18"/>
      <c r="AC20" s="18"/>
      <c r="AD20" s="20">
        <v>18585</v>
      </c>
      <c r="AE20" s="18"/>
      <c r="AF20" s="18"/>
      <c r="AG20" s="20">
        <v>12011</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1371</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1356</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v>184.31</v>
      </c>
      <c r="Q35" s="21"/>
      <c r="R35" s="21"/>
      <c r="S35" s="21">
        <v>-31.14</v>
      </c>
      <c r="T35" s="21">
        <v>-98.79</v>
      </c>
      <c r="U35" s="21"/>
      <c r="V35" s="21"/>
      <c r="W35" s="21"/>
      <c r="X35" s="21"/>
      <c r="Y35" s="21"/>
      <c r="Z35" s="21"/>
      <c r="AA35" s="21">
        <f t="shared" ref="AA35:AA41" si="0">SUM(O35:Z35)</f>
        <v>54.38000000000001</v>
      </c>
      <c r="AB35" s="17">
        <f>IF(AA35=0,"",IFERROR(AA35/AA$19,""))</f>
        <v>1.8553219404920671E-4</v>
      </c>
      <c r="AD35" s="21"/>
      <c r="AE35" s="17" t="str">
        <f>IF(AD35=0,"",IFERROR(AD35/AD$19,""))</f>
        <v/>
      </c>
      <c r="AF35" s="50">
        <f t="shared" ref="AF35:AF42" si="1">IF(AND($AA35="",AD35=""),"",$AA35-AD35)</f>
        <v>54.38000000000001</v>
      </c>
      <c r="AG35" s="21">
        <v>33</v>
      </c>
      <c r="AH35" s="17">
        <f>IF(AG35=0,"",IFERROR(AG35/AG$19,""))</f>
        <v>9.2942103406539318E-5</v>
      </c>
      <c r="AI35" s="50">
        <f t="shared" ref="AI35:AI42" si="2">IF(AND($AA35="",AG35=""),"",$AA35-AG35)</f>
        <v>21.38000000000001</v>
      </c>
    </row>
    <row r="36" spans="1:35" x14ac:dyDescent="0.25">
      <c r="A36" s="3" t="s">
        <v>23</v>
      </c>
      <c r="B36" s="5" t="s">
        <v>24</v>
      </c>
      <c r="H36" s="15" t="s">
        <v>294</v>
      </c>
      <c r="I36" s="161" t="s">
        <v>1123</v>
      </c>
      <c r="J36" s="161" t="s">
        <v>78</v>
      </c>
      <c r="K36" s="162"/>
      <c r="L36" s="162">
        <v>461200</v>
      </c>
      <c r="M36" s="162"/>
      <c r="N36" s="162" t="s">
        <v>1259</v>
      </c>
      <c r="O36" s="21"/>
      <c r="P36" s="21">
        <v>116</v>
      </c>
      <c r="Q36" s="21"/>
      <c r="R36" s="21"/>
      <c r="S36" s="21"/>
      <c r="T36" s="21"/>
      <c r="U36" s="21"/>
      <c r="V36" s="21"/>
      <c r="W36" s="21"/>
      <c r="X36" s="21"/>
      <c r="Y36" s="21"/>
      <c r="Z36" s="21"/>
      <c r="AA36" s="21">
        <f t="shared" si="0"/>
        <v>116</v>
      </c>
      <c r="AB36" s="17">
        <f>IF(AA36=0,"",IFERROR(AA36/AA$19,""))</f>
        <v>3.9576562173056229E-4</v>
      </c>
      <c r="AD36" s="21"/>
      <c r="AE36" s="17" t="str">
        <f>IF(AD36=0,"",IFERROR(AD36/AD$19,""))</f>
        <v/>
      </c>
      <c r="AF36" s="50">
        <f t="shared" si="1"/>
        <v>116</v>
      </c>
      <c r="AG36" s="21">
        <v>-86</v>
      </c>
      <c r="AH36" s="17">
        <f>IF(AG36=0,"",IFERROR(AG36/AG$19,""))</f>
        <v>-2.4221275433219339E-4</v>
      </c>
      <c r="AI36" s="50">
        <f t="shared" si="2"/>
        <v>202</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v>300.31</v>
      </c>
      <c r="Q39" s="164"/>
      <c r="R39" s="164"/>
      <c r="S39" s="164">
        <v>-31.14</v>
      </c>
      <c r="T39" s="164">
        <v>-98.79</v>
      </c>
      <c r="U39" s="164"/>
      <c r="V39" s="164"/>
      <c r="W39" s="164"/>
      <c r="X39" s="164"/>
      <c r="Y39" s="164"/>
      <c r="Z39" s="164"/>
      <c r="AA39" s="164">
        <f t="shared" si="0"/>
        <v>170.38</v>
      </c>
      <c r="AB39" s="175">
        <f>IF(AA39=0,"",IFERROR(AA39/AA$19,""))</f>
        <v>5.8129781577976897E-4</v>
      </c>
      <c r="AD39" s="164"/>
      <c r="AE39" s="175" t="str">
        <f>IF(AD39=0,"",IFERROR(AD39/AD$19,""))</f>
        <v/>
      </c>
      <c r="AF39" s="165">
        <f t="shared" si="1"/>
        <v>170.38</v>
      </c>
      <c r="AG39" s="164">
        <v>-53</v>
      </c>
      <c r="AH39" s="175">
        <f>IF(AG39=0,"",IFERROR(AG39/AG$19,""))</f>
        <v>-1.4927065092565407E-4</v>
      </c>
      <c r="AI39" s="165">
        <f t="shared" si="2"/>
        <v>223.38</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v>8879.4</v>
      </c>
      <c r="P45" s="21">
        <v>13568.31</v>
      </c>
      <c r="Q45" s="21">
        <v>8685.86</v>
      </c>
      <c r="R45" s="21">
        <v>9466.52</v>
      </c>
      <c r="S45" s="21">
        <v>10475.1</v>
      </c>
      <c r="T45" s="21">
        <v>5901.5</v>
      </c>
      <c r="U45" s="21">
        <v>7834.2</v>
      </c>
      <c r="V45" s="21">
        <v>6607.81</v>
      </c>
      <c r="W45" s="21">
        <v>3875.3</v>
      </c>
      <c r="X45" s="21">
        <v>5821.5</v>
      </c>
      <c r="Y45" s="21">
        <v>4948.1000000000004</v>
      </c>
      <c r="Z45" s="21">
        <v>3030.6</v>
      </c>
      <c r="AA45" s="21">
        <f t="shared" ref="AA45:AA51" si="5">SUM(O45:Z45)</f>
        <v>89094.200000000012</v>
      </c>
      <c r="AB45" s="17">
        <f>IF(AA45=0,"",IFERROR(AA45/AA$19,""))</f>
        <v>0.30396915047919881</v>
      </c>
      <c r="AD45" s="21">
        <v>170666.25235</v>
      </c>
      <c r="AE45" s="17">
        <f>IF(AD45=0,"",IFERROR(AD45/AD$19,""))</f>
        <v>0.252880289810406</v>
      </c>
      <c r="AF45" s="50">
        <f t="shared" ref="AF45:AF52" si="6">IF(AND($AA45="",AD45=""),"",$AA45-AD45)</f>
        <v>-81572.052349999984</v>
      </c>
      <c r="AG45" s="21">
        <v>116819.07</v>
      </c>
      <c r="AH45" s="17">
        <f>IF(AG45=0,"",IFERROR(AG45/AG$19,""))</f>
        <v>0.32901242678168957</v>
      </c>
      <c r="AI45" s="50">
        <f t="shared" ref="AI45:AI52" si="7">IF(AND($AA45="",AG45=""),"",$AA45-AG45)</f>
        <v>-27724.869999999995</v>
      </c>
    </row>
    <row r="46" spans="1:35" x14ac:dyDescent="0.25">
      <c r="A46" s="6" t="s">
        <v>34</v>
      </c>
      <c r="B46" s="7"/>
      <c r="H46" s="149" t="s">
        <v>301</v>
      </c>
      <c r="I46" s="161" t="s">
        <v>1123</v>
      </c>
      <c r="J46" s="161" t="s">
        <v>78</v>
      </c>
      <c r="K46" s="162"/>
      <c r="L46" s="162">
        <v>462200</v>
      </c>
      <c r="M46" s="162"/>
      <c r="N46" s="162" t="s">
        <v>1266</v>
      </c>
      <c r="O46" s="21">
        <v>13736.8</v>
      </c>
      <c r="P46" s="21">
        <v>20086.02</v>
      </c>
      <c r="Q46" s="21">
        <v>20842.54</v>
      </c>
      <c r="R46" s="21">
        <v>15545.78</v>
      </c>
      <c r="S46" s="21">
        <v>14877.4</v>
      </c>
      <c r="T46" s="21">
        <v>13668</v>
      </c>
      <c r="U46" s="21">
        <v>13117.5</v>
      </c>
      <c r="V46" s="21">
        <v>8754.59</v>
      </c>
      <c r="W46" s="21">
        <v>7821</v>
      </c>
      <c r="X46" s="21">
        <v>9753.4</v>
      </c>
      <c r="Y46" s="21">
        <v>6623.2</v>
      </c>
      <c r="Z46" s="21">
        <v>4350.49</v>
      </c>
      <c r="AA46" s="21">
        <f t="shared" si="5"/>
        <v>149176.72</v>
      </c>
      <c r="AB46" s="17">
        <f>IF(AA46=0,"",IFERROR(AA46/AA$19,""))</f>
        <v>0.50895704602177594</v>
      </c>
      <c r="AD46" s="21">
        <v>271551.49635999999</v>
      </c>
      <c r="AE46" s="17">
        <f>IF(AD46=0,"",IFERROR(AD46/AD$19,""))</f>
        <v>0.40236438166544297</v>
      </c>
      <c r="AF46" s="50">
        <f t="shared" si="6"/>
        <v>-122374.77635999999</v>
      </c>
      <c r="AG46" s="21">
        <v>188852.57</v>
      </c>
      <c r="AH46" s="17">
        <f>IF(AG46=0,"",IFERROR(AG46/AG$19,""))</f>
        <v>0.53188954816759715</v>
      </c>
      <c r="AI46" s="50">
        <f t="shared" si="7"/>
        <v>-39675.850000000006</v>
      </c>
    </row>
    <row r="47" spans="1:35" x14ac:dyDescent="0.25">
      <c r="A47" s="6" t="s">
        <v>35</v>
      </c>
      <c r="B47" s="7"/>
      <c r="H47" s="149" t="s">
        <v>305</v>
      </c>
      <c r="I47" s="161" t="s">
        <v>1123</v>
      </c>
      <c r="J47" s="161" t="s">
        <v>78</v>
      </c>
      <c r="K47" s="162"/>
      <c r="L47" s="162">
        <v>462300</v>
      </c>
      <c r="M47" s="162"/>
      <c r="N47" s="162" t="s">
        <v>1267</v>
      </c>
      <c r="O47" s="21">
        <v>3690.2</v>
      </c>
      <c r="P47" s="21">
        <v>5207.6000000000004</v>
      </c>
      <c r="Q47" s="21">
        <v>3226</v>
      </c>
      <c r="R47" s="21">
        <v>3651.6</v>
      </c>
      <c r="S47" s="21">
        <v>3709.6</v>
      </c>
      <c r="T47" s="21">
        <v>2024</v>
      </c>
      <c r="U47" s="21">
        <v>2505</v>
      </c>
      <c r="V47" s="21">
        <v>2225.1999999999998</v>
      </c>
      <c r="W47" s="21">
        <v>1469</v>
      </c>
      <c r="X47" s="21">
        <v>2056.5</v>
      </c>
      <c r="Y47" s="21">
        <v>2786</v>
      </c>
      <c r="Z47" s="21">
        <v>1000.6</v>
      </c>
      <c r="AA47" s="21">
        <f t="shared" si="5"/>
        <v>33551.300000000003</v>
      </c>
      <c r="AB47" s="17">
        <f>IF(AA47=0,"",IFERROR(AA47/AA$19,""))</f>
        <v>0.11446940607214323</v>
      </c>
      <c r="AD47" s="21">
        <v>46723.502503999996</v>
      </c>
      <c r="AE47" s="17">
        <f>IF(AD47=0,"",IFERROR(AD47/AD$19,""))</f>
        <v>6.9231337135931131E-2</v>
      </c>
      <c r="AF47" s="50">
        <f t="shared" si="6"/>
        <v>-13172.202503999993</v>
      </c>
      <c r="AG47" s="21">
        <v>34806.199999999997</v>
      </c>
      <c r="AH47" s="17">
        <f>IF(AG47=0,"",IFERROR(AG47/AG$19,""))</f>
        <v>9.8029134532990572E-2</v>
      </c>
      <c r="AI47" s="50">
        <f t="shared" si="7"/>
        <v>-1254.8999999999942</v>
      </c>
    </row>
    <row r="48" spans="1:35" x14ac:dyDescent="0.25">
      <c r="A48" s="6" t="s">
        <v>36</v>
      </c>
      <c r="B48" s="7"/>
      <c r="H48" s="149" t="s">
        <v>303</v>
      </c>
      <c r="I48" s="161" t="s">
        <v>1123</v>
      </c>
      <c r="J48" s="161" t="s">
        <v>78</v>
      </c>
      <c r="K48" s="162"/>
      <c r="L48" s="162">
        <v>462400</v>
      </c>
      <c r="M48" s="162"/>
      <c r="N48" s="162" t="s">
        <v>1268</v>
      </c>
      <c r="O48" s="30">
        <v>2512</v>
      </c>
      <c r="P48" s="30">
        <v>3080</v>
      </c>
      <c r="Q48" s="30">
        <v>1788.4</v>
      </c>
      <c r="R48" s="30">
        <v>1332</v>
      </c>
      <c r="S48" s="30">
        <v>1696.6</v>
      </c>
      <c r="T48" s="30">
        <v>736</v>
      </c>
      <c r="U48" s="30">
        <v>1032.8</v>
      </c>
      <c r="V48" s="30">
        <v>1021.2</v>
      </c>
      <c r="W48" s="30">
        <v>297</v>
      </c>
      <c r="X48" s="30">
        <v>1208.4000000000001</v>
      </c>
      <c r="Y48" s="30">
        <v>1296</v>
      </c>
      <c r="Z48" s="30">
        <v>664.8</v>
      </c>
      <c r="AA48" s="30">
        <f t="shared" si="5"/>
        <v>16665.2</v>
      </c>
      <c r="AB48" s="31">
        <f>IF(AA48=0,"",IFERROR(AA48/AA$19,""))</f>
        <v>5.68578727522773E-2</v>
      </c>
      <c r="AD48" s="30">
        <v>23951.418785999998</v>
      </c>
      <c r="AE48" s="31">
        <f>IF(AD48=0,"",IFERROR(AD48/AD$19,""))</f>
        <v>3.5489393131764531E-2</v>
      </c>
      <c r="AF48" s="51">
        <f t="shared" si="6"/>
        <v>-7286.2187859999976</v>
      </c>
      <c r="AG48" s="30">
        <v>15925.42</v>
      </c>
      <c r="AH48" s="31">
        <f>IF(AG48=0,"",IFERROR(AG48/AG$19,""))</f>
        <v>4.4852788861593017E-2</v>
      </c>
      <c r="AI48" s="51">
        <f t="shared" si="7"/>
        <v>739.78000000000065</v>
      </c>
    </row>
    <row r="49" spans="1:35" x14ac:dyDescent="0.25">
      <c r="A49" s="6" t="s">
        <v>37</v>
      </c>
      <c r="B49" s="7"/>
      <c r="H49" s="15" t="s">
        <v>319</v>
      </c>
      <c r="I49" s="161" t="s">
        <v>1009</v>
      </c>
      <c r="J49" s="161" t="s">
        <v>78</v>
      </c>
      <c r="K49" s="162"/>
      <c r="L49" s="162"/>
      <c r="M49" s="162"/>
      <c r="N49" s="25" t="s">
        <v>1269</v>
      </c>
      <c r="O49" s="164">
        <v>28818.400000000001</v>
      </c>
      <c r="P49" s="164">
        <v>41941.93</v>
      </c>
      <c r="Q49" s="164">
        <v>34542.800000000003</v>
      </c>
      <c r="R49" s="164">
        <v>29995.9</v>
      </c>
      <c r="S49" s="164">
        <v>30758.7</v>
      </c>
      <c r="T49" s="164">
        <v>22329.5</v>
      </c>
      <c r="U49" s="164">
        <v>24489.5</v>
      </c>
      <c r="V49" s="164">
        <v>18608.8</v>
      </c>
      <c r="W49" s="164">
        <v>13462.3</v>
      </c>
      <c r="X49" s="164">
        <v>18839.8</v>
      </c>
      <c r="Y49" s="164">
        <v>15653.3</v>
      </c>
      <c r="Z49" s="164">
        <v>9046.49</v>
      </c>
      <c r="AA49" s="164">
        <f t="shared" si="5"/>
        <v>288487.42</v>
      </c>
      <c r="AB49" s="175">
        <f>IF(AA49=0,"",IFERROR(AA49/AA$19,""))</f>
        <v>0.98425347532539509</v>
      </c>
      <c r="AD49" s="164">
        <v>512892.67</v>
      </c>
      <c r="AE49" s="175">
        <f>IF(AD49=0,"",IFERROR(AD49/AD$19,""))</f>
        <v>0.75996540174354466</v>
      </c>
      <c r="AF49" s="165">
        <f t="shared" si="6"/>
        <v>-224405.25</v>
      </c>
      <c r="AG49" s="164">
        <v>356403.26</v>
      </c>
      <c r="AH49" s="175">
        <f>IF(AG49=0,"",IFERROR(AG49/AG$19,""))</f>
        <v>1.0037838983438703</v>
      </c>
      <c r="AI49" s="165">
        <f t="shared" si="7"/>
        <v>-67915.840000000026</v>
      </c>
    </row>
    <row r="50" spans="1:35" x14ac:dyDescent="0.25">
      <c r="A50" s="6" t="s">
        <v>38</v>
      </c>
      <c r="B50" s="7"/>
      <c r="H50" s="15" t="s">
        <v>764</v>
      </c>
      <c r="I50" s="161" t="s">
        <v>1009</v>
      </c>
      <c r="J50" s="161" t="s">
        <v>1009</v>
      </c>
      <c r="K50" s="162"/>
      <c r="L50" s="162">
        <v>947200</v>
      </c>
      <c r="M50" s="162">
        <v>999992</v>
      </c>
      <c r="N50" s="162" t="s">
        <v>1352</v>
      </c>
      <c r="O50" s="38">
        <v>29</v>
      </c>
      <c r="P50" s="38">
        <v>26</v>
      </c>
      <c r="Q50" s="38">
        <v>29</v>
      </c>
      <c r="R50" s="38">
        <v>27</v>
      </c>
      <c r="S50" s="38">
        <v>31</v>
      </c>
      <c r="T50" s="38"/>
      <c r="U50" s="38">
        <v>30</v>
      </c>
      <c r="V50" s="38">
        <v>29</v>
      </c>
      <c r="W50" s="38">
        <v>25</v>
      </c>
      <c r="X50" s="38">
        <v>29</v>
      </c>
      <c r="Y50" s="38">
        <v>27</v>
      </c>
      <c r="Z50" s="38">
        <v>21</v>
      </c>
      <c r="AA50" s="38">
        <f t="shared" si="5"/>
        <v>303</v>
      </c>
      <c r="AB50" s="39"/>
      <c r="AD50" s="38">
        <v>365</v>
      </c>
      <c r="AE50" s="39"/>
      <c r="AF50" s="132">
        <f t="shared" si="6"/>
        <v>-62</v>
      </c>
      <c r="AG50" s="38">
        <v>338</v>
      </c>
      <c r="AH50" s="39"/>
      <c r="AI50" s="132">
        <f t="shared" si="7"/>
        <v>-35</v>
      </c>
    </row>
    <row r="51" spans="1:35" x14ac:dyDescent="0.25">
      <c r="A51" s="6" t="s">
        <v>39</v>
      </c>
      <c r="B51" s="7"/>
      <c r="H51" s="15" t="s">
        <v>298</v>
      </c>
      <c r="I51" s="161" t="s">
        <v>1009</v>
      </c>
      <c r="J51" s="161" t="s">
        <v>1009</v>
      </c>
      <c r="K51" s="162"/>
      <c r="L51" s="162">
        <v>946200</v>
      </c>
      <c r="M51" s="162">
        <v>991502</v>
      </c>
      <c r="N51" s="162" t="s">
        <v>1270</v>
      </c>
      <c r="O51" s="38">
        <v>567</v>
      </c>
      <c r="P51" s="38">
        <v>830</v>
      </c>
      <c r="Q51" s="38">
        <v>1235</v>
      </c>
      <c r="R51" s="38">
        <v>799</v>
      </c>
      <c r="S51" s="38">
        <v>966</v>
      </c>
      <c r="T51" s="38">
        <v>1011</v>
      </c>
      <c r="U51" s="38">
        <v>771</v>
      </c>
      <c r="V51" s="38">
        <v>650</v>
      </c>
      <c r="W51" s="38">
        <v>458</v>
      </c>
      <c r="X51" s="38">
        <v>618</v>
      </c>
      <c r="Y51" s="38">
        <v>474</v>
      </c>
      <c r="Z51" s="38">
        <v>297</v>
      </c>
      <c r="AA51" s="38">
        <f t="shared" si="5"/>
        <v>8676</v>
      </c>
      <c r="AB51" s="39">
        <f>IF(AA51=0,"",IFERROR(AA51/AA$87,""))</f>
        <v>0.97856981727949466</v>
      </c>
      <c r="AD51" s="38">
        <v>14084</v>
      </c>
      <c r="AE51" s="39">
        <f>IF(AD51=0,"",IFERROR(AD51/AD$87,""))</f>
        <v>0.75781544256120525</v>
      </c>
      <c r="AF51" s="132">
        <f t="shared" si="6"/>
        <v>-5408</v>
      </c>
      <c r="AG51" s="38">
        <v>12011</v>
      </c>
      <c r="AH51" s="39">
        <f>IF(AG51=0,"",IFERROR(AG51/AG$87,""))</f>
        <v>1</v>
      </c>
      <c r="AI51" s="132">
        <f t="shared" si="7"/>
        <v>-3335</v>
      </c>
    </row>
    <row r="52" spans="1:35" x14ac:dyDescent="0.25">
      <c r="A52" s="6" t="s">
        <v>40</v>
      </c>
      <c r="B52" s="7"/>
      <c r="H52" s="15" t="s">
        <v>315</v>
      </c>
      <c r="I52" s="161" t="s">
        <v>1009</v>
      </c>
      <c r="J52" s="161" t="s">
        <v>78</v>
      </c>
      <c r="K52" s="162"/>
      <c r="L52" s="162"/>
      <c r="M52" s="162"/>
      <c r="N52" s="170" t="s">
        <v>1271</v>
      </c>
      <c r="O52" s="176">
        <v>50.826102292769001</v>
      </c>
      <c r="P52" s="176">
        <v>50.532445783132502</v>
      </c>
      <c r="Q52" s="176">
        <v>27.969878542510099</v>
      </c>
      <c r="R52" s="176">
        <v>37.541802252815998</v>
      </c>
      <c r="S52" s="176">
        <v>31.8413043478261</v>
      </c>
      <c r="T52" s="176">
        <v>22.0865479723047</v>
      </c>
      <c r="U52" s="176">
        <v>31.763294422827499</v>
      </c>
      <c r="V52" s="176">
        <v>28.628923076923101</v>
      </c>
      <c r="W52" s="176">
        <v>29.3936681222707</v>
      </c>
      <c r="X52" s="176">
        <v>30.485113268608401</v>
      </c>
      <c r="Y52" s="176">
        <v>33.023839662447301</v>
      </c>
      <c r="Z52" s="176">
        <v>30.459562289562299</v>
      </c>
      <c r="AA52" s="176">
        <f>IFERROR(AA49/AA51,"")</f>
        <v>33.251201014292299</v>
      </c>
      <c r="AB52" s="176"/>
      <c r="AD52" s="176">
        <v>36.416690570860503</v>
      </c>
      <c r="AE52" s="176"/>
      <c r="AF52" s="177">
        <f t="shared" si="6"/>
        <v>-3.165489556568204</v>
      </c>
      <c r="AG52" s="176">
        <v>29.673071351261299</v>
      </c>
      <c r="AH52" s="176"/>
      <c r="AI52" s="177">
        <f t="shared" si="7"/>
        <v>3.5781296630309996</v>
      </c>
    </row>
    <row r="53" spans="1:35" x14ac:dyDescent="0.25">
      <c r="A53" s="6" t="s">
        <v>41</v>
      </c>
      <c r="B53" s="7"/>
      <c r="G53" s="181">
        <f>COUNTIF(O54:AI54,FALSE)</f>
        <v>0</v>
      </c>
      <c r="H53" s="15"/>
      <c r="I53" s="161"/>
      <c r="J53" s="161"/>
      <c r="K53" s="162"/>
      <c r="L53" s="162"/>
      <c r="M53" s="162"/>
      <c r="N53" s="182" t="s">
        <v>345</v>
      </c>
      <c r="O53" s="179">
        <f t="shared" ref="O53:AA53" si="8">ROUND(IFERROR(O49/O51,0),2)</f>
        <v>50.83</v>
      </c>
      <c r="P53" s="184">
        <f t="shared" si="8"/>
        <v>50.53</v>
      </c>
      <c r="Q53" s="184">
        <f t="shared" si="8"/>
        <v>27.97</v>
      </c>
      <c r="R53" s="184">
        <f t="shared" si="8"/>
        <v>37.54</v>
      </c>
      <c r="S53" s="184">
        <f t="shared" si="8"/>
        <v>31.84</v>
      </c>
      <c r="T53" s="184">
        <f t="shared" si="8"/>
        <v>22.09</v>
      </c>
      <c r="U53" s="184">
        <f t="shared" si="8"/>
        <v>31.76</v>
      </c>
      <c r="V53" s="184">
        <f t="shared" si="8"/>
        <v>28.63</v>
      </c>
      <c r="W53" s="184">
        <f t="shared" si="8"/>
        <v>29.39</v>
      </c>
      <c r="X53" s="184">
        <f t="shared" si="8"/>
        <v>30.49</v>
      </c>
      <c r="Y53" s="184">
        <f t="shared" si="8"/>
        <v>33.020000000000003</v>
      </c>
      <c r="Z53" s="184">
        <f t="shared" si="8"/>
        <v>30.46</v>
      </c>
      <c r="AA53" s="184">
        <f t="shared" si="8"/>
        <v>33.25</v>
      </c>
      <c r="AB53" s="183"/>
      <c r="AD53" s="179">
        <f>ROUND(IFERROR(AD49/AD51,0),2)</f>
        <v>36.42</v>
      </c>
      <c r="AE53" s="184"/>
      <c r="AF53" s="180"/>
      <c r="AG53" s="179">
        <f>ROUND(IFERROR(AG49/AG51,0),2)</f>
        <v>29.67</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b">
        <f t="shared" si="9"/>
        <v>1</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v>1276</v>
      </c>
      <c r="P55" s="21">
        <v>134.5</v>
      </c>
      <c r="Q55" s="21">
        <v>193</v>
      </c>
      <c r="R55" s="21">
        <v>5</v>
      </c>
      <c r="S55" s="21">
        <v>160</v>
      </c>
      <c r="T55" s="21">
        <v>12</v>
      </c>
      <c r="U55" s="21"/>
      <c r="V55" s="21"/>
      <c r="W55" s="21"/>
      <c r="X55" s="21"/>
      <c r="Y55" s="21"/>
      <c r="Z55" s="21"/>
      <c r="AA55" s="21">
        <f t="shared" ref="AA55:AA61" si="10">SUM(O55:Z55)</f>
        <v>1780.5</v>
      </c>
      <c r="AB55" s="17">
        <f>IF(AA55=0,"",IFERROR(AA55/AA$19,""))</f>
        <v>6.0746611163040179E-3</v>
      </c>
      <c r="AD55" s="21">
        <v>53970.861473999998</v>
      </c>
      <c r="AE55" s="17">
        <f>IF(AD55=0,"",IFERROR(AD55/AD$19,""))</f>
        <v>7.9969923185943773E-2</v>
      </c>
      <c r="AF55" s="50">
        <f t="shared" ref="AF55:AF62" si="11">IF(AND($AA55="",AD55=""),"",$AA55-AD55)</f>
        <v>-52190.361473999998</v>
      </c>
      <c r="AG55" s="21"/>
      <c r="AH55" s="17" t="str">
        <f>IF(AG55=0,"",IFERROR(AG55/AG$19,""))</f>
        <v/>
      </c>
      <c r="AI55" s="50">
        <f t="shared" ref="AI55:AI62" si="12">IF(AND($AA55="",AG55=""),"",$AA55-AG55)</f>
        <v>1780.5</v>
      </c>
    </row>
    <row r="56" spans="1:35" x14ac:dyDescent="0.25">
      <c r="A56" s="6" t="s">
        <v>44</v>
      </c>
      <c r="B56" s="7"/>
      <c r="H56" s="15" t="s">
        <v>302</v>
      </c>
      <c r="I56" s="161" t="s">
        <v>1123</v>
      </c>
      <c r="J56" s="161" t="s">
        <v>78</v>
      </c>
      <c r="K56" s="162"/>
      <c r="L56" s="162">
        <v>463200</v>
      </c>
      <c r="M56" s="162"/>
      <c r="N56" s="162" t="s">
        <v>1273</v>
      </c>
      <c r="O56" s="21">
        <v>34</v>
      </c>
      <c r="P56" s="21">
        <v>199</v>
      </c>
      <c r="Q56" s="21">
        <v>1838</v>
      </c>
      <c r="R56" s="21">
        <v>18</v>
      </c>
      <c r="S56" s="21">
        <v>359</v>
      </c>
      <c r="T56" s="21">
        <v>489</v>
      </c>
      <c r="U56" s="21"/>
      <c r="V56" s="21"/>
      <c r="W56" s="21"/>
      <c r="X56" s="21"/>
      <c r="Y56" s="21"/>
      <c r="Z56" s="21"/>
      <c r="AA56" s="21">
        <f t="shared" si="10"/>
        <v>2937</v>
      </c>
      <c r="AB56" s="17">
        <f>IF(AA56=0,"",IFERROR(AA56/AA$19,""))</f>
        <v>1.0020376129505701E-2</v>
      </c>
      <c r="AD56" s="21">
        <v>85994.505921000004</v>
      </c>
      <c r="AE56" s="17">
        <f>IF(AD56=0,"",IFERROR(AD56/AD$19,""))</f>
        <v>0.12742012717785653</v>
      </c>
      <c r="AF56" s="50">
        <f t="shared" si="11"/>
        <v>-83057.505921000004</v>
      </c>
      <c r="AG56" s="21"/>
      <c r="AH56" s="17" t="str">
        <f>IF(AG56=0,"",IFERROR(AG56/AG$19,""))</f>
        <v/>
      </c>
      <c r="AI56" s="50">
        <f t="shared" si="12"/>
        <v>2937</v>
      </c>
    </row>
    <row r="57" spans="1:35" x14ac:dyDescent="0.25">
      <c r="A57" s="6" t="s">
        <v>45</v>
      </c>
      <c r="B57" s="7"/>
      <c r="H57" s="15" t="s">
        <v>306</v>
      </c>
      <c r="I57" s="161" t="s">
        <v>1123</v>
      </c>
      <c r="J57" s="161" t="s">
        <v>78</v>
      </c>
      <c r="K57" s="162"/>
      <c r="L57" s="162">
        <v>463300</v>
      </c>
      <c r="M57" s="162"/>
      <c r="N57" s="162" t="s">
        <v>1274</v>
      </c>
      <c r="O57" s="21">
        <v>20</v>
      </c>
      <c r="P57" s="21">
        <v>17</v>
      </c>
      <c r="Q57" s="21">
        <v>372</v>
      </c>
      <c r="R57" s="21">
        <v>32</v>
      </c>
      <c r="S57" s="21">
        <v>110</v>
      </c>
      <c r="T57" s="21"/>
      <c r="U57" s="21"/>
      <c r="V57" s="21"/>
      <c r="W57" s="21"/>
      <c r="X57" s="21"/>
      <c r="Y57" s="21"/>
      <c r="Z57" s="21"/>
      <c r="AA57" s="21">
        <f t="shared" si="10"/>
        <v>551</v>
      </c>
      <c r="AB57" s="17">
        <f>IF(AA57=0,"",IFERROR(AA57/AA$19,""))</f>
        <v>1.8798867032201708E-3</v>
      </c>
      <c r="AD57" s="21">
        <v>14767.710492</v>
      </c>
      <c r="AE57" s="17">
        <f>IF(AD57=0,"",IFERROR(AD57/AD$19,""))</f>
        <v>2.188167172848296E-2</v>
      </c>
      <c r="AF57" s="50">
        <f t="shared" si="11"/>
        <v>-14216.710492</v>
      </c>
      <c r="AG57" s="21"/>
      <c r="AH57" s="17" t="str">
        <f>IF(AG57=0,"",IFERROR(AG57/AG$19,""))</f>
        <v/>
      </c>
      <c r="AI57" s="50">
        <f t="shared" si="12"/>
        <v>551</v>
      </c>
    </row>
    <row r="58" spans="1:35" x14ac:dyDescent="0.25">
      <c r="A58" s="6" t="s">
        <v>46</v>
      </c>
      <c r="B58" s="7"/>
      <c r="H58" s="15" t="s">
        <v>304</v>
      </c>
      <c r="I58" s="161" t="s">
        <v>1123</v>
      </c>
      <c r="J58" s="161" t="s">
        <v>78</v>
      </c>
      <c r="K58" s="162"/>
      <c r="L58" s="162">
        <v>463400</v>
      </c>
      <c r="M58" s="162"/>
      <c r="N58" s="162" t="s">
        <v>1275</v>
      </c>
      <c r="O58" s="30"/>
      <c r="P58" s="30">
        <v>48</v>
      </c>
      <c r="Q58" s="30"/>
      <c r="R58" s="30"/>
      <c r="S58" s="30">
        <v>13</v>
      </c>
      <c r="T58" s="30"/>
      <c r="U58" s="30"/>
      <c r="V58" s="30"/>
      <c r="W58" s="30"/>
      <c r="X58" s="30"/>
      <c r="Y58" s="30"/>
      <c r="Z58" s="30"/>
      <c r="AA58" s="30">
        <f t="shared" si="10"/>
        <v>61</v>
      </c>
      <c r="AB58" s="31">
        <f>IF(AA58=0,"",IFERROR(AA58/AA$19,""))</f>
        <v>2.0811812866865773E-4</v>
      </c>
      <c r="AD58" s="30">
        <v>7263.7521129999996</v>
      </c>
      <c r="AE58" s="31">
        <f>IF(AD58=0,"",IFERROR(AD58/AD$19,""))</f>
        <v>1.0762876164172061E-2</v>
      </c>
      <c r="AF58" s="51">
        <f t="shared" si="11"/>
        <v>-7202.7521129999996</v>
      </c>
      <c r="AG58" s="30"/>
      <c r="AH58" s="31" t="str">
        <f>IF(AG58=0,"",IFERROR(AG58/AG$19,""))</f>
        <v/>
      </c>
      <c r="AI58" s="51">
        <f t="shared" si="12"/>
        <v>61</v>
      </c>
    </row>
    <row r="59" spans="1:35" x14ac:dyDescent="0.25">
      <c r="H59" s="15" t="s">
        <v>320</v>
      </c>
      <c r="I59" s="161" t="s">
        <v>1009</v>
      </c>
      <c r="J59" s="161" t="s">
        <v>78</v>
      </c>
      <c r="K59" s="162"/>
      <c r="L59" s="162"/>
      <c r="M59" s="162"/>
      <c r="N59" s="25" t="s">
        <v>1276</v>
      </c>
      <c r="O59" s="164">
        <v>1330</v>
      </c>
      <c r="P59" s="164">
        <v>398.5</v>
      </c>
      <c r="Q59" s="164">
        <v>2403</v>
      </c>
      <c r="R59" s="164">
        <v>55</v>
      </c>
      <c r="S59" s="164">
        <v>642</v>
      </c>
      <c r="T59" s="164">
        <v>501</v>
      </c>
      <c r="U59" s="164"/>
      <c r="V59" s="164"/>
      <c r="W59" s="164"/>
      <c r="X59" s="164"/>
      <c r="Y59" s="164"/>
      <c r="Z59" s="164"/>
      <c r="AA59" s="164">
        <f t="shared" si="10"/>
        <v>5329.5</v>
      </c>
      <c r="AB59" s="175">
        <f>IF(AA59=0,"",IFERROR(AA59/AA$19,""))</f>
        <v>1.8183042077698549E-2</v>
      </c>
      <c r="AD59" s="164">
        <v>161996.82999999999</v>
      </c>
      <c r="AE59" s="175">
        <f>IF(AD59=0,"",IFERROR(AD59/AD$19,""))</f>
        <v>0.24003459825645529</v>
      </c>
      <c r="AF59" s="165">
        <f t="shared" si="11"/>
        <v>-156667.32999999999</v>
      </c>
      <c r="AG59" s="164"/>
      <c r="AH59" s="175" t="str">
        <f>IF(AG59=0,"",IFERROR(AG59/AG$19,""))</f>
        <v/>
      </c>
      <c r="AI59" s="165">
        <f t="shared" si="12"/>
        <v>5329.5</v>
      </c>
    </row>
    <row r="60" spans="1:35" x14ac:dyDescent="0.25">
      <c r="H60" s="15" t="s">
        <v>765</v>
      </c>
      <c r="I60" s="161" t="s">
        <v>1009</v>
      </c>
      <c r="J60" s="161" t="s">
        <v>1009</v>
      </c>
      <c r="K60" s="162"/>
      <c r="L60" s="162">
        <v>947300</v>
      </c>
      <c r="M60" s="162">
        <v>999993</v>
      </c>
      <c r="N60" s="162" t="s">
        <v>1353</v>
      </c>
      <c r="O60" s="38">
        <v>1</v>
      </c>
      <c r="P60" s="38">
        <v>5</v>
      </c>
      <c r="Q60" s="38">
        <v>5</v>
      </c>
      <c r="R60" s="38">
        <v>3</v>
      </c>
      <c r="S60" s="38">
        <v>2</v>
      </c>
      <c r="T60" s="38"/>
      <c r="U60" s="38"/>
      <c r="V60" s="38"/>
      <c r="W60" s="38"/>
      <c r="X60" s="38"/>
      <c r="Y60" s="38"/>
      <c r="Z60" s="38"/>
      <c r="AA60" s="38">
        <f t="shared" si="10"/>
        <v>16</v>
      </c>
      <c r="AB60" s="39"/>
      <c r="AD60" s="38">
        <v>365</v>
      </c>
      <c r="AE60" s="39"/>
      <c r="AF60" s="132">
        <f t="shared" si="11"/>
        <v>-349</v>
      </c>
      <c r="AG60" s="38"/>
      <c r="AH60" s="39"/>
      <c r="AI60" s="132">
        <f t="shared" si="12"/>
        <v>16</v>
      </c>
    </row>
    <row r="61" spans="1:35" x14ac:dyDescent="0.25">
      <c r="H61" s="15" t="s">
        <v>299</v>
      </c>
      <c r="I61" s="161" t="s">
        <v>1009</v>
      </c>
      <c r="J61" s="161" t="s">
        <v>1009</v>
      </c>
      <c r="K61" s="162"/>
      <c r="L61" s="162">
        <v>946300</v>
      </c>
      <c r="M61" s="162">
        <v>991503</v>
      </c>
      <c r="N61" s="162" t="s">
        <v>1277</v>
      </c>
      <c r="O61" s="38">
        <v>34</v>
      </c>
      <c r="P61" s="38">
        <v>12</v>
      </c>
      <c r="Q61" s="38">
        <v>93</v>
      </c>
      <c r="R61" s="38">
        <v>4</v>
      </c>
      <c r="S61" s="38">
        <v>23</v>
      </c>
      <c r="T61" s="38">
        <v>24</v>
      </c>
      <c r="U61" s="38"/>
      <c r="V61" s="38"/>
      <c r="W61" s="38"/>
      <c r="X61" s="38"/>
      <c r="Y61" s="38"/>
      <c r="Z61" s="38"/>
      <c r="AA61" s="38">
        <f t="shared" si="10"/>
        <v>190</v>
      </c>
      <c r="AB61" s="39">
        <f>IF(AA61=0,"",IFERROR(AA61/AA$87,""))</f>
        <v>2.14301827205053E-2</v>
      </c>
      <c r="AD61" s="38">
        <v>4501</v>
      </c>
      <c r="AE61" s="39">
        <f>IF(AD61=0,"",IFERROR(AD61/AD$87,""))</f>
        <v>0.24218455743879472</v>
      </c>
      <c r="AF61" s="132">
        <f t="shared" si="11"/>
        <v>-4311</v>
      </c>
      <c r="AG61" s="38"/>
      <c r="AH61" s="39" t="str">
        <f>IF(AG61=0,"",IFERROR(AG61/AG$87,""))</f>
        <v/>
      </c>
      <c r="AI61" s="132">
        <f t="shared" si="12"/>
        <v>190</v>
      </c>
    </row>
    <row r="62" spans="1:35" x14ac:dyDescent="0.25">
      <c r="H62" s="149" t="s">
        <v>317</v>
      </c>
      <c r="I62" s="161" t="s">
        <v>1009</v>
      </c>
      <c r="J62" s="161" t="s">
        <v>78</v>
      </c>
      <c r="K62" s="162"/>
      <c r="L62" s="162"/>
      <c r="M62" s="162"/>
      <c r="N62" s="170" t="s">
        <v>1278</v>
      </c>
      <c r="O62" s="176">
        <v>39.117647058823501</v>
      </c>
      <c r="P62" s="176">
        <v>33.2083333333333</v>
      </c>
      <c r="Q62" s="176">
        <v>25.838709677419399</v>
      </c>
      <c r="R62" s="176">
        <v>13.75</v>
      </c>
      <c r="S62" s="176">
        <v>27.913043478260899</v>
      </c>
      <c r="T62" s="176">
        <v>20.875</v>
      </c>
      <c r="U62" s="176"/>
      <c r="V62" s="176"/>
      <c r="W62" s="176"/>
      <c r="X62" s="176"/>
      <c r="Y62" s="176"/>
      <c r="Z62" s="176"/>
      <c r="AA62" s="176">
        <f>IFERROR(AA59/AA61,"")</f>
        <v>28.05</v>
      </c>
      <c r="AB62" s="176"/>
      <c r="AD62" s="176">
        <v>35.991297489446801</v>
      </c>
      <c r="AE62" s="176"/>
      <c r="AF62" s="177">
        <f t="shared" si="11"/>
        <v>-7.9412974894468</v>
      </c>
      <c r="AG62" s="176"/>
      <c r="AH62" s="176"/>
      <c r="AI62" s="177">
        <f t="shared" si="12"/>
        <v>28.05</v>
      </c>
    </row>
    <row r="63" spans="1:35" x14ac:dyDescent="0.25">
      <c r="G63" s="181">
        <f>COUNTIF(O64:AI64,FALSE)</f>
        <v>0</v>
      </c>
      <c r="H63" s="15"/>
      <c r="I63" s="161"/>
      <c r="J63" s="161"/>
      <c r="K63" s="162"/>
      <c r="L63" s="162"/>
      <c r="M63" s="162"/>
      <c r="N63" s="182" t="s">
        <v>345</v>
      </c>
      <c r="O63" s="179">
        <f t="shared" ref="O63:AA63" si="13">ROUND(IFERROR(O59/O61,0),2)</f>
        <v>39.119999999999997</v>
      </c>
      <c r="P63" s="184">
        <f t="shared" si="13"/>
        <v>33.21</v>
      </c>
      <c r="Q63" s="184">
        <f t="shared" si="13"/>
        <v>25.84</v>
      </c>
      <c r="R63" s="184">
        <f t="shared" si="13"/>
        <v>13.75</v>
      </c>
      <c r="S63" s="184">
        <f t="shared" si="13"/>
        <v>27.91</v>
      </c>
      <c r="T63" s="184">
        <f t="shared" si="13"/>
        <v>20.88</v>
      </c>
      <c r="U63" s="184">
        <f t="shared" si="13"/>
        <v>0</v>
      </c>
      <c r="V63" s="184">
        <f t="shared" si="13"/>
        <v>0</v>
      </c>
      <c r="W63" s="184">
        <f t="shared" si="13"/>
        <v>0</v>
      </c>
      <c r="X63" s="184">
        <f t="shared" si="13"/>
        <v>0</v>
      </c>
      <c r="Y63" s="184">
        <f t="shared" si="13"/>
        <v>0</v>
      </c>
      <c r="Z63" s="184">
        <f t="shared" si="13"/>
        <v>0</v>
      </c>
      <c r="AA63" s="184">
        <f t="shared" si="13"/>
        <v>28.05</v>
      </c>
      <c r="AB63" s="183"/>
      <c r="AD63" s="179">
        <f>ROUND(IFERROR(AD59/AD61,0),2)</f>
        <v>35.99</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b">
        <f t="shared" si="14"/>
        <v>1</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v>12</v>
      </c>
      <c r="P68" s="30">
        <v>-12</v>
      </c>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v>12</v>
      </c>
      <c r="P69" s="164">
        <v>-12</v>
      </c>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v>-148.49</v>
      </c>
      <c r="P83" s="21">
        <v>-174.37</v>
      </c>
      <c r="Q83" s="21"/>
      <c r="R83" s="21"/>
      <c r="S83" s="21"/>
      <c r="T83" s="21"/>
      <c r="U83" s="21">
        <v>12.58</v>
      </c>
      <c r="V83" s="21">
        <v>-242.96</v>
      </c>
      <c r="W83" s="21"/>
      <c r="X83" s="21"/>
      <c r="Y83" s="21">
        <v>-331.29</v>
      </c>
      <c r="Z83" s="21"/>
      <c r="AA83" s="21">
        <f>SUM(O83:Z83)</f>
        <v>-884.53</v>
      </c>
      <c r="AB83" s="17">
        <f>IF(AA83=0,"",IFERROR(AA83/AA$19,""))</f>
        <v>-3.0178152188735708E-3</v>
      </c>
      <c r="AD83" s="21"/>
      <c r="AE83" s="17" t="str">
        <f>IF(AD83=0,"",IFERROR(AD83/AD$19,""))</f>
        <v/>
      </c>
      <c r="AF83" s="50">
        <f>IF(AND($AA83="",AD83=""),"",$AA83-AD83)</f>
        <v>-884.53</v>
      </c>
      <c r="AG83" s="21">
        <v>-1290.51</v>
      </c>
      <c r="AH83" s="17">
        <f>IF(AG83=0,"",IFERROR(AG83/AG$19,""))</f>
        <v>-3.634627692944638E-3</v>
      </c>
      <c r="AI83" s="50">
        <f>IF(AND($AA83="",AG83=""),"",$AA83-AG83)</f>
        <v>405.98</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v>30011.91</v>
      </c>
      <c r="P85" s="171">
        <v>42454.37</v>
      </c>
      <c r="Q85" s="171">
        <v>36945.800000000003</v>
      </c>
      <c r="R85" s="171">
        <v>30050.9</v>
      </c>
      <c r="S85" s="171">
        <v>31369.56</v>
      </c>
      <c r="T85" s="171">
        <v>22731.71</v>
      </c>
      <c r="U85" s="171">
        <v>24502.080000000002</v>
      </c>
      <c r="V85" s="171">
        <v>18365.84</v>
      </c>
      <c r="W85" s="171">
        <v>13462.3</v>
      </c>
      <c r="X85" s="171">
        <v>18839.8</v>
      </c>
      <c r="Y85" s="171">
        <v>15322.01</v>
      </c>
      <c r="Z85" s="171">
        <v>9046.49</v>
      </c>
      <c r="AA85" s="171">
        <f>SUM(O85:Z85)</f>
        <v>293102.77</v>
      </c>
      <c r="AB85" s="172">
        <f>IF(AA85=0,"",IFERROR(AA85/AA$19,""))</f>
        <v>1</v>
      </c>
      <c r="AD85" s="171">
        <v>674889.5</v>
      </c>
      <c r="AE85" s="172">
        <f>IF(AD85=0,"",IFERROR(AD85/AD$19,""))</f>
        <v>1</v>
      </c>
      <c r="AF85" s="173">
        <f>IF(AND($AA85="",AD85=""),"",$AA85-AD85)</f>
        <v>-381786.73</v>
      </c>
      <c r="AG85" s="171">
        <v>355059.75</v>
      </c>
      <c r="AH85" s="172">
        <f>IF(AG85=0,"",IFERROR(AG85/AG$19,""))</f>
        <v>1</v>
      </c>
      <c r="AI85" s="173">
        <f>IF(AND($AA85="",AG85=""),"",$AA85-AG85)</f>
        <v>-61956.979999999981</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v>601</v>
      </c>
      <c r="P87" s="171">
        <v>842</v>
      </c>
      <c r="Q87" s="171">
        <v>1328</v>
      </c>
      <c r="R87" s="171">
        <v>803</v>
      </c>
      <c r="S87" s="171">
        <v>989</v>
      </c>
      <c r="T87" s="171">
        <v>1035</v>
      </c>
      <c r="U87" s="171">
        <v>771</v>
      </c>
      <c r="V87" s="171">
        <v>650</v>
      </c>
      <c r="W87" s="171">
        <v>458</v>
      </c>
      <c r="X87" s="171">
        <v>618</v>
      </c>
      <c r="Y87" s="171">
        <v>474</v>
      </c>
      <c r="Z87" s="171">
        <v>297</v>
      </c>
      <c r="AA87" s="171">
        <f>SUM(O87:Z87)</f>
        <v>8866</v>
      </c>
      <c r="AB87" s="172">
        <f>IF(AA87=0,"",IFERROR(AA87/AA$20,""))</f>
        <v>1</v>
      </c>
      <c r="AD87" s="171">
        <v>18585</v>
      </c>
      <c r="AE87" s="172">
        <f>IF(AD87=0,"",IFERROR(AD87/AD$20,""))</f>
        <v>1</v>
      </c>
      <c r="AF87" s="173">
        <f>IF(AND($AA87="",AD87=""),"",$AA87-AD87)</f>
        <v>-9719</v>
      </c>
      <c r="AG87" s="171">
        <v>12011</v>
      </c>
      <c r="AH87" s="172">
        <f>IF(AG87=0,"",IFERROR(AG87/AG$20,""))</f>
        <v>1</v>
      </c>
      <c r="AI87" s="173">
        <f>IF(AND($AA87="",AG87=""),"",$AA87-AG87)</f>
        <v>-3145</v>
      </c>
    </row>
    <row r="88" spans="3:35" x14ac:dyDescent="0.25">
      <c r="C88" s="32"/>
      <c r="H88" s="149" t="s">
        <v>311</v>
      </c>
      <c r="I88" s="161" t="s">
        <v>1009</v>
      </c>
      <c r="J88" s="161" t="s">
        <v>78</v>
      </c>
      <c r="L88" s="162"/>
      <c r="M88" s="162"/>
      <c r="N88" s="162" t="s">
        <v>1355</v>
      </c>
      <c r="O88" s="176">
        <v>49.936622296172999</v>
      </c>
      <c r="P88" s="176">
        <v>50.420866983372903</v>
      </c>
      <c r="Q88" s="176">
        <v>27.820632530120498</v>
      </c>
      <c r="R88" s="176">
        <v>37.423287671232899</v>
      </c>
      <c r="S88" s="176">
        <v>31.718463094034401</v>
      </c>
      <c r="T88" s="176">
        <v>21.9630048309179</v>
      </c>
      <c r="U88" s="176">
        <v>31.779610894941602</v>
      </c>
      <c r="V88" s="176">
        <v>28.2551384615385</v>
      </c>
      <c r="W88" s="176">
        <v>29.3936681222707</v>
      </c>
      <c r="X88" s="176">
        <v>30.485113268608401</v>
      </c>
      <c r="Y88" s="176">
        <v>32.324915611814298</v>
      </c>
      <c r="Z88" s="176">
        <v>30.459562289562299</v>
      </c>
      <c r="AA88" s="176">
        <f>IFERROR(AA85/AA87,"")</f>
        <v>33.059189036769681</v>
      </c>
      <c r="AB88" s="176"/>
      <c r="AD88" s="176">
        <v>36.313666935700802</v>
      </c>
      <c r="AE88" s="176"/>
      <c r="AF88" s="177">
        <f>IF(AND($AA88="",AD88=""),"",$AA88-AD88)</f>
        <v>-3.2544778989311212</v>
      </c>
      <c r="AG88" s="176">
        <v>29.561214719840201</v>
      </c>
      <c r="AH88" s="176"/>
      <c r="AI88" s="177">
        <f>IF(AND($AA88="",AG88=""),"",$AA88-AG88)</f>
        <v>3.4979743169294792</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v>11064.857142856999</v>
      </c>
      <c r="AE92" s="17"/>
      <c r="AF92" s="50">
        <f>IF(AND($AA92="",AD92=""),"",$AA92-AD92)</f>
        <v>-11064.857142856999</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f>IFERROR(AD$87/AD92,"")</f>
        <v>1.6796421101557271</v>
      </c>
      <c r="AE94" s="139"/>
      <c r="AF94" s="140" t="e">
        <f>IF(AND($AA94="",AD94=""),"",$AA94-AD94)</f>
        <v>#VALUE!</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v>116</v>
      </c>
      <c r="Q98" s="21"/>
      <c r="R98" s="21"/>
      <c r="S98" s="21"/>
      <c r="T98" s="21"/>
      <c r="U98" s="21"/>
      <c r="V98" s="21"/>
      <c r="W98" s="21"/>
      <c r="X98" s="21"/>
      <c r="Y98" s="21"/>
      <c r="Z98" s="21"/>
      <c r="AA98" s="21">
        <f t="shared" ref="AA98:AA103" si="27">SUM(O98:Z98)</f>
        <v>116</v>
      </c>
      <c r="AB98" s="17">
        <f t="shared" ref="AB98:AB103" si="28">IF(AA98=0,"",IFERROR(AA98/AA$19,""))</f>
        <v>3.9576562173056229E-4</v>
      </c>
      <c r="AD98" s="21"/>
      <c r="AE98" s="17" t="str">
        <f t="shared" ref="AE98:AE103" si="29">IF(AD98=0,"",IFERROR(AD98/AD$19,""))</f>
        <v/>
      </c>
      <c r="AF98" s="50">
        <f t="shared" ref="AF98:AF103" si="30">IF(AND($AA98="",AD98=""),"",$AA98-AD98)</f>
        <v>116</v>
      </c>
      <c r="AG98" s="21">
        <v>-86</v>
      </c>
      <c r="AH98" s="17">
        <f t="shared" ref="AH98:AH103" si="31">IF(AG98=0,"",IFERROR(AG98/AG$19,""))</f>
        <v>-2.4221275433219339E-4</v>
      </c>
      <c r="AI98" s="50">
        <f t="shared" ref="AI98:AI103" si="32">IF(AND($AA98="",AG98=""),"",$AA98-AG98)</f>
        <v>202</v>
      </c>
    </row>
    <row r="99" spans="3:35" x14ac:dyDescent="0.25">
      <c r="C99" s="32"/>
      <c r="H99" s="149" t="s">
        <v>301</v>
      </c>
      <c r="I99" s="161"/>
      <c r="J99" s="161"/>
      <c r="L99" s="162">
        <v>462200</v>
      </c>
      <c r="M99" s="162"/>
      <c r="N99" s="162" t="s">
        <v>1266</v>
      </c>
      <c r="O99" s="21">
        <v>13736.8</v>
      </c>
      <c r="P99" s="21">
        <v>20086.02</v>
      </c>
      <c r="Q99" s="21">
        <v>20842.54</v>
      </c>
      <c r="R99" s="21">
        <v>15545.78</v>
      </c>
      <c r="S99" s="21">
        <v>14877.4</v>
      </c>
      <c r="T99" s="21">
        <v>13668</v>
      </c>
      <c r="U99" s="21">
        <v>13117.5</v>
      </c>
      <c r="V99" s="21">
        <v>8754.59</v>
      </c>
      <c r="W99" s="21">
        <v>7821</v>
      </c>
      <c r="X99" s="21">
        <v>9753.4</v>
      </c>
      <c r="Y99" s="21">
        <v>6623.2</v>
      </c>
      <c r="Z99" s="21">
        <v>4350.49</v>
      </c>
      <c r="AA99" s="21">
        <f t="shared" si="27"/>
        <v>149176.72</v>
      </c>
      <c r="AB99" s="17">
        <f t="shared" si="28"/>
        <v>0.50895704602177594</v>
      </c>
      <c r="AD99" s="21">
        <v>271551.49635999999</v>
      </c>
      <c r="AE99" s="17">
        <f t="shared" si="29"/>
        <v>0.40236438166544297</v>
      </c>
      <c r="AF99" s="50">
        <f t="shared" si="30"/>
        <v>-122374.77635999999</v>
      </c>
      <c r="AG99" s="21">
        <v>188852.57</v>
      </c>
      <c r="AH99" s="17">
        <f t="shared" si="31"/>
        <v>0.53188954816759715</v>
      </c>
      <c r="AI99" s="50">
        <f t="shared" si="32"/>
        <v>-39675.850000000006</v>
      </c>
    </row>
    <row r="100" spans="3:35" x14ac:dyDescent="0.25">
      <c r="C100" s="32"/>
      <c r="H100" s="149" t="s">
        <v>302</v>
      </c>
      <c r="I100" s="161"/>
      <c r="J100" s="161"/>
      <c r="L100" s="162">
        <v>463200</v>
      </c>
      <c r="M100" s="162"/>
      <c r="N100" s="162" t="s">
        <v>1273</v>
      </c>
      <c r="O100" s="21">
        <v>34</v>
      </c>
      <c r="P100" s="21">
        <v>199</v>
      </c>
      <c r="Q100" s="21">
        <v>1838</v>
      </c>
      <c r="R100" s="21">
        <v>18</v>
      </c>
      <c r="S100" s="21">
        <v>359</v>
      </c>
      <c r="T100" s="21">
        <v>489</v>
      </c>
      <c r="U100" s="21"/>
      <c r="V100" s="21"/>
      <c r="W100" s="21"/>
      <c r="X100" s="21"/>
      <c r="Y100" s="21"/>
      <c r="Z100" s="21"/>
      <c r="AA100" s="21">
        <f t="shared" si="27"/>
        <v>2937</v>
      </c>
      <c r="AB100" s="17">
        <f t="shared" si="28"/>
        <v>1.0020376129505701E-2</v>
      </c>
      <c r="AD100" s="21">
        <v>85994.505921000004</v>
      </c>
      <c r="AE100" s="17">
        <f t="shared" si="29"/>
        <v>0.12742012717785653</v>
      </c>
      <c r="AF100" s="50">
        <f t="shared" si="30"/>
        <v>-83057.505921000004</v>
      </c>
      <c r="AG100" s="21"/>
      <c r="AH100" s="17" t="str">
        <f t="shared" si="31"/>
        <v/>
      </c>
      <c r="AI100" s="50">
        <f t="shared" si="32"/>
        <v>2937</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v>13770.8</v>
      </c>
      <c r="P103" s="164">
        <v>20401.02</v>
      </c>
      <c r="Q103" s="164">
        <v>22680.54</v>
      </c>
      <c r="R103" s="164">
        <v>15563.78</v>
      </c>
      <c r="S103" s="164">
        <v>15236.4</v>
      </c>
      <c r="T103" s="164">
        <v>14157</v>
      </c>
      <c r="U103" s="164">
        <v>13117.5</v>
      </c>
      <c r="V103" s="164">
        <v>8754.59</v>
      </c>
      <c r="W103" s="164">
        <v>7821</v>
      </c>
      <c r="X103" s="164">
        <v>9753.4</v>
      </c>
      <c r="Y103" s="164">
        <v>6623.2</v>
      </c>
      <c r="Z103" s="164">
        <v>4350.49</v>
      </c>
      <c r="AA103" s="164">
        <f t="shared" si="27"/>
        <v>152229.72</v>
      </c>
      <c r="AB103" s="175">
        <f t="shared" si="28"/>
        <v>0.51937318777301211</v>
      </c>
      <c r="AD103" s="164">
        <v>357546.00228100002</v>
      </c>
      <c r="AE103" s="175">
        <f t="shared" si="29"/>
        <v>0.52978450884329953</v>
      </c>
      <c r="AF103" s="165">
        <f t="shared" si="30"/>
        <v>-205316.28228100002</v>
      </c>
      <c r="AG103" s="164">
        <v>188766.57</v>
      </c>
      <c r="AH103" s="175">
        <f t="shared" si="31"/>
        <v>0.53164733541326492</v>
      </c>
      <c r="AI103" s="165">
        <f t="shared" si="32"/>
        <v>-36536.850000000006</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v>3690.2</v>
      </c>
      <c r="P107" s="21">
        <v>5207.6000000000004</v>
      </c>
      <c r="Q107" s="21">
        <v>3226</v>
      </c>
      <c r="R107" s="21">
        <v>3651.6</v>
      </c>
      <c r="S107" s="21">
        <v>3709.6</v>
      </c>
      <c r="T107" s="21">
        <v>2024</v>
      </c>
      <c r="U107" s="21">
        <v>2505</v>
      </c>
      <c r="V107" s="21">
        <v>2225.1999999999998</v>
      </c>
      <c r="W107" s="21">
        <v>1469</v>
      </c>
      <c r="X107" s="21">
        <v>2056.5</v>
      </c>
      <c r="Y107" s="21">
        <v>2786</v>
      </c>
      <c r="Z107" s="21">
        <v>1000.6</v>
      </c>
      <c r="AA107" s="21">
        <f t="shared" si="33"/>
        <v>33551.300000000003</v>
      </c>
      <c r="AB107" s="17">
        <f t="shared" si="34"/>
        <v>0.11446940607214323</v>
      </c>
      <c r="AD107" s="21">
        <v>46723.502503999996</v>
      </c>
      <c r="AE107" s="17">
        <f t="shared" si="35"/>
        <v>6.9231337135931131E-2</v>
      </c>
      <c r="AF107" s="50">
        <f t="shared" si="36"/>
        <v>-13172.202503999993</v>
      </c>
      <c r="AG107" s="21">
        <v>34806.199999999997</v>
      </c>
      <c r="AH107" s="17">
        <f t="shared" si="37"/>
        <v>9.8029134532990572E-2</v>
      </c>
      <c r="AI107" s="50">
        <f t="shared" si="38"/>
        <v>-1254.8999999999942</v>
      </c>
    </row>
    <row r="108" spans="3:35" x14ac:dyDescent="0.25">
      <c r="C108" s="32"/>
      <c r="H108" s="149" t="s">
        <v>306</v>
      </c>
      <c r="I108" s="161"/>
      <c r="J108" s="161"/>
      <c r="L108" s="162">
        <v>463300</v>
      </c>
      <c r="M108" s="162"/>
      <c r="N108" s="162" t="s">
        <v>1274</v>
      </c>
      <c r="O108" s="21">
        <v>20</v>
      </c>
      <c r="P108" s="21">
        <v>17</v>
      </c>
      <c r="Q108" s="21">
        <v>372</v>
      </c>
      <c r="R108" s="21">
        <v>32</v>
      </c>
      <c r="S108" s="21">
        <v>110</v>
      </c>
      <c r="T108" s="21"/>
      <c r="U108" s="21"/>
      <c r="V108" s="21"/>
      <c r="W108" s="21"/>
      <c r="X108" s="21"/>
      <c r="Y108" s="21"/>
      <c r="Z108" s="21"/>
      <c r="AA108" s="21">
        <f t="shared" si="33"/>
        <v>551</v>
      </c>
      <c r="AB108" s="17">
        <f t="shared" si="34"/>
        <v>1.8798867032201708E-3</v>
      </c>
      <c r="AD108" s="21">
        <v>14767.710492</v>
      </c>
      <c r="AE108" s="17">
        <f t="shared" si="35"/>
        <v>2.188167172848296E-2</v>
      </c>
      <c r="AF108" s="50">
        <f t="shared" si="36"/>
        <v>-14216.710492</v>
      </c>
      <c r="AG108" s="21"/>
      <c r="AH108" s="17" t="str">
        <f t="shared" si="37"/>
        <v/>
      </c>
      <c r="AI108" s="50">
        <f t="shared" si="38"/>
        <v>551</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v>3710.2</v>
      </c>
      <c r="P111" s="164">
        <v>5224.6000000000004</v>
      </c>
      <c r="Q111" s="164">
        <v>3598</v>
      </c>
      <c r="R111" s="164">
        <v>3683.6</v>
      </c>
      <c r="S111" s="164">
        <v>3819.6</v>
      </c>
      <c r="T111" s="164">
        <v>2024</v>
      </c>
      <c r="U111" s="164">
        <v>2505</v>
      </c>
      <c r="V111" s="164">
        <v>2225.1999999999998</v>
      </c>
      <c r="W111" s="164">
        <v>1469</v>
      </c>
      <c r="X111" s="164">
        <v>2056.5</v>
      </c>
      <c r="Y111" s="164">
        <v>2786</v>
      </c>
      <c r="Z111" s="164">
        <v>1000.6</v>
      </c>
      <c r="AA111" s="164">
        <f t="shared" si="33"/>
        <v>34102.299999999996</v>
      </c>
      <c r="AB111" s="175">
        <f t="shared" si="34"/>
        <v>0.11634929277536338</v>
      </c>
      <c r="AD111" s="164">
        <v>61491.212996000002</v>
      </c>
      <c r="AE111" s="175">
        <f t="shared" si="35"/>
        <v>9.1113008864414105E-2</v>
      </c>
      <c r="AF111" s="165">
        <f t="shared" si="36"/>
        <v>-27388.912996000006</v>
      </c>
      <c r="AG111" s="164">
        <v>34806.199999999997</v>
      </c>
      <c r="AH111" s="175">
        <f t="shared" si="37"/>
        <v>9.8029134532990572E-2</v>
      </c>
      <c r="AI111" s="165">
        <f t="shared" si="38"/>
        <v>-703.90000000000146</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v>2512</v>
      </c>
      <c r="P115" s="21">
        <v>3080</v>
      </c>
      <c r="Q115" s="21">
        <v>1788.4</v>
      </c>
      <c r="R115" s="21">
        <v>1332</v>
      </c>
      <c r="S115" s="21">
        <v>1696.6</v>
      </c>
      <c r="T115" s="21">
        <v>736</v>
      </c>
      <c r="U115" s="21">
        <v>1032.8</v>
      </c>
      <c r="V115" s="21">
        <v>1021.2</v>
      </c>
      <c r="W115" s="21">
        <v>297</v>
      </c>
      <c r="X115" s="21">
        <v>1208.4000000000001</v>
      </c>
      <c r="Y115" s="21">
        <v>1296</v>
      </c>
      <c r="Z115" s="21">
        <v>664.8</v>
      </c>
      <c r="AA115" s="21">
        <f t="shared" si="39"/>
        <v>16665.2</v>
      </c>
      <c r="AB115" s="17">
        <f t="shared" si="40"/>
        <v>5.68578727522773E-2</v>
      </c>
      <c r="AD115" s="21">
        <v>23951.418785999998</v>
      </c>
      <c r="AE115" s="17">
        <f t="shared" si="41"/>
        <v>3.5489393131764531E-2</v>
      </c>
      <c r="AF115" s="50">
        <f t="shared" si="42"/>
        <v>-7286.2187859999976</v>
      </c>
      <c r="AG115" s="21">
        <v>15925.42</v>
      </c>
      <c r="AH115" s="17">
        <f t="shared" si="43"/>
        <v>4.4852788861593017E-2</v>
      </c>
      <c r="AI115" s="50">
        <f t="shared" si="44"/>
        <v>739.78000000000065</v>
      </c>
    </row>
    <row r="116" spans="3:35" x14ac:dyDescent="0.25">
      <c r="C116" s="32"/>
      <c r="H116" s="149" t="s">
        <v>304</v>
      </c>
      <c r="I116" s="161"/>
      <c r="J116" s="161"/>
      <c r="L116" s="162">
        <v>463400</v>
      </c>
      <c r="M116" s="162"/>
      <c r="N116" s="162" t="s">
        <v>1275</v>
      </c>
      <c r="O116" s="21"/>
      <c r="P116" s="21">
        <v>48</v>
      </c>
      <c r="Q116" s="21"/>
      <c r="R116" s="21"/>
      <c r="S116" s="21">
        <v>13</v>
      </c>
      <c r="T116" s="21"/>
      <c r="U116" s="21"/>
      <c r="V116" s="21"/>
      <c r="W116" s="21"/>
      <c r="X116" s="21"/>
      <c r="Y116" s="21"/>
      <c r="Z116" s="21"/>
      <c r="AA116" s="21">
        <f t="shared" si="39"/>
        <v>61</v>
      </c>
      <c r="AB116" s="17">
        <f t="shared" si="40"/>
        <v>2.0811812866865773E-4</v>
      </c>
      <c r="AD116" s="21">
        <v>7263.7521129999996</v>
      </c>
      <c r="AE116" s="17">
        <f t="shared" si="41"/>
        <v>1.0762876164172061E-2</v>
      </c>
      <c r="AF116" s="50">
        <f t="shared" si="42"/>
        <v>-7202.7521129999996</v>
      </c>
      <c r="AG116" s="21"/>
      <c r="AH116" s="17" t="str">
        <f t="shared" si="43"/>
        <v/>
      </c>
      <c r="AI116" s="50">
        <f t="shared" si="44"/>
        <v>61</v>
      </c>
    </row>
    <row r="117" spans="3:35" x14ac:dyDescent="0.25">
      <c r="C117" s="32"/>
      <c r="H117" s="149" t="s">
        <v>309</v>
      </c>
      <c r="I117" s="161"/>
      <c r="J117" s="161"/>
      <c r="L117" s="162">
        <v>464400</v>
      </c>
      <c r="M117" s="162"/>
      <c r="N117" s="162" t="s">
        <v>1282</v>
      </c>
      <c r="O117" s="21">
        <v>12</v>
      </c>
      <c r="P117" s="21">
        <v>-12</v>
      </c>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v>2524</v>
      </c>
      <c r="P119" s="164">
        <v>3116</v>
      </c>
      <c r="Q119" s="164">
        <v>1788.4</v>
      </c>
      <c r="R119" s="164">
        <v>1332</v>
      </c>
      <c r="S119" s="164">
        <v>1709.6</v>
      </c>
      <c r="T119" s="164">
        <v>736</v>
      </c>
      <c r="U119" s="164">
        <v>1032.8</v>
      </c>
      <c r="V119" s="164">
        <v>1021.2</v>
      </c>
      <c r="W119" s="164">
        <v>297</v>
      </c>
      <c r="X119" s="164">
        <v>1208.4000000000001</v>
      </c>
      <c r="Y119" s="164">
        <v>1296</v>
      </c>
      <c r="Z119" s="164">
        <v>664.8</v>
      </c>
      <c r="AA119" s="164">
        <f t="shared" si="39"/>
        <v>16726.2</v>
      </c>
      <c r="AB119" s="175">
        <f t="shared" si="40"/>
        <v>5.7065990880945952E-2</v>
      </c>
      <c r="AD119" s="164">
        <v>31215.170899000001</v>
      </c>
      <c r="AE119" s="175">
        <f t="shared" si="41"/>
        <v>4.6252269295936593E-2</v>
      </c>
      <c r="AF119" s="165">
        <f t="shared" si="42"/>
        <v>-14488.970899</v>
      </c>
      <c r="AG119" s="164">
        <v>15925.42</v>
      </c>
      <c r="AH119" s="175">
        <f t="shared" si="43"/>
        <v>4.4852788861593017E-2</v>
      </c>
      <c r="AI119" s="165">
        <f t="shared" si="44"/>
        <v>800.78000000000065</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116</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116</v>
      </c>
      <c r="AB121" s="17">
        <f t="shared" ref="AB121:AB126" si="47">IF(AA121=0,"",IFERROR(AA121/AA$19,""))</f>
        <v>3.9576562173056229E-4</v>
      </c>
      <c r="AD121" s="21">
        <f>AD98+AD106+AD114</f>
        <v>0</v>
      </c>
      <c r="AE121" s="17" t="str">
        <f t="shared" ref="AE121:AE126" si="48">IF(AD121=0,"",IFERROR(AD121/AD$19,""))</f>
        <v/>
      </c>
      <c r="AF121" s="50">
        <f t="shared" ref="AF121:AF126" si="49">IF(AND($AA121="",AD121=""),"",$AA121-AD121)</f>
        <v>116</v>
      </c>
      <c r="AG121" s="21">
        <f>AG98+AG106+AG114</f>
        <v>-86</v>
      </c>
      <c r="AH121" s="17">
        <f t="shared" ref="AH121:AH126" si="50">IF(AG121=0,"",IFERROR(AG121/AG$19,""))</f>
        <v>-2.4221275433219339E-4</v>
      </c>
      <c r="AI121" s="50">
        <f t="shared" ref="AI121:AI126" si="51">IF(AND($AA121="",AG121=""),"",$AA121-AG121)</f>
        <v>202</v>
      </c>
    </row>
    <row r="122" spans="3:35" x14ac:dyDescent="0.25">
      <c r="C122" s="32"/>
      <c r="H122" s="15" t="s">
        <v>268</v>
      </c>
      <c r="I122" s="161"/>
      <c r="J122" s="161"/>
      <c r="L122" s="162"/>
      <c r="M122" s="162"/>
      <c r="N122" s="162" t="s">
        <v>1317</v>
      </c>
      <c r="O122" s="21">
        <f t="shared" ref="O122:Z122" si="52">O99+O107+O115</f>
        <v>19939</v>
      </c>
      <c r="P122" s="21">
        <f t="shared" si="52"/>
        <v>28373.620000000003</v>
      </c>
      <c r="Q122" s="21">
        <f t="shared" si="52"/>
        <v>25856.940000000002</v>
      </c>
      <c r="R122" s="21">
        <f t="shared" si="52"/>
        <v>20529.38</v>
      </c>
      <c r="S122" s="21">
        <f t="shared" si="52"/>
        <v>20283.599999999999</v>
      </c>
      <c r="T122" s="21">
        <f t="shared" si="52"/>
        <v>16428</v>
      </c>
      <c r="U122" s="21">
        <f t="shared" si="52"/>
        <v>16655.3</v>
      </c>
      <c r="V122" s="21">
        <f t="shared" si="52"/>
        <v>12000.990000000002</v>
      </c>
      <c r="W122" s="21">
        <f t="shared" si="52"/>
        <v>9587</v>
      </c>
      <c r="X122" s="21">
        <f t="shared" si="52"/>
        <v>13018.3</v>
      </c>
      <c r="Y122" s="21">
        <f t="shared" si="52"/>
        <v>10705.2</v>
      </c>
      <c r="Z122" s="21">
        <f t="shared" si="52"/>
        <v>6015.89</v>
      </c>
      <c r="AA122" s="21">
        <f t="shared" si="46"/>
        <v>199393.22</v>
      </c>
      <c r="AB122" s="17">
        <f t="shared" si="47"/>
        <v>0.68028432484619639</v>
      </c>
      <c r="AD122" s="21">
        <f>AD99+AD107+AD115</f>
        <v>342226.41764999996</v>
      </c>
      <c r="AE122" s="17">
        <f t="shared" si="48"/>
        <v>0.50708511193313865</v>
      </c>
      <c r="AF122" s="50">
        <f t="shared" si="49"/>
        <v>-142833.19764999996</v>
      </c>
      <c r="AG122" s="21">
        <f>AG99+AG107+AG115</f>
        <v>239584.19000000003</v>
      </c>
      <c r="AH122" s="17">
        <f t="shared" si="50"/>
        <v>0.67477147156218087</v>
      </c>
      <c r="AI122" s="50">
        <f t="shared" si="51"/>
        <v>-40190.97000000003</v>
      </c>
    </row>
    <row r="123" spans="3:35" x14ac:dyDescent="0.25">
      <c r="C123" s="32"/>
      <c r="H123" s="149" t="s">
        <v>269</v>
      </c>
      <c r="I123" s="161"/>
      <c r="J123" s="161"/>
      <c r="L123" s="162"/>
      <c r="M123" s="162"/>
      <c r="N123" s="162" t="s">
        <v>1318</v>
      </c>
      <c r="O123" s="21">
        <f t="shared" ref="O123:Z123" si="53">O100+O108+O116</f>
        <v>54</v>
      </c>
      <c r="P123" s="21">
        <f t="shared" si="53"/>
        <v>264</v>
      </c>
      <c r="Q123" s="21">
        <f t="shared" si="53"/>
        <v>2210</v>
      </c>
      <c r="R123" s="21">
        <f t="shared" si="53"/>
        <v>50</v>
      </c>
      <c r="S123" s="21">
        <f t="shared" si="53"/>
        <v>482</v>
      </c>
      <c r="T123" s="21">
        <f t="shared" si="53"/>
        <v>489</v>
      </c>
      <c r="U123" s="21">
        <f t="shared" si="53"/>
        <v>0</v>
      </c>
      <c r="V123" s="21">
        <f t="shared" si="53"/>
        <v>0</v>
      </c>
      <c r="W123" s="21">
        <f t="shared" si="53"/>
        <v>0</v>
      </c>
      <c r="X123" s="21">
        <f t="shared" si="53"/>
        <v>0</v>
      </c>
      <c r="Y123" s="21">
        <f t="shared" si="53"/>
        <v>0</v>
      </c>
      <c r="Z123" s="21">
        <f t="shared" si="53"/>
        <v>0</v>
      </c>
      <c r="AA123" s="21">
        <f t="shared" si="46"/>
        <v>3549</v>
      </c>
      <c r="AB123" s="17">
        <f t="shared" si="47"/>
        <v>1.210838096139453E-2</v>
      </c>
      <c r="AD123" s="21">
        <f>AD100+AD108+AD116</f>
        <v>108025.968526</v>
      </c>
      <c r="AE123" s="17">
        <f t="shared" si="48"/>
        <v>0.16006467507051153</v>
      </c>
      <c r="AF123" s="50">
        <f t="shared" si="49"/>
        <v>-104476.968526</v>
      </c>
      <c r="AG123" s="21">
        <f>AG100+AG108+AG116</f>
        <v>0</v>
      </c>
      <c r="AH123" s="17" t="str">
        <f t="shared" si="50"/>
        <v/>
      </c>
      <c r="AI123" s="50">
        <f t="shared" si="51"/>
        <v>3549</v>
      </c>
    </row>
    <row r="124" spans="3:35" x14ac:dyDescent="0.25">
      <c r="C124" s="32"/>
      <c r="H124" s="149" t="s">
        <v>270</v>
      </c>
      <c r="I124" s="161"/>
      <c r="J124" s="161"/>
      <c r="L124" s="162"/>
      <c r="M124" s="162"/>
      <c r="N124" s="162" t="s">
        <v>1319</v>
      </c>
      <c r="O124" s="21">
        <f t="shared" ref="O124:Z124" si="54">O101+O109+O117</f>
        <v>12</v>
      </c>
      <c r="P124" s="21">
        <f t="shared" si="54"/>
        <v>-12</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20005</v>
      </c>
      <c r="P126" s="164">
        <f t="shared" si="56"/>
        <v>28741.620000000003</v>
      </c>
      <c r="Q126" s="164">
        <f t="shared" si="56"/>
        <v>28066.940000000002</v>
      </c>
      <c r="R126" s="164">
        <f t="shared" si="56"/>
        <v>20579.38</v>
      </c>
      <c r="S126" s="164">
        <f t="shared" si="56"/>
        <v>20765.599999999999</v>
      </c>
      <c r="T126" s="164">
        <f t="shared" si="56"/>
        <v>16917</v>
      </c>
      <c r="U126" s="164">
        <f t="shared" si="56"/>
        <v>16655.3</v>
      </c>
      <c r="V126" s="164">
        <f t="shared" si="56"/>
        <v>12000.990000000002</v>
      </c>
      <c r="W126" s="164">
        <f t="shared" si="56"/>
        <v>9587</v>
      </c>
      <c r="X126" s="164">
        <f t="shared" si="56"/>
        <v>13018.3</v>
      </c>
      <c r="Y126" s="164">
        <f t="shared" si="56"/>
        <v>10705.2</v>
      </c>
      <c r="Z126" s="164">
        <f t="shared" si="56"/>
        <v>6015.89</v>
      </c>
      <c r="AA126" s="164">
        <f t="shared" si="46"/>
        <v>203058.22</v>
      </c>
      <c r="AB126" s="175">
        <f t="shared" si="47"/>
        <v>0.69278847142932154</v>
      </c>
      <c r="AD126" s="164">
        <f>SUM(AD121:AD125)</f>
        <v>450252.38617599994</v>
      </c>
      <c r="AE126" s="175">
        <f t="shared" si="48"/>
        <v>0.66714978700365013</v>
      </c>
      <c r="AF126" s="165">
        <f t="shared" si="49"/>
        <v>-247194.16617599994</v>
      </c>
      <c r="AG126" s="164">
        <f>SUM(AG121:AG125)</f>
        <v>239498.19000000003</v>
      </c>
      <c r="AH126" s="175">
        <f t="shared" si="50"/>
        <v>0.67452925880784864</v>
      </c>
      <c r="AI126" s="165">
        <f t="shared" si="51"/>
        <v>-36439.97000000003</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v>2782.47</v>
      </c>
      <c r="P130" s="21">
        <v>3805.04</v>
      </c>
      <c r="Q130" s="21">
        <v>1109.75</v>
      </c>
      <c r="R130" s="21">
        <v>2368</v>
      </c>
      <c r="S130" s="21">
        <v>2651</v>
      </c>
      <c r="T130" s="21">
        <v>1478.5</v>
      </c>
      <c r="U130" s="21">
        <v>1958.55</v>
      </c>
      <c r="V130" s="21">
        <v>1652</v>
      </c>
      <c r="W130" s="21">
        <v>968.75</v>
      </c>
      <c r="X130" s="21">
        <v>1455.38</v>
      </c>
      <c r="Y130" s="21">
        <v>1237</v>
      </c>
      <c r="Z130" s="21">
        <v>757.75</v>
      </c>
      <c r="AA130" s="21">
        <f>SUM(O130:Z130)</f>
        <v>22224.19</v>
      </c>
      <c r="AB130" s="311">
        <v>0.24441234861278699</v>
      </c>
      <c r="AD130" s="21">
        <v>66267.97</v>
      </c>
      <c r="AE130" s="311">
        <v>0.29500009536233601</v>
      </c>
      <c r="AF130" s="50">
        <f t="shared" ref="AF130:AF141" si="58">IF(AND($AA130="",AD130=""),"",$AA130-AD130)</f>
        <v>-44043.78</v>
      </c>
      <c r="AG130" s="21">
        <v>32396.67</v>
      </c>
      <c r="AH130" s="311">
        <v>0.27724515278163198</v>
      </c>
      <c r="AI130" s="50">
        <f t="shared" ref="AI130:AI141" si="59">IF(AND($AA130="",AG130=""),"",$AA130-AG130)</f>
        <v>-10172.48</v>
      </c>
    </row>
    <row r="131" spans="3:35" x14ac:dyDescent="0.25">
      <c r="C131" s="32"/>
      <c r="H131" s="149" t="s">
        <v>756</v>
      </c>
      <c r="I131" s="161"/>
      <c r="J131" s="161"/>
      <c r="L131" s="162"/>
      <c r="M131" s="162"/>
      <c r="N131" s="467" t="s">
        <v>1321</v>
      </c>
      <c r="O131" s="172">
        <v>0.27398920771215302</v>
      </c>
      <c r="P131" s="172">
        <v>0.27399777635679701</v>
      </c>
      <c r="Q131" s="172">
        <v>0.12498789258981401</v>
      </c>
      <c r="R131" s="172">
        <v>0.25001266956095702</v>
      </c>
      <c r="S131" s="172">
        <v>0.25000094304391901</v>
      </c>
      <c r="T131" s="172">
        <v>0.25426891452884098</v>
      </c>
      <c r="U131" s="172">
        <v>0.25</v>
      </c>
      <c r="V131" s="172">
        <v>0.25000718846334902</v>
      </c>
      <c r="W131" s="172">
        <v>0.249980646659613</v>
      </c>
      <c r="X131" s="172">
        <v>0.25000085888516699</v>
      </c>
      <c r="Y131" s="172">
        <v>0.24999494755562701</v>
      </c>
      <c r="Z131" s="172">
        <v>0.25003299676631702</v>
      </c>
      <c r="AA131" s="172">
        <v>0.24441234861278699</v>
      </c>
      <c r="AB131" s="311"/>
      <c r="AD131" s="172">
        <v>0.29500009536233601</v>
      </c>
      <c r="AE131" s="311"/>
      <c r="AF131" s="468">
        <f t="shared" si="58"/>
        <v>-5.0587746749549023E-2</v>
      </c>
      <c r="AG131" s="172">
        <v>0.27724515278163198</v>
      </c>
      <c r="AH131" s="311"/>
      <c r="AI131" s="468">
        <f t="shared" si="59"/>
        <v>-3.2832804168844987E-2</v>
      </c>
    </row>
    <row r="132" spans="3:35" x14ac:dyDescent="0.25">
      <c r="C132" s="32"/>
      <c r="H132" s="149" t="s">
        <v>636</v>
      </c>
      <c r="I132" s="161"/>
      <c r="J132" s="161"/>
      <c r="L132" s="162"/>
      <c r="M132" s="162"/>
      <c r="N132" s="162" t="s">
        <v>1226</v>
      </c>
      <c r="O132" s="21">
        <v>4058.5</v>
      </c>
      <c r="P132" s="21">
        <v>5820.09</v>
      </c>
      <c r="Q132" s="21">
        <v>5455.52</v>
      </c>
      <c r="R132" s="21">
        <v>3982.31</v>
      </c>
      <c r="S132" s="21">
        <v>4013.99</v>
      </c>
      <c r="T132" s="21">
        <v>3293.09</v>
      </c>
      <c r="U132" s="21">
        <v>3231.28</v>
      </c>
      <c r="V132" s="21">
        <v>2319.23</v>
      </c>
      <c r="W132" s="21">
        <v>1861.59</v>
      </c>
      <c r="X132" s="21">
        <v>2521.19</v>
      </c>
      <c r="Y132" s="21">
        <v>2052.4499999999998</v>
      </c>
      <c r="Z132" s="21">
        <v>1163.48</v>
      </c>
      <c r="AA132" s="21">
        <f>SUM(O132:Z132)</f>
        <v>39772.720000000001</v>
      </c>
      <c r="AB132" s="311">
        <v>0.19586855434860001</v>
      </c>
      <c r="AD132" s="21">
        <v>89301.42</v>
      </c>
      <c r="AE132" s="311">
        <v>0.19833636143150299</v>
      </c>
      <c r="AF132" s="50">
        <f t="shared" si="58"/>
        <v>-49528.7</v>
      </c>
      <c r="AG132" s="21">
        <v>47241.07</v>
      </c>
      <c r="AH132" s="311">
        <v>0.19725021721458499</v>
      </c>
      <c r="AI132" s="50">
        <f t="shared" si="59"/>
        <v>-7468.3499999999985</v>
      </c>
    </row>
    <row r="133" spans="3:35" x14ac:dyDescent="0.25">
      <c r="C133" s="32"/>
      <c r="H133" s="149" t="s">
        <v>757</v>
      </c>
      <c r="I133" s="161"/>
      <c r="J133" s="161"/>
      <c r="L133" s="162"/>
      <c r="M133" s="162"/>
      <c r="N133" s="467" t="s">
        <v>1326</v>
      </c>
      <c r="O133" s="172">
        <v>0.20287428142964301</v>
      </c>
      <c r="P133" s="172">
        <v>0.20249693649836001</v>
      </c>
      <c r="Q133" s="172">
        <v>0.19437530418349799</v>
      </c>
      <c r="R133" s="172">
        <v>0.19350971700799499</v>
      </c>
      <c r="S133" s="172">
        <v>0.19329997688484801</v>
      </c>
      <c r="T133" s="172">
        <v>0.19466158302299499</v>
      </c>
      <c r="U133" s="172">
        <v>0.19400911421589501</v>
      </c>
      <c r="V133" s="172">
        <v>0.19325322327574601</v>
      </c>
      <c r="W133" s="172">
        <v>0.19417857515385401</v>
      </c>
      <c r="X133" s="172">
        <v>0.19366507147630599</v>
      </c>
      <c r="Y133" s="172">
        <v>0.191724582445914</v>
      </c>
      <c r="Z133" s="172">
        <v>0.19340114264057401</v>
      </c>
      <c r="AA133" s="172">
        <v>0.19586855434860001</v>
      </c>
      <c r="AB133" s="311"/>
      <c r="AD133" s="172">
        <v>0.19833636143150399</v>
      </c>
      <c r="AE133" s="311"/>
      <c r="AF133" s="468">
        <f t="shared" si="58"/>
        <v>-2.4678070829039778E-3</v>
      </c>
      <c r="AG133" s="172">
        <v>0.19725021721458499</v>
      </c>
      <c r="AH133" s="311"/>
      <c r="AI133" s="468">
        <f t="shared" si="59"/>
        <v>-1.3816628659849839E-3</v>
      </c>
    </row>
    <row r="134" spans="3:35" x14ac:dyDescent="0.25">
      <c r="C134" s="32"/>
      <c r="H134" s="149" t="s">
        <v>755</v>
      </c>
      <c r="I134" s="161"/>
      <c r="J134" s="161"/>
      <c r="L134" s="162">
        <v>561300</v>
      </c>
      <c r="M134" s="162"/>
      <c r="N134" s="162" t="s">
        <v>1327</v>
      </c>
      <c r="O134" s="21">
        <v>2712.89</v>
      </c>
      <c r="P134" s="21">
        <v>4018</v>
      </c>
      <c r="Q134" s="21">
        <v>4468.16</v>
      </c>
      <c r="R134" s="21">
        <v>3066.11</v>
      </c>
      <c r="S134" s="21">
        <v>3001.49</v>
      </c>
      <c r="T134" s="21">
        <v>2788.93</v>
      </c>
      <c r="U134" s="21">
        <v>2584.15</v>
      </c>
      <c r="V134" s="21">
        <v>1724.74</v>
      </c>
      <c r="W134" s="21">
        <v>1540.74</v>
      </c>
      <c r="X134" s="21">
        <v>1921.42</v>
      </c>
      <c r="Y134" s="21">
        <v>1304.73</v>
      </c>
      <c r="Z134" s="21">
        <v>856.95</v>
      </c>
      <c r="AA134" s="21">
        <f>SUM(O134:Z134)</f>
        <v>29988.310000000005</v>
      </c>
      <c r="AB134" s="311">
        <v>0.19699379332761</v>
      </c>
      <c r="AD134" s="21">
        <v>69363.92</v>
      </c>
      <c r="AE134" s="311">
        <v>0.19399998757498599</v>
      </c>
      <c r="AF134" s="50">
        <f t="shared" si="58"/>
        <v>-39375.609999999993</v>
      </c>
      <c r="AG134" s="21">
        <v>36913.4</v>
      </c>
      <c r="AH134" s="311">
        <v>0.19555051511504401</v>
      </c>
      <c r="AI134" s="50">
        <f t="shared" si="59"/>
        <v>-6925.0899999999965</v>
      </c>
    </row>
    <row r="135" spans="3:35" x14ac:dyDescent="0.25">
      <c r="C135" s="32"/>
      <c r="H135" s="149" t="s">
        <v>758</v>
      </c>
      <c r="I135" s="161"/>
      <c r="J135" s="161"/>
      <c r="L135" s="162"/>
      <c r="M135" s="162"/>
      <c r="N135" s="467" t="s">
        <v>1328</v>
      </c>
      <c r="O135" s="172">
        <v>0.197003078978709</v>
      </c>
      <c r="P135" s="172">
        <v>0.19695093676688699</v>
      </c>
      <c r="Q135" s="172">
        <v>0.197004127767681</v>
      </c>
      <c r="R135" s="172">
        <v>0.197002913174049</v>
      </c>
      <c r="S135" s="172">
        <v>0.19699469691003099</v>
      </c>
      <c r="T135" s="172">
        <v>0.19700007063643399</v>
      </c>
      <c r="U135" s="172">
        <v>0.19700019058509599</v>
      </c>
      <c r="V135" s="172">
        <v>0.19700979714641101</v>
      </c>
      <c r="W135" s="172">
        <v>0.197000383582662</v>
      </c>
      <c r="X135" s="172">
        <v>0.19700002050567</v>
      </c>
      <c r="Y135" s="172">
        <v>0.19699390022949601</v>
      </c>
      <c r="Z135" s="172">
        <v>0.19697781169477499</v>
      </c>
      <c r="AA135" s="172">
        <v>0.19699379332761</v>
      </c>
      <c r="AB135" s="311"/>
      <c r="AD135" s="172">
        <v>0.19399998757498599</v>
      </c>
      <c r="AE135" s="311"/>
      <c r="AF135" s="468">
        <f t="shared" si="58"/>
        <v>2.9938057526240069E-3</v>
      </c>
      <c r="AG135" s="172">
        <v>0.19555051511504401</v>
      </c>
      <c r="AH135" s="311"/>
      <c r="AI135" s="468">
        <f t="shared" si="59"/>
        <v>1.4432782125659849E-3</v>
      </c>
    </row>
    <row r="136" spans="3:35" x14ac:dyDescent="0.25">
      <c r="C136" s="32"/>
      <c r="H136" s="149">
        <v>561400</v>
      </c>
      <c r="I136" s="161"/>
      <c r="J136" s="161"/>
      <c r="L136" s="162">
        <v>561400</v>
      </c>
      <c r="M136" s="162"/>
      <c r="N136" s="162" t="s">
        <v>1329</v>
      </c>
      <c r="O136" s="21">
        <v>775.39</v>
      </c>
      <c r="P136" s="21">
        <v>1092.03</v>
      </c>
      <c r="Q136" s="21">
        <v>647.64</v>
      </c>
      <c r="R136" s="21">
        <v>663.12</v>
      </c>
      <c r="S136" s="21">
        <v>687.6</v>
      </c>
      <c r="T136" s="21">
        <v>364.32</v>
      </c>
      <c r="U136" s="21">
        <v>450.9</v>
      </c>
      <c r="V136" s="21">
        <v>400.5</v>
      </c>
      <c r="W136" s="21">
        <v>264.42</v>
      </c>
      <c r="X136" s="21">
        <v>370.17</v>
      </c>
      <c r="Y136" s="21">
        <v>501.48</v>
      </c>
      <c r="Z136" s="21">
        <v>180.18</v>
      </c>
      <c r="AA136" s="21">
        <f>SUM(O136:Z136)</f>
        <v>6397.75</v>
      </c>
      <c r="AB136" s="311">
        <v>0.187604648366826</v>
      </c>
      <c r="AD136" s="21">
        <v>12851.65</v>
      </c>
      <c r="AE136" s="311">
        <v>0.20899978019356999</v>
      </c>
      <c r="AF136" s="50">
        <f t="shared" si="58"/>
        <v>-6453.9</v>
      </c>
      <c r="AG136" s="21">
        <v>7297.87</v>
      </c>
      <c r="AH136" s="311">
        <v>0.209671552769334</v>
      </c>
      <c r="AI136" s="50">
        <f t="shared" si="59"/>
        <v>-900.11999999999989</v>
      </c>
    </row>
    <row r="137" spans="3:35" x14ac:dyDescent="0.25">
      <c r="C137" s="32"/>
      <c r="H137" s="149" t="s">
        <v>759</v>
      </c>
      <c r="I137" s="161"/>
      <c r="J137" s="161"/>
      <c r="L137" s="162"/>
      <c r="M137" s="162"/>
      <c r="N137" s="467" t="s">
        <v>1330</v>
      </c>
      <c r="O137" s="172">
        <v>0.20898873376098301</v>
      </c>
      <c r="P137" s="172">
        <v>0.209016958236037</v>
      </c>
      <c r="Q137" s="172">
        <v>0.18</v>
      </c>
      <c r="R137" s="172">
        <v>0.18001954609620999</v>
      </c>
      <c r="S137" s="172">
        <v>0.180018850141376</v>
      </c>
      <c r="T137" s="172">
        <v>0.18</v>
      </c>
      <c r="U137" s="172">
        <v>0.18</v>
      </c>
      <c r="V137" s="172">
        <v>0.17998382167895</v>
      </c>
      <c r="W137" s="172">
        <v>0.18</v>
      </c>
      <c r="X137" s="172">
        <v>0.18</v>
      </c>
      <c r="Y137" s="172">
        <v>0.18</v>
      </c>
      <c r="Z137" s="172">
        <v>0.18007195682590399</v>
      </c>
      <c r="AA137" s="172">
        <v>0.187604648366826</v>
      </c>
      <c r="AB137" s="311"/>
      <c r="AD137" s="172">
        <v>0.20899978019356999</v>
      </c>
      <c r="AE137" s="311"/>
      <c r="AF137" s="468">
        <f t="shared" si="58"/>
        <v>-2.139513182674399E-2</v>
      </c>
      <c r="AG137" s="172">
        <v>0.209671552769334</v>
      </c>
      <c r="AH137" s="311"/>
      <c r="AI137" s="468">
        <f t="shared" si="59"/>
        <v>-2.2066904402507997E-2</v>
      </c>
    </row>
    <row r="138" spans="3:35" x14ac:dyDescent="0.25">
      <c r="H138" s="149">
        <v>561500</v>
      </c>
      <c r="I138" s="161"/>
      <c r="J138" s="161"/>
      <c r="L138" s="162">
        <v>561500</v>
      </c>
      <c r="M138" s="162"/>
      <c r="N138" s="162" t="s">
        <v>1331</v>
      </c>
      <c r="O138" s="21">
        <v>570.22</v>
      </c>
      <c r="P138" s="21">
        <v>710.06</v>
      </c>
      <c r="Q138" s="21">
        <v>339.72</v>
      </c>
      <c r="R138" s="21">
        <v>253.08</v>
      </c>
      <c r="S138" s="21">
        <v>324.89999999999998</v>
      </c>
      <c r="T138" s="21">
        <v>139.84</v>
      </c>
      <c r="U138" s="21">
        <v>196.23</v>
      </c>
      <c r="V138" s="21">
        <v>193.99</v>
      </c>
      <c r="W138" s="21">
        <v>56.43</v>
      </c>
      <c r="X138" s="21">
        <v>229.6</v>
      </c>
      <c r="Y138" s="21">
        <v>246.24</v>
      </c>
      <c r="Z138" s="21">
        <v>126.35</v>
      </c>
      <c r="AA138" s="21">
        <f>SUM(O138:Z138)</f>
        <v>3386.6599999999994</v>
      </c>
      <c r="AB138" s="311">
        <v>0.20247635446186199</v>
      </c>
      <c r="AD138" s="21">
        <v>7085.85</v>
      </c>
      <c r="AE138" s="311">
        <v>0.227000198811245</v>
      </c>
      <c r="AF138" s="50">
        <f t="shared" si="58"/>
        <v>-3699.190000000001</v>
      </c>
      <c r="AG138" s="21">
        <v>3029.8</v>
      </c>
      <c r="AH138" s="311">
        <v>0.19024929954751599</v>
      </c>
      <c r="AI138" s="50">
        <f t="shared" si="59"/>
        <v>356.85999999999922</v>
      </c>
    </row>
    <row r="139" spans="3:35" x14ac:dyDescent="0.25">
      <c r="C139" s="32"/>
      <c r="H139" s="149" t="s">
        <v>760</v>
      </c>
      <c r="I139" s="161"/>
      <c r="J139" s="161"/>
      <c r="L139" s="162"/>
      <c r="M139" s="162"/>
      <c r="N139" s="467" t="s">
        <v>1332</v>
      </c>
      <c r="O139" s="172">
        <v>0.22591917591125199</v>
      </c>
      <c r="P139" s="172">
        <v>0.22787548138639299</v>
      </c>
      <c r="Q139" s="172">
        <v>0.18995750391411301</v>
      </c>
      <c r="R139" s="172">
        <v>0.19</v>
      </c>
      <c r="S139" s="172">
        <v>0.19004445484323801</v>
      </c>
      <c r="T139" s="172">
        <v>0.19</v>
      </c>
      <c r="U139" s="172">
        <v>0.18999806351665399</v>
      </c>
      <c r="V139" s="172">
        <v>0.18996278887583201</v>
      </c>
      <c r="W139" s="172">
        <v>0.19</v>
      </c>
      <c r="X139" s="172">
        <v>0.19000331016219801</v>
      </c>
      <c r="Y139" s="172">
        <v>0.19</v>
      </c>
      <c r="Z139" s="172">
        <v>0.190057160048135</v>
      </c>
      <c r="AA139" s="172">
        <v>0.20247635446186199</v>
      </c>
      <c r="AB139" s="311"/>
      <c r="AD139" s="172">
        <v>0.227000198811245</v>
      </c>
      <c r="AE139" s="311"/>
      <c r="AF139" s="468">
        <f t="shared" si="58"/>
        <v>-2.4523844349383012E-2</v>
      </c>
      <c r="AG139" s="172">
        <v>0.19024929954751599</v>
      </c>
      <c r="AH139" s="311"/>
      <c r="AI139" s="468">
        <f t="shared" si="59"/>
        <v>1.2227054914346003E-2</v>
      </c>
    </row>
    <row r="140" spans="3:35" x14ac:dyDescent="0.25">
      <c r="C140" s="32"/>
      <c r="H140" s="149" t="s">
        <v>286</v>
      </c>
      <c r="I140" s="161"/>
      <c r="J140" s="161"/>
      <c r="L140" s="162"/>
      <c r="M140" s="162"/>
      <c r="N140" s="162" t="s">
        <v>1227</v>
      </c>
      <c r="O140" s="21">
        <v>6840.97</v>
      </c>
      <c r="P140" s="21">
        <v>9625.1299999999992</v>
      </c>
      <c r="Q140" s="21">
        <v>6565.27</v>
      </c>
      <c r="R140" s="21">
        <v>6350.31</v>
      </c>
      <c r="S140" s="21">
        <v>6664.99</v>
      </c>
      <c r="T140" s="21">
        <v>4771.59</v>
      </c>
      <c r="U140" s="21">
        <v>5189.83</v>
      </c>
      <c r="V140" s="21">
        <v>3971.23</v>
      </c>
      <c r="W140" s="21">
        <v>2830.34</v>
      </c>
      <c r="X140" s="21">
        <v>3976.57</v>
      </c>
      <c r="Y140" s="21">
        <v>3289.45</v>
      </c>
      <c r="Z140" s="21">
        <v>1921.23</v>
      </c>
      <c r="AA140" s="21">
        <f>SUM(O140:Z140)</f>
        <v>61996.91</v>
      </c>
      <c r="AB140" s="311">
        <v>0.211519358892446</v>
      </c>
      <c r="AD140" s="21">
        <v>155569.39000000001</v>
      </c>
      <c r="AE140" s="311">
        <v>0.23051090585940401</v>
      </c>
      <c r="AF140" s="50">
        <f t="shared" si="58"/>
        <v>-93572.48000000001</v>
      </c>
      <c r="AG140" s="21">
        <v>79637.740000000005</v>
      </c>
      <c r="AH140" s="311">
        <v>0.22429391109524499</v>
      </c>
      <c r="AI140" s="50">
        <f t="shared" si="59"/>
        <v>-17640.830000000002</v>
      </c>
    </row>
    <row r="141" spans="3:35" x14ac:dyDescent="0.25">
      <c r="C141" s="32"/>
      <c r="H141" s="149"/>
      <c r="I141" s="161"/>
      <c r="J141" s="161"/>
      <c r="L141" s="162"/>
      <c r="M141" s="162"/>
      <c r="N141" s="467" t="s">
        <v>762</v>
      </c>
      <c r="O141" s="172">
        <f t="shared" ref="O141:AA141" si="60">IFERROR(O140/O85,"")</f>
        <v>0.22794184042268553</v>
      </c>
      <c r="P141" s="172">
        <f t="shared" si="60"/>
        <v>0.22671706116472812</v>
      </c>
      <c r="Q141" s="172">
        <f t="shared" si="60"/>
        <v>0.17770003626934591</v>
      </c>
      <c r="R141" s="172">
        <f t="shared" si="60"/>
        <v>0.2113184630077635</v>
      </c>
      <c r="S141" s="172">
        <f t="shared" si="60"/>
        <v>0.21246679902427701</v>
      </c>
      <c r="T141" s="172">
        <f t="shared" si="60"/>
        <v>0.20990897737125805</v>
      </c>
      <c r="U141" s="172">
        <f t="shared" si="60"/>
        <v>0.21181181352766784</v>
      </c>
      <c r="V141" s="172">
        <f t="shared" si="60"/>
        <v>0.21622915151171959</v>
      </c>
      <c r="W141" s="172">
        <f t="shared" si="60"/>
        <v>0.21024193488482654</v>
      </c>
      <c r="X141" s="172">
        <f t="shared" si="60"/>
        <v>0.2110728351681016</v>
      </c>
      <c r="Y141" s="172">
        <f t="shared" si="60"/>
        <v>0.21468789016584638</v>
      </c>
      <c r="Z141" s="172">
        <f t="shared" si="60"/>
        <v>0.21237297559605992</v>
      </c>
      <c r="AA141" s="172">
        <f t="shared" si="60"/>
        <v>0.2115193588924458</v>
      </c>
      <c r="AB141" s="311"/>
      <c r="AD141" s="172">
        <f>IFERROR(AD140/AD85,"")</f>
        <v>0.23051090585940368</v>
      </c>
      <c r="AE141" s="311"/>
      <c r="AF141" s="468">
        <f t="shared" si="58"/>
        <v>-1.8991546966957873E-2</v>
      </c>
      <c r="AG141" s="172">
        <f>IFERROR(AG140/AG85,"")</f>
        <v>0.22429391109524524</v>
      </c>
      <c r="AH141" s="311"/>
      <c r="AI141" s="468">
        <f t="shared" si="59"/>
        <v>-1.2774552202799438E-2</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f t="shared" ref="O145:AA145" si="63">IFERROR(O$85/O87,"")-O88</f>
        <v>0</v>
      </c>
      <c r="P145" s="178">
        <f t="shared" si="63"/>
        <v>0</v>
      </c>
      <c r="Q145" s="178">
        <f t="shared" si="63"/>
        <v>0</v>
      </c>
      <c r="R145" s="178">
        <f t="shared" si="63"/>
        <v>0</v>
      </c>
      <c r="S145" s="178">
        <f t="shared" si="63"/>
        <v>0</v>
      </c>
      <c r="T145" s="178">
        <f t="shared" si="63"/>
        <v>0</v>
      </c>
      <c r="U145" s="178">
        <f t="shared" si="63"/>
        <v>3.5527136788005009E-14</v>
      </c>
      <c r="V145" s="178">
        <f t="shared" si="63"/>
        <v>-3.907985046680551E-14</v>
      </c>
      <c r="W145" s="178">
        <f t="shared" si="63"/>
        <v>3.907985046680551E-14</v>
      </c>
      <c r="X145" s="178">
        <f t="shared" si="63"/>
        <v>0</v>
      </c>
      <c r="Y145" s="178">
        <f t="shared" si="63"/>
        <v>0</v>
      </c>
      <c r="Z145" s="178">
        <f t="shared" si="63"/>
        <v>0</v>
      </c>
      <c r="AA145" s="178">
        <f t="shared" si="63"/>
        <v>0</v>
      </c>
      <c r="AB145" s="17"/>
      <c r="AD145" s="178">
        <f>IFERROR(AD$85/AD87,"")-AD88</f>
        <v>0</v>
      </c>
      <c r="AE145" s="17"/>
      <c r="AF145" s="21"/>
      <c r="AG145" s="178">
        <f>IFERROR(AG$85/AG87,"")-AG88</f>
        <v>-5.3290705182007514E-14</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66" priority="15">
      <formula>ROUND(O42,2)&lt;&gt;ROUND(O43,2)</formula>
    </cfRule>
  </conditionalFormatting>
  <conditionalFormatting sqref="N43">
    <cfRule type="expression" dxfId="265" priority="14">
      <formula>$G43&lt;&gt;0</formula>
    </cfRule>
  </conditionalFormatting>
  <conditionalFormatting sqref="O53:AA53 AD53 AF53:AG53">
    <cfRule type="expression" dxfId="264" priority="13">
      <formula>ROUND(O52,2)&lt;&gt;ROUND(O53,2)</formula>
    </cfRule>
  </conditionalFormatting>
  <conditionalFormatting sqref="N53">
    <cfRule type="expression" dxfId="263" priority="12">
      <formula>$G53&lt;&gt;0</formula>
    </cfRule>
  </conditionalFormatting>
  <conditionalFormatting sqref="O63:AA63 AD63 AF63:AG63">
    <cfRule type="expression" dxfId="262" priority="11">
      <formula>ROUND(O62,2)&lt;&gt;ROUND(O63,2)</formula>
    </cfRule>
  </conditionalFormatting>
  <conditionalFormatting sqref="N63">
    <cfRule type="expression" dxfId="261" priority="10">
      <formula>$G63&lt;&gt;0</formula>
    </cfRule>
  </conditionalFormatting>
  <conditionalFormatting sqref="O73:AA73 AD73 AF73:AG73">
    <cfRule type="expression" dxfId="260" priority="9">
      <formula>ROUND(O72,2)&lt;&gt;ROUND(O73,2)</formula>
    </cfRule>
  </conditionalFormatting>
  <conditionalFormatting sqref="N73">
    <cfRule type="expression" dxfId="259" priority="8">
      <formula>$G73&lt;&gt;0</formula>
    </cfRule>
  </conditionalFormatting>
  <conditionalFormatting sqref="N82">
    <cfRule type="expression" dxfId="258" priority="7">
      <formula>$G82&lt;&gt;0</formula>
    </cfRule>
  </conditionalFormatting>
  <conditionalFormatting sqref="AD82 AF82:AG82 O82:AA82">
    <cfRule type="expression" dxfId="257" priority="6">
      <formula>ROUND(O81,2)&lt;&gt;ROUND(O82,2)</formula>
    </cfRule>
  </conditionalFormatting>
  <conditionalFormatting sqref="AI43">
    <cfRule type="expression" dxfId="256" priority="5">
      <formula>ROUND(AI42,2)&lt;&gt;ROUND(AI43,2)</formula>
    </cfRule>
  </conditionalFormatting>
  <conditionalFormatting sqref="AI53">
    <cfRule type="expression" dxfId="255" priority="4">
      <formula>ROUND(AI52,2)&lt;&gt;ROUND(AI53,2)</formula>
    </cfRule>
  </conditionalFormatting>
  <conditionalFormatting sqref="AI63">
    <cfRule type="expression" dxfId="254" priority="3">
      <formula>ROUND(AI62,2)&lt;&gt;ROUND(AI63,2)</formula>
    </cfRule>
  </conditionalFormatting>
  <conditionalFormatting sqref="AI73">
    <cfRule type="expression" dxfId="253" priority="2">
      <formula>ROUND(AI72,2)&lt;&gt;ROUND(AI73,2)</formula>
    </cfRule>
  </conditionalFormatting>
  <conditionalFormatting sqref="AI82">
    <cfRule type="expression" dxfId="252" priority="1">
      <formula>ROUND(AI81,2)&lt;&gt;ROUND(AI82,2)</formula>
    </cfRule>
  </conditionalFormatting>
  <dataValidations count="2">
    <dataValidation type="list" allowBlank="1" sqref="B29" xr:uid="{00000000-0002-0000-1500-000000000000}">
      <formula1>"SELF,ALL,BAS,DEP,BASMEMBERS,MEMBERS,NOEXPAND,GDEP"</formula1>
    </dataValidation>
    <dataValidation type="list" allowBlank="1" sqref="B28" xr:uid="{00000000-0002-0000-1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4099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0994" r:id="rId5" name="FPMExcelClientSheetOptionstb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732</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D2142</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D2142</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92">
        <f ca="1">IFERROR(AA72/AA$20,0)</f>
        <v>0</v>
      </c>
      <c r="AK72" s="393">
        <f ca="1">IFERROR(AD72/AD$20,0)</f>
        <v>0</v>
      </c>
      <c r="AL72" s="394">
        <f ca="1">IFERROR(AG72/AG$20,0)</f>
        <v>0</v>
      </c>
      <c r="AM72" s="395">
        <f ca="1">+IFERROR(ROUND(($AB72-AE72)*100,2)&amp;" pts.",0)</f>
        <v>0</v>
      </c>
      <c r="AN72" s="437">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409">
        <f ca="1">IFERROR(AA79/AA$20,0)</f>
        <v>0</v>
      </c>
      <c r="AK79" s="410">
        <f ca="1">IFERROR(AD79/AD$20,0)</f>
        <v>0</v>
      </c>
      <c r="AL79" s="411">
        <f ca="1">IFERROR(AG79/AG$20,0)</f>
        <v>0</v>
      </c>
      <c r="AM79" s="412">
        <f ca="1">+IFERROR(ROUND(($AB79-AE79)*100,2)&amp;" pts.",0)</f>
        <v>0</v>
      </c>
      <c r="AN79" s="41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409">
        <f ca="1">IFERROR(AA80/AA$20,0)</f>
        <v>0</v>
      </c>
      <c r="AK80" s="410">
        <f ca="1">IFERROR(AD80/AD$20,0)</f>
        <v>0</v>
      </c>
      <c r="AL80" s="411">
        <f ca="1">IFERROR(AG80/AG$20,0)</f>
        <v>0</v>
      </c>
      <c r="AM80" s="412">
        <f ca="1">+IFERROR(ROUND(($AB80-AE80)*100,2)&amp;" pts.",0)</f>
        <v>0</v>
      </c>
      <c r="AN80" s="41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44">
        <f ca="1">IFERROR(AA85/AA$20,0)</f>
        <v>0</v>
      </c>
      <c r="AK85" s="445">
        <f ca="1">IFERROR(AD85/AD$20,0)</f>
        <v>0</v>
      </c>
      <c r="AL85" s="446">
        <f ca="1">IFERROR(AG85/AG$20,0)</f>
        <v>0</v>
      </c>
      <c r="AM85" s="447">
        <f ca="1">+IFERROR(ROUND(($AB85-AE85)*100,2)&amp;" pts.",0)</f>
        <v>0</v>
      </c>
      <c r="AN85" s="448">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72">
        <f ca="1">IFERROR(AA87/AA$20,0)</f>
        <v>0</v>
      </c>
      <c r="AK87" s="373">
        <f ca="1">IFERROR(AD87/AD$20,0)</f>
        <v>0</v>
      </c>
      <c r="AL87" s="375">
        <f ca="1">IFERROR(AG87/AG$20,0)</f>
        <v>0</v>
      </c>
      <c r="AM87" s="407">
        <f ca="1">+IFERROR(ROUND(($AB87-AE87)*100,2)&amp;" pts.",0)</f>
        <v>0</v>
      </c>
      <c r="AN87" s="408">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1600-000000000000}">
      <formula1>"SELF,ALL,BAS,DEP,BASMEMBERS,MEMBERS,NOEXPAND,GDEP"</formula1>
    </dataValidation>
    <dataValidation type="list" allowBlank="1" sqref="B28 B94 B61" xr:uid="{00000000-0002-0000-1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1">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732</v>
      </c>
      <c r="C6" s="1" t="s">
        <v>1372</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1373</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1374</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1375</v>
      </c>
      <c r="G19" s="18" t="str">
        <f>$B$6</f>
        <v>D2142</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tr">
        <f>$B$6</f>
        <v>D2142</v>
      </c>
      <c r="H20" s="18">
        <v>946000</v>
      </c>
      <c r="I20" s="19"/>
      <c r="J20" s="19"/>
      <c r="K20" s="18"/>
      <c r="L20" s="19"/>
      <c r="M20" s="19"/>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I21" s="1"/>
      <c r="J21" s="1"/>
    </row>
    <row r="22" spans="1:40" hidden="1" outlineLevel="1" x14ac:dyDescent="0.25">
      <c r="A22" s="6" t="s">
        <v>7</v>
      </c>
      <c r="B22" s="16" t="s">
        <v>1376</v>
      </c>
      <c r="I22" s="1"/>
      <c r="J22" s="1"/>
    </row>
    <row r="23" spans="1:40" hidden="1" outlineLevel="1" x14ac:dyDescent="0.25">
      <c r="A23" s="6" t="s">
        <v>47</v>
      </c>
      <c r="B23" s="16" t="s">
        <v>1377</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1378</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c r="Q35" s="310"/>
      <c r="R35" s="310"/>
      <c r="S35" s="310"/>
      <c r="T35" s="310"/>
      <c r="U35" s="310"/>
      <c r="V35" s="310"/>
      <c r="W35" s="310"/>
      <c r="X35" s="310"/>
      <c r="Y35" s="310"/>
      <c r="Z35" s="310"/>
      <c r="AA35" s="310">
        <f t="shared" ref="AA35:AA58" si="1">IF($I35="B1","",SUM(O35:Z35))</f>
        <v>0</v>
      </c>
      <c r="AB35" s="311" t="str">
        <f t="shared" ref="AB35:AB58" si="2">IF(AA35=0,"",IFERROR(AA35/AA$19,""))</f>
        <v/>
      </c>
      <c r="AC35" s="328"/>
      <c r="AD35" s="310"/>
      <c r="AE35" s="311" t="str">
        <f t="shared" ref="AE35:AE58" si="3">IF(AD35=0,"",IFERROR(AD35/AD$19,""))</f>
        <v/>
      </c>
      <c r="AF35" s="312">
        <f t="shared" ref="AF35:AF58" si="4">IF(AND($AA35="",AD35=""),"",$AA35-AD35)</f>
        <v>0</v>
      </c>
      <c r="AG35" s="310"/>
      <c r="AH35" s="311" t="str">
        <f t="shared" ref="AH35:AH58" si="5">IF(AG35=0,"",IFERROR(AG35/AG$19,""))</f>
        <v/>
      </c>
      <c r="AI35" s="313">
        <f t="shared" ref="AI35:AI58" si="6">IF(AND($AA35="",AG35=""),"",$AA35-AG35)</f>
        <v>0</v>
      </c>
      <c r="AJ35" s="399">
        <f t="shared" ref="AJ35:AJ58" si="7">IFERROR(AA35/AA$20,0)</f>
        <v>0</v>
      </c>
      <c r="AK35" s="400">
        <f t="shared" ref="AK35:AK58" si="8">IFERROR(AD35/AD$20,0)</f>
        <v>0</v>
      </c>
      <c r="AL35" s="401">
        <f t="shared" ref="AL35:AL58" si="9">IFERROR(AG35/AG$20,0)</f>
        <v>0</v>
      </c>
      <c r="AM35" s="402">
        <f t="shared" ref="AM35:AM58" si="10">+IFERROR(ROUND(($AB35-AE35)*100,2)&amp;" pts.",0)</f>
        <v>0</v>
      </c>
      <c r="AN35" s="403">
        <f t="shared" ref="AN35:AN58" si="11">+IFERROR(ROUND(($AB35-AH35)*100,2)&amp;" pts.",0)</f>
        <v>0</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c r="AJ37" s="399">
        <f t="shared" si="7"/>
        <v>0</v>
      </c>
      <c r="AK37" s="400">
        <f t="shared" si="8"/>
        <v>0</v>
      </c>
      <c r="AL37" s="401">
        <f t="shared" si="9"/>
        <v>0</v>
      </c>
      <c r="AM37" s="402">
        <f t="shared" si="10"/>
        <v>0</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c r="P40" s="134"/>
      <c r="Q40" s="134"/>
      <c r="R40" s="134"/>
      <c r="S40" s="134"/>
      <c r="T40" s="134"/>
      <c r="U40" s="134"/>
      <c r="V40" s="134"/>
      <c r="W40" s="134"/>
      <c r="X40" s="134"/>
      <c r="Y40" s="134"/>
      <c r="Z40" s="134"/>
      <c r="AA40" s="134">
        <f t="shared" si="1"/>
        <v>0</v>
      </c>
      <c r="AB40" s="135" t="str">
        <f t="shared" si="2"/>
        <v/>
      </c>
      <c r="AC40" s="137"/>
      <c r="AD40" s="134"/>
      <c r="AE40" s="135" t="str">
        <f t="shared" si="3"/>
        <v/>
      </c>
      <c r="AF40" s="136">
        <f t="shared" si="4"/>
        <v>0</v>
      </c>
      <c r="AG40" s="134"/>
      <c r="AH40" s="135" t="str">
        <f t="shared" si="5"/>
        <v/>
      </c>
      <c r="AI40" s="291">
        <f t="shared" si="6"/>
        <v>0</v>
      </c>
      <c r="AJ40" s="360">
        <f t="shared" si="7"/>
        <v>0</v>
      </c>
      <c r="AK40" s="361">
        <f t="shared" si="8"/>
        <v>0</v>
      </c>
      <c r="AL40" s="363">
        <f t="shared" si="9"/>
        <v>0</v>
      </c>
      <c r="AM40" s="405">
        <f t="shared" si="10"/>
        <v>0</v>
      </c>
      <c r="AN40" s="406">
        <f t="shared" si="11"/>
        <v>0</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c r="Q42" s="310"/>
      <c r="R42" s="310"/>
      <c r="S42" s="310"/>
      <c r="T42" s="310"/>
      <c r="U42" s="310"/>
      <c r="V42" s="310"/>
      <c r="W42" s="310"/>
      <c r="X42" s="310"/>
      <c r="Y42" s="310"/>
      <c r="Z42" s="310"/>
      <c r="AA42" s="310">
        <f t="shared" si="1"/>
        <v>0</v>
      </c>
      <c r="AB42" s="311" t="str">
        <f t="shared" si="2"/>
        <v/>
      </c>
      <c r="AC42" s="328"/>
      <c r="AD42" s="310"/>
      <c r="AE42" s="311" t="str">
        <f t="shared" si="3"/>
        <v/>
      </c>
      <c r="AF42" s="312">
        <f t="shared" si="4"/>
        <v>0</v>
      </c>
      <c r="AG42" s="310"/>
      <c r="AH42" s="311" t="str">
        <f t="shared" si="5"/>
        <v/>
      </c>
      <c r="AI42" s="313">
        <f t="shared" si="6"/>
        <v>0</v>
      </c>
      <c r="AJ42" s="399">
        <f t="shared" si="7"/>
        <v>0</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c r="Y43" s="310"/>
      <c r="Z43" s="310"/>
      <c r="AA43" s="310">
        <f t="shared" si="1"/>
        <v>0</v>
      </c>
      <c r="AB43" s="311" t="str">
        <f t="shared" si="2"/>
        <v/>
      </c>
      <c r="AC43" s="328"/>
      <c r="AD43" s="310"/>
      <c r="AE43" s="311" t="str">
        <f t="shared" si="3"/>
        <v/>
      </c>
      <c r="AF43" s="312">
        <f t="shared" si="4"/>
        <v>0</v>
      </c>
      <c r="AG43" s="310"/>
      <c r="AH43" s="311" t="str">
        <f t="shared" si="5"/>
        <v/>
      </c>
      <c r="AI43" s="313">
        <f t="shared" si="6"/>
        <v>0</v>
      </c>
      <c r="AJ43" s="399">
        <f t="shared" si="7"/>
        <v>0</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c r="P44" s="310"/>
      <c r="Q44" s="310"/>
      <c r="R44" s="310"/>
      <c r="S44" s="310"/>
      <c r="T44" s="310"/>
      <c r="U44" s="310"/>
      <c r="V44" s="310"/>
      <c r="W44" s="310"/>
      <c r="X44" s="310"/>
      <c r="Y44" s="310"/>
      <c r="Z44" s="310"/>
      <c r="AA44" s="310">
        <f t="shared" si="1"/>
        <v>0</v>
      </c>
      <c r="AB44" s="311" t="str">
        <f t="shared" si="2"/>
        <v/>
      </c>
      <c r="AC44" s="328"/>
      <c r="AD44" s="310"/>
      <c r="AE44" s="311" t="str">
        <f t="shared" si="3"/>
        <v/>
      </c>
      <c r="AF44" s="312">
        <f t="shared" si="4"/>
        <v>0</v>
      </c>
      <c r="AG44" s="310"/>
      <c r="AH44" s="311" t="str">
        <f t="shared" si="5"/>
        <v/>
      </c>
      <c r="AI44" s="313">
        <f t="shared" si="6"/>
        <v>0</v>
      </c>
      <c r="AJ44" s="399">
        <f t="shared" si="7"/>
        <v>0</v>
      </c>
      <c r="AK44" s="400">
        <f t="shared" si="8"/>
        <v>0</v>
      </c>
      <c r="AL44" s="401">
        <f t="shared" si="9"/>
        <v>0</v>
      </c>
      <c r="AM44" s="402">
        <f t="shared" si="10"/>
        <v>0</v>
      </c>
      <c r="AN44" s="403">
        <f t="shared" si="11"/>
        <v>0</v>
      </c>
    </row>
    <row r="45" spans="1:40" x14ac:dyDescent="0.25">
      <c r="H45" s="15" t="s">
        <v>270</v>
      </c>
      <c r="I45" s="161" t="s">
        <v>1058</v>
      </c>
      <c r="J45" s="161" t="s">
        <v>78</v>
      </c>
      <c r="K45" s="68" t="str">
        <f t="shared" si="0"/>
        <v>&gt;</v>
      </c>
      <c r="L45" s="162"/>
      <c r="M45" s="162"/>
      <c r="N45" s="162" t="s">
        <v>1319</v>
      </c>
      <c r="O45" s="309"/>
      <c r="P45" s="310"/>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c r="P47" s="134"/>
      <c r="Q47" s="134"/>
      <c r="R47" s="134"/>
      <c r="S47" s="134"/>
      <c r="T47" s="134"/>
      <c r="U47" s="134"/>
      <c r="V47" s="134"/>
      <c r="W47" s="134"/>
      <c r="X47" s="134"/>
      <c r="Y47" s="134"/>
      <c r="Z47" s="134"/>
      <c r="AA47" s="134">
        <f t="shared" si="1"/>
        <v>0</v>
      </c>
      <c r="AB47" s="135" t="str">
        <f t="shared" si="2"/>
        <v/>
      </c>
      <c r="AC47" s="137"/>
      <c r="AD47" s="134"/>
      <c r="AE47" s="135" t="str">
        <f t="shared" si="3"/>
        <v/>
      </c>
      <c r="AF47" s="136">
        <f t="shared" si="4"/>
        <v>0</v>
      </c>
      <c r="AG47" s="134"/>
      <c r="AH47" s="135" t="str">
        <f t="shared" si="5"/>
        <v/>
      </c>
      <c r="AI47" s="291">
        <f t="shared" si="6"/>
        <v>0</v>
      </c>
      <c r="AJ47" s="360">
        <f t="shared" si="7"/>
        <v>0</v>
      </c>
      <c r="AK47" s="361">
        <f t="shared" si="8"/>
        <v>0</v>
      </c>
      <c r="AL47" s="363">
        <f t="shared" si="9"/>
        <v>0</v>
      </c>
      <c r="AM47" s="405">
        <f t="shared" si="10"/>
        <v>0</v>
      </c>
      <c r="AN47" s="406">
        <f t="shared" si="11"/>
        <v>0</v>
      </c>
    </row>
    <row r="48" spans="1:40" x14ac:dyDescent="0.25">
      <c r="H48" s="15" t="s">
        <v>486</v>
      </c>
      <c r="I48" s="161" t="s">
        <v>1058</v>
      </c>
      <c r="J48" s="161" t="s">
        <v>78</v>
      </c>
      <c r="K48" s="68" t="str">
        <f t="shared" si="0"/>
        <v>&gt;</v>
      </c>
      <c r="L48" s="162"/>
      <c r="M48" s="162"/>
      <c r="N48" s="162" t="s">
        <v>1213</v>
      </c>
      <c r="O48" s="330"/>
      <c r="P48" s="47"/>
      <c r="Q48" s="47"/>
      <c r="R48" s="47"/>
      <c r="S48" s="47"/>
      <c r="T48" s="47"/>
      <c r="U48" s="47"/>
      <c r="V48" s="47"/>
      <c r="W48" s="47"/>
      <c r="X48" s="47"/>
      <c r="Y48" s="47"/>
      <c r="Z48" s="47"/>
      <c r="AA48" s="47">
        <f t="shared" si="1"/>
        <v>0</v>
      </c>
      <c r="AB48" s="48" t="str">
        <f t="shared" si="2"/>
        <v/>
      </c>
      <c r="AC48" s="54"/>
      <c r="AD48" s="47"/>
      <c r="AE48" s="48" t="str">
        <f t="shared" si="3"/>
        <v/>
      </c>
      <c r="AF48" s="150">
        <f t="shared" si="4"/>
        <v>0</v>
      </c>
      <c r="AG48" s="47"/>
      <c r="AH48" s="48" t="str">
        <f t="shared" si="5"/>
        <v/>
      </c>
      <c r="AI48" s="331">
        <f t="shared" si="6"/>
        <v>0</v>
      </c>
      <c r="AJ48" s="420">
        <f t="shared" si="7"/>
        <v>0</v>
      </c>
      <c r="AK48" s="421">
        <f t="shared" si="8"/>
        <v>0</v>
      </c>
      <c r="AL48" s="422">
        <f t="shared" si="9"/>
        <v>0</v>
      </c>
      <c r="AM48" s="423">
        <f t="shared" si="10"/>
        <v>0</v>
      </c>
      <c r="AN48" s="424">
        <f t="shared" si="11"/>
        <v>0</v>
      </c>
    </row>
    <row r="49" spans="1:40" x14ac:dyDescent="0.25">
      <c r="A49" s="3" t="s">
        <v>0</v>
      </c>
      <c r="B49" s="5" t="s">
        <v>1</v>
      </c>
      <c r="H49" s="15" t="s">
        <v>273</v>
      </c>
      <c r="I49" s="479" t="s">
        <v>1064</v>
      </c>
      <c r="J49" s="479" t="s">
        <v>78</v>
      </c>
      <c r="K49" s="480" t="str">
        <f t="shared" si="0"/>
        <v/>
      </c>
      <c r="L49" s="170"/>
      <c r="M49" s="170"/>
      <c r="N49" s="170" t="s">
        <v>1214</v>
      </c>
      <c r="O49" s="224"/>
      <c r="P49" s="134"/>
      <c r="Q49" s="134"/>
      <c r="R49" s="134"/>
      <c r="S49" s="134"/>
      <c r="T49" s="134"/>
      <c r="U49" s="134"/>
      <c r="V49" s="134"/>
      <c r="W49" s="134"/>
      <c r="X49" s="134"/>
      <c r="Y49" s="134"/>
      <c r="Z49" s="134"/>
      <c r="AA49" s="134">
        <f t="shared" si="1"/>
        <v>0</v>
      </c>
      <c r="AB49" s="135" t="str">
        <f t="shared" si="2"/>
        <v/>
      </c>
      <c r="AC49" s="137"/>
      <c r="AD49" s="134"/>
      <c r="AE49" s="135" t="str">
        <f t="shared" si="3"/>
        <v/>
      </c>
      <c r="AF49" s="136">
        <f t="shared" si="4"/>
        <v>0</v>
      </c>
      <c r="AG49" s="134"/>
      <c r="AH49" s="135" t="str">
        <f t="shared" si="5"/>
        <v/>
      </c>
      <c r="AI49" s="291">
        <f t="shared" si="6"/>
        <v>0</v>
      </c>
      <c r="AJ49" s="360">
        <f t="shared" si="7"/>
        <v>0</v>
      </c>
      <c r="AK49" s="361">
        <f t="shared" si="8"/>
        <v>0</v>
      </c>
      <c r="AL49" s="363">
        <f t="shared" si="9"/>
        <v>0</v>
      </c>
      <c r="AM49" s="405">
        <f t="shared" si="10"/>
        <v>0</v>
      </c>
      <c r="AN49" s="406">
        <f t="shared" si="11"/>
        <v>0</v>
      </c>
    </row>
    <row r="50" spans="1:40" x14ac:dyDescent="0.25">
      <c r="A50" s="6" t="s">
        <v>2</v>
      </c>
      <c r="B50" s="16" t="s">
        <v>1373</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1374</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1379</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c r="P54" s="310"/>
      <c r="Q54" s="310"/>
      <c r="R54" s="310"/>
      <c r="S54" s="310"/>
      <c r="T54" s="310"/>
      <c r="U54" s="310"/>
      <c r="V54" s="310"/>
      <c r="W54" s="310"/>
      <c r="X54" s="310"/>
      <c r="Y54" s="310"/>
      <c r="Z54" s="310"/>
      <c r="AA54" s="310">
        <f t="shared" si="1"/>
        <v>0</v>
      </c>
      <c r="AB54" s="311" t="str">
        <f t="shared" si="2"/>
        <v/>
      </c>
      <c r="AC54" s="328"/>
      <c r="AD54" s="310"/>
      <c r="AE54" s="311" t="str">
        <f t="shared" si="3"/>
        <v/>
      </c>
      <c r="AF54" s="312">
        <f t="shared" si="4"/>
        <v>0</v>
      </c>
      <c r="AG54" s="310"/>
      <c r="AH54" s="311" t="str">
        <f t="shared" si="5"/>
        <v/>
      </c>
      <c r="AI54" s="313">
        <f t="shared" si="6"/>
        <v>0</v>
      </c>
      <c r="AJ54" s="399">
        <f t="shared" si="7"/>
        <v>0</v>
      </c>
      <c r="AK54" s="400">
        <f t="shared" si="8"/>
        <v>0</v>
      </c>
      <c r="AL54" s="401">
        <f t="shared" si="9"/>
        <v>0</v>
      </c>
      <c r="AM54" s="402">
        <f t="shared" si="10"/>
        <v>0</v>
      </c>
      <c r="AN54" s="403">
        <f t="shared" si="11"/>
        <v>0</v>
      </c>
    </row>
    <row r="55" spans="1:40" x14ac:dyDescent="0.25">
      <c r="A55" s="6" t="s">
        <v>7</v>
      </c>
      <c r="B55" s="16" t="s">
        <v>1380</v>
      </c>
      <c r="F55" s="152"/>
      <c r="H55" s="15" t="s">
        <v>283</v>
      </c>
      <c r="I55" s="161" t="s">
        <v>1058</v>
      </c>
      <c r="J55" s="161" t="s">
        <v>78</v>
      </c>
      <c r="K55" s="68" t="str">
        <f t="shared" si="0"/>
        <v>&gt;</v>
      </c>
      <c r="L55" s="162"/>
      <c r="M55" s="162"/>
      <c r="N55" s="162" t="s">
        <v>1220</v>
      </c>
      <c r="O55" s="309"/>
      <c r="P55" s="310"/>
      <c r="Q55" s="310"/>
      <c r="R55" s="310"/>
      <c r="S55" s="310"/>
      <c r="T55" s="310"/>
      <c r="U55" s="310"/>
      <c r="V55" s="310"/>
      <c r="W55" s="310"/>
      <c r="X55" s="310"/>
      <c r="Y55" s="310"/>
      <c r="Z55" s="310"/>
      <c r="AA55" s="310">
        <f t="shared" si="1"/>
        <v>0</v>
      </c>
      <c r="AB55" s="311" t="str">
        <f t="shared" si="2"/>
        <v/>
      </c>
      <c r="AC55" s="328"/>
      <c r="AD55" s="310"/>
      <c r="AE55" s="311" t="str">
        <f t="shared" si="3"/>
        <v/>
      </c>
      <c r="AF55" s="312">
        <f t="shared" si="4"/>
        <v>0</v>
      </c>
      <c r="AG55" s="310"/>
      <c r="AH55" s="311" t="str">
        <f t="shared" si="5"/>
        <v/>
      </c>
      <c r="AI55" s="313">
        <f t="shared" si="6"/>
        <v>0</v>
      </c>
      <c r="AJ55" s="399">
        <f t="shared" si="7"/>
        <v>0</v>
      </c>
      <c r="AK55" s="400">
        <f t="shared" si="8"/>
        <v>0</v>
      </c>
      <c r="AL55" s="401">
        <f t="shared" si="9"/>
        <v>0</v>
      </c>
      <c r="AM55" s="402">
        <f t="shared" si="10"/>
        <v>0</v>
      </c>
      <c r="AN55" s="403">
        <f t="shared" si="11"/>
        <v>0</v>
      </c>
    </row>
    <row r="56" spans="1:40" x14ac:dyDescent="0.25">
      <c r="A56" s="6" t="s">
        <v>47</v>
      </c>
      <c r="B56" s="16" t="s">
        <v>1377</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c r="P57" s="36"/>
      <c r="Q57" s="36"/>
      <c r="R57" s="36"/>
      <c r="S57" s="36"/>
      <c r="T57" s="36"/>
      <c r="U57" s="36"/>
      <c r="V57" s="36"/>
      <c r="W57" s="36"/>
      <c r="X57" s="36"/>
      <c r="Y57" s="36"/>
      <c r="Z57" s="36"/>
      <c r="AA57" s="36">
        <f t="shared" si="1"/>
        <v>0</v>
      </c>
      <c r="AB57" s="37" t="str">
        <f t="shared" si="2"/>
        <v/>
      </c>
      <c r="AC57" s="35"/>
      <c r="AD57" s="36"/>
      <c r="AE57" s="37" t="str">
        <f t="shared" si="3"/>
        <v/>
      </c>
      <c r="AF57" s="58">
        <f t="shared" si="4"/>
        <v>0</v>
      </c>
      <c r="AG57" s="36"/>
      <c r="AH57" s="37" t="str">
        <f t="shared" si="5"/>
        <v/>
      </c>
      <c r="AI57" s="292">
        <f t="shared" si="6"/>
        <v>0</v>
      </c>
      <c r="AJ57" s="372">
        <f t="shared" si="7"/>
        <v>0</v>
      </c>
      <c r="AK57" s="373">
        <f t="shared" si="8"/>
        <v>0</v>
      </c>
      <c r="AL57" s="375">
        <f t="shared" si="9"/>
        <v>0</v>
      </c>
      <c r="AM57" s="407">
        <f t="shared" si="10"/>
        <v>0</v>
      </c>
      <c r="AN57" s="408">
        <f t="shared" si="11"/>
        <v>0</v>
      </c>
    </row>
    <row r="58" spans="1:40" x14ac:dyDescent="0.25">
      <c r="G58" s="14"/>
      <c r="H58" s="15" t="s">
        <v>280</v>
      </c>
      <c r="I58" s="479" t="s">
        <v>1012</v>
      </c>
      <c r="J58" s="479" t="s">
        <v>78</v>
      </c>
      <c r="K58" s="480" t="str">
        <f t="shared" si="0"/>
        <v/>
      </c>
      <c r="L58" s="170">
        <v>400000</v>
      </c>
      <c r="M58" s="170"/>
      <c r="N58" s="170" t="s">
        <v>1003</v>
      </c>
      <c r="O58" s="224"/>
      <c r="P58" s="134"/>
      <c r="Q58" s="134"/>
      <c r="R58" s="134"/>
      <c r="S58" s="134"/>
      <c r="T58" s="134"/>
      <c r="U58" s="134"/>
      <c r="V58" s="134"/>
      <c r="W58" s="134"/>
      <c r="X58" s="134"/>
      <c r="Y58" s="134"/>
      <c r="Z58" s="134"/>
      <c r="AA58" s="134">
        <f t="shared" si="1"/>
        <v>0</v>
      </c>
      <c r="AB58" s="135" t="str">
        <f t="shared" si="2"/>
        <v/>
      </c>
      <c r="AC58" s="137"/>
      <c r="AD58" s="134"/>
      <c r="AE58" s="135" t="str">
        <f t="shared" si="3"/>
        <v/>
      </c>
      <c r="AF58" s="136">
        <f t="shared" si="4"/>
        <v>0</v>
      </c>
      <c r="AG58" s="134"/>
      <c r="AH58" s="135" t="str">
        <f t="shared" si="5"/>
        <v/>
      </c>
      <c r="AI58" s="291">
        <f t="shared" si="6"/>
        <v>0</v>
      </c>
      <c r="AJ58" s="360">
        <f t="shared" si="7"/>
        <v>0</v>
      </c>
      <c r="AK58" s="361">
        <f t="shared" si="8"/>
        <v>0</v>
      </c>
      <c r="AL58" s="363">
        <f t="shared" si="9"/>
        <v>0</v>
      </c>
      <c r="AM58" s="405">
        <f t="shared" si="10"/>
        <v>0</v>
      </c>
      <c r="AN58" s="406">
        <f t="shared"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c r="P62" s="310"/>
      <c r="Q62" s="310"/>
      <c r="R62" s="310"/>
      <c r="S62" s="310"/>
      <c r="T62" s="310"/>
      <c r="U62" s="310"/>
      <c r="V62" s="310"/>
      <c r="W62" s="310"/>
      <c r="X62" s="310"/>
      <c r="Y62" s="310"/>
      <c r="Z62" s="310"/>
      <c r="AA62" s="310">
        <f t="shared" ref="AA62:AA70" si="13">IF($I62="B1","",SUM(O62:Z62))</f>
        <v>0</v>
      </c>
      <c r="AB62" s="311"/>
      <c r="AC62" s="328"/>
      <c r="AD62" s="310"/>
      <c r="AE62" s="311"/>
      <c r="AF62" s="312">
        <f t="shared" ref="AF62:AF72" si="14">IF(AND($AA62="",AD62=""),"",$AA62-AD62)</f>
        <v>0</v>
      </c>
      <c r="AG62" s="310"/>
      <c r="AH62" s="311"/>
      <c r="AI62" s="313">
        <f t="shared" ref="AI62:AI72" si="15">IF(AND($AA62="",AG62=""),"",$AA62-AG62)</f>
        <v>0</v>
      </c>
      <c r="AJ62" s="399">
        <f t="shared" ref="AJ62:AJ70" si="16">IFERROR(AA62/AA$20,0)</f>
        <v>0</v>
      </c>
      <c r="AK62" s="400">
        <f t="shared" ref="AK62:AK70" si="17">IFERROR(AD62/AD$20,0)</f>
        <v>0</v>
      </c>
      <c r="AL62" s="401">
        <f t="shared" ref="AL62:AL70" si="18">IFERROR(AG62/AG$20,0)</f>
        <v>0</v>
      </c>
      <c r="AM62" s="402" t="str">
        <f t="shared" ref="AM62:AM70" si="19">+IFERROR(ROUND(($AB62-AE62)*100,2)&amp;" pts.",0)</f>
        <v>0 pts.</v>
      </c>
      <c r="AN62" s="403" t="str">
        <f t="shared" ref="AN62:AN70" si="20">+IFERROR(ROUND(($AB62-AH62)*100,2)&amp;" pts.",0)</f>
        <v>0 pts.</v>
      </c>
    </row>
    <row r="63" spans="1:40" x14ac:dyDescent="0.25">
      <c r="A63" s="6" t="s">
        <v>14</v>
      </c>
      <c r="B63" s="7"/>
      <c r="H63" s="15" t="s">
        <v>636</v>
      </c>
      <c r="I63" s="161" t="s">
        <v>1058</v>
      </c>
      <c r="J63" s="161" t="s">
        <v>78</v>
      </c>
      <c r="K63" s="68" t="str">
        <f t="shared" si="12"/>
        <v>&gt;</v>
      </c>
      <c r="L63" s="162"/>
      <c r="M63" s="162"/>
      <c r="N63" s="162" t="s">
        <v>1226</v>
      </c>
      <c r="O63" s="323"/>
      <c r="P63" s="324"/>
      <c r="Q63" s="324"/>
      <c r="R63" s="324"/>
      <c r="S63" s="324"/>
      <c r="T63" s="324"/>
      <c r="U63" s="324"/>
      <c r="V63" s="324"/>
      <c r="W63" s="324"/>
      <c r="X63" s="324"/>
      <c r="Y63" s="324"/>
      <c r="Z63" s="324"/>
      <c r="AA63" s="324">
        <f t="shared" si="13"/>
        <v>0</v>
      </c>
      <c r="AB63" s="325"/>
      <c r="AC63" s="290"/>
      <c r="AD63" s="324"/>
      <c r="AE63" s="325"/>
      <c r="AF63" s="326">
        <f t="shared" si="14"/>
        <v>0</v>
      </c>
      <c r="AG63" s="324"/>
      <c r="AH63" s="325"/>
      <c r="AI63" s="327">
        <f t="shared" si="15"/>
        <v>0</v>
      </c>
      <c r="AJ63" s="409">
        <f t="shared" si="16"/>
        <v>0</v>
      </c>
      <c r="AK63" s="410">
        <f t="shared" si="17"/>
        <v>0</v>
      </c>
      <c r="AL63" s="411">
        <f t="shared" si="18"/>
        <v>0</v>
      </c>
      <c r="AM63" s="412" t="str">
        <f t="shared" si="19"/>
        <v>0 pts.</v>
      </c>
      <c r="AN63" s="413" t="str">
        <f t="shared" si="20"/>
        <v>0 pts.</v>
      </c>
    </row>
    <row r="64" spans="1:40" x14ac:dyDescent="0.25">
      <c r="A64" s="6" t="s">
        <v>15</v>
      </c>
      <c r="B64" s="7"/>
      <c r="H64" s="15" t="s">
        <v>286</v>
      </c>
      <c r="I64" s="479" t="s">
        <v>1064</v>
      </c>
      <c r="J64" s="479" t="s">
        <v>78</v>
      </c>
      <c r="K64" s="480" t="str">
        <f t="shared" si="12"/>
        <v/>
      </c>
      <c r="L64" s="170"/>
      <c r="M64" s="170"/>
      <c r="N64" s="170" t="s">
        <v>1227</v>
      </c>
      <c r="O64" s="224"/>
      <c r="P64" s="134"/>
      <c r="Q64" s="134"/>
      <c r="R64" s="134"/>
      <c r="S64" s="134"/>
      <c r="T64" s="134"/>
      <c r="U64" s="134"/>
      <c r="V64" s="134"/>
      <c r="W64" s="134"/>
      <c r="X64" s="134"/>
      <c r="Y64" s="134"/>
      <c r="Z64" s="134"/>
      <c r="AA64" s="134">
        <f t="shared" si="13"/>
        <v>0</v>
      </c>
      <c r="AB64" s="135"/>
      <c r="AC64" s="137"/>
      <c r="AD64" s="134"/>
      <c r="AE64" s="135"/>
      <c r="AF64" s="136">
        <f t="shared" si="14"/>
        <v>0</v>
      </c>
      <c r="AG64" s="134"/>
      <c r="AH64" s="135"/>
      <c r="AI64" s="291">
        <f t="shared" si="15"/>
        <v>0</v>
      </c>
      <c r="AJ64" s="360">
        <f t="shared" si="16"/>
        <v>0</v>
      </c>
      <c r="AK64" s="361">
        <f t="shared" si="17"/>
        <v>0</v>
      </c>
      <c r="AL64" s="363">
        <f t="shared" si="18"/>
        <v>0</v>
      </c>
      <c r="AM64" s="405" t="str">
        <f t="shared" si="19"/>
        <v>0 pts.</v>
      </c>
      <c r="AN64" s="406" t="str">
        <f t="shared" si="20"/>
        <v>0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c r="P70" s="134"/>
      <c r="Q70" s="134"/>
      <c r="R70" s="134"/>
      <c r="S70" s="134"/>
      <c r="T70" s="134"/>
      <c r="U70" s="134"/>
      <c r="V70" s="134"/>
      <c r="W70" s="134"/>
      <c r="X70" s="134"/>
      <c r="Y70" s="134"/>
      <c r="Z70" s="134"/>
      <c r="AA70" s="134">
        <f t="shared" si="13"/>
        <v>0</v>
      </c>
      <c r="AB70" s="135"/>
      <c r="AC70" s="137"/>
      <c r="AD70" s="134"/>
      <c r="AE70" s="135"/>
      <c r="AF70" s="136">
        <f t="shared" si="14"/>
        <v>0</v>
      </c>
      <c r="AG70" s="134"/>
      <c r="AH70" s="135"/>
      <c r="AI70" s="291">
        <f t="shared" si="15"/>
        <v>0</v>
      </c>
      <c r="AJ70" s="360">
        <f t="shared" si="16"/>
        <v>0</v>
      </c>
      <c r="AK70" s="361">
        <f t="shared" si="17"/>
        <v>0</v>
      </c>
      <c r="AL70" s="363">
        <f t="shared" si="18"/>
        <v>0</v>
      </c>
      <c r="AM70" s="405" t="str">
        <f t="shared" si="19"/>
        <v>0 pts.</v>
      </c>
      <c r="AN70" s="406" t="str">
        <f t="shared" si="20"/>
        <v>0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0</v>
      </c>
      <c r="P72" s="164">
        <f t="shared" si="21"/>
        <v>0</v>
      </c>
      <c r="Q72" s="164">
        <f t="shared" si="21"/>
        <v>0</v>
      </c>
      <c r="R72" s="164">
        <f t="shared" si="21"/>
        <v>0</v>
      </c>
      <c r="S72" s="164">
        <f t="shared" si="21"/>
        <v>0</v>
      </c>
      <c r="T72" s="164">
        <f t="shared" si="21"/>
        <v>0</v>
      </c>
      <c r="U72" s="164">
        <f t="shared" si="21"/>
        <v>0</v>
      </c>
      <c r="V72" s="164">
        <f t="shared" si="21"/>
        <v>0</v>
      </c>
      <c r="W72" s="164">
        <f t="shared" si="21"/>
        <v>0</v>
      </c>
      <c r="X72" s="164">
        <f t="shared" si="21"/>
        <v>0</v>
      </c>
      <c r="Y72" s="164">
        <f t="shared" si="21"/>
        <v>0</v>
      </c>
      <c r="Z72" s="164">
        <f t="shared" si="21"/>
        <v>0</v>
      </c>
      <c r="AA72" s="134">
        <f>IF($I72="B1","",SUM(O72:Z72))</f>
        <v>0</v>
      </c>
      <c r="AB72" s="135" t="str">
        <f>IF(AA72=0,"",IFERROR(AA72/AA$19,""))</f>
        <v/>
      </c>
      <c r="AD72" s="164">
        <f>SUMIF($H$35:$H$70,"400000",AD35:AD70)-SUMIF($H$35:$H$70,"500001",AD35:AD70)</f>
        <v>0</v>
      </c>
      <c r="AE72" s="135" t="str">
        <f>IF(AD72=0,"",IFERROR(AD72/AD$19,""))</f>
        <v/>
      </c>
      <c r="AF72" s="165">
        <f t="shared" si="14"/>
        <v>0</v>
      </c>
      <c r="AG72" s="164">
        <f>SUMIF($H$35:$H$70,"400000",AG35:AG70)-SUMIF($H$35:$H$70,"500001",AG35:AG70)</f>
        <v>0</v>
      </c>
      <c r="AH72" s="135" t="str">
        <f>IF(AG72=0,"",IFERROR(AG72/AG$19,""))</f>
        <v/>
      </c>
      <c r="AI72" s="165">
        <f t="shared" si="15"/>
        <v>0</v>
      </c>
      <c r="AJ72" s="392">
        <f>IFERROR(AA72/AA$20,0)</f>
        <v>0</v>
      </c>
      <c r="AK72" s="393">
        <f>IFERROR(AD72/AD$20,0)</f>
        <v>0</v>
      </c>
      <c r="AL72" s="394">
        <f>IFERROR(AG72/AG$20,0)</f>
        <v>0</v>
      </c>
      <c r="AM72" s="395">
        <f>+IFERROR(ROUND(($AB72-AE72)*100,2)&amp;" pts.",0)</f>
        <v>0</v>
      </c>
      <c r="AN72" s="437">
        <f>+IFERROR(ROUND(($AB72-AH72)*100,2)&amp;"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IF(AND(I76&gt;="T3"),"&gt;","")</f>
        <v/>
      </c>
      <c r="L76" s="162"/>
      <c r="M76" s="162"/>
      <c r="N76" s="162"/>
      <c r="O76" s="38"/>
      <c r="P76" s="38"/>
      <c r="Q76" s="38"/>
      <c r="R76" s="38"/>
      <c r="S76" s="38"/>
      <c r="T76" s="38"/>
      <c r="U76" s="38"/>
      <c r="V76" s="38"/>
      <c r="W76" s="38"/>
      <c r="X76" s="38"/>
      <c r="Y76" s="38"/>
      <c r="Z76" s="38"/>
      <c r="AA76" s="310">
        <f>IF($I76="B1","",SUM(O76:Z76))</f>
        <v>0</v>
      </c>
      <c r="AB76" s="39" t="str">
        <f>IF(AA76=0,"",IFERROR(AA76/AA$19,""))</f>
        <v/>
      </c>
      <c r="AD76" s="38"/>
      <c r="AE76" s="39" t="str">
        <f>IF(AD76=0,"",IFERROR(AD76/AD$19,""))</f>
        <v/>
      </c>
      <c r="AF76" s="132">
        <f>IF(AND($AA76="",AD76=""),"",$AA76-AD76)</f>
        <v>0</v>
      </c>
      <c r="AG76" s="38"/>
      <c r="AH76" s="39" t="str">
        <f>IF(AG76=0,"",IFERROR(AG76/AG$19,""))</f>
        <v/>
      </c>
      <c r="AI76" s="132">
        <f>IF(AND($AA76="",AG76=""),"",$AA76-AG76)</f>
        <v>0</v>
      </c>
      <c r="AJ76" s="399">
        <f>IFERROR(AA76/AA$20,0)</f>
        <v>0</v>
      </c>
      <c r="AK76" s="400">
        <f>IFERROR(AD76/AD$20,0)</f>
        <v>0</v>
      </c>
      <c r="AL76" s="401">
        <f>IFERROR(AG76/AG$20,0)</f>
        <v>0</v>
      </c>
      <c r="AM76" s="402">
        <f>+IFERROR(ROUND(($AB76-AE76)*100,2)&amp;" pts.",0)</f>
        <v>0</v>
      </c>
      <c r="AN76" s="403">
        <f>+IFERROR(ROUND(($AB76-AH76)*100,2)&amp;" pts.",0)</f>
        <v>0</v>
      </c>
    </row>
    <row r="77" spans="1:40" hidden="1" x14ac:dyDescent="0.25">
      <c r="A77" s="1" t="s">
        <v>108</v>
      </c>
      <c r="C77" s="151" t="s">
        <v>101</v>
      </c>
      <c r="D77" s="1" t="s">
        <v>107</v>
      </c>
      <c r="F77" s="1" t="s">
        <v>99</v>
      </c>
      <c r="H77" s="15"/>
      <c r="I77" s="161"/>
      <c r="J77" s="161"/>
      <c r="K77" s="68" t="str">
        <f>IF(AND(I77&gt;="T3"),"&gt;","")</f>
        <v/>
      </c>
      <c r="L77" s="162"/>
      <c r="M77" s="162"/>
      <c r="N77" s="162"/>
      <c r="O77" s="38"/>
      <c r="P77" s="38"/>
      <c r="Q77" s="38"/>
      <c r="R77" s="38"/>
      <c r="S77" s="38"/>
      <c r="T77" s="38"/>
      <c r="U77" s="38"/>
      <c r="V77" s="38"/>
      <c r="W77" s="38"/>
      <c r="X77" s="38"/>
      <c r="Y77" s="38"/>
      <c r="Z77" s="38"/>
      <c r="AA77" s="310">
        <f>IF($I77="B1","",SUM(O77:Z77))</f>
        <v>0</v>
      </c>
      <c r="AB77" s="39" t="str">
        <f>IF(AA77=0,"",IFERROR(AA77/AA$19,""))</f>
        <v/>
      </c>
      <c r="AD77" s="38"/>
      <c r="AE77" s="39" t="str">
        <f>IF(AD77=0,"",IFERROR(AD77/AD$19,""))</f>
        <v/>
      </c>
      <c r="AF77" s="132">
        <f>IF(AND($AA77="",AD77=""),"",$AA77-AD77)</f>
        <v>0</v>
      </c>
      <c r="AG77" s="38"/>
      <c r="AH77" s="39" t="str">
        <f>IF(AG77=0,"",IFERROR(AG77/AG$19,""))</f>
        <v/>
      </c>
      <c r="AI77" s="132">
        <f>IF(AND($AA77="",AG77=""),"",$AA77-AG77)</f>
        <v>0</v>
      </c>
      <c r="AJ77" s="399">
        <f>IFERROR(AA77/AA$20,0)</f>
        <v>0</v>
      </c>
      <c r="AK77" s="400">
        <f>IFERROR(AD77/AD$20,0)</f>
        <v>0</v>
      </c>
      <c r="AL77" s="401">
        <f>IFERROR(AG77/AG$20,0)</f>
        <v>0</v>
      </c>
      <c r="AM77" s="402">
        <f>+IFERROR(ROUND(($AB77-AE77)*100,2)&amp;" pts.",0)</f>
        <v>0</v>
      </c>
      <c r="AN77" s="403">
        <f>+IFERROR(ROUND(($AB77-AH77)*100,2)&amp;" pts.",0)</f>
        <v>0</v>
      </c>
    </row>
    <row r="78" spans="1:40" x14ac:dyDescent="0.25">
      <c r="H78" s="15" t="s">
        <v>75</v>
      </c>
      <c r="I78" s="28" t="s">
        <v>1011</v>
      </c>
      <c r="J78" s="28" t="s">
        <v>78</v>
      </c>
      <c r="K78" s="69" t="str">
        <f>IF(AND(I78&gt;="T3"),"&gt;","")</f>
        <v/>
      </c>
      <c r="L78" s="25"/>
      <c r="M78" s="162"/>
      <c r="N78" s="25" t="s">
        <v>1082</v>
      </c>
      <c r="O78" s="38"/>
      <c r="P78" s="38"/>
      <c r="Q78" s="38"/>
      <c r="R78" s="38"/>
      <c r="S78" s="38"/>
      <c r="T78" s="38"/>
      <c r="U78" s="38"/>
      <c r="V78" s="38"/>
      <c r="W78" s="38"/>
      <c r="X78" s="38"/>
      <c r="Y78" s="38"/>
      <c r="Z78" s="38"/>
      <c r="AA78" s="310" t="str">
        <f>IF($I78="B1","",SUM(O78:Z78))</f>
        <v/>
      </c>
      <c r="AB78" s="39" t="str">
        <f>IF(AA78=0,"",IFERROR(AA78/AA$19,""))</f>
        <v/>
      </c>
      <c r="AD78" s="38"/>
      <c r="AE78" s="39" t="str">
        <f>IF(AD78=0,"",IFERROR(AD78/AD$19,""))</f>
        <v/>
      </c>
      <c r="AF78" s="132" t="str">
        <f>IF(AND($AA78="",AD78=""),"",$AA78-AD78)</f>
        <v/>
      </c>
      <c r="AG78" s="38"/>
      <c r="AH78" s="39" t="str">
        <f>IF(AG78=0,"",IFERROR(AG78/AG$19,""))</f>
        <v/>
      </c>
      <c r="AI78" s="132" t="str">
        <f>IF(AND($AA78="",AG78=""),"",$AA78-AG78)</f>
        <v/>
      </c>
      <c r="AJ78" s="399">
        <f>IFERROR(AA78/AA$20,0)</f>
        <v>0</v>
      </c>
      <c r="AK78" s="400">
        <f>IFERROR(AD78/AD$20,0)</f>
        <v>0</v>
      </c>
      <c r="AL78" s="401">
        <f>IFERROR(AG78/AG$20,0)</f>
        <v>0</v>
      </c>
      <c r="AM78" s="402">
        <f>+IFERROR(ROUND(($AB78-AE78)*100,2)&amp;" pts.",0)</f>
        <v>0</v>
      </c>
      <c r="AN78" s="403">
        <f>+IFERROR(ROUND(($AB78-AH78)*100,2)&amp;" pts.",0)</f>
        <v>0</v>
      </c>
    </row>
    <row r="79" spans="1:40" hidden="1" x14ac:dyDescent="0.25">
      <c r="C79" s="32"/>
      <c r="H79" s="15" t="s">
        <v>667</v>
      </c>
      <c r="I79" s="161"/>
      <c r="J79" s="161"/>
      <c r="K79" s="68" t="str">
        <f>IF(AND(I79&gt;="T3"),"&gt;","")</f>
        <v/>
      </c>
      <c r="L79" s="162"/>
      <c r="M79" s="162"/>
      <c r="N79" s="162"/>
      <c r="O79" s="47"/>
      <c r="P79" s="47"/>
      <c r="Q79" s="47"/>
      <c r="R79" s="47"/>
      <c r="S79" s="47"/>
      <c r="T79" s="47"/>
      <c r="U79" s="47"/>
      <c r="V79" s="47"/>
      <c r="W79" s="47"/>
      <c r="X79" s="47"/>
      <c r="Y79" s="47"/>
      <c r="Z79" s="47"/>
      <c r="AA79" s="324">
        <f>IF($I79="B1","",SUM(O79:Z79))</f>
        <v>0</v>
      </c>
      <c r="AB79" s="48" t="str">
        <f>IF(AA79=0,"",IFERROR(AA79/AA$19,""))</f>
        <v/>
      </c>
      <c r="AD79" s="47"/>
      <c r="AE79" s="48" t="str">
        <f>IF(AD79=0,"",IFERROR(AD79/AD$19,""))</f>
        <v/>
      </c>
      <c r="AF79" s="150">
        <f>IF(AND($AA79="",AD79=""),"",$AA79-AD79)</f>
        <v>0</v>
      </c>
      <c r="AG79" s="47"/>
      <c r="AH79" s="48" t="str">
        <f>IF(AG79=0,"",IFERROR(AG79/AG$19,""))</f>
        <v/>
      </c>
      <c r="AI79" s="150">
        <f>IF(AND($AA79="",AG79=""),"",$AA79-AG79)</f>
        <v>0</v>
      </c>
      <c r="AJ79" s="409">
        <f>IFERROR(AA79/AA$20,0)</f>
        <v>0</v>
      </c>
      <c r="AK79" s="410">
        <f>IFERROR(AD79/AD$20,0)</f>
        <v>0</v>
      </c>
      <c r="AL79" s="411">
        <f>IFERROR(AG79/AG$20,0)</f>
        <v>0</v>
      </c>
      <c r="AM79" s="412">
        <f>+IFERROR(ROUND(($AB79-AE79)*100,2)&amp;" pts.",0)</f>
        <v>0</v>
      </c>
      <c r="AN79" s="413">
        <f>+IFERROR(ROUND(($AB79-AH79)*100,2)&amp;" pts.",0)</f>
        <v>0</v>
      </c>
    </row>
    <row r="80" spans="1:40" hidden="1" x14ac:dyDescent="0.25">
      <c r="A80" s="4" t="s">
        <v>988</v>
      </c>
      <c r="H80" s="15"/>
      <c r="I80" s="161"/>
      <c r="J80" s="161"/>
      <c r="K80" s="68" t="str">
        <f>IF(AND(I80&gt;="T3"),"&gt;","")</f>
        <v/>
      </c>
      <c r="L80" s="162"/>
      <c r="M80" s="162"/>
      <c r="N80" s="162"/>
      <c r="O80" s="47"/>
      <c r="P80" s="47"/>
      <c r="Q80" s="47"/>
      <c r="R80" s="47"/>
      <c r="S80" s="47"/>
      <c r="T80" s="47"/>
      <c r="U80" s="47"/>
      <c r="V80" s="47"/>
      <c r="W80" s="47"/>
      <c r="X80" s="47"/>
      <c r="Y80" s="47"/>
      <c r="Z80" s="47"/>
      <c r="AA80" s="324">
        <f>IF($I80="B1","",SUM(O80:Z80))</f>
        <v>0</v>
      </c>
      <c r="AB80" s="48" t="str">
        <f>IF(AA80=0,"",IFERROR(AA80/AA$19,""))</f>
        <v/>
      </c>
      <c r="AD80" s="47"/>
      <c r="AE80" s="48" t="str">
        <f>IF(AD80=0,"",IFERROR(AD80/AD$19,""))</f>
        <v/>
      </c>
      <c r="AF80" s="150">
        <f>IF(AND($AA80="",AD80=""),"",$AA80-AD80)</f>
        <v>0</v>
      </c>
      <c r="AG80" s="47"/>
      <c r="AH80" s="48" t="str">
        <f>IF(AG80=0,"",IFERROR(AG80/AG$19,""))</f>
        <v/>
      </c>
      <c r="AI80" s="150">
        <f>IF(AND($AA80="",AG80=""),"",$AA80-AG80)</f>
        <v>0</v>
      </c>
      <c r="AJ80" s="409">
        <f>IFERROR(AA80/AA$20,0)</f>
        <v>0</v>
      </c>
      <c r="AK80" s="410">
        <f>IFERROR(AD80/AD$20,0)</f>
        <v>0</v>
      </c>
      <c r="AL80" s="411">
        <f>IFERROR(AG80/AG$20,0)</f>
        <v>0</v>
      </c>
      <c r="AM80" s="412">
        <f>+IFERROR(ROUND(($AB80-AE80)*100,2)&amp;" pts.",0)</f>
        <v>0</v>
      </c>
      <c r="AN80" s="413">
        <f>+IFERROR(ROUND(($AB80-AH80)*100,2)&amp;"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s">
        <v>1011</v>
      </c>
      <c r="J82" s="11" t="s">
        <v>78</v>
      </c>
      <c r="N82" s="40" t="s">
        <v>1092</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16" t="s">
        <v>1373</v>
      </c>
      <c r="H83" s="15" t="s">
        <v>667</v>
      </c>
      <c r="I83" s="161"/>
      <c r="J83" s="161"/>
      <c r="K83" s="68" t="str">
        <f>IF(AND(I83&lt;&gt;"B1",J83="Y"),"&gt;","")</f>
        <v/>
      </c>
      <c r="L83" s="162"/>
      <c r="M83" s="162"/>
      <c r="N83" s="162"/>
      <c r="O83" s="21"/>
      <c r="P83" s="21"/>
      <c r="Q83" s="21"/>
      <c r="R83" s="21"/>
      <c r="S83" s="21"/>
      <c r="T83" s="21"/>
      <c r="U83" s="21"/>
      <c r="V83" s="21"/>
      <c r="W83" s="21"/>
      <c r="X83" s="21"/>
      <c r="Y83" s="21"/>
      <c r="Z83" s="21"/>
      <c r="AA83" s="310">
        <f>IF($I83="B1","",SUM(O83:Z83))</f>
        <v>0</v>
      </c>
      <c r="AB83" s="17" t="str">
        <f>IF(AA83=0,"",IFERROR(AA83/AA$19,""))</f>
        <v/>
      </c>
      <c r="AD83" s="21"/>
      <c r="AE83" s="17" t="str">
        <f>IF(AD83=0,"",IFERROR(AD83/AD$19,""))</f>
        <v/>
      </c>
      <c r="AF83" s="50">
        <f>IF(AND($AA83="",AD83=""),"",$AA83-AD83)</f>
        <v>0</v>
      </c>
      <c r="AG83" s="21"/>
      <c r="AH83" s="17" t="str">
        <f>IF(AG83=0,"",IFERROR(AG83/AG$19,""))</f>
        <v/>
      </c>
      <c r="AI83" s="50">
        <f>IF(AND($AA83="",AG83=""),"",$AA83-AG83)</f>
        <v>0</v>
      </c>
      <c r="AJ83" s="399">
        <f>IFERROR(AA83/AA$20,0)</f>
        <v>0</v>
      </c>
      <c r="AK83" s="400">
        <f>IFERROR(AD83/AD$20,0)</f>
        <v>0</v>
      </c>
      <c r="AL83" s="401">
        <f>IFERROR(AG83/AG$20,0)</f>
        <v>0</v>
      </c>
      <c r="AM83" s="402">
        <f>+IFERROR(ROUND(($AB83-AE83)*100,2)&amp;" pts.",0)</f>
        <v>0</v>
      </c>
      <c r="AN83" s="403">
        <f>+IFERROR(ROUND(($AB83-AH83)*100,2)&amp;" pts.",0)</f>
        <v>0</v>
      </c>
    </row>
    <row r="84" spans="1:40" hidden="1" x14ac:dyDescent="0.25">
      <c r="A84" s="6" t="s">
        <v>3</v>
      </c>
      <c r="B84" s="16" t="s">
        <v>1374</v>
      </c>
      <c r="H84" s="15"/>
      <c r="I84" s="161"/>
      <c r="J84" s="161"/>
      <c r="K84" s="68" t="str">
        <f>IF(AND(I84&lt;&gt;"B1",J84="Y"),"&gt;","")</f>
        <v/>
      </c>
      <c r="L84" s="162"/>
      <c r="M84" s="162"/>
      <c r="N84" s="162"/>
      <c r="O84" s="21"/>
      <c r="P84" s="21"/>
      <c r="Q84" s="21"/>
      <c r="R84" s="21"/>
      <c r="S84" s="21"/>
      <c r="T84" s="21"/>
      <c r="U84" s="21"/>
      <c r="V84" s="21"/>
      <c r="W84" s="21"/>
      <c r="X84" s="21"/>
      <c r="Y84" s="21"/>
      <c r="Z84" s="21"/>
      <c r="AA84" s="310">
        <f>IF($I84="B1","",SUM(O84:Z84))</f>
        <v>0</v>
      </c>
      <c r="AB84" s="17" t="str">
        <f>IF(AA84=0,"",IFERROR(AA84/AA$19,""))</f>
        <v/>
      </c>
      <c r="AD84" s="21"/>
      <c r="AE84" s="17" t="str">
        <f>IF(AD84=0,"",IFERROR(AD84/AD$19,""))</f>
        <v/>
      </c>
      <c r="AF84" s="50">
        <f>IF(AND($AA84="",AD84=""),"",$AA84-AD84)</f>
        <v>0</v>
      </c>
      <c r="AG84" s="21"/>
      <c r="AH84" s="17" t="str">
        <f>IF(AG84=0,"",IFERROR(AG84/AG$19,""))</f>
        <v/>
      </c>
      <c r="AI84" s="50">
        <f>IF(AND($AA84="",AG84=""),"",$AA84-AG84)</f>
        <v>0</v>
      </c>
      <c r="AJ84" s="399">
        <f>IFERROR(AA84/AA$20,0)</f>
        <v>0</v>
      </c>
      <c r="AK84" s="400">
        <f>IFERROR(AD84/AD$20,0)</f>
        <v>0</v>
      </c>
      <c r="AL84" s="401">
        <f>IFERROR(AG84/AG$20,0)</f>
        <v>0</v>
      </c>
      <c r="AM84" s="402">
        <f>+IFERROR(ROUND(($AB84-AE84)*100,2)&amp;" pts.",0)</f>
        <v>0</v>
      </c>
      <c r="AN84" s="403">
        <f>+IFERROR(ROUND(($AB84-AH84)*100,2)&amp;" pts.",0)</f>
        <v>0</v>
      </c>
    </row>
    <row r="85" spans="1:40" x14ac:dyDescent="0.25">
      <c r="A85" s="6" t="s">
        <v>4</v>
      </c>
      <c r="B85" s="16" t="s">
        <v>1381</v>
      </c>
      <c r="H85" s="15" t="s">
        <v>79</v>
      </c>
      <c r="I85" s="27" t="s">
        <v>1012</v>
      </c>
      <c r="J85" s="27" t="s">
        <v>78</v>
      </c>
      <c r="K85" s="26"/>
      <c r="L85" s="26"/>
      <c r="M85" s="26"/>
      <c r="N85" s="25" t="s">
        <v>1116</v>
      </c>
      <c r="O85" s="33"/>
      <c r="P85" s="33"/>
      <c r="Q85" s="33"/>
      <c r="R85" s="33"/>
      <c r="S85" s="33"/>
      <c r="T85" s="33"/>
      <c r="U85" s="33"/>
      <c r="V85" s="33"/>
      <c r="W85" s="33"/>
      <c r="X85" s="33"/>
      <c r="Y85" s="33"/>
      <c r="Z85" s="33"/>
      <c r="AA85" s="33">
        <f>IF($I85="B1","",SUM(O85:Z85))</f>
        <v>0</v>
      </c>
      <c r="AB85" s="34" t="str">
        <f>IF(AA85=0,"",IFERROR(AA85/AA$19,""))</f>
        <v/>
      </c>
      <c r="AD85" s="33"/>
      <c r="AE85" s="34" t="str">
        <f>IF(AD85=0,"",IFERROR(AD85/AD$19,""))</f>
        <v/>
      </c>
      <c r="AF85" s="52">
        <f>IF(AND($AA85="",AD85=""),"",$AA85-AD85)</f>
        <v>0</v>
      </c>
      <c r="AG85" s="33"/>
      <c r="AH85" s="34" t="str">
        <f>IF(AG85=0,"",IFERROR(AG85/AG$19,""))</f>
        <v/>
      </c>
      <c r="AI85" s="52">
        <f>IF(AND($AA85="",AG85=""),"",$AA85-AG85)</f>
        <v>0</v>
      </c>
      <c r="AJ85" s="444">
        <f>IFERROR(AA85/AA$20,0)</f>
        <v>0</v>
      </c>
      <c r="AK85" s="445">
        <f>IFERROR(AD85/AD$20,0)</f>
        <v>0</v>
      </c>
      <c r="AL85" s="446">
        <f>IFERROR(AG85/AG$20,0)</f>
        <v>0</v>
      </c>
      <c r="AM85" s="447">
        <f>+IFERROR(ROUND(($AB85-AE85)*100,2)&amp;" pts.",0)</f>
        <v>0</v>
      </c>
      <c r="AN85" s="448">
        <f>+IFERROR(ROUND(($AB85-AH85)*100,2)&amp;" pts.",0)</f>
        <v>0</v>
      </c>
    </row>
    <row r="86" spans="1:40" x14ac:dyDescent="0.25">
      <c r="A86" s="6" t="s">
        <v>5</v>
      </c>
      <c r="B86" s="7"/>
    </row>
    <row r="87" spans="1:40" x14ac:dyDescent="0.25">
      <c r="A87" s="6" t="s">
        <v>6</v>
      </c>
      <c r="B87" s="7"/>
      <c r="H87" s="15" t="s">
        <v>80</v>
      </c>
      <c r="I87" s="27" t="s">
        <v>1012</v>
      </c>
      <c r="J87" s="27" t="s">
        <v>78</v>
      </c>
      <c r="K87" s="25"/>
      <c r="L87" s="25"/>
      <c r="M87" s="25"/>
      <c r="N87" s="25" t="s">
        <v>1117</v>
      </c>
      <c r="O87" s="36"/>
      <c r="P87" s="36"/>
      <c r="Q87" s="36"/>
      <c r="R87" s="36"/>
      <c r="S87" s="36"/>
      <c r="T87" s="36"/>
      <c r="U87" s="36"/>
      <c r="V87" s="36"/>
      <c r="W87" s="36"/>
      <c r="X87" s="36"/>
      <c r="Y87" s="36"/>
      <c r="Z87" s="36"/>
      <c r="AA87" s="36">
        <f>IF($I87="B1","",SUM(O87:Z87))</f>
        <v>0</v>
      </c>
      <c r="AB87" s="37" t="str">
        <f>IF(AA87=0,"",IFERROR(AA87/AA$19,""))</f>
        <v/>
      </c>
      <c r="AD87" s="36"/>
      <c r="AE87" s="37" t="str">
        <f>IF(AD87=0,"",IFERROR(AD87/AD$19,""))</f>
        <v/>
      </c>
      <c r="AF87" s="59">
        <f>IF(AND($AA87="",AD87=""),"",$AA87-AD87)</f>
        <v>0</v>
      </c>
      <c r="AG87" s="60"/>
      <c r="AH87" s="61" t="str">
        <f>IF(AG87=0,"",IFERROR(AG87/AG$19,""))</f>
        <v/>
      </c>
      <c r="AI87" s="59">
        <f>IF(AND($AA87="",AG87=""),"",$AA87-AG87)</f>
        <v>0</v>
      </c>
      <c r="AJ87" s="372">
        <f>IFERROR(AA87/AA$20,0)</f>
        <v>0</v>
      </c>
      <c r="AK87" s="373">
        <f>IFERROR(AD87/AD$20,0)</f>
        <v>0</v>
      </c>
      <c r="AL87" s="375">
        <f>IFERROR(AG87/AG$20,0)</f>
        <v>0</v>
      </c>
      <c r="AM87" s="407">
        <f>+IFERROR(ROUND(($AB87-AE87)*100,2)&amp;" pts.",0)</f>
        <v>0</v>
      </c>
      <c r="AN87" s="408">
        <f>+IFERROR(ROUND(($AB87-AH87)*100,2)&amp;" pts.",0)</f>
        <v>0</v>
      </c>
    </row>
    <row r="88" spans="1:40" ht="15.75" thickBot="1" x14ac:dyDescent="0.3">
      <c r="A88" s="6" t="s">
        <v>7</v>
      </c>
      <c r="B88" s="16" t="s">
        <v>1382</v>
      </c>
      <c r="H88" s="15" t="s">
        <v>81</v>
      </c>
      <c r="I88" s="27" t="s">
        <v>1012</v>
      </c>
      <c r="J88" s="27" t="s">
        <v>78</v>
      </c>
      <c r="K88" s="25"/>
      <c r="L88" s="25"/>
      <c r="M88" s="25"/>
      <c r="N88" s="25" t="s">
        <v>1118</v>
      </c>
      <c r="O88" s="62"/>
      <c r="P88" s="62"/>
      <c r="Q88" s="62"/>
      <c r="R88" s="62"/>
      <c r="S88" s="62"/>
      <c r="T88" s="62"/>
      <c r="U88" s="62"/>
      <c r="V88" s="62"/>
      <c r="W88" s="62"/>
      <c r="X88" s="62"/>
      <c r="Y88" s="62"/>
      <c r="Z88" s="62"/>
      <c r="AA88" s="62">
        <f>IF($I88="B1","",SUM(O88:Z88))</f>
        <v>0</v>
      </c>
      <c r="AB88" s="63" t="str">
        <f>IF(AA88=0,"",IFERROR(AA88/AA$19,""))</f>
        <v/>
      </c>
      <c r="AD88" s="62"/>
      <c r="AE88" s="63" t="str">
        <f>IF(AD88=0,"",IFERROR(AD88/AD$19,""))</f>
        <v/>
      </c>
      <c r="AF88" s="64">
        <f>IF(AND($AA88="",AD88=""),"",$AA88-AD88)</f>
        <v>0</v>
      </c>
      <c r="AG88" s="62"/>
      <c r="AH88" s="63" t="str">
        <f>IF(AG88=0,"",IFERROR(AG88/AG$19,""))</f>
        <v/>
      </c>
      <c r="AI88" s="64">
        <f>IF(AND($AA88="",AG88=""),"",$AA88-AG88)</f>
        <v>0</v>
      </c>
      <c r="AJ88" s="430">
        <f>IFERROR(AA88/AA$20,0)</f>
        <v>0</v>
      </c>
      <c r="AK88" s="431">
        <f>IFERROR(AD88/AD$20,0)</f>
        <v>0</v>
      </c>
      <c r="AL88" s="432">
        <f>IFERROR(AG88/AG$20,0)</f>
        <v>0</v>
      </c>
      <c r="AM88" s="433">
        <f>+IFERROR(ROUND(($AB88-AE88)*100,2)&amp;" pts.",0)</f>
        <v>0</v>
      </c>
      <c r="AN88" s="438">
        <f>+IFERROR(ROUND(($AB88-AH88)*100,2)&amp;" pts.",0)</f>
        <v>0</v>
      </c>
    </row>
    <row r="89" spans="1:40" ht="15.75" thickTop="1" x14ac:dyDescent="0.25">
      <c r="A89" s="6" t="s">
        <v>47</v>
      </c>
      <c r="B89" s="16" t="s">
        <v>1377</v>
      </c>
    </row>
    <row r="90" spans="1:40" x14ac:dyDescent="0.25">
      <c r="A90" s="6" t="s">
        <v>8</v>
      </c>
      <c r="B90" s="7"/>
      <c r="N90" s="26" t="str">
        <f>N87&amp;" - Check"</f>
        <v>Total Expenses - Check</v>
      </c>
      <c r="O90" s="139">
        <f t="shared" ref="O90:AA90" si="22">SUMIF($H$35:$H$88,"600000",O$35:O$88)+SUMIF($H$35:$H$88,"700000",O$35:O$88)-SUMIF($H$35:$H$88,"TOTDEPTEXP",O$35:O$88)</f>
        <v>0</v>
      </c>
      <c r="P90" s="139">
        <f t="shared" si="22"/>
        <v>0</v>
      </c>
      <c r="Q90" s="139">
        <f t="shared" si="22"/>
        <v>0</v>
      </c>
      <c r="R90" s="139">
        <f t="shared" si="22"/>
        <v>0</v>
      </c>
      <c r="S90" s="139">
        <f t="shared" si="22"/>
        <v>0</v>
      </c>
      <c r="T90" s="139">
        <f t="shared" si="22"/>
        <v>0</v>
      </c>
      <c r="U90" s="139">
        <f t="shared" si="22"/>
        <v>0</v>
      </c>
      <c r="V90" s="139">
        <f t="shared" si="22"/>
        <v>0</v>
      </c>
      <c r="W90" s="139">
        <f t="shared" si="22"/>
        <v>0</v>
      </c>
      <c r="X90" s="139">
        <f t="shared" si="22"/>
        <v>0</v>
      </c>
      <c r="Y90" s="139">
        <f t="shared" si="22"/>
        <v>0</v>
      </c>
      <c r="Z90" s="139">
        <f t="shared" si="22"/>
        <v>0</v>
      </c>
      <c r="AA90" s="139">
        <f t="shared" si="22"/>
        <v>0</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str">
        <f>N88&amp;" - Check"</f>
        <v>Department Profit (Loss) - Check</v>
      </c>
      <c r="O91" s="139">
        <f t="shared" ref="O91:AA91" si="23">SUMIF($H$35:$H$88,"KPI_GP",O$35:O$88)-SUMIF($H$35:$H$88,"TOTDEPTEXP",O$35:O$88)-SUMIF($H$35:$H$88,"TOTDEPTPL",O$35:O$88)</f>
        <v>0</v>
      </c>
      <c r="P91" s="139">
        <f t="shared" si="23"/>
        <v>0</v>
      </c>
      <c r="Q91" s="139">
        <f t="shared" si="23"/>
        <v>0</v>
      </c>
      <c r="R91" s="139">
        <f t="shared" si="23"/>
        <v>0</v>
      </c>
      <c r="S91" s="139">
        <f t="shared" si="23"/>
        <v>0</v>
      </c>
      <c r="T91" s="139">
        <f t="shared" si="23"/>
        <v>0</v>
      </c>
      <c r="U91" s="139">
        <f t="shared" si="23"/>
        <v>0</v>
      </c>
      <c r="V91" s="139">
        <f t="shared" si="23"/>
        <v>0</v>
      </c>
      <c r="W91" s="139">
        <f t="shared" si="23"/>
        <v>0</v>
      </c>
      <c r="X91" s="139">
        <f t="shared" si="23"/>
        <v>0</v>
      </c>
      <c r="Y91" s="139">
        <f t="shared" si="23"/>
        <v>0</v>
      </c>
      <c r="Z91" s="139">
        <f t="shared" si="23"/>
        <v>0</v>
      </c>
      <c r="AA91" s="139">
        <f t="shared" si="23"/>
        <v>0</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s">
        <v>988</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16" t="s">
        <v>1373</v>
      </c>
      <c r="H114" s="11"/>
      <c r="J114" s="1"/>
    </row>
    <row r="115" spans="1:10" x14ac:dyDescent="0.25">
      <c r="A115" s="6" t="s">
        <v>3</v>
      </c>
      <c r="B115" s="16" t="s">
        <v>1374</v>
      </c>
      <c r="H115" s="11"/>
      <c r="J115" s="1"/>
    </row>
    <row r="116" spans="1:10" x14ac:dyDescent="0.25">
      <c r="A116" s="6" t="s">
        <v>4</v>
      </c>
      <c r="B116" s="16" t="s">
        <v>1383</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1377</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1700-000000000000}">
      <formula1>"ACCOUNT,BUSINESSUNIT,CATEGORY,DATASRC,DEPARTMENT,INTCO,MEASURES,RPTCURRENCY,TIME"</formula1>
    </dataValidation>
    <dataValidation type="list" allowBlank="1" sqref="B29 B95 B62" xr:uid="{00000000-0002-0000-17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42021"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2021" r:id="rId5" name="FPMExcelClientSheetOptionstb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'Ur9cICEiX0+v1s7WCqhDjg=='!N1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732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D2142</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D2142</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51" priority="15">
      <formula>ROUND(O42,2)&lt;&gt;ROUND(O43,2)</formula>
    </cfRule>
  </conditionalFormatting>
  <conditionalFormatting sqref="N43">
    <cfRule type="expression" dxfId="250" priority="14">
      <formula>$G43&lt;&gt;0</formula>
    </cfRule>
  </conditionalFormatting>
  <conditionalFormatting sqref="O53:AA53 AD53 AF53:AG53">
    <cfRule type="expression" dxfId="249" priority="13">
      <formula>ROUND(O52,2)&lt;&gt;ROUND(O53,2)</formula>
    </cfRule>
  </conditionalFormatting>
  <conditionalFormatting sqref="N53">
    <cfRule type="expression" dxfId="248" priority="12">
      <formula>$G53&lt;&gt;0</formula>
    </cfRule>
  </conditionalFormatting>
  <conditionalFormatting sqref="O63:AA63 AD63 AF63:AG63">
    <cfRule type="expression" dxfId="247" priority="11">
      <formula>ROUND(O62,2)&lt;&gt;ROUND(O63,2)</formula>
    </cfRule>
  </conditionalFormatting>
  <conditionalFormatting sqref="N63">
    <cfRule type="expression" dxfId="246" priority="10">
      <formula>$G63&lt;&gt;0</formula>
    </cfRule>
  </conditionalFormatting>
  <conditionalFormatting sqref="O73:AA73 AD73 AF73:AG73">
    <cfRule type="expression" dxfId="245" priority="9">
      <formula>ROUND(O72,2)&lt;&gt;ROUND(O73,2)</formula>
    </cfRule>
  </conditionalFormatting>
  <conditionalFormatting sqref="N73">
    <cfRule type="expression" dxfId="244" priority="8">
      <formula>$G73&lt;&gt;0</formula>
    </cfRule>
  </conditionalFormatting>
  <conditionalFormatting sqref="N82">
    <cfRule type="expression" dxfId="243" priority="7">
      <formula>$G82&lt;&gt;0</formula>
    </cfRule>
  </conditionalFormatting>
  <conditionalFormatting sqref="AD82 AF82:AG82 O82:AA82">
    <cfRule type="expression" dxfId="242" priority="6">
      <formula>ROUND(O81,2)&lt;&gt;ROUND(O82,2)</formula>
    </cfRule>
  </conditionalFormatting>
  <conditionalFormatting sqref="AI43">
    <cfRule type="expression" dxfId="241" priority="5">
      <formula>ROUND(AI42,2)&lt;&gt;ROUND(AI43,2)</formula>
    </cfRule>
  </conditionalFormatting>
  <conditionalFormatting sqref="AI53">
    <cfRule type="expression" dxfId="240" priority="4">
      <formula>ROUND(AI52,2)&lt;&gt;ROUND(AI53,2)</formula>
    </cfRule>
  </conditionalFormatting>
  <conditionalFormatting sqref="AI63">
    <cfRule type="expression" dxfId="239" priority="3">
      <formula>ROUND(AI62,2)&lt;&gt;ROUND(AI63,2)</formula>
    </cfRule>
  </conditionalFormatting>
  <conditionalFormatting sqref="AI73">
    <cfRule type="expression" dxfId="238" priority="2">
      <formula>ROUND(AI72,2)&lt;&gt;ROUND(AI73,2)</formula>
    </cfRule>
  </conditionalFormatting>
  <conditionalFormatting sqref="AI82">
    <cfRule type="expression" dxfId="237" priority="1">
      <formula>ROUND(AI81,2)&lt;&gt;ROUND(AI82,2)</formula>
    </cfRule>
  </conditionalFormatting>
  <dataValidations count="2">
    <dataValidation type="list" allowBlank="1" sqref="B29" xr:uid="{00000000-0002-0000-1800-000000000000}">
      <formula1>"SELF,ALL,BAS,DEP,BASMEMBERS,MEMBERS,NOEXPAND,GDEP"</formula1>
    </dataValidation>
    <dataValidation type="list" allowBlank="1" sqref="B28" xr:uid="{00000000-0002-0000-1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2">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f>Venue3!N1</f>
        <v>0</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732</v>
      </c>
      <c r="C6" s="1" t="s">
        <v>1372</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1384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1385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1386</v>
      </c>
      <c r="G19" s="18" t="str">
        <f>$B$6</f>
        <v>D2142</v>
      </c>
      <c r="H19" s="18" t="s">
        <v>273</v>
      </c>
      <c r="I19" s="19"/>
      <c r="J19" s="19"/>
      <c r="K19" s="18"/>
      <c r="L19" s="18"/>
      <c r="M19" s="18"/>
      <c r="N19" s="18" t="s">
        <v>1214</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G20" s="18" t="str">
        <f>$B$6</f>
        <v>D2142</v>
      </c>
      <c r="H20" s="18">
        <v>946000</v>
      </c>
      <c r="I20" s="19"/>
      <c r="J20" s="19"/>
      <c r="K20" s="18"/>
      <c r="L20" s="18"/>
      <c r="M20" s="18"/>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1387</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1378</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IF(AG39=0,"",IFERROR(AG39/AG$19,""))</f>
        <v/>
      </c>
      <c r="AI39" s="165">
        <f t="shared" si="2"/>
        <v>0</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s">
        <v>1009</v>
      </c>
      <c r="J88" s="161" t="s">
        <v>78</v>
      </c>
      <c r="L88" s="162"/>
      <c r="M88" s="162"/>
      <c r="N88" s="162" t="s">
        <v>1355</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c r="P103" s="164"/>
      <c r="Q103" s="164"/>
      <c r="R103" s="164"/>
      <c r="S103" s="164"/>
      <c r="T103" s="164"/>
      <c r="U103" s="164"/>
      <c r="V103" s="164"/>
      <c r="W103" s="164"/>
      <c r="X103" s="164"/>
      <c r="Y103" s="164"/>
      <c r="Z103" s="164"/>
      <c r="AA103" s="164">
        <f t="shared" si="27"/>
        <v>0</v>
      </c>
      <c r="AB103" s="175" t="str">
        <f t="shared" si="28"/>
        <v/>
      </c>
      <c r="AD103" s="164"/>
      <c r="AE103" s="175" t="str">
        <f t="shared" si="29"/>
        <v/>
      </c>
      <c r="AF103" s="165">
        <f t="shared" si="30"/>
        <v>0</v>
      </c>
      <c r="AG103" s="164"/>
      <c r="AH103" s="175" t="str">
        <f t="shared" si="31"/>
        <v/>
      </c>
      <c r="AI103" s="165">
        <f t="shared" si="32"/>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c r="P111" s="164"/>
      <c r="Q111" s="164"/>
      <c r="R111" s="164"/>
      <c r="S111" s="164"/>
      <c r="T111" s="164"/>
      <c r="U111" s="164"/>
      <c r="V111" s="164"/>
      <c r="W111" s="164"/>
      <c r="X111" s="164"/>
      <c r="Y111" s="164"/>
      <c r="Z111" s="164"/>
      <c r="AA111" s="164">
        <f t="shared" si="33"/>
        <v>0</v>
      </c>
      <c r="AB111" s="175" t="str">
        <f t="shared" si="34"/>
        <v/>
      </c>
      <c r="AD111" s="164"/>
      <c r="AE111" s="175" t="str">
        <f t="shared" si="35"/>
        <v/>
      </c>
      <c r="AF111" s="165">
        <f t="shared" si="36"/>
        <v>0</v>
      </c>
      <c r="AG111" s="164"/>
      <c r="AH111" s="175" t="str">
        <f t="shared" si="37"/>
        <v/>
      </c>
      <c r="AI111" s="165">
        <f t="shared" si="38"/>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c r="P119" s="164"/>
      <c r="Q119" s="164"/>
      <c r="R119" s="164"/>
      <c r="S119" s="164"/>
      <c r="T119" s="164"/>
      <c r="U119" s="164"/>
      <c r="V119" s="164"/>
      <c r="W119" s="164"/>
      <c r="X119" s="164"/>
      <c r="Y119" s="164"/>
      <c r="Z119" s="164"/>
      <c r="AA119" s="164">
        <f t="shared" si="39"/>
        <v>0</v>
      </c>
      <c r="AB119" s="175" t="str">
        <f t="shared" si="40"/>
        <v/>
      </c>
      <c r="AD119" s="164"/>
      <c r="AE119" s="175" t="str">
        <f t="shared" si="41"/>
        <v/>
      </c>
      <c r="AF119" s="165">
        <f t="shared" si="42"/>
        <v>0</v>
      </c>
      <c r="AG119" s="164"/>
      <c r="AH119" s="175" t="str">
        <f t="shared" si="43"/>
        <v/>
      </c>
      <c r="AI119" s="165">
        <f t="shared" si="44"/>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0</v>
      </c>
      <c r="P126" s="164">
        <f t="shared" si="56"/>
        <v>0</v>
      </c>
      <c r="Q126" s="164">
        <f t="shared" si="56"/>
        <v>0</v>
      </c>
      <c r="R126" s="164">
        <f t="shared" si="56"/>
        <v>0</v>
      </c>
      <c r="S126" s="164">
        <f t="shared" si="56"/>
        <v>0</v>
      </c>
      <c r="T126" s="164">
        <f t="shared" si="56"/>
        <v>0</v>
      </c>
      <c r="U126" s="164">
        <f t="shared" si="56"/>
        <v>0</v>
      </c>
      <c r="V126" s="164">
        <f t="shared" si="56"/>
        <v>0</v>
      </c>
      <c r="W126" s="164">
        <f t="shared" si="56"/>
        <v>0</v>
      </c>
      <c r="X126" s="164">
        <f t="shared" si="56"/>
        <v>0</v>
      </c>
      <c r="Y126" s="164">
        <f t="shared" si="56"/>
        <v>0</v>
      </c>
      <c r="Z126" s="164">
        <f t="shared" si="56"/>
        <v>0</v>
      </c>
      <c r="AA126" s="164">
        <f t="shared" si="46"/>
        <v>0</v>
      </c>
      <c r="AB126" s="175" t="str">
        <f t="shared" si="47"/>
        <v/>
      </c>
      <c r="AD126" s="164">
        <f>SUM(AD121:AD125)</f>
        <v>0</v>
      </c>
      <c r="AE126" s="175" t="str">
        <f t="shared" si="48"/>
        <v/>
      </c>
      <c r="AF126" s="165">
        <f t="shared" si="49"/>
        <v>0</v>
      </c>
      <c r="AG126" s="164">
        <f>SUM(AG121:AG125)</f>
        <v>0</v>
      </c>
      <c r="AH126" s="175" t="str">
        <f t="shared" si="50"/>
        <v/>
      </c>
      <c r="AI126" s="165">
        <f t="shared" si="51"/>
        <v>0</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c r="P130" s="21"/>
      <c r="Q130" s="21"/>
      <c r="R130" s="21"/>
      <c r="S130" s="21"/>
      <c r="T130" s="21"/>
      <c r="U130" s="21"/>
      <c r="V130" s="21"/>
      <c r="W130" s="21"/>
      <c r="X130" s="21"/>
      <c r="Y130" s="21"/>
      <c r="Z130" s="21"/>
      <c r="AA130" s="21">
        <f>SUM(O130:Z130)</f>
        <v>0</v>
      </c>
      <c r="AB130" s="311"/>
      <c r="AD130" s="21"/>
      <c r="AE130" s="311"/>
      <c r="AF130" s="50">
        <f t="shared" ref="AF130:AF141" si="58">IF(AND($AA130="",AD130=""),"",$AA130-AD130)</f>
        <v>0</v>
      </c>
      <c r="AG130" s="21"/>
      <c r="AH130" s="311"/>
      <c r="AI130" s="50">
        <f t="shared" ref="AI130:AI141" si="59">IF(AND($AA130="",AG130=""),"",$AA130-AG130)</f>
        <v>0</v>
      </c>
    </row>
    <row r="131" spans="3:35" x14ac:dyDescent="0.25">
      <c r="C131" s="32"/>
      <c r="H131" s="149" t="s">
        <v>756</v>
      </c>
      <c r="I131" s="161"/>
      <c r="J131" s="161"/>
      <c r="L131" s="162"/>
      <c r="M131" s="162"/>
      <c r="N131" s="467" t="s">
        <v>1321</v>
      </c>
      <c r="O131" s="172"/>
      <c r="P131" s="172"/>
      <c r="Q131" s="172"/>
      <c r="R131" s="172"/>
      <c r="S131" s="172"/>
      <c r="T131" s="172"/>
      <c r="U131" s="172"/>
      <c r="V131" s="172"/>
      <c r="W131" s="172"/>
      <c r="X131" s="172"/>
      <c r="Y131" s="172"/>
      <c r="Z131" s="172"/>
      <c r="AA131" s="172"/>
      <c r="AB131" s="311"/>
      <c r="AD131" s="172"/>
      <c r="AE131" s="311"/>
      <c r="AF131" s="468" t="str">
        <f t="shared" si="58"/>
        <v/>
      </c>
      <c r="AG131" s="172"/>
      <c r="AH131" s="311"/>
      <c r="AI131" s="468" t="str">
        <f t="shared" si="59"/>
        <v/>
      </c>
    </row>
    <row r="132" spans="3:35" x14ac:dyDescent="0.25">
      <c r="C132" s="32"/>
      <c r="H132" s="149" t="s">
        <v>636</v>
      </c>
      <c r="I132" s="161"/>
      <c r="J132" s="161"/>
      <c r="L132" s="162"/>
      <c r="M132" s="162"/>
      <c r="N132" s="162" t="s">
        <v>1226</v>
      </c>
      <c r="O132" s="21"/>
      <c r="P132" s="21"/>
      <c r="Q132" s="21"/>
      <c r="R132" s="21"/>
      <c r="S132" s="21"/>
      <c r="T132" s="21"/>
      <c r="U132" s="21"/>
      <c r="V132" s="21"/>
      <c r="W132" s="21"/>
      <c r="X132" s="21"/>
      <c r="Y132" s="21"/>
      <c r="Z132" s="21"/>
      <c r="AA132" s="21">
        <f>SUM(O132:Z132)</f>
        <v>0</v>
      </c>
      <c r="AB132" s="311"/>
      <c r="AD132" s="21"/>
      <c r="AE132" s="311"/>
      <c r="AF132" s="50">
        <f t="shared" si="58"/>
        <v>0</v>
      </c>
      <c r="AG132" s="21"/>
      <c r="AH132" s="311"/>
      <c r="AI132" s="50">
        <f t="shared" si="59"/>
        <v>0</v>
      </c>
    </row>
    <row r="133" spans="3:35" x14ac:dyDescent="0.25">
      <c r="C133" s="32"/>
      <c r="H133" s="149" t="s">
        <v>757</v>
      </c>
      <c r="I133" s="161"/>
      <c r="J133" s="161"/>
      <c r="L133" s="162"/>
      <c r="M133" s="162"/>
      <c r="N133" s="467" t="s">
        <v>1326</v>
      </c>
      <c r="O133" s="172"/>
      <c r="P133" s="172"/>
      <c r="Q133" s="172"/>
      <c r="R133" s="172"/>
      <c r="S133" s="172"/>
      <c r="T133" s="172"/>
      <c r="U133" s="172"/>
      <c r="V133" s="172"/>
      <c r="W133" s="172"/>
      <c r="X133" s="172"/>
      <c r="Y133" s="172"/>
      <c r="Z133" s="172"/>
      <c r="AA133" s="172"/>
      <c r="AB133" s="311"/>
      <c r="AD133" s="172"/>
      <c r="AE133" s="311"/>
      <c r="AF133" s="468" t="str">
        <f t="shared" si="58"/>
        <v/>
      </c>
      <c r="AG133" s="172"/>
      <c r="AH133" s="311"/>
      <c r="AI133" s="468" t="str">
        <f t="shared" si="59"/>
        <v/>
      </c>
    </row>
    <row r="134" spans="3:35" x14ac:dyDescent="0.25">
      <c r="C134" s="32"/>
      <c r="H134" s="149" t="s">
        <v>755</v>
      </c>
      <c r="I134" s="161"/>
      <c r="J134" s="161"/>
      <c r="L134" s="162">
        <v>561300</v>
      </c>
      <c r="M134" s="162"/>
      <c r="N134" s="162" t="s">
        <v>1327</v>
      </c>
      <c r="O134" s="21"/>
      <c r="P134" s="21"/>
      <c r="Q134" s="21"/>
      <c r="R134" s="21"/>
      <c r="S134" s="21"/>
      <c r="T134" s="21"/>
      <c r="U134" s="21"/>
      <c r="V134" s="21"/>
      <c r="W134" s="21"/>
      <c r="X134" s="21"/>
      <c r="Y134" s="21"/>
      <c r="Z134" s="21"/>
      <c r="AA134" s="21">
        <f>SUM(O134:Z134)</f>
        <v>0</v>
      </c>
      <c r="AB134" s="311"/>
      <c r="AD134" s="21"/>
      <c r="AE134" s="311"/>
      <c r="AF134" s="50">
        <f t="shared" si="58"/>
        <v>0</v>
      </c>
      <c r="AG134" s="21"/>
      <c r="AH134" s="311"/>
      <c r="AI134" s="50">
        <f t="shared" si="59"/>
        <v>0</v>
      </c>
    </row>
    <row r="135" spans="3:35" x14ac:dyDescent="0.25">
      <c r="C135" s="32"/>
      <c r="H135" s="149" t="s">
        <v>758</v>
      </c>
      <c r="I135" s="161"/>
      <c r="J135" s="161"/>
      <c r="L135" s="162"/>
      <c r="M135" s="162"/>
      <c r="N135" s="467" t="s">
        <v>1328</v>
      </c>
      <c r="O135" s="172"/>
      <c r="P135" s="172"/>
      <c r="Q135" s="172"/>
      <c r="R135" s="172"/>
      <c r="S135" s="172"/>
      <c r="T135" s="172"/>
      <c r="U135" s="172"/>
      <c r="V135" s="172"/>
      <c r="W135" s="172"/>
      <c r="X135" s="172"/>
      <c r="Y135" s="172"/>
      <c r="Z135" s="172"/>
      <c r="AA135" s="172"/>
      <c r="AB135" s="311"/>
      <c r="AD135" s="172"/>
      <c r="AE135" s="311"/>
      <c r="AF135" s="468" t="str">
        <f t="shared" si="58"/>
        <v/>
      </c>
      <c r="AG135" s="172"/>
      <c r="AH135" s="311"/>
      <c r="AI135" s="468" t="str">
        <f t="shared" si="59"/>
        <v/>
      </c>
    </row>
    <row r="136" spans="3:35" x14ac:dyDescent="0.25">
      <c r="C136" s="32"/>
      <c r="H136" s="149">
        <v>561400</v>
      </c>
      <c r="I136" s="161"/>
      <c r="J136" s="161"/>
      <c r="L136" s="162">
        <v>561400</v>
      </c>
      <c r="M136" s="162"/>
      <c r="N136" s="162" t="s">
        <v>1329</v>
      </c>
      <c r="O136" s="21"/>
      <c r="P136" s="21"/>
      <c r="Q136" s="21"/>
      <c r="R136" s="21"/>
      <c r="S136" s="21"/>
      <c r="T136" s="21"/>
      <c r="U136" s="21"/>
      <c r="V136" s="21"/>
      <c r="W136" s="21"/>
      <c r="X136" s="21"/>
      <c r="Y136" s="21"/>
      <c r="Z136" s="21"/>
      <c r="AA136" s="21">
        <f>SUM(O136:Z136)</f>
        <v>0</v>
      </c>
      <c r="AB136" s="311"/>
      <c r="AD136" s="21"/>
      <c r="AE136" s="311"/>
      <c r="AF136" s="50">
        <f t="shared" si="58"/>
        <v>0</v>
      </c>
      <c r="AG136" s="21"/>
      <c r="AH136" s="311"/>
      <c r="AI136" s="50">
        <f t="shared" si="59"/>
        <v>0</v>
      </c>
    </row>
    <row r="137" spans="3:35" x14ac:dyDescent="0.25">
      <c r="C137" s="32"/>
      <c r="H137" s="149" t="s">
        <v>759</v>
      </c>
      <c r="I137" s="161"/>
      <c r="J137" s="161"/>
      <c r="L137" s="162"/>
      <c r="M137" s="162"/>
      <c r="N137" s="467" t="s">
        <v>1330</v>
      </c>
      <c r="O137" s="172"/>
      <c r="P137" s="172"/>
      <c r="Q137" s="172"/>
      <c r="R137" s="172"/>
      <c r="S137" s="172"/>
      <c r="T137" s="172"/>
      <c r="U137" s="172"/>
      <c r="V137" s="172"/>
      <c r="W137" s="172"/>
      <c r="X137" s="172"/>
      <c r="Y137" s="172"/>
      <c r="Z137" s="172"/>
      <c r="AA137" s="172"/>
      <c r="AB137" s="311"/>
      <c r="AD137" s="172"/>
      <c r="AE137" s="311"/>
      <c r="AF137" s="468" t="str">
        <f t="shared" si="58"/>
        <v/>
      </c>
      <c r="AG137" s="172"/>
      <c r="AH137" s="311"/>
      <c r="AI137" s="468" t="str">
        <f t="shared" si="59"/>
        <v/>
      </c>
    </row>
    <row r="138" spans="3:35" x14ac:dyDescent="0.25">
      <c r="H138" s="149">
        <v>561500</v>
      </c>
      <c r="I138" s="161"/>
      <c r="J138" s="161"/>
      <c r="L138" s="162">
        <v>561500</v>
      </c>
      <c r="M138" s="162"/>
      <c r="N138" s="162" t="s">
        <v>1331</v>
      </c>
      <c r="O138" s="21"/>
      <c r="P138" s="21"/>
      <c r="Q138" s="21"/>
      <c r="R138" s="21"/>
      <c r="S138" s="21"/>
      <c r="T138" s="21"/>
      <c r="U138" s="21"/>
      <c r="V138" s="21"/>
      <c r="W138" s="21"/>
      <c r="X138" s="21"/>
      <c r="Y138" s="21"/>
      <c r="Z138" s="21"/>
      <c r="AA138" s="21">
        <f>SUM(O138:Z138)</f>
        <v>0</v>
      </c>
      <c r="AB138" s="311"/>
      <c r="AD138" s="21"/>
      <c r="AE138" s="311"/>
      <c r="AF138" s="50">
        <f t="shared" si="58"/>
        <v>0</v>
      </c>
      <c r="AG138" s="21"/>
      <c r="AH138" s="311"/>
      <c r="AI138" s="50">
        <f t="shared" si="59"/>
        <v>0</v>
      </c>
    </row>
    <row r="139" spans="3:35" x14ac:dyDescent="0.25">
      <c r="C139" s="32"/>
      <c r="H139" s="149" t="s">
        <v>760</v>
      </c>
      <c r="I139" s="161"/>
      <c r="J139" s="161"/>
      <c r="L139" s="162"/>
      <c r="M139" s="162"/>
      <c r="N139" s="467" t="s">
        <v>1332</v>
      </c>
      <c r="O139" s="172"/>
      <c r="P139" s="172"/>
      <c r="Q139" s="172"/>
      <c r="R139" s="172"/>
      <c r="S139" s="172"/>
      <c r="T139" s="172"/>
      <c r="U139" s="172"/>
      <c r="V139" s="172"/>
      <c r="W139" s="172"/>
      <c r="X139" s="172"/>
      <c r="Y139" s="172"/>
      <c r="Z139" s="172"/>
      <c r="AA139" s="172"/>
      <c r="AB139" s="311"/>
      <c r="AD139" s="172"/>
      <c r="AE139" s="311"/>
      <c r="AF139" s="468" t="str">
        <f t="shared" si="58"/>
        <v/>
      </c>
      <c r="AG139" s="172"/>
      <c r="AH139" s="311"/>
      <c r="AI139" s="468" t="str">
        <f t="shared" si="59"/>
        <v/>
      </c>
    </row>
    <row r="140" spans="3:35" x14ac:dyDescent="0.25">
      <c r="C140" s="32"/>
      <c r="H140" s="149" t="s">
        <v>286</v>
      </c>
      <c r="I140" s="161"/>
      <c r="J140" s="161"/>
      <c r="L140" s="162"/>
      <c r="M140" s="162"/>
      <c r="N140" s="162" t="s">
        <v>1227</v>
      </c>
      <c r="O140" s="21"/>
      <c r="P140" s="21"/>
      <c r="Q140" s="21"/>
      <c r="R140" s="21"/>
      <c r="S140" s="21"/>
      <c r="T140" s="21"/>
      <c r="U140" s="21"/>
      <c r="V140" s="21"/>
      <c r="W140" s="21"/>
      <c r="X140" s="21"/>
      <c r="Y140" s="21"/>
      <c r="Z140" s="21"/>
      <c r="AA140" s="21">
        <f>SUM(O140:Z140)</f>
        <v>0</v>
      </c>
      <c r="AB140" s="311"/>
      <c r="AD140" s="21"/>
      <c r="AE140" s="311"/>
      <c r="AF140" s="50">
        <f t="shared" si="58"/>
        <v>0</v>
      </c>
      <c r="AG140" s="21"/>
      <c r="AH140" s="311"/>
      <c r="AI140" s="50">
        <f t="shared" si="59"/>
        <v>0</v>
      </c>
    </row>
    <row r="141" spans="3:35" x14ac:dyDescent="0.25">
      <c r="C141" s="32"/>
      <c r="H141" s="149"/>
      <c r="I141" s="161"/>
      <c r="J141" s="161"/>
      <c r="L141" s="162"/>
      <c r="M141" s="162"/>
      <c r="N141" s="467" t="s">
        <v>762</v>
      </c>
      <c r="O141" s="172" t="str">
        <f t="shared" ref="O141:AA141" si="60">IFERROR(O140/O85,"")</f>
        <v/>
      </c>
      <c r="P141" s="172" t="str">
        <f t="shared" si="60"/>
        <v/>
      </c>
      <c r="Q141" s="172" t="str">
        <f t="shared" si="60"/>
        <v/>
      </c>
      <c r="R141" s="172" t="str">
        <f t="shared" si="60"/>
        <v/>
      </c>
      <c r="S141" s="172" t="str">
        <f t="shared" si="60"/>
        <v/>
      </c>
      <c r="T141" s="172" t="str">
        <f t="shared" si="60"/>
        <v/>
      </c>
      <c r="U141" s="172" t="str">
        <f t="shared" si="60"/>
        <v/>
      </c>
      <c r="V141" s="172" t="str">
        <f t="shared" si="60"/>
        <v/>
      </c>
      <c r="W141" s="172" t="str">
        <f t="shared" si="60"/>
        <v/>
      </c>
      <c r="X141" s="172" t="str">
        <f t="shared" si="60"/>
        <v/>
      </c>
      <c r="Y141" s="172" t="str">
        <f t="shared" si="60"/>
        <v/>
      </c>
      <c r="Z141" s="172" t="str">
        <f t="shared" si="60"/>
        <v/>
      </c>
      <c r="AA141" s="172" t="str">
        <f t="shared" si="60"/>
        <v/>
      </c>
      <c r="AB141" s="311"/>
      <c r="AD141" s="172" t="str">
        <f>IFERROR(AD140/AD85,"")</f>
        <v/>
      </c>
      <c r="AE141" s="311"/>
      <c r="AF141" s="468" t="str">
        <f t="shared" si="58"/>
        <v/>
      </c>
      <c r="AG141" s="172" t="str">
        <f>IFERROR(AG140/AG85,"")</f>
        <v/>
      </c>
      <c r="AH141" s="311"/>
      <c r="AI141" s="468" t="str">
        <f t="shared" si="59"/>
        <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t="e">
        <f t="shared" ref="O145:AA145" si="63">IFERROR(O$85/O87,"")-O88</f>
        <v>#VALUE!</v>
      </c>
      <c r="P145" s="178" t="e">
        <f t="shared" si="63"/>
        <v>#VALUE!</v>
      </c>
      <c r="Q145" s="178" t="e">
        <f t="shared" si="63"/>
        <v>#VALUE!</v>
      </c>
      <c r="R145" s="178" t="e">
        <f t="shared" si="63"/>
        <v>#VALUE!</v>
      </c>
      <c r="S145" s="178" t="e">
        <f t="shared" si="63"/>
        <v>#VALUE!</v>
      </c>
      <c r="T145" s="178" t="e">
        <f t="shared" si="63"/>
        <v>#VALUE!</v>
      </c>
      <c r="U145" s="178" t="e">
        <f t="shared" si="63"/>
        <v>#VALUE!</v>
      </c>
      <c r="V145" s="178" t="e">
        <f t="shared" si="63"/>
        <v>#VALUE!</v>
      </c>
      <c r="W145" s="178" t="e">
        <f t="shared" si="63"/>
        <v>#VALUE!</v>
      </c>
      <c r="X145" s="178" t="e">
        <f t="shared" si="63"/>
        <v>#VALUE!</v>
      </c>
      <c r="Y145" s="178" t="e">
        <f t="shared" si="63"/>
        <v>#VALUE!</v>
      </c>
      <c r="Z145" s="178" t="e">
        <f t="shared" si="63"/>
        <v>#VALUE!</v>
      </c>
      <c r="AA145" s="178" t="e">
        <f t="shared" si="63"/>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36" priority="15">
      <formula>ROUND(O42,2)&lt;&gt;ROUND(O43,2)</formula>
    </cfRule>
  </conditionalFormatting>
  <conditionalFormatting sqref="N43">
    <cfRule type="expression" dxfId="235" priority="14">
      <formula>$G43&lt;&gt;0</formula>
    </cfRule>
  </conditionalFormatting>
  <conditionalFormatting sqref="O53:AA53 AD53 AF53:AG53">
    <cfRule type="expression" dxfId="234" priority="13">
      <formula>ROUND(O52,2)&lt;&gt;ROUND(O53,2)</formula>
    </cfRule>
  </conditionalFormatting>
  <conditionalFormatting sqref="N53">
    <cfRule type="expression" dxfId="233" priority="12">
      <formula>$G53&lt;&gt;0</formula>
    </cfRule>
  </conditionalFormatting>
  <conditionalFormatting sqref="O63:AA63 AD63 AF63:AG63">
    <cfRule type="expression" dxfId="232" priority="11">
      <formula>ROUND(O62,2)&lt;&gt;ROUND(O63,2)</formula>
    </cfRule>
  </conditionalFormatting>
  <conditionalFormatting sqref="N63">
    <cfRule type="expression" dxfId="231" priority="10">
      <formula>$G63&lt;&gt;0</formula>
    </cfRule>
  </conditionalFormatting>
  <conditionalFormatting sqref="O73:AA73 AD73 AF73:AG73">
    <cfRule type="expression" dxfId="230" priority="9">
      <formula>ROUND(O72,2)&lt;&gt;ROUND(O73,2)</formula>
    </cfRule>
  </conditionalFormatting>
  <conditionalFormatting sqref="N73">
    <cfRule type="expression" dxfId="229" priority="8">
      <formula>$G73&lt;&gt;0</formula>
    </cfRule>
  </conditionalFormatting>
  <conditionalFormatting sqref="N82">
    <cfRule type="expression" dxfId="228" priority="7">
      <formula>$G82&lt;&gt;0</formula>
    </cfRule>
  </conditionalFormatting>
  <conditionalFormatting sqref="AD82 AF82:AG82 O82:AA82">
    <cfRule type="expression" dxfId="227" priority="6">
      <formula>ROUND(O81,2)&lt;&gt;ROUND(O82,2)</formula>
    </cfRule>
  </conditionalFormatting>
  <conditionalFormatting sqref="AI43">
    <cfRule type="expression" dxfId="226" priority="5">
      <formula>ROUND(AI42,2)&lt;&gt;ROUND(AI43,2)</formula>
    </cfRule>
  </conditionalFormatting>
  <conditionalFormatting sqref="AI53">
    <cfRule type="expression" dxfId="225" priority="4">
      <formula>ROUND(AI52,2)&lt;&gt;ROUND(AI53,2)</formula>
    </cfRule>
  </conditionalFormatting>
  <conditionalFormatting sqref="AI63">
    <cfRule type="expression" dxfId="224" priority="3">
      <formula>ROUND(AI62,2)&lt;&gt;ROUND(AI63,2)</formula>
    </cfRule>
  </conditionalFormatting>
  <conditionalFormatting sqref="AI73">
    <cfRule type="expression" dxfId="223" priority="2">
      <formula>ROUND(AI72,2)&lt;&gt;ROUND(AI73,2)</formula>
    </cfRule>
  </conditionalFormatting>
  <conditionalFormatting sqref="AI82">
    <cfRule type="expression" dxfId="222" priority="1">
      <formula>ROUND(AI81,2)&lt;&gt;ROUND(AI82,2)</formula>
    </cfRule>
  </conditionalFormatting>
  <dataValidations count="2">
    <dataValidation type="list" allowBlank="1" sqref="B28" xr:uid="{00000000-0002-0000-1900-000000000000}">
      <formula1>"ACCOUNT,BUSINESSUNIT,CATEGORY,DATASRC,DEPARTMENT,INTCO,MEASURES,RPTCURRENCY,TIME"</formula1>
    </dataValidation>
    <dataValidation type="list" allowBlank="1" sqref="B29" xr:uid="{00000000-0002-0000-1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43042"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3042" r:id="rId5" name="FPMExcelClientSheetOptionstb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733</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D2145</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D2145</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disablePrompts="1" count="2">
    <dataValidation type="list" allowBlank="1" sqref="B29 B95 B62" xr:uid="{00000000-0002-0000-1A00-000000000000}">
      <formula1>"SELF,ALL,BAS,DEP,BASMEMBERS,MEMBERS,NOEXPAND,GDEP"</formula1>
    </dataValidation>
    <dataValidation type="list" allowBlank="1" sqref="B28 B94 B61" xr:uid="{00000000-0002-0000-1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733</v>
      </c>
      <c r="C6" s="1" t="s">
        <v>1388</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1389</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1390</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1391</v>
      </c>
      <c r="G19" s="18" t="str">
        <f>$B$6</f>
        <v>D2145</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tr">
        <f>$B$6</f>
        <v>D2145</v>
      </c>
      <c r="H20" s="18">
        <v>946000</v>
      </c>
      <c r="I20" s="19"/>
      <c r="J20" s="19"/>
      <c r="K20" s="18"/>
      <c r="L20" s="19"/>
      <c r="M20" s="19"/>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I21" s="1"/>
      <c r="J21" s="1"/>
    </row>
    <row r="22" spans="1:40" hidden="1" outlineLevel="1" x14ac:dyDescent="0.25">
      <c r="A22" s="6" t="s">
        <v>7</v>
      </c>
      <c r="B22" s="16" t="s">
        <v>1392</v>
      </c>
      <c r="I22" s="1"/>
      <c r="J22" s="1"/>
    </row>
    <row r="23" spans="1:40" hidden="1" outlineLevel="1" x14ac:dyDescent="0.25">
      <c r="A23" s="6" t="s">
        <v>47</v>
      </c>
      <c r="B23" s="16" t="s">
        <v>1393</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1394</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c r="Q35" s="310"/>
      <c r="R35" s="310"/>
      <c r="S35" s="310"/>
      <c r="T35" s="310"/>
      <c r="U35" s="310"/>
      <c r="V35" s="310"/>
      <c r="W35" s="310"/>
      <c r="X35" s="310"/>
      <c r="Y35" s="310"/>
      <c r="Z35" s="310"/>
      <c r="AA35" s="310">
        <f t="shared" ref="AA35:AA58" si="1">IF($I35="B1","",SUM(O35:Z35))</f>
        <v>0</v>
      </c>
      <c r="AB35" s="311" t="str">
        <f t="shared" ref="AB35:AB58" si="2">IF(AA35=0,"",IFERROR(AA35/AA$19,""))</f>
        <v/>
      </c>
      <c r="AC35" s="328"/>
      <c r="AD35" s="310"/>
      <c r="AE35" s="311" t="str">
        <f t="shared" ref="AE35:AE58" si="3">IF(AD35=0,"",IFERROR(AD35/AD$19,""))</f>
        <v/>
      </c>
      <c r="AF35" s="312">
        <f t="shared" ref="AF35:AF58" si="4">IF(AND($AA35="",AD35=""),"",$AA35-AD35)</f>
        <v>0</v>
      </c>
      <c r="AG35" s="310"/>
      <c r="AH35" s="311" t="str">
        <f t="shared" ref="AH35:AH58" si="5">IF(AG35=0,"",IFERROR(AG35/AG$19,""))</f>
        <v/>
      </c>
      <c r="AI35" s="313">
        <f t="shared" ref="AI35:AI58" si="6">IF(AND($AA35="",AG35=""),"",$AA35-AG35)</f>
        <v>0</v>
      </c>
      <c r="AJ35" s="399">
        <f t="shared" ref="AJ35:AJ58" si="7">IFERROR(AA35/AA$20,0)</f>
        <v>0</v>
      </c>
      <c r="AK35" s="400">
        <f t="shared" ref="AK35:AK58" si="8">IFERROR(AD35/AD$20,0)</f>
        <v>0</v>
      </c>
      <c r="AL35" s="401">
        <f t="shared" ref="AL35:AL58" si="9">IFERROR(AG35/AG$20,0)</f>
        <v>0</v>
      </c>
      <c r="AM35" s="402">
        <f t="shared" ref="AM35:AM58" si="10">+IFERROR(ROUND(($AB35-AE35)*100,2)&amp;" pts.",0)</f>
        <v>0</v>
      </c>
      <c r="AN35" s="403">
        <f t="shared" ref="AN35:AN58" si="11">+IFERROR(ROUND(($AB35-AH35)*100,2)&amp;" pts.",0)</f>
        <v>0</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c r="AJ37" s="399">
        <f t="shared" si="7"/>
        <v>0</v>
      </c>
      <c r="AK37" s="400">
        <f t="shared" si="8"/>
        <v>0</v>
      </c>
      <c r="AL37" s="401">
        <f t="shared" si="9"/>
        <v>0</v>
      </c>
      <c r="AM37" s="402">
        <f t="shared" si="10"/>
        <v>0</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c r="P40" s="134"/>
      <c r="Q40" s="134"/>
      <c r="R40" s="134"/>
      <c r="S40" s="134"/>
      <c r="T40" s="134"/>
      <c r="U40" s="134"/>
      <c r="V40" s="134"/>
      <c r="W40" s="134"/>
      <c r="X40" s="134"/>
      <c r="Y40" s="134"/>
      <c r="Z40" s="134"/>
      <c r="AA40" s="134">
        <f t="shared" si="1"/>
        <v>0</v>
      </c>
      <c r="AB40" s="135" t="str">
        <f t="shared" si="2"/>
        <v/>
      </c>
      <c r="AC40" s="137"/>
      <c r="AD40" s="134"/>
      <c r="AE40" s="135" t="str">
        <f t="shared" si="3"/>
        <v/>
      </c>
      <c r="AF40" s="136">
        <f t="shared" si="4"/>
        <v>0</v>
      </c>
      <c r="AG40" s="134"/>
      <c r="AH40" s="135" t="str">
        <f t="shared" si="5"/>
        <v/>
      </c>
      <c r="AI40" s="291">
        <f t="shared" si="6"/>
        <v>0</v>
      </c>
      <c r="AJ40" s="360">
        <f t="shared" si="7"/>
        <v>0</v>
      </c>
      <c r="AK40" s="361">
        <f t="shared" si="8"/>
        <v>0</v>
      </c>
      <c r="AL40" s="363">
        <f t="shared" si="9"/>
        <v>0</v>
      </c>
      <c r="AM40" s="405">
        <f t="shared" si="10"/>
        <v>0</v>
      </c>
      <c r="AN40" s="406">
        <f t="shared" si="11"/>
        <v>0</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c r="Q42" s="310"/>
      <c r="R42" s="310"/>
      <c r="S42" s="310"/>
      <c r="T42" s="310"/>
      <c r="U42" s="310"/>
      <c r="V42" s="310"/>
      <c r="W42" s="310"/>
      <c r="X42" s="310"/>
      <c r="Y42" s="310"/>
      <c r="Z42" s="310"/>
      <c r="AA42" s="310">
        <f t="shared" si="1"/>
        <v>0</v>
      </c>
      <c r="AB42" s="311" t="str">
        <f t="shared" si="2"/>
        <v/>
      </c>
      <c r="AC42" s="328"/>
      <c r="AD42" s="310"/>
      <c r="AE42" s="311" t="str">
        <f t="shared" si="3"/>
        <v/>
      </c>
      <c r="AF42" s="312">
        <f t="shared" si="4"/>
        <v>0</v>
      </c>
      <c r="AG42" s="310"/>
      <c r="AH42" s="311" t="str">
        <f t="shared" si="5"/>
        <v/>
      </c>
      <c r="AI42" s="313">
        <f t="shared" si="6"/>
        <v>0</v>
      </c>
      <c r="AJ42" s="399">
        <f t="shared" si="7"/>
        <v>0</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c r="Y43" s="310"/>
      <c r="Z43" s="310"/>
      <c r="AA43" s="310">
        <f t="shared" si="1"/>
        <v>0</v>
      </c>
      <c r="AB43" s="311" t="str">
        <f t="shared" si="2"/>
        <v/>
      </c>
      <c r="AC43" s="328"/>
      <c r="AD43" s="310"/>
      <c r="AE43" s="311" t="str">
        <f t="shared" si="3"/>
        <v/>
      </c>
      <c r="AF43" s="312">
        <f t="shared" si="4"/>
        <v>0</v>
      </c>
      <c r="AG43" s="310"/>
      <c r="AH43" s="311" t="str">
        <f t="shared" si="5"/>
        <v/>
      </c>
      <c r="AI43" s="313">
        <f t="shared" si="6"/>
        <v>0</v>
      </c>
      <c r="AJ43" s="399">
        <f t="shared" si="7"/>
        <v>0</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c r="P44" s="310"/>
      <c r="Q44" s="310"/>
      <c r="R44" s="310"/>
      <c r="S44" s="310"/>
      <c r="T44" s="310"/>
      <c r="U44" s="310"/>
      <c r="V44" s="310"/>
      <c r="W44" s="310"/>
      <c r="X44" s="310"/>
      <c r="Y44" s="310"/>
      <c r="Z44" s="310"/>
      <c r="AA44" s="310">
        <f t="shared" si="1"/>
        <v>0</v>
      </c>
      <c r="AB44" s="311" t="str">
        <f t="shared" si="2"/>
        <v/>
      </c>
      <c r="AC44" s="328"/>
      <c r="AD44" s="310"/>
      <c r="AE44" s="311" t="str">
        <f t="shared" si="3"/>
        <v/>
      </c>
      <c r="AF44" s="312">
        <f t="shared" si="4"/>
        <v>0</v>
      </c>
      <c r="AG44" s="310"/>
      <c r="AH44" s="311" t="str">
        <f t="shared" si="5"/>
        <v/>
      </c>
      <c r="AI44" s="313">
        <f t="shared" si="6"/>
        <v>0</v>
      </c>
      <c r="AJ44" s="399">
        <f t="shared" si="7"/>
        <v>0</v>
      </c>
      <c r="AK44" s="400">
        <f t="shared" si="8"/>
        <v>0</v>
      </c>
      <c r="AL44" s="401">
        <f t="shared" si="9"/>
        <v>0</v>
      </c>
      <c r="AM44" s="402">
        <f t="shared" si="10"/>
        <v>0</v>
      </c>
      <c r="AN44" s="403">
        <f t="shared" si="11"/>
        <v>0</v>
      </c>
    </row>
    <row r="45" spans="1:40" x14ac:dyDescent="0.25">
      <c r="H45" s="15" t="s">
        <v>270</v>
      </c>
      <c r="I45" s="161" t="s">
        <v>1058</v>
      </c>
      <c r="J45" s="161" t="s">
        <v>78</v>
      </c>
      <c r="K45" s="68" t="str">
        <f t="shared" si="0"/>
        <v>&gt;</v>
      </c>
      <c r="L45" s="162"/>
      <c r="M45" s="162"/>
      <c r="N45" s="162" t="s">
        <v>1319</v>
      </c>
      <c r="O45" s="309"/>
      <c r="P45" s="310"/>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c r="P47" s="134"/>
      <c r="Q47" s="134"/>
      <c r="R47" s="134"/>
      <c r="S47" s="134"/>
      <c r="T47" s="134"/>
      <c r="U47" s="134"/>
      <c r="V47" s="134"/>
      <c r="W47" s="134"/>
      <c r="X47" s="134"/>
      <c r="Y47" s="134"/>
      <c r="Z47" s="134"/>
      <c r="AA47" s="134">
        <f t="shared" si="1"/>
        <v>0</v>
      </c>
      <c r="AB47" s="135" t="str">
        <f t="shared" si="2"/>
        <v/>
      </c>
      <c r="AC47" s="137"/>
      <c r="AD47" s="134"/>
      <c r="AE47" s="135" t="str">
        <f t="shared" si="3"/>
        <v/>
      </c>
      <c r="AF47" s="136">
        <f t="shared" si="4"/>
        <v>0</v>
      </c>
      <c r="AG47" s="134"/>
      <c r="AH47" s="135" t="str">
        <f t="shared" si="5"/>
        <v/>
      </c>
      <c r="AI47" s="291">
        <f t="shared" si="6"/>
        <v>0</v>
      </c>
      <c r="AJ47" s="360">
        <f t="shared" si="7"/>
        <v>0</v>
      </c>
      <c r="AK47" s="361">
        <f t="shared" si="8"/>
        <v>0</v>
      </c>
      <c r="AL47" s="363">
        <f t="shared" si="9"/>
        <v>0</v>
      </c>
      <c r="AM47" s="405">
        <f t="shared" si="10"/>
        <v>0</v>
      </c>
      <c r="AN47" s="406">
        <f t="shared" si="11"/>
        <v>0</v>
      </c>
    </row>
    <row r="48" spans="1:40" x14ac:dyDescent="0.25">
      <c r="H48" s="15" t="s">
        <v>486</v>
      </c>
      <c r="I48" s="161" t="s">
        <v>1058</v>
      </c>
      <c r="J48" s="161" t="s">
        <v>78</v>
      </c>
      <c r="K48" s="68" t="str">
        <f t="shared" si="0"/>
        <v>&gt;</v>
      </c>
      <c r="L48" s="162"/>
      <c r="M48" s="162"/>
      <c r="N48" s="162" t="s">
        <v>1213</v>
      </c>
      <c r="O48" s="330"/>
      <c r="P48" s="47"/>
      <c r="Q48" s="47"/>
      <c r="R48" s="47"/>
      <c r="S48" s="47"/>
      <c r="T48" s="47"/>
      <c r="U48" s="47"/>
      <c r="V48" s="47"/>
      <c r="W48" s="47"/>
      <c r="X48" s="47"/>
      <c r="Y48" s="47"/>
      <c r="Z48" s="47"/>
      <c r="AA48" s="47">
        <f t="shared" si="1"/>
        <v>0</v>
      </c>
      <c r="AB48" s="48" t="str">
        <f t="shared" si="2"/>
        <v/>
      </c>
      <c r="AC48" s="54"/>
      <c r="AD48" s="47"/>
      <c r="AE48" s="48" t="str">
        <f t="shared" si="3"/>
        <v/>
      </c>
      <c r="AF48" s="150">
        <f t="shared" si="4"/>
        <v>0</v>
      </c>
      <c r="AG48" s="47"/>
      <c r="AH48" s="48" t="str">
        <f t="shared" si="5"/>
        <v/>
      </c>
      <c r="AI48" s="331">
        <f t="shared" si="6"/>
        <v>0</v>
      </c>
      <c r="AJ48" s="420">
        <f t="shared" si="7"/>
        <v>0</v>
      </c>
      <c r="AK48" s="421">
        <f t="shared" si="8"/>
        <v>0</v>
      </c>
      <c r="AL48" s="422">
        <f t="shared" si="9"/>
        <v>0</v>
      </c>
      <c r="AM48" s="423">
        <f t="shared" si="10"/>
        <v>0</v>
      </c>
      <c r="AN48" s="424">
        <f t="shared" si="11"/>
        <v>0</v>
      </c>
    </row>
    <row r="49" spans="1:40" x14ac:dyDescent="0.25">
      <c r="A49" s="3" t="s">
        <v>0</v>
      </c>
      <c r="B49" s="5" t="s">
        <v>1</v>
      </c>
      <c r="H49" s="15" t="s">
        <v>273</v>
      </c>
      <c r="I49" s="479" t="s">
        <v>1064</v>
      </c>
      <c r="J49" s="479" t="s">
        <v>78</v>
      </c>
      <c r="K49" s="480" t="str">
        <f t="shared" si="0"/>
        <v/>
      </c>
      <c r="L49" s="170"/>
      <c r="M49" s="170"/>
      <c r="N49" s="170" t="s">
        <v>1214</v>
      </c>
      <c r="O49" s="224"/>
      <c r="P49" s="134"/>
      <c r="Q49" s="134"/>
      <c r="R49" s="134"/>
      <c r="S49" s="134"/>
      <c r="T49" s="134"/>
      <c r="U49" s="134"/>
      <c r="V49" s="134"/>
      <c r="W49" s="134"/>
      <c r="X49" s="134"/>
      <c r="Y49" s="134"/>
      <c r="Z49" s="134"/>
      <c r="AA49" s="134">
        <f t="shared" si="1"/>
        <v>0</v>
      </c>
      <c r="AB49" s="135" t="str">
        <f t="shared" si="2"/>
        <v/>
      </c>
      <c r="AC49" s="137"/>
      <c r="AD49" s="134"/>
      <c r="AE49" s="135" t="str">
        <f t="shared" si="3"/>
        <v/>
      </c>
      <c r="AF49" s="136">
        <f t="shared" si="4"/>
        <v>0</v>
      </c>
      <c r="AG49" s="134"/>
      <c r="AH49" s="135" t="str">
        <f t="shared" si="5"/>
        <v/>
      </c>
      <c r="AI49" s="291">
        <f t="shared" si="6"/>
        <v>0</v>
      </c>
      <c r="AJ49" s="360">
        <f t="shared" si="7"/>
        <v>0</v>
      </c>
      <c r="AK49" s="361">
        <f t="shared" si="8"/>
        <v>0</v>
      </c>
      <c r="AL49" s="363">
        <f t="shared" si="9"/>
        <v>0</v>
      </c>
      <c r="AM49" s="405">
        <f t="shared" si="10"/>
        <v>0</v>
      </c>
      <c r="AN49" s="406">
        <f t="shared" si="11"/>
        <v>0</v>
      </c>
    </row>
    <row r="50" spans="1:40" x14ac:dyDescent="0.25">
      <c r="A50" s="6" t="s">
        <v>2</v>
      </c>
      <c r="B50" s="16" t="s">
        <v>1389</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1390</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1395</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c r="P54" s="310"/>
      <c r="Q54" s="310"/>
      <c r="R54" s="310"/>
      <c r="S54" s="310"/>
      <c r="T54" s="310"/>
      <c r="U54" s="310"/>
      <c r="V54" s="310"/>
      <c r="W54" s="310"/>
      <c r="X54" s="310"/>
      <c r="Y54" s="310"/>
      <c r="Z54" s="310"/>
      <c r="AA54" s="310">
        <f t="shared" si="1"/>
        <v>0</v>
      </c>
      <c r="AB54" s="311" t="str">
        <f t="shared" si="2"/>
        <v/>
      </c>
      <c r="AC54" s="328"/>
      <c r="AD54" s="310"/>
      <c r="AE54" s="311" t="str">
        <f t="shared" si="3"/>
        <v/>
      </c>
      <c r="AF54" s="312">
        <f t="shared" si="4"/>
        <v>0</v>
      </c>
      <c r="AG54" s="310"/>
      <c r="AH54" s="311" t="str">
        <f t="shared" si="5"/>
        <v/>
      </c>
      <c r="AI54" s="313">
        <f t="shared" si="6"/>
        <v>0</v>
      </c>
      <c r="AJ54" s="399">
        <f t="shared" si="7"/>
        <v>0</v>
      </c>
      <c r="AK54" s="400">
        <f t="shared" si="8"/>
        <v>0</v>
      </c>
      <c r="AL54" s="401">
        <f t="shared" si="9"/>
        <v>0</v>
      </c>
      <c r="AM54" s="402">
        <f t="shared" si="10"/>
        <v>0</v>
      </c>
      <c r="AN54" s="403">
        <f t="shared" si="11"/>
        <v>0</v>
      </c>
    </row>
    <row r="55" spans="1:40" x14ac:dyDescent="0.25">
      <c r="A55" s="6" t="s">
        <v>7</v>
      </c>
      <c r="B55" s="16" t="s">
        <v>1396</v>
      </c>
      <c r="F55" s="152"/>
      <c r="H55" s="15" t="s">
        <v>283</v>
      </c>
      <c r="I55" s="161" t="s">
        <v>1058</v>
      </c>
      <c r="J55" s="161" t="s">
        <v>78</v>
      </c>
      <c r="K55" s="68" t="str">
        <f t="shared" si="0"/>
        <v>&gt;</v>
      </c>
      <c r="L55" s="162"/>
      <c r="M55" s="162"/>
      <c r="N55" s="162" t="s">
        <v>1220</v>
      </c>
      <c r="O55" s="309"/>
      <c r="P55" s="310"/>
      <c r="Q55" s="310"/>
      <c r="R55" s="310"/>
      <c r="S55" s="310"/>
      <c r="T55" s="310"/>
      <c r="U55" s="310"/>
      <c r="V55" s="310"/>
      <c r="W55" s="310"/>
      <c r="X55" s="310"/>
      <c r="Y55" s="310"/>
      <c r="Z55" s="310"/>
      <c r="AA55" s="310">
        <f t="shared" si="1"/>
        <v>0</v>
      </c>
      <c r="AB55" s="311" t="str">
        <f t="shared" si="2"/>
        <v/>
      </c>
      <c r="AC55" s="328"/>
      <c r="AD55" s="310"/>
      <c r="AE55" s="311" t="str">
        <f t="shared" si="3"/>
        <v/>
      </c>
      <c r="AF55" s="312">
        <f t="shared" si="4"/>
        <v>0</v>
      </c>
      <c r="AG55" s="310"/>
      <c r="AH55" s="311" t="str">
        <f t="shared" si="5"/>
        <v/>
      </c>
      <c r="AI55" s="313">
        <f t="shared" si="6"/>
        <v>0</v>
      </c>
      <c r="AJ55" s="399">
        <f t="shared" si="7"/>
        <v>0</v>
      </c>
      <c r="AK55" s="400">
        <f t="shared" si="8"/>
        <v>0</v>
      </c>
      <c r="AL55" s="401">
        <f t="shared" si="9"/>
        <v>0</v>
      </c>
      <c r="AM55" s="402">
        <f t="shared" si="10"/>
        <v>0</v>
      </c>
      <c r="AN55" s="403">
        <f t="shared" si="11"/>
        <v>0</v>
      </c>
    </row>
    <row r="56" spans="1:40" x14ac:dyDescent="0.25">
      <c r="A56" s="6" t="s">
        <v>47</v>
      </c>
      <c r="B56" s="16" t="s">
        <v>1393</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c r="P57" s="36"/>
      <c r="Q57" s="36"/>
      <c r="R57" s="36"/>
      <c r="S57" s="36"/>
      <c r="T57" s="36"/>
      <c r="U57" s="36"/>
      <c r="V57" s="36"/>
      <c r="W57" s="36"/>
      <c r="X57" s="36"/>
      <c r="Y57" s="36"/>
      <c r="Z57" s="36"/>
      <c r="AA57" s="36">
        <f t="shared" si="1"/>
        <v>0</v>
      </c>
      <c r="AB57" s="37" t="str">
        <f t="shared" si="2"/>
        <v/>
      </c>
      <c r="AC57" s="35"/>
      <c r="AD57" s="36"/>
      <c r="AE57" s="37" t="str">
        <f t="shared" si="3"/>
        <v/>
      </c>
      <c r="AF57" s="58">
        <f t="shared" si="4"/>
        <v>0</v>
      </c>
      <c r="AG57" s="36"/>
      <c r="AH57" s="37" t="str">
        <f t="shared" si="5"/>
        <v/>
      </c>
      <c r="AI57" s="292">
        <f t="shared" si="6"/>
        <v>0</v>
      </c>
      <c r="AJ57" s="372">
        <f t="shared" si="7"/>
        <v>0</v>
      </c>
      <c r="AK57" s="373">
        <f t="shared" si="8"/>
        <v>0</v>
      </c>
      <c r="AL57" s="375">
        <f t="shared" si="9"/>
        <v>0</v>
      </c>
      <c r="AM57" s="407">
        <f t="shared" si="10"/>
        <v>0</v>
      </c>
      <c r="AN57" s="408">
        <f t="shared" si="11"/>
        <v>0</v>
      </c>
    </row>
    <row r="58" spans="1:40" x14ac:dyDescent="0.25">
      <c r="G58" s="14"/>
      <c r="H58" s="15" t="s">
        <v>280</v>
      </c>
      <c r="I58" s="479" t="s">
        <v>1012</v>
      </c>
      <c r="J58" s="479" t="s">
        <v>78</v>
      </c>
      <c r="K58" s="480" t="str">
        <f t="shared" si="0"/>
        <v/>
      </c>
      <c r="L58" s="170">
        <v>400000</v>
      </c>
      <c r="M58" s="170"/>
      <c r="N58" s="170" t="s">
        <v>1003</v>
      </c>
      <c r="O58" s="224"/>
      <c r="P58" s="134"/>
      <c r="Q58" s="134"/>
      <c r="R58" s="134"/>
      <c r="S58" s="134"/>
      <c r="T58" s="134"/>
      <c r="U58" s="134"/>
      <c r="V58" s="134"/>
      <c r="W58" s="134"/>
      <c r="X58" s="134"/>
      <c r="Y58" s="134"/>
      <c r="Z58" s="134"/>
      <c r="AA58" s="134">
        <f t="shared" si="1"/>
        <v>0</v>
      </c>
      <c r="AB58" s="135" t="str">
        <f t="shared" si="2"/>
        <v/>
      </c>
      <c r="AC58" s="137"/>
      <c r="AD58" s="134"/>
      <c r="AE58" s="135" t="str">
        <f t="shared" si="3"/>
        <v/>
      </c>
      <c r="AF58" s="136">
        <f t="shared" si="4"/>
        <v>0</v>
      </c>
      <c r="AG58" s="134"/>
      <c r="AH58" s="135" t="str">
        <f t="shared" si="5"/>
        <v/>
      </c>
      <c r="AI58" s="291">
        <f t="shared" si="6"/>
        <v>0</v>
      </c>
      <c r="AJ58" s="360">
        <f t="shared" si="7"/>
        <v>0</v>
      </c>
      <c r="AK58" s="361">
        <f t="shared" si="8"/>
        <v>0</v>
      </c>
      <c r="AL58" s="363">
        <f t="shared" si="9"/>
        <v>0</v>
      </c>
      <c r="AM58" s="405">
        <f t="shared" si="10"/>
        <v>0</v>
      </c>
      <c r="AN58" s="406">
        <f t="shared"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c r="P62" s="310"/>
      <c r="Q62" s="310"/>
      <c r="R62" s="310"/>
      <c r="S62" s="310"/>
      <c r="T62" s="310"/>
      <c r="U62" s="310"/>
      <c r="V62" s="310"/>
      <c r="W62" s="310"/>
      <c r="X62" s="310"/>
      <c r="Y62" s="310"/>
      <c r="Z62" s="310"/>
      <c r="AA62" s="310">
        <f t="shared" ref="AA62:AA70" si="13">IF($I62="B1","",SUM(O62:Z62))</f>
        <v>0</v>
      </c>
      <c r="AB62" s="311"/>
      <c r="AC62" s="328"/>
      <c r="AD62" s="310"/>
      <c r="AE62" s="311"/>
      <c r="AF62" s="312">
        <f t="shared" ref="AF62:AF72" si="14">IF(AND($AA62="",AD62=""),"",$AA62-AD62)</f>
        <v>0</v>
      </c>
      <c r="AG62" s="310"/>
      <c r="AH62" s="311"/>
      <c r="AI62" s="313">
        <f t="shared" ref="AI62:AI72" si="15">IF(AND($AA62="",AG62=""),"",$AA62-AG62)</f>
        <v>0</v>
      </c>
      <c r="AJ62" s="399">
        <f t="shared" ref="AJ62:AJ70" si="16">IFERROR(AA62/AA$20,0)</f>
        <v>0</v>
      </c>
      <c r="AK62" s="400">
        <f t="shared" ref="AK62:AK70" si="17">IFERROR(AD62/AD$20,0)</f>
        <v>0</v>
      </c>
      <c r="AL62" s="401">
        <f t="shared" ref="AL62:AL70" si="18">IFERROR(AG62/AG$20,0)</f>
        <v>0</v>
      </c>
      <c r="AM62" s="402" t="str">
        <f t="shared" ref="AM62:AM70" si="19">+IFERROR(ROUND(($AB62-AE62)*100,2)&amp;" pts.",0)</f>
        <v>0 pts.</v>
      </c>
      <c r="AN62" s="403" t="str">
        <f t="shared" ref="AN62:AN70" si="20">+IFERROR(ROUND(($AB62-AH62)*100,2)&amp;" pts.",0)</f>
        <v>0 pts.</v>
      </c>
    </row>
    <row r="63" spans="1:40" x14ac:dyDescent="0.25">
      <c r="A63" s="6" t="s">
        <v>14</v>
      </c>
      <c r="B63" s="7"/>
      <c r="H63" s="15" t="s">
        <v>636</v>
      </c>
      <c r="I63" s="161" t="s">
        <v>1058</v>
      </c>
      <c r="J63" s="161" t="s">
        <v>78</v>
      </c>
      <c r="K63" s="68" t="str">
        <f t="shared" si="12"/>
        <v>&gt;</v>
      </c>
      <c r="L63" s="162"/>
      <c r="M63" s="162"/>
      <c r="N63" s="162" t="s">
        <v>1226</v>
      </c>
      <c r="O63" s="323"/>
      <c r="P63" s="324"/>
      <c r="Q63" s="324"/>
      <c r="R63" s="324"/>
      <c r="S63" s="324"/>
      <c r="T63" s="324"/>
      <c r="U63" s="324"/>
      <c r="V63" s="324"/>
      <c r="W63" s="324"/>
      <c r="X63" s="324"/>
      <c r="Y63" s="324"/>
      <c r="Z63" s="324"/>
      <c r="AA63" s="324">
        <f t="shared" si="13"/>
        <v>0</v>
      </c>
      <c r="AB63" s="325"/>
      <c r="AC63" s="290"/>
      <c r="AD63" s="324"/>
      <c r="AE63" s="325"/>
      <c r="AF63" s="326">
        <f t="shared" si="14"/>
        <v>0</v>
      </c>
      <c r="AG63" s="324"/>
      <c r="AH63" s="325"/>
      <c r="AI63" s="327">
        <f t="shared" si="15"/>
        <v>0</v>
      </c>
      <c r="AJ63" s="409">
        <f t="shared" si="16"/>
        <v>0</v>
      </c>
      <c r="AK63" s="410">
        <f t="shared" si="17"/>
        <v>0</v>
      </c>
      <c r="AL63" s="411">
        <f t="shared" si="18"/>
        <v>0</v>
      </c>
      <c r="AM63" s="412" t="str">
        <f t="shared" si="19"/>
        <v>0 pts.</v>
      </c>
      <c r="AN63" s="413" t="str">
        <f t="shared" si="20"/>
        <v>0 pts.</v>
      </c>
    </row>
    <row r="64" spans="1:40" x14ac:dyDescent="0.25">
      <c r="A64" s="6" t="s">
        <v>15</v>
      </c>
      <c r="B64" s="7"/>
      <c r="H64" s="15" t="s">
        <v>286</v>
      </c>
      <c r="I64" s="479" t="s">
        <v>1064</v>
      </c>
      <c r="J64" s="479" t="s">
        <v>78</v>
      </c>
      <c r="K64" s="480" t="str">
        <f t="shared" si="12"/>
        <v/>
      </c>
      <c r="L64" s="170"/>
      <c r="M64" s="170"/>
      <c r="N64" s="170" t="s">
        <v>1227</v>
      </c>
      <c r="O64" s="224"/>
      <c r="P64" s="134"/>
      <c r="Q64" s="134"/>
      <c r="R64" s="134"/>
      <c r="S64" s="134"/>
      <c r="T64" s="134"/>
      <c r="U64" s="134"/>
      <c r="V64" s="134"/>
      <c r="W64" s="134"/>
      <c r="X64" s="134"/>
      <c r="Y64" s="134"/>
      <c r="Z64" s="134"/>
      <c r="AA64" s="134">
        <f t="shared" si="13"/>
        <v>0</v>
      </c>
      <c r="AB64" s="135"/>
      <c r="AC64" s="137"/>
      <c r="AD64" s="134"/>
      <c r="AE64" s="135"/>
      <c r="AF64" s="136">
        <f t="shared" si="14"/>
        <v>0</v>
      </c>
      <c r="AG64" s="134"/>
      <c r="AH64" s="135"/>
      <c r="AI64" s="291">
        <f t="shared" si="15"/>
        <v>0</v>
      </c>
      <c r="AJ64" s="360">
        <f t="shared" si="16"/>
        <v>0</v>
      </c>
      <c r="AK64" s="361">
        <f t="shared" si="17"/>
        <v>0</v>
      </c>
      <c r="AL64" s="363">
        <f t="shared" si="18"/>
        <v>0</v>
      </c>
      <c r="AM64" s="405" t="str">
        <f t="shared" si="19"/>
        <v>0 pts.</v>
      </c>
      <c r="AN64" s="406" t="str">
        <f t="shared" si="20"/>
        <v>0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c r="P70" s="134"/>
      <c r="Q70" s="134"/>
      <c r="R70" s="134"/>
      <c r="S70" s="134"/>
      <c r="T70" s="134"/>
      <c r="U70" s="134"/>
      <c r="V70" s="134"/>
      <c r="W70" s="134"/>
      <c r="X70" s="134"/>
      <c r="Y70" s="134"/>
      <c r="Z70" s="134"/>
      <c r="AA70" s="134">
        <f t="shared" si="13"/>
        <v>0</v>
      </c>
      <c r="AB70" s="135"/>
      <c r="AC70" s="137"/>
      <c r="AD70" s="134"/>
      <c r="AE70" s="135"/>
      <c r="AF70" s="136">
        <f t="shared" si="14"/>
        <v>0</v>
      </c>
      <c r="AG70" s="134"/>
      <c r="AH70" s="135"/>
      <c r="AI70" s="291">
        <f t="shared" si="15"/>
        <v>0</v>
      </c>
      <c r="AJ70" s="360">
        <f t="shared" si="16"/>
        <v>0</v>
      </c>
      <c r="AK70" s="361">
        <f t="shared" si="17"/>
        <v>0</v>
      </c>
      <c r="AL70" s="363">
        <f t="shared" si="18"/>
        <v>0</v>
      </c>
      <c r="AM70" s="405" t="str">
        <f t="shared" si="19"/>
        <v>0 pts.</v>
      </c>
      <c r="AN70" s="406" t="str">
        <f t="shared" si="20"/>
        <v>0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0</v>
      </c>
      <c r="P72" s="164">
        <f t="shared" si="21"/>
        <v>0</v>
      </c>
      <c r="Q72" s="164">
        <f t="shared" si="21"/>
        <v>0</v>
      </c>
      <c r="R72" s="164">
        <f t="shared" si="21"/>
        <v>0</v>
      </c>
      <c r="S72" s="164">
        <f t="shared" si="21"/>
        <v>0</v>
      </c>
      <c r="T72" s="164">
        <f t="shared" si="21"/>
        <v>0</v>
      </c>
      <c r="U72" s="164">
        <f t="shared" si="21"/>
        <v>0</v>
      </c>
      <c r="V72" s="164">
        <f t="shared" si="21"/>
        <v>0</v>
      </c>
      <c r="W72" s="164">
        <f t="shared" si="21"/>
        <v>0</v>
      </c>
      <c r="X72" s="164">
        <f t="shared" si="21"/>
        <v>0</v>
      </c>
      <c r="Y72" s="164">
        <f t="shared" si="21"/>
        <v>0</v>
      </c>
      <c r="Z72" s="164">
        <f t="shared" si="21"/>
        <v>0</v>
      </c>
      <c r="AA72" s="134">
        <f>IF($I72="B1","",SUM(O72:Z72))</f>
        <v>0</v>
      </c>
      <c r="AB72" s="135" t="str">
        <f>IF(AA72=0,"",IFERROR(AA72/AA$19,""))</f>
        <v/>
      </c>
      <c r="AD72" s="164">
        <f>SUMIF($H$35:$H$70,"400000",AD35:AD70)-SUMIF($H$35:$H$70,"500001",AD35:AD70)</f>
        <v>0</v>
      </c>
      <c r="AE72" s="135" t="str">
        <f>IF(AD72=0,"",IFERROR(AD72/AD$19,""))</f>
        <v/>
      </c>
      <c r="AF72" s="165">
        <f t="shared" si="14"/>
        <v>0</v>
      </c>
      <c r="AG72" s="164">
        <f>SUMIF($H$35:$H$70,"400000",AG35:AG70)-SUMIF($H$35:$H$70,"500001",AG35:AG70)</f>
        <v>0</v>
      </c>
      <c r="AH72" s="135" t="str">
        <f>IF(AG72=0,"",IFERROR(AG72/AG$19,""))</f>
        <v/>
      </c>
      <c r="AI72" s="165">
        <f t="shared" si="15"/>
        <v>0</v>
      </c>
      <c r="AJ72" s="360">
        <f>IFERROR(AA72/AA$20,0)</f>
        <v>0</v>
      </c>
      <c r="AK72" s="361">
        <f>IFERROR(AD72/AD$20,0)</f>
        <v>0</v>
      </c>
      <c r="AL72" s="363">
        <f>IFERROR(AG72/AG$20,0)</f>
        <v>0</v>
      </c>
      <c r="AM72" s="405">
        <f>+IFERROR(ROUND(($AB72-AE72)*100,2)&amp;" pts.",0)</f>
        <v>0</v>
      </c>
      <c r="AN72" s="406">
        <f>+IFERROR(ROUND(($AB72-AH72)*100,2)&amp;"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IF(AND(I76&gt;="T3"),"&gt;","")</f>
        <v/>
      </c>
      <c r="L76" s="162"/>
      <c r="M76" s="162"/>
      <c r="N76" s="162"/>
      <c r="O76" s="38"/>
      <c r="P76" s="38"/>
      <c r="Q76" s="38"/>
      <c r="R76" s="38"/>
      <c r="S76" s="38"/>
      <c r="T76" s="38"/>
      <c r="U76" s="38"/>
      <c r="V76" s="38"/>
      <c r="W76" s="38"/>
      <c r="X76" s="38"/>
      <c r="Y76" s="38"/>
      <c r="Z76" s="38"/>
      <c r="AA76" s="310">
        <f>IF($I76="B1","",SUM(O76:Z76))</f>
        <v>0</v>
      </c>
      <c r="AB76" s="39" t="str">
        <f>IF(AA76=0,"",IFERROR(AA76/AA$19,""))</f>
        <v/>
      </c>
      <c r="AD76" s="38"/>
      <c r="AE76" s="39" t="str">
        <f>IF(AD76=0,"",IFERROR(AD76/AD$19,""))</f>
        <v/>
      </c>
      <c r="AF76" s="132">
        <f>IF(AND($AA76="",AD76=""),"",$AA76-AD76)</f>
        <v>0</v>
      </c>
      <c r="AG76" s="38"/>
      <c r="AH76" s="39" t="str">
        <f>IF(AG76=0,"",IFERROR(AG76/AG$19,""))</f>
        <v/>
      </c>
      <c r="AI76" s="132">
        <f>IF(AND($AA76="",AG76=""),"",$AA76-AG76)</f>
        <v>0</v>
      </c>
      <c r="AJ76" s="399">
        <f>IFERROR(AA76/AA$20,0)</f>
        <v>0</v>
      </c>
      <c r="AK76" s="400">
        <f>IFERROR(AD76/AD$20,0)</f>
        <v>0</v>
      </c>
      <c r="AL76" s="401">
        <f>IFERROR(AG76/AG$20,0)</f>
        <v>0</v>
      </c>
      <c r="AM76" s="402">
        <f>+IFERROR(ROUND(($AB76-AE76)*100,2)&amp;" pts.",0)</f>
        <v>0</v>
      </c>
      <c r="AN76" s="403">
        <f>+IFERROR(ROUND(($AB76-AH76)*100,2)&amp;" pts.",0)</f>
        <v>0</v>
      </c>
    </row>
    <row r="77" spans="1:40" hidden="1" x14ac:dyDescent="0.25">
      <c r="A77" s="1" t="s">
        <v>108</v>
      </c>
      <c r="C77" s="151" t="s">
        <v>101</v>
      </c>
      <c r="D77" s="1" t="s">
        <v>107</v>
      </c>
      <c r="F77" s="1" t="s">
        <v>99</v>
      </c>
      <c r="H77" s="15"/>
      <c r="I77" s="161"/>
      <c r="J77" s="161"/>
      <c r="K77" s="68" t="str">
        <f>IF(AND(I77&gt;="T3"),"&gt;","")</f>
        <v/>
      </c>
      <c r="L77" s="162"/>
      <c r="M77" s="162"/>
      <c r="N77" s="162"/>
      <c r="O77" s="38"/>
      <c r="P77" s="38"/>
      <c r="Q77" s="38"/>
      <c r="R77" s="38"/>
      <c r="S77" s="38"/>
      <c r="T77" s="38"/>
      <c r="U77" s="38"/>
      <c r="V77" s="38"/>
      <c r="W77" s="38"/>
      <c r="X77" s="38"/>
      <c r="Y77" s="38"/>
      <c r="Z77" s="38"/>
      <c r="AA77" s="310">
        <f>IF($I77="B1","",SUM(O77:Z77))</f>
        <v>0</v>
      </c>
      <c r="AB77" s="39" t="str">
        <f>IF(AA77=0,"",IFERROR(AA77/AA$19,""))</f>
        <v/>
      </c>
      <c r="AD77" s="38"/>
      <c r="AE77" s="39" t="str">
        <f>IF(AD77=0,"",IFERROR(AD77/AD$19,""))</f>
        <v/>
      </c>
      <c r="AF77" s="132">
        <f>IF(AND($AA77="",AD77=""),"",$AA77-AD77)</f>
        <v>0</v>
      </c>
      <c r="AG77" s="38"/>
      <c r="AH77" s="39" t="str">
        <f>IF(AG77=0,"",IFERROR(AG77/AG$19,""))</f>
        <v/>
      </c>
      <c r="AI77" s="132">
        <f>IF(AND($AA77="",AG77=""),"",$AA77-AG77)</f>
        <v>0</v>
      </c>
      <c r="AJ77" s="399">
        <f>IFERROR(AA77/AA$20,0)</f>
        <v>0</v>
      </c>
      <c r="AK77" s="400">
        <f>IFERROR(AD77/AD$20,0)</f>
        <v>0</v>
      </c>
      <c r="AL77" s="401">
        <f>IFERROR(AG77/AG$20,0)</f>
        <v>0</v>
      </c>
      <c r="AM77" s="402">
        <f>+IFERROR(ROUND(($AB77-AE77)*100,2)&amp;" pts.",0)</f>
        <v>0</v>
      </c>
      <c r="AN77" s="403">
        <f>+IFERROR(ROUND(($AB77-AH77)*100,2)&amp;" pts.",0)</f>
        <v>0</v>
      </c>
    </row>
    <row r="78" spans="1:40" x14ac:dyDescent="0.25">
      <c r="H78" s="15" t="s">
        <v>75</v>
      </c>
      <c r="I78" s="28" t="s">
        <v>1011</v>
      </c>
      <c r="J78" s="28" t="s">
        <v>78</v>
      </c>
      <c r="K78" s="69" t="str">
        <f>IF(AND(I78&gt;="T3"),"&gt;","")</f>
        <v/>
      </c>
      <c r="L78" s="25"/>
      <c r="M78" s="162"/>
      <c r="N78" s="25" t="s">
        <v>1082</v>
      </c>
      <c r="O78" s="38"/>
      <c r="P78" s="38"/>
      <c r="Q78" s="38"/>
      <c r="R78" s="38"/>
      <c r="S78" s="38"/>
      <c r="T78" s="38"/>
      <c r="U78" s="38"/>
      <c r="V78" s="38"/>
      <c r="W78" s="38"/>
      <c r="X78" s="38"/>
      <c r="Y78" s="38"/>
      <c r="Z78" s="38"/>
      <c r="AA78" s="310" t="str">
        <f>IF($I78="B1","",SUM(O78:Z78))</f>
        <v/>
      </c>
      <c r="AB78" s="39" t="str">
        <f>IF(AA78=0,"",IFERROR(AA78/AA$19,""))</f>
        <v/>
      </c>
      <c r="AD78" s="38"/>
      <c r="AE78" s="39" t="str">
        <f>IF(AD78=0,"",IFERROR(AD78/AD$19,""))</f>
        <v/>
      </c>
      <c r="AF78" s="132" t="str">
        <f>IF(AND($AA78="",AD78=""),"",$AA78-AD78)</f>
        <v/>
      </c>
      <c r="AG78" s="38"/>
      <c r="AH78" s="39" t="str">
        <f>IF(AG78=0,"",IFERROR(AG78/AG$19,""))</f>
        <v/>
      </c>
      <c r="AI78" s="132" t="str">
        <f>IF(AND($AA78="",AG78=""),"",$AA78-AG78)</f>
        <v/>
      </c>
      <c r="AJ78" s="399">
        <f>IFERROR(AA78/AA$20,0)</f>
        <v>0</v>
      </c>
      <c r="AK78" s="400">
        <f>IFERROR(AD78/AD$20,0)</f>
        <v>0</v>
      </c>
      <c r="AL78" s="401">
        <f>IFERROR(AG78/AG$20,0)</f>
        <v>0</v>
      </c>
      <c r="AM78" s="402">
        <f>+IFERROR(ROUND(($AB78-AE78)*100,2)&amp;" pts.",0)</f>
        <v>0</v>
      </c>
      <c r="AN78" s="403">
        <f>+IFERROR(ROUND(($AB78-AH78)*100,2)&amp;" pts.",0)</f>
        <v>0</v>
      </c>
    </row>
    <row r="79" spans="1:40" hidden="1" x14ac:dyDescent="0.25">
      <c r="C79" s="32"/>
      <c r="H79" s="15" t="s">
        <v>667</v>
      </c>
      <c r="I79" s="161"/>
      <c r="J79" s="161"/>
      <c r="K79" s="68" t="str">
        <f>IF(AND(I79&gt;="T3"),"&gt;","")</f>
        <v/>
      </c>
      <c r="L79" s="162"/>
      <c r="M79" s="162"/>
      <c r="N79" s="162"/>
      <c r="O79" s="47"/>
      <c r="P79" s="47"/>
      <c r="Q79" s="47"/>
      <c r="R79" s="47"/>
      <c r="S79" s="47"/>
      <c r="T79" s="47"/>
      <c r="U79" s="47"/>
      <c r="V79" s="47"/>
      <c r="W79" s="47"/>
      <c r="X79" s="47"/>
      <c r="Y79" s="47"/>
      <c r="Z79" s="47"/>
      <c r="AA79" s="324">
        <f>IF($I79="B1","",SUM(O79:Z79))</f>
        <v>0</v>
      </c>
      <c r="AB79" s="48" t="str">
        <f>IF(AA79=0,"",IFERROR(AA79/AA$19,""))</f>
        <v/>
      </c>
      <c r="AD79" s="47"/>
      <c r="AE79" s="48" t="str">
        <f>IF(AD79=0,"",IFERROR(AD79/AD$19,""))</f>
        <v/>
      </c>
      <c r="AF79" s="150">
        <f>IF(AND($AA79="",AD79=""),"",$AA79-AD79)</f>
        <v>0</v>
      </c>
      <c r="AG79" s="47"/>
      <c r="AH79" s="48" t="str">
        <f>IF(AG79=0,"",IFERROR(AG79/AG$19,""))</f>
        <v/>
      </c>
      <c r="AI79" s="150">
        <f>IF(AND($AA79="",AG79=""),"",$AA79-AG79)</f>
        <v>0</v>
      </c>
      <c r="AJ79" s="399">
        <f>IFERROR(AA79/AA$20,0)</f>
        <v>0</v>
      </c>
      <c r="AK79" s="400">
        <f>IFERROR(AD79/AD$20,0)</f>
        <v>0</v>
      </c>
      <c r="AL79" s="401">
        <f>IFERROR(AG79/AG$20,0)</f>
        <v>0</v>
      </c>
      <c r="AM79" s="402">
        <f>+IFERROR(ROUND(($AB79-AE79)*100,2)&amp;" pts.",0)</f>
        <v>0</v>
      </c>
      <c r="AN79" s="403">
        <f>+IFERROR(ROUND(($AB79-AH79)*100,2)&amp;" pts.",0)</f>
        <v>0</v>
      </c>
    </row>
    <row r="80" spans="1:40" hidden="1" x14ac:dyDescent="0.25">
      <c r="A80" s="4" t="s">
        <v>988</v>
      </c>
      <c r="H80" s="15"/>
      <c r="I80" s="161"/>
      <c r="J80" s="161"/>
      <c r="K80" s="68" t="str">
        <f>IF(AND(I80&gt;="T3"),"&gt;","")</f>
        <v/>
      </c>
      <c r="L80" s="162"/>
      <c r="M80" s="162"/>
      <c r="N80" s="162"/>
      <c r="O80" s="47"/>
      <c r="P80" s="47"/>
      <c r="Q80" s="47"/>
      <c r="R80" s="47"/>
      <c r="S80" s="47"/>
      <c r="T80" s="47"/>
      <c r="U80" s="47"/>
      <c r="V80" s="47"/>
      <c r="W80" s="47"/>
      <c r="X80" s="47"/>
      <c r="Y80" s="47"/>
      <c r="Z80" s="47"/>
      <c r="AA80" s="324">
        <f>IF($I80="B1","",SUM(O80:Z80))</f>
        <v>0</v>
      </c>
      <c r="AB80" s="48" t="str">
        <f>IF(AA80=0,"",IFERROR(AA80/AA$19,""))</f>
        <v/>
      </c>
      <c r="AD80" s="47"/>
      <c r="AE80" s="48" t="str">
        <f>IF(AD80=0,"",IFERROR(AD80/AD$19,""))</f>
        <v/>
      </c>
      <c r="AF80" s="150">
        <f>IF(AND($AA80="",AD80=""),"",$AA80-AD80)</f>
        <v>0</v>
      </c>
      <c r="AG80" s="47"/>
      <c r="AH80" s="48" t="str">
        <f>IF(AG80=0,"",IFERROR(AG80/AG$19,""))</f>
        <v/>
      </c>
      <c r="AI80" s="150">
        <f>IF(AND($AA80="",AG80=""),"",$AA80-AG80)</f>
        <v>0</v>
      </c>
      <c r="AJ80" s="399">
        <f>IFERROR(AA80/AA$20,0)</f>
        <v>0</v>
      </c>
      <c r="AK80" s="400">
        <f>IFERROR(AD80/AD$20,0)</f>
        <v>0</v>
      </c>
      <c r="AL80" s="401">
        <f>IFERROR(AG80/AG$20,0)</f>
        <v>0</v>
      </c>
      <c r="AM80" s="402">
        <f>+IFERROR(ROUND(($AB80-AE80)*100,2)&amp;" pts.",0)</f>
        <v>0</v>
      </c>
      <c r="AN80" s="403">
        <f>+IFERROR(ROUND(($AB80-AH80)*100,2)&amp;"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s">
        <v>1011</v>
      </c>
      <c r="J82" s="11" t="s">
        <v>78</v>
      </c>
      <c r="N82" s="40" t="s">
        <v>1092</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16" t="s">
        <v>1389</v>
      </c>
      <c r="H83" s="15" t="s">
        <v>667</v>
      </c>
      <c r="I83" s="161"/>
      <c r="J83" s="161"/>
      <c r="K83" s="68" t="str">
        <f>IF(AND(I83&lt;&gt;"B1",J83="Y"),"&gt;","")</f>
        <v/>
      </c>
      <c r="L83" s="162"/>
      <c r="M83" s="162"/>
      <c r="N83" s="162"/>
      <c r="O83" s="21"/>
      <c r="P83" s="21"/>
      <c r="Q83" s="21"/>
      <c r="R83" s="21"/>
      <c r="S83" s="21"/>
      <c r="T83" s="21"/>
      <c r="U83" s="21"/>
      <c r="V83" s="21"/>
      <c r="W83" s="21"/>
      <c r="X83" s="21"/>
      <c r="Y83" s="21"/>
      <c r="Z83" s="21"/>
      <c r="AA83" s="310">
        <f>IF($I83="B1","",SUM(O83:Z83))</f>
        <v>0</v>
      </c>
      <c r="AB83" s="17" t="str">
        <f>IF(AA83=0,"",IFERROR(AA83/AA$19,""))</f>
        <v/>
      </c>
      <c r="AD83" s="21"/>
      <c r="AE83" s="17" t="str">
        <f>IF(AD83=0,"",IFERROR(AD83/AD$19,""))</f>
        <v/>
      </c>
      <c r="AF83" s="50">
        <f>IF(AND($AA83="",AD83=""),"",$AA83-AD83)</f>
        <v>0</v>
      </c>
      <c r="AG83" s="21"/>
      <c r="AH83" s="17" t="str">
        <f>IF(AG83=0,"",IFERROR(AG83/AG$19,""))</f>
        <v/>
      </c>
      <c r="AI83" s="50">
        <f>IF(AND($AA83="",AG83=""),"",$AA83-AG83)</f>
        <v>0</v>
      </c>
      <c r="AJ83" s="399">
        <f>IFERROR(AA83/AA$20,0)</f>
        <v>0</v>
      </c>
      <c r="AK83" s="400">
        <f>IFERROR(AD83/AD$20,0)</f>
        <v>0</v>
      </c>
      <c r="AL83" s="401">
        <f>IFERROR(AG83/AG$20,0)</f>
        <v>0</v>
      </c>
      <c r="AM83" s="402">
        <f>+IFERROR(ROUND(($AB83-AE83)*100,2)&amp;" pts.",0)</f>
        <v>0</v>
      </c>
      <c r="AN83" s="403">
        <f>+IFERROR(ROUND(($AB83-AH83)*100,2)&amp;" pts.",0)</f>
        <v>0</v>
      </c>
    </row>
    <row r="84" spans="1:40" hidden="1" x14ac:dyDescent="0.25">
      <c r="A84" s="6" t="s">
        <v>3</v>
      </c>
      <c r="B84" s="16" t="s">
        <v>1390</v>
      </c>
      <c r="H84" s="15"/>
      <c r="I84" s="161"/>
      <c r="J84" s="161"/>
      <c r="K84" s="68" t="str">
        <f>IF(AND(I84&lt;&gt;"B1",J84="Y"),"&gt;","")</f>
        <v/>
      </c>
      <c r="L84" s="162"/>
      <c r="M84" s="162"/>
      <c r="N84" s="162"/>
      <c r="O84" s="21"/>
      <c r="P84" s="21"/>
      <c r="Q84" s="21"/>
      <c r="R84" s="21"/>
      <c r="S84" s="21"/>
      <c r="T84" s="21"/>
      <c r="U84" s="21"/>
      <c r="V84" s="21"/>
      <c r="W84" s="21"/>
      <c r="X84" s="21"/>
      <c r="Y84" s="21"/>
      <c r="Z84" s="21"/>
      <c r="AA84" s="310">
        <f>IF($I84="B1","",SUM(O84:Z84))</f>
        <v>0</v>
      </c>
      <c r="AB84" s="17" t="str">
        <f>IF(AA84=0,"",IFERROR(AA84/AA$19,""))</f>
        <v/>
      </c>
      <c r="AD84" s="21"/>
      <c r="AE84" s="17" t="str">
        <f>IF(AD84=0,"",IFERROR(AD84/AD$19,""))</f>
        <v/>
      </c>
      <c r="AF84" s="50">
        <f>IF(AND($AA84="",AD84=""),"",$AA84-AD84)</f>
        <v>0</v>
      </c>
      <c r="AG84" s="21"/>
      <c r="AH84" s="17" t="str">
        <f>IF(AG84=0,"",IFERROR(AG84/AG$19,""))</f>
        <v/>
      </c>
      <c r="AI84" s="50">
        <f>IF(AND($AA84="",AG84=""),"",$AA84-AG84)</f>
        <v>0</v>
      </c>
      <c r="AJ84" s="399">
        <f>IFERROR(AA84/AA$20,0)</f>
        <v>0</v>
      </c>
      <c r="AK84" s="400">
        <f>IFERROR(AD84/AD$20,0)</f>
        <v>0</v>
      </c>
      <c r="AL84" s="401">
        <f>IFERROR(AG84/AG$20,0)</f>
        <v>0</v>
      </c>
      <c r="AM84" s="402">
        <f>+IFERROR(ROUND(($AB84-AE84)*100,2)&amp;" pts.",0)</f>
        <v>0</v>
      </c>
      <c r="AN84" s="403">
        <f>+IFERROR(ROUND(($AB84-AH84)*100,2)&amp;" pts.",0)</f>
        <v>0</v>
      </c>
    </row>
    <row r="85" spans="1:40" x14ac:dyDescent="0.25">
      <c r="A85" s="6" t="s">
        <v>4</v>
      </c>
      <c r="B85" s="16" t="s">
        <v>1397</v>
      </c>
      <c r="H85" s="15" t="s">
        <v>79</v>
      </c>
      <c r="I85" s="27" t="s">
        <v>1012</v>
      </c>
      <c r="J85" s="27" t="s">
        <v>78</v>
      </c>
      <c r="K85" s="26"/>
      <c r="L85" s="26"/>
      <c r="M85" s="26"/>
      <c r="N85" s="25" t="s">
        <v>1116</v>
      </c>
      <c r="O85" s="33"/>
      <c r="P85" s="33"/>
      <c r="Q85" s="33"/>
      <c r="R85" s="33"/>
      <c r="S85" s="33"/>
      <c r="T85" s="33"/>
      <c r="U85" s="33"/>
      <c r="V85" s="33"/>
      <c r="W85" s="33"/>
      <c r="X85" s="33"/>
      <c r="Y85" s="33"/>
      <c r="Z85" s="33"/>
      <c r="AA85" s="33">
        <f>IF($I85="B1","",SUM(O85:Z85))</f>
        <v>0</v>
      </c>
      <c r="AB85" s="34" t="str">
        <f>IF(AA85=0,"",IFERROR(AA85/AA$19,""))</f>
        <v/>
      </c>
      <c r="AD85" s="33"/>
      <c r="AE85" s="34" t="str">
        <f>IF(AD85=0,"",IFERROR(AD85/AD$19,""))</f>
        <v/>
      </c>
      <c r="AF85" s="52">
        <f>IF(AND($AA85="",AD85=""),"",$AA85-AD85)</f>
        <v>0</v>
      </c>
      <c r="AG85" s="33"/>
      <c r="AH85" s="34" t="str">
        <f>IF(AG85=0,"",IFERROR(AG85/AG$19,""))</f>
        <v/>
      </c>
      <c r="AI85" s="52">
        <f>IF(AND($AA85="",AG85=""),"",$AA85-AG85)</f>
        <v>0</v>
      </c>
      <c r="AJ85" s="415">
        <f>IFERROR(AA85/AA$20,0)</f>
        <v>0</v>
      </c>
      <c r="AK85" s="416">
        <f>IFERROR(AD85/AD$20,0)</f>
        <v>0</v>
      </c>
      <c r="AL85" s="417">
        <f>IFERROR(AG85/AG$20,0)</f>
        <v>0</v>
      </c>
      <c r="AM85" s="418">
        <f>+IFERROR(ROUND(($AB85-AE85)*100,2)&amp;" pts.",0)</f>
        <v>0</v>
      </c>
      <c r="AN85" s="436">
        <f>+IFERROR(ROUND(($AB85-AH85)*100,2)&amp;" pts.",0)</f>
        <v>0</v>
      </c>
    </row>
    <row r="86" spans="1:40" x14ac:dyDescent="0.25">
      <c r="A86" s="6" t="s">
        <v>5</v>
      </c>
      <c r="B86" s="7"/>
    </row>
    <row r="87" spans="1:40" x14ac:dyDescent="0.25">
      <c r="A87" s="6" t="s">
        <v>6</v>
      </c>
      <c r="B87" s="7"/>
      <c r="H87" s="15" t="s">
        <v>80</v>
      </c>
      <c r="I87" s="27" t="s">
        <v>1012</v>
      </c>
      <c r="J87" s="27" t="s">
        <v>78</v>
      </c>
      <c r="K87" s="25"/>
      <c r="L87" s="25"/>
      <c r="M87" s="25"/>
      <c r="N87" s="25" t="s">
        <v>1117</v>
      </c>
      <c r="O87" s="36"/>
      <c r="P87" s="36"/>
      <c r="Q87" s="36"/>
      <c r="R87" s="36"/>
      <c r="S87" s="36"/>
      <c r="T87" s="36"/>
      <c r="U87" s="36"/>
      <c r="V87" s="36"/>
      <c r="W87" s="36"/>
      <c r="X87" s="36"/>
      <c r="Y87" s="36"/>
      <c r="Z87" s="36"/>
      <c r="AA87" s="36">
        <f>IF($I87="B1","",SUM(O87:Z87))</f>
        <v>0</v>
      </c>
      <c r="AB87" s="37" t="str">
        <f>IF(AA87=0,"",IFERROR(AA87/AA$19,""))</f>
        <v/>
      </c>
      <c r="AD87" s="36"/>
      <c r="AE87" s="37" t="str">
        <f>IF(AD87=0,"",IFERROR(AD87/AD$19,""))</f>
        <v/>
      </c>
      <c r="AF87" s="59">
        <f>IF(AND($AA87="",AD87=""),"",$AA87-AD87)</f>
        <v>0</v>
      </c>
      <c r="AG87" s="60"/>
      <c r="AH87" s="61" t="str">
        <f>IF(AG87=0,"",IFERROR(AG87/AG$19,""))</f>
        <v/>
      </c>
      <c r="AI87" s="59">
        <f>IF(AND($AA87="",AG87=""),"",$AA87-AG87)</f>
        <v>0</v>
      </c>
      <c r="AJ87" s="392">
        <f>IFERROR(AA87/AA$20,0)</f>
        <v>0</v>
      </c>
      <c r="AK87" s="393">
        <f>IFERROR(AD87/AD$20,0)</f>
        <v>0</v>
      </c>
      <c r="AL87" s="394">
        <f>IFERROR(AG87/AG$20,0)</f>
        <v>0</v>
      </c>
      <c r="AM87" s="395">
        <f>+IFERROR(ROUND(($AB87-AE87)*100,2)&amp;" pts.",0)</f>
        <v>0</v>
      </c>
      <c r="AN87" s="437">
        <f>+IFERROR(ROUND(($AB87-AH87)*100,2)&amp;" pts.",0)</f>
        <v>0</v>
      </c>
    </row>
    <row r="88" spans="1:40" ht="15.75" thickBot="1" x14ac:dyDescent="0.3">
      <c r="A88" s="6" t="s">
        <v>7</v>
      </c>
      <c r="B88" s="16" t="s">
        <v>1398</v>
      </c>
      <c r="H88" s="15" t="s">
        <v>81</v>
      </c>
      <c r="I88" s="27" t="s">
        <v>1012</v>
      </c>
      <c r="J88" s="27" t="s">
        <v>78</v>
      </c>
      <c r="K88" s="25"/>
      <c r="L88" s="25"/>
      <c r="M88" s="25"/>
      <c r="N88" s="25" t="s">
        <v>1118</v>
      </c>
      <c r="O88" s="62"/>
      <c r="P88" s="62"/>
      <c r="Q88" s="62"/>
      <c r="R88" s="62"/>
      <c r="S88" s="62"/>
      <c r="T88" s="62"/>
      <c r="U88" s="62"/>
      <c r="V88" s="62"/>
      <c r="W88" s="62"/>
      <c r="X88" s="62"/>
      <c r="Y88" s="62"/>
      <c r="Z88" s="62"/>
      <c r="AA88" s="62">
        <f>IF($I88="B1","",SUM(O88:Z88))</f>
        <v>0</v>
      </c>
      <c r="AB88" s="63" t="str">
        <f>IF(AA88=0,"",IFERROR(AA88/AA$19,""))</f>
        <v/>
      </c>
      <c r="AD88" s="62"/>
      <c r="AE88" s="63" t="str">
        <f>IF(AD88=0,"",IFERROR(AD88/AD$19,""))</f>
        <v/>
      </c>
      <c r="AF88" s="64">
        <f>IF(AND($AA88="",AD88=""),"",$AA88-AD88)</f>
        <v>0</v>
      </c>
      <c r="AG88" s="62"/>
      <c r="AH88" s="63" t="str">
        <f>IF(AG88=0,"",IFERROR(AG88/AG$19,""))</f>
        <v/>
      </c>
      <c r="AI88" s="64">
        <f>IF(AND($AA88="",AG88=""),"",$AA88-AG88)</f>
        <v>0</v>
      </c>
      <c r="AJ88" s="430">
        <f>IFERROR(AA88/AA$20,0)</f>
        <v>0</v>
      </c>
      <c r="AK88" s="431">
        <f>IFERROR(AD88/AD$20,0)</f>
        <v>0</v>
      </c>
      <c r="AL88" s="432">
        <f>IFERROR(AG88/AG$20,0)</f>
        <v>0</v>
      </c>
      <c r="AM88" s="433">
        <f>+IFERROR(ROUND(($AB88-AE88)*100,2)&amp;" pts.",0)</f>
        <v>0</v>
      </c>
      <c r="AN88" s="438">
        <f>+IFERROR(ROUND(($AB88-AH88)*100,2)&amp;" pts.",0)</f>
        <v>0</v>
      </c>
    </row>
    <row r="89" spans="1:40" ht="15.75" thickTop="1" x14ac:dyDescent="0.25">
      <c r="A89" s="6" t="s">
        <v>47</v>
      </c>
      <c r="B89" s="16" t="s">
        <v>1393</v>
      </c>
    </row>
    <row r="90" spans="1:40" x14ac:dyDescent="0.25">
      <c r="A90" s="6" t="s">
        <v>8</v>
      </c>
      <c r="B90" s="7"/>
      <c r="N90" s="26" t="str">
        <f>N87&amp;" - Check"</f>
        <v>Total Expenses - Check</v>
      </c>
      <c r="O90" s="139">
        <f t="shared" ref="O90:AA90" si="22">SUMIF($H$35:$H$88,"600000",O$35:O$88)+SUMIF($H$35:$H$88,"700000",O$35:O$88)-SUMIF($H$35:$H$88,"TOTDEPTEXP",O$35:O$88)</f>
        <v>0</v>
      </c>
      <c r="P90" s="139">
        <f t="shared" si="22"/>
        <v>0</v>
      </c>
      <c r="Q90" s="139">
        <f t="shared" si="22"/>
        <v>0</v>
      </c>
      <c r="R90" s="139">
        <f t="shared" si="22"/>
        <v>0</v>
      </c>
      <c r="S90" s="139">
        <f t="shared" si="22"/>
        <v>0</v>
      </c>
      <c r="T90" s="139">
        <f t="shared" si="22"/>
        <v>0</v>
      </c>
      <c r="U90" s="139">
        <f t="shared" si="22"/>
        <v>0</v>
      </c>
      <c r="V90" s="139">
        <f t="shared" si="22"/>
        <v>0</v>
      </c>
      <c r="W90" s="139">
        <f t="shared" si="22"/>
        <v>0</v>
      </c>
      <c r="X90" s="139">
        <f t="shared" si="22"/>
        <v>0</v>
      </c>
      <c r="Y90" s="139">
        <f t="shared" si="22"/>
        <v>0</v>
      </c>
      <c r="Z90" s="139">
        <f t="shared" si="22"/>
        <v>0</v>
      </c>
      <c r="AA90" s="139">
        <f t="shared" si="22"/>
        <v>0</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str">
        <f>N88&amp;" - Check"</f>
        <v>Department Profit (Loss) - Check</v>
      </c>
      <c r="O91" s="139">
        <f t="shared" ref="O91:AA91" si="23">SUMIF($H$35:$H$88,"KPI_GP",O$35:O$88)-SUMIF($H$35:$H$88,"TOTDEPTEXP",O$35:O$88)-SUMIF($H$35:$H$88,"TOTDEPTPL",O$35:O$88)</f>
        <v>0</v>
      </c>
      <c r="P91" s="139">
        <f t="shared" si="23"/>
        <v>0</v>
      </c>
      <c r="Q91" s="139">
        <f t="shared" si="23"/>
        <v>0</v>
      </c>
      <c r="R91" s="139">
        <f t="shared" si="23"/>
        <v>0</v>
      </c>
      <c r="S91" s="139">
        <f t="shared" si="23"/>
        <v>0</v>
      </c>
      <c r="T91" s="139">
        <f t="shared" si="23"/>
        <v>0</v>
      </c>
      <c r="U91" s="139">
        <f t="shared" si="23"/>
        <v>0</v>
      </c>
      <c r="V91" s="139">
        <f t="shared" si="23"/>
        <v>0</v>
      </c>
      <c r="W91" s="139">
        <f t="shared" si="23"/>
        <v>0</v>
      </c>
      <c r="X91" s="139">
        <f t="shared" si="23"/>
        <v>0</v>
      </c>
      <c r="Y91" s="139">
        <f t="shared" si="23"/>
        <v>0</v>
      </c>
      <c r="Z91" s="139">
        <f t="shared" si="23"/>
        <v>0</v>
      </c>
      <c r="AA91" s="139">
        <f t="shared" si="23"/>
        <v>0</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s">
        <v>988</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16" t="s">
        <v>1389</v>
      </c>
      <c r="H114" s="11"/>
      <c r="J114" s="1"/>
    </row>
    <row r="115" spans="1:10" x14ac:dyDescent="0.25">
      <c r="A115" s="6" t="s">
        <v>3</v>
      </c>
      <c r="B115" s="16" t="s">
        <v>1390</v>
      </c>
      <c r="H115" s="11"/>
      <c r="J115" s="1"/>
    </row>
    <row r="116" spans="1:10" x14ac:dyDescent="0.25">
      <c r="A116" s="6" t="s">
        <v>4</v>
      </c>
      <c r="B116" s="16" t="s">
        <v>1399</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1393</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1B00-000000000000}">
      <formula1>"ACCOUNT,BUSINESSUNIT,CATEGORY,DATASRC,DEPARTMENT,INTCO,MEASURES,RPTCURRENCY,TIME"</formula1>
    </dataValidation>
    <dataValidation type="list" allowBlank="1" sqref="B29 B95 B62" xr:uid="{00000000-0002-0000-1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44069"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4069" r:id="rId5" name="FPMExcelClientSheetOptionstb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'_PPZ4ye_GEGtgi8gkINWpw=='!N1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733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D2145</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D2145</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21" priority="15">
      <formula>ROUND(O42,2)&lt;&gt;ROUND(O43,2)</formula>
    </cfRule>
  </conditionalFormatting>
  <conditionalFormatting sqref="N43">
    <cfRule type="expression" dxfId="220" priority="14">
      <formula>$G43&lt;&gt;0</formula>
    </cfRule>
  </conditionalFormatting>
  <conditionalFormatting sqref="O53:AA53 AD53 AF53:AG53">
    <cfRule type="expression" dxfId="219" priority="13">
      <formula>ROUND(O52,2)&lt;&gt;ROUND(O53,2)</formula>
    </cfRule>
  </conditionalFormatting>
  <conditionalFormatting sqref="N53">
    <cfRule type="expression" dxfId="218" priority="12">
      <formula>$G53&lt;&gt;0</formula>
    </cfRule>
  </conditionalFormatting>
  <conditionalFormatting sqref="O63:AA63 AD63 AF63:AG63">
    <cfRule type="expression" dxfId="217" priority="11">
      <formula>ROUND(O62,2)&lt;&gt;ROUND(O63,2)</formula>
    </cfRule>
  </conditionalFormatting>
  <conditionalFormatting sqref="N63">
    <cfRule type="expression" dxfId="216" priority="10">
      <formula>$G63&lt;&gt;0</formula>
    </cfRule>
  </conditionalFormatting>
  <conditionalFormatting sqref="O73:AA73 AD73 AF73:AG73">
    <cfRule type="expression" dxfId="215" priority="9">
      <formula>ROUND(O72,2)&lt;&gt;ROUND(O73,2)</formula>
    </cfRule>
  </conditionalFormatting>
  <conditionalFormatting sqref="N73">
    <cfRule type="expression" dxfId="214" priority="8">
      <formula>$G73&lt;&gt;0</formula>
    </cfRule>
  </conditionalFormatting>
  <conditionalFormatting sqref="N82">
    <cfRule type="expression" dxfId="213" priority="7">
      <formula>$G82&lt;&gt;0</formula>
    </cfRule>
  </conditionalFormatting>
  <conditionalFormatting sqref="AD82 AF82:AG82 O82:AA82">
    <cfRule type="expression" dxfId="212" priority="6">
      <formula>ROUND(O81,2)&lt;&gt;ROUND(O82,2)</formula>
    </cfRule>
  </conditionalFormatting>
  <conditionalFormatting sqref="AI43">
    <cfRule type="expression" dxfId="211" priority="5">
      <formula>ROUND(AI42,2)&lt;&gt;ROUND(AI43,2)</formula>
    </cfRule>
  </conditionalFormatting>
  <conditionalFormatting sqref="AI53">
    <cfRule type="expression" dxfId="210" priority="4">
      <formula>ROUND(AI52,2)&lt;&gt;ROUND(AI53,2)</formula>
    </cfRule>
  </conditionalFormatting>
  <conditionalFormatting sqref="AI63">
    <cfRule type="expression" dxfId="209" priority="3">
      <formula>ROUND(AI62,2)&lt;&gt;ROUND(AI63,2)</formula>
    </cfRule>
  </conditionalFormatting>
  <conditionalFormatting sqref="AI73">
    <cfRule type="expression" dxfId="208" priority="2">
      <formula>ROUND(AI72,2)&lt;&gt;ROUND(AI73,2)</formula>
    </cfRule>
  </conditionalFormatting>
  <conditionalFormatting sqref="AI82">
    <cfRule type="expression" dxfId="207" priority="1">
      <formula>ROUND(AI81,2)&lt;&gt;ROUND(AI82,2)</formula>
    </cfRule>
  </conditionalFormatting>
  <dataValidations count="2">
    <dataValidation type="list" allowBlank="1" sqref="B28" xr:uid="{00000000-0002-0000-1C00-000000000000}">
      <formula1>"ACCOUNT,BUSINESSUNIT,CATEGORY,DATASRC,DEPARTMENT,INTCO,MEASURES,RPTCURRENCY,TIME"</formula1>
    </dataValidation>
    <dataValidation type="list" allowBlank="1" sqref="B29" xr:uid="{00000000-0002-0000-1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4">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f>Venue4!N1</f>
        <v>0</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733</v>
      </c>
      <c r="C6" s="1" t="s">
        <v>1388</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1400</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1401</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1402</v>
      </c>
      <c r="G19" s="18" t="str">
        <f>$B$6</f>
        <v>D2145</v>
      </c>
      <c r="H19" s="18" t="s">
        <v>273</v>
      </c>
      <c r="I19" s="19"/>
      <c r="J19" s="19"/>
      <c r="K19" s="18"/>
      <c r="L19" s="18"/>
      <c r="M19" s="18"/>
      <c r="N19" s="18" t="s">
        <v>1214</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G20" s="18" t="str">
        <f>$B$6</f>
        <v>D2145</v>
      </c>
      <c r="H20" s="18">
        <v>946000</v>
      </c>
      <c r="I20" s="19"/>
      <c r="J20" s="19"/>
      <c r="K20" s="18"/>
      <c r="L20" s="18"/>
      <c r="M20" s="18"/>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1403</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1394</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IF(AG39=0,"",IFERROR(AG39/AG$19,""))</f>
        <v/>
      </c>
      <c r="AI39" s="165">
        <f t="shared" si="2"/>
        <v>0</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s">
        <v>1009</v>
      </c>
      <c r="J88" s="161" t="s">
        <v>78</v>
      </c>
      <c r="L88" s="162"/>
      <c r="M88" s="162"/>
      <c r="N88" s="162" t="s">
        <v>1355</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c r="P103" s="164"/>
      <c r="Q103" s="164"/>
      <c r="R103" s="164"/>
      <c r="S103" s="164"/>
      <c r="T103" s="164"/>
      <c r="U103" s="164"/>
      <c r="V103" s="164"/>
      <c r="W103" s="164"/>
      <c r="X103" s="164"/>
      <c r="Y103" s="164"/>
      <c r="Z103" s="164"/>
      <c r="AA103" s="164">
        <f t="shared" si="27"/>
        <v>0</v>
      </c>
      <c r="AB103" s="175" t="str">
        <f t="shared" si="28"/>
        <v/>
      </c>
      <c r="AD103" s="164"/>
      <c r="AE103" s="175" t="str">
        <f t="shared" si="29"/>
        <v/>
      </c>
      <c r="AF103" s="165">
        <f t="shared" si="30"/>
        <v>0</v>
      </c>
      <c r="AG103" s="164"/>
      <c r="AH103" s="175" t="str">
        <f t="shared" si="31"/>
        <v/>
      </c>
      <c r="AI103" s="165">
        <f t="shared" si="32"/>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c r="P111" s="164"/>
      <c r="Q111" s="164"/>
      <c r="R111" s="164"/>
      <c r="S111" s="164"/>
      <c r="T111" s="164"/>
      <c r="U111" s="164"/>
      <c r="V111" s="164"/>
      <c r="W111" s="164"/>
      <c r="X111" s="164"/>
      <c r="Y111" s="164"/>
      <c r="Z111" s="164"/>
      <c r="AA111" s="164">
        <f t="shared" si="33"/>
        <v>0</v>
      </c>
      <c r="AB111" s="175" t="str">
        <f t="shared" si="34"/>
        <v/>
      </c>
      <c r="AD111" s="164"/>
      <c r="AE111" s="175" t="str">
        <f t="shared" si="35"/>
        <v/>
      </c>
      <c r="AF111" s="165">
        <f t="shared" si="36"/>
        <v>0</v>
      </c>
      <c r="AG111" s="164"/>
      <c r="AH111" s="175" t="str">
        <f t="shared" si="37"/>
        <v/>
      </c>
      <c r="AI111" s="165">
        <f t="shared" si="38"/>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c r="P119" s="164"/>
      <c r="Q119" s="164"/>
      <c r="R119" s="164"/>
      <c r="S119" s="164"/>
      <c r="T119" s="164"/>
      <c r="U119" s="164"/>
      <c r="V119" s="164"/>
      <c r="W119" s="164"/>
      <c r="X119" s="164"/>
      <c r="Y119" s="164"/>
      <c r="Z119" s="164"/>
      <c r="AA119" s="164">
        <f t="shared" si="39"/>
        <v>0</v>
      </c>
      <c r="AB119" s="175" t="str">
        <f t="shared" si="40"/>
        <v/>
      </c>
      <c r="AD119" s="164"/>
      <c r="AE119" s="175" t="str">
        <f t="shared" si="41"/>
        <v/>
      </c>
      <c r="AF119" s="165">
        <f t="shared" si="42"/>
        <v>0</v>
      </c>
      <c r="AG119" s="164"/>
      <c r="AH119" s="175" t="str">
        <f t="shared" si="43"/>
        <v/>
      </c>
      <c r="AI119" s="165">
        <f t="shared" si="44"/>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0</v>
      </c>
      <c r="P126" s="164">
        <f t="shared" si="56"/>
        <v>0</v>
      </c>
      <c r="Q126" s="164">
        <f t="shared" si="56"/>
        <v>0</v>
      </c>
      <c r="R126" s="164">
        <f t="shared" si="56"/>
        <v>0</v>
      </c>
      <c r="S126" s="164">
        <f t="shared" si="56"/>
        <v>0</v>
      </c>
      <c r="T126" s="164">
        <f t="shared" si="56"/>
        <v>0</v>
      </c>
      <c r="U126" s="164">
        <f t="shared" si="56"/>
        <v>0</v>
      </c>
      <c r="V126" s="164">
        <f t="shared" si="56"/>
        <v>0</v>
      </c>
      <c r="W126" s="164">
        <f t="shared" si="56"/>
        <v>0</v>
      </c>
      <c r="X126" s="164">
        <f t="shared" si="56"/>
        <v>0</v>
      </c>
      <c r="Y126" s="164">
        <f t="shared" si="56"/>
        <v>0</v>
      </c>
      <c r="Z126" s="164">
        <f t="shared" si="56"/>
        <v>0</v>
      </c>
      <c r="AA126" s="164">
        <f t="shared" si="46"/>
        <v>0</v>
      </c>
      <c r="AB126" s="175" t="str">
        <f t="shared" si="47"/>
        <v/>
      </c>
      <c r="AD126" s="164">
        <f>SUM(AD121:AD125)</f>
        <v>0</v>
      </c>
      <c r="AE126" s="175" t="str">
        <f t="shared" si="48"/>
        <v/>
      </c>
      <c r="AF126" s="165">
        <f t="shared" si="49"/>
        <v>0</v>
      </c>
      <c r="AG126" s="164">
        <f>SUM(AG121:AG125)</f>
        <v>0</v>
      </c>
      <c r="AH126" s="175" t="str">
        <f t="shared" si="50"/>
        <v/>
      </c>
      <c r="AI126" s="165">
        <f t="shared" si="51"/>
        <v>0</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c r="P130" s="21"/>
      <c r="Q130" s="21"/>
      <c r="R130" s="21"/>
      <c r="S130" s="21"/>
      <c r="T130" s="21"/>
      <c r="U130" s="21"/>
      <c r="V130" s="21"/>
      <c r="W130" s="21"/>
      <c r="X130" s="21"/>
      <c r="Y130" s="21"/>
      <c r="Z130" s="21"/>
      <c r="AA130" s="21">
        <f>SUM(O130:Z130)</f>
        <v>0</v>
      </c>
      <c r="AB130" s="311"/>
      <c r="AD130" s="21"/>
      <c r="AE130" s="311"/>
      <c r="AF130" s="50">
        <f t="shared" ref="AF130:AF141" si="58">IF(AND($AA130="",AD130=""),"",$AA130-AD130)</f>
        <v>0</v>
      </c>
      <c r="AG130" s="21"/>
      <c r="AH130" s="311"/>
      <c r="AI130" s="50">
        <f t="shared" ref="AI130:AI141" si="59">IF(AND($AA130="",AG130=""),"",$AA130-AG130)</f>
        <v>0</v>
      </c>
    </row>
    <row r="131" spans="3:35" x14ac:dyDescent="0.25">
      <c r="C131" s="32"/>
      <c r="H131" s="149" t="s">
        <v>756</v>
      </c>
      <c r="I131" s="161"/>
      <c r="J131" s="161"/>
      <c r="L131" s="162"/>
      <c r="M131" s="162"/>
      <c r="N131" s="467" t="s">
        <v>1321</v>
      </c>
      <c r="O131" s="172"/>
      <c r="P131" s="172"/>
      <c r="Q131" s="172"/>
      <c r="R131" s="172"/>
      <c r="S131" s="172"/>
      <c r="T131" s="172"/>
      <c r="U131" s="172"/>
      <c r="V131" s="172"/>
      <c r="W131" s="172"/>
      <c r="X131" s="172"/>
      <c r="Y131" s="172"/>
      <c r="Z131" s="172"/>
      <c r="AA131" s="172"/>
      <c r="AB131" s="311"/>
      <c r="AD131" s="172"/>
      <c r="AE131" s="311"/>
      <c r="AF131" s="468" t="str">
        <f t="shared" si="58"/>
        <v/>
      </c>
      <c r="AG131" s="172"/>
      <c r="AH131" s="311"/>
      <c r="AI131" s="468" t="str">
        <f t="shared" si="59"/>
        <v/>
      </c>
    </row>
    <row r="132" spans="3:35" x14ac:dyDescent="0.25">
      <c r="C132" s="32"/>
      <c r="H132" s="149" t="s">
        <v>636</v>
      </c>
      <c r="I132" s="161"/>
      <c r="J132" s="161"/>
      <c r="L132" s="162"/>
      <c r="M132" s="162"/>
      <c r="N132" s="162" t="s">
        <v>1226</v>
      </c>
      <c r="O132" s="21"/>
      <c r="P132" s="21"/>
      <c r="Q132" s="21"/>
      <c r="R132" s="21"/>
      <c r="S132" s="21"/>
      <c r="T132" s="21"/>
      <c r="U132" s="21"/>
      <c r="V132" s="21"/>
      <c r="W132" s="21"/>
      <c r="X132" s="21"/>
      <c r="Y132" s="21"/>
      <c r="Z132" s="21"/>
      <c r="AA132" s="21">
        <f>SUM(O132:Z132)</f>
        <v>0</v>
      </c>
      <c r="AB132" s="311"/>
      <c r="AD132" s="21"/>
      <c r="AE132" s="311"/>
      <c r="AF132" s="50">
        <f t="shared" si="58"/>
        <v>0</v>
      </c>
      <c r="AG132" s="21"/>
      <c r="AH132" s="311"/>
      <c r="AI132" s="50">
        <f t="shared" si="59"/>
        <v>0</v>
      </c>
    </row>
    <row r="133" spans="3:35" x14ac:dyDescent="0.25">
      <c r="C133" s="32"/>
      <c r="H133" s="149" t="s">
        <v>757</v>
      </c>
      <c r="I133" s="161"/>
      <c r="J133" s="161"/>
      <c r="L133" s="162"/>
      <c r="M133" s="162"/>
      <c r="N133" s="467" t="s">
        <v>1326</v>
      </c>
      <c r="O133" s="172"/>
      <c r="P133" s="172"/>
      <c r="Q133" s="172"/>
      <c r="R133" s="172"/>
      <c r="S133" s="172"/>
      <c r="T133" s="172"/>
      <c r="U133" s="172"/>
      <c r="V133" s="172"/>
      <c r="W133" s="172"/>
      <c r="X133" s="172"/>
      <c r="Y133" s="172"/>
      <c r="Z133" s="172"/>
      <c r="AA133" s="172"/>
      <c r="AB133" s="311"/>
      <c r="AD133" s="172"/>
      <c r="AE133" s="311"/>
      <c r="AF133" s="468" t="str">
        <f t="shared" si="58"/>
        <v/>
      </c>
      <c r="AG133" s="172"/>
      <c r="AH133" s="311"/>
      <c r="AI133" s="468" t="str">
        <f t="shared" si="59"/>
        <v/>
      </c>
    </row>
    <row r="134" spans="3:35" x14ac:dyDescent="0.25">
      <c r="C134" s="32"/>
      <c r="H134" s="149" t="s">
        <v>755</v>
      </c>
      <c r="I134" s="161"/>
      <c r="J134" s="161"/>
      <c r="L134" s="162">
        <v>561300</v>
      </c>
      <c r="M134" s="162"/>
      <c r="N134" s="162" t="s">
        <v>1327</v>
      </c>
      <c r="O134" s="21"/>
      <c r="P134" s="21"/>
      <c r="Q134" s="21"/>
      <c r="R134" s="21"/>
      <c r="S134" s="21"/>
      <c r="T134" s="21"/>
      <c r="U134" s="21"/>
      <c r="V134" s="21"/>
      <c r="W134" s="21"/>
      <c r="X134" s="21"/>
      <c r="Y134" s="21"/>
      <c r="Z134" s="21"/>
      <c r="AA134" s="21">
        <f>SUM(O134:Z134)</f>
        <v>0</v>
      </c>
      <c r="AB134" s="311"/>
      <c r="AD134" s="21"/>
      <c r="AE134" s="311"/>
      <c r="AF134" s="50">
        <f t="shared" si="58"/>
        <v>0</v>
      </c>
      <c r="AG134" s="21"/>
      <c r="AH134" s="311"/>
      <c r="AI134" s="50">
        <f t="shared" si="59"/>
        <v>0</v>
      </c>
    </row>
    <row r="135" spans="3:35" x14ac:dyDescent="0.25">
      <c r="C135" s="32"/>
      <c r="H135" s="149" t="s">
        <v>758</v>
      </c>
      <c r="I135" s="161"/>
      <c r="J135" s="161"/>
      <c r="L135" s="162"/>
      <c r="M135" s="162"/>
      <c r="N135" s="467" t="s">
        <v>1328</v>
      </c>
      <c r="O135" s="172"/>
      <c r="P135" s="172"/>
      <c r="Q135" s="172"/>
      <c r="R135" s="172"/>
      <c r="S135" s="172"/>
      <c r="T135" s="172"/>
      <c r="U135" s="172"/>
      <c r="V135" s="172"/>
      <c r="W135" s="172"/>
      <c r="X135" s="172"/>
      <c r="Y135" s="172"/>
      <c r="Z135" s="172"/>
      <c r="AA135" s="172"/>
      <c r="AB135" s="311"/>
      <c r="AD135" s="172"/>
      <c r="AE135" s="311"/>
      <c r="AF135" s="468" t="str">
        <f t="shared" si="58"/>
        <v/>
      </c>
      <c r="AG135" s="172"/>
      <c r="AH135" s="311"/>
      <c r="AI135" s="468" t="str">
        <f t="shared" si="59"/>
        <v/>
      </c>
    </row>
    <row r="136" spans="3:35" x14ac:dyDescent="0.25">
      <c r="C136" s="32"/>
      <c r="H136" s="149">
        <v>561400</v>
      </c>
      <c r="I136" s="161"/>
      <c r="J136" s="161"/>
      <c r="L136" s="162">
        <v>561400</v>
      </c>
      <c r="M136" s="162"/>
      <c r="N136" s="162" t="s">
        <v>1329</v>
      </c>
      <c r="O136" s="21"/>
      <c r="P136" s="21"/>
      <c r="Q136" s="21"/>
      <c r="R136" s="21"/>
      <c r="S136" s="21"/>
      <c r="T136" s="21"/>
      <c r="U136" s="21"/>
      <c r="V136" s="21"/>
      <c r="W136" s="21"/>
      <c r="X136" s="21"/>
      <c r="Y136" s="21"/>
      <c r="Z136" s="21"/>
      <c r="AA136" s="21">
        <f>SUM(O136:Z136)</f>
        <v>0</v>
      </c>
      <c r="AB136" s="311"/>
      <c r="AD136" s="21"/>
      <c r="AE136" s="311"/>
      <c r="AF136" s="50">
        <f t="shared" si="58"/>
        <v>0</v>
      </c>
      <c r="AG136" s="21"/>
      <c r="AH136" s="311"/>
      <c r="AI136" s="50">
        <f t="shared" si="59"/>
        <v>0</v>
      </c>
    </row>
    <row r="137" spans="3:35" x14ac:dyDescent="0.25">
      <c r="C137" s="32"/>
      <c r="H137" s="149" t="s">
        <v>759</v>
      </c>
      <c r="I137" s="161"/>
      <c r="J137" s="161"/>
      <c r="L137" s="162"/>
      <c r="M137" s="162"/>
      <c r="N137" s="467" t="s">
        <v>1330</v>
      </c>
      <c r="O137" s="172"/>
      <c r="P137" s="172"/>
      <c r="Q137" s="172"/>
      <c r="R137" s="172"/>
      <c r="S137" s="172"/>
      <c r="T137" s="172"/>
      <c r="U137" s="172"/>
      <c r="V137" s="172"/>
      <c r="W137" s="172"/>
      <c r="X137" s="172"/>
      <c r="Y137" s="172"/>
      <c r="Z137" s="172"/>
      <c r="AA137" s="172"/>
      <c r="AB137" s="311"/>
      <c r="AD137" s="172"/>
      <c r="AE137" s="311"/>
      <c r="AF137" s="468" t="str">
        <f t="shared" si="58"/>
        <v/>
      </c>
      <c r="AG137" s="172"/>
      <c r="AH137" s="311"/>
      <c r="AI137" s="468" t="str">
        <f t="shared" si="59"/>
        <v/>
      </c>
    </row>
    <row r="138" spans="3:35" x14ac:dyDescent="0.25">
      <c r="H138" s="149">
        <v>561500</v>
      </c>
      <c r="I138" s="161"/>
      <c r="J138" s="161"/>
      <c r="L138" s="162">
        <v>561500</v>
      </c>
      <c r="M138" s="162"/>
      <c r="N138" s="162" t="s">
        <v>1331</v>
      </c>
      <c r="O138" s="21"/>
      <c r="P138" s="21"/>
      <c r="Q138" s="21"/>
      <c r="R138" s="21"/>
      <c r="S138" s="21"/>
      <c r="T138" s="21"/>
      <c r="U138" s="21"/>
      <c r="V138" s="21"/>
      <c r="W138" s="21"/>
      <c r="X138" s="21"/>
      <c r="Y138" s="21"/>
      <c r="Z138" s="21"/>
      <c r="AA138" s="21">
        <f>SUM(O138:Z138)</f>
        <v>0</v>
      </c>
      <c r="AB138" s="311"/>
      <c r="AD138" s="21"/>
      <c r="AE138" s="311"/>
      <c r="AF138" s="50">
        <f t="shared" si="58"/>
        <v>0</v>
      </c>
      <c r="AG138" s="21"/>
      <c r="AH138" s="311"/>
      <c r="AI138" s="50">
        <f t="shared" si="59"/>
        <v>0</v>
      </c>
    </row>
    <row r="139" spans="3:35" x14ac:dyDescent="0.25">
      <c r="C139" s="32"/>
      <c r="H139" s="149" t="s">
        <v>760</v>
      </c>
      <c r="I139" s="161"/>
      <c r="J139" s="161"/>
      <c r="L139" s="162"/>
      <c r="M139" s="162"/>
      <c r="N139" s="467" t="s">
        <v>1332</v>
      </c>
      <c r="O139" s="172"/>
      <c r="P139" s="172"/>
      <c r="Q139" s="172"/>
      <c r="R139" s="172"/>
      <c r="S139" s="172"/>
      <c r="T139" s="172"/>
      <c r="U139" s="172"/>
      <c r="V139" s="172"/>
      <c r="W139" s="172"/>
      <c r="X139" s="172"/>
      <c r="Y139" s="172"/>
      <c r="Z139" s="172"/>
      <c r="AA139" s="172"/>
      <c r="AB139" s="311"/>
      <c r="AD139" s="172"/>
      <c r="AE139" s="311"/>
      <c r="AF139" s="468" t="str">
        <f t="shared" si="58"/>
        <v/>
      </c>
      <c r="AG139" s="172"/>
      <c r="AH139" s="311"/>
      <c r="AI139" s="468" t="str">
        <f t="shared" si="59"/>
        <v/>
      </c>
    </row>
    <row r="140" spans="3:35" x14ac:dyDescent="0.25">
      <c r="C140" s="32"/>
      <c r="H140" s="149" t="s">
        <v>286</v>
      </c>
      <c r="I140" s="161"/>
      <c r="J140" s="161"/>
      <c r="L140" s="162"/>
      <c r="M140" s="162"/>
      <c r="N140" s="162" t="s">
        <v>1227</v>
      </c>
      <c r="O140" s="21"/>
      <c r="P140" s="21"/>
      <c r="Q140" s="21"/>
      <c r="R140" s="21"/>
      <c r="S140" s="21"/>
      <c r="T140" s="21"/>
      <c r="U140" s="21"/>
      <c r="V140" s="21"/>
      <c r="W140" s="21"/>
      <c r="X140" s="21"/>
      <c r="Y140" s="21"/>
      <c r="Z140" s="21"/>
      <c r="AA140" s="21">
        <f>SUM(O140:Z140)</f>
        <v>0</v>
      </c>
      <c r="AB140" s="311"/>
      <c r="AD140" s="21"/>
      <c r="AE140" s="311"/>
      <c r="AF140" s="50">
        <f t="shared" si="58"/>
        <v>0</v>
      </c>
      <c r="AG140" s="21"/>
      <c r="AH140" s="311"/>
      <c r="AI140" s="50">
        <f t="shared" si="59"/>
        <v>0</v>
      </c>
    </row>
    <row r="141" spans="3:35" x14ac:dyDescent="0.25">
      <c r="C141" s="32"/>
      <c r="H141" s="149"/>
      <c r="I141" s="161"/>
      <c r="J141" s="161"/>
      <c r="L141" s="162"/>
      <c r="M141" s="162"/>
      <c r="N141" s="467" t="s">
        <v>762</v>
      </c>
      <c r="O141" s="172" t="str">
        <f t="shared" ref="O141:AA141" si="60">IFERROR(O140/O85,"")</f>
        <v/>
      </c>
      <c r="P141" s="172" t="str">
        <f t="shared" si="60"/>
        <v/>
      </c>
      <c r="Q141" s="172" t="str">
        <f t="shared" si="60"/>
        <v/>
      </c>
      <c r="R141" s="172" t="str">
        <f t="shared" si="60"/>
        <v/>
      </c>
      <c r="S141" s="172" t="str">
        <f t="shared" si="60"/>
        <v/>
      </c>
      <c r="T141" s="172" t="str">
        <f t="shared" si="60"/>
        <v/>
      </c>
      <c r="U141" s="172" t="str">
        <f t="shared" si="60"/>
        <v/>
      </c>
      <c r="V141" s="172" t="str">
        <f t="shared" si="60"/>
        <v/>
      </c>
      <c r="W141" s="172" t="str">
        <f t="shared" si="60"/>
        <v/>
      </c>
      <c r="X141" s="172" t="str">
        <f t="shared" si="60"/>
        <v/>
      </c>
      <c r="Y141" s="172" t="str">
        <f t="shared" si="60"/>
        <v/>
      </c>
      <c r="Z141" s="172" t="str">
        <f t="shared" si="60"/>
        <v/>
      </c>
      <c r="AA141" s="172" t="str">
        <f t="shared" si="60"/>
        <v/>
      </c>
      <c r="AB141" s="311"/>
      <c r="AD141" s="172" t="str">
        <f>IFERROR(AD140/AD85,"")</f>
        <v/>
      </c>
      <c r="AE141" s="311"/>
      <c r="AF141" s="468" t="str">
        <f t="shared" si="58"/>
        <v/>
      </c>
      <c r="AG141" s="172" t="str">
        <f>IFERROR(AG140/AG85,"")</f>
        <v/>
      </c>
      <c r="AH141" s="311"/>
      <c r="AI141" s="468" t="str">
        <f t="shared" si="59"/>
        <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t="e">
        <f t="shared" ref="O145:AA145" si="63">IFERROR(O$85/O87,"")-O88</f>
        <v>#VALUE!</v>
      </c>
      <c r="P145" s="178" t="e">
        <f t="shared" si="63"/>
        <v>#VALUE!</v>
      </c>
      <c r="Q145" s="178" t="e">
        <f t="shared" si="63"/>
        <v>#VALUE!</v>
      </c>
      <c r="R145" s="178" t="e">
        <f t="shared" si="63"/>
        <v>#VALUE!</v>
      </c>
      <c r="S145" s="178" t="e">
        <f t="shared" si="63"/>
        <v>#VALUE!</v>
      </c>
      <c r="T145" s="178" t="e">
        <f t="shared" si="63"/>
        <v>#VALUE!</v>
      </c>
      <c r="U145" s="178" t="e">
        <f t="shared" si="63"/>
        <v>#VALUE!</v>
      </c>
      <c r="V145" s="178" t="e">
        <f t="shared" si="63"/>
        <v>#VALUE!</v>
      </c>
      <c r="W145" s="178" t="e">
        <f t="shared" si="63"/>
        <v>#VALUE!</v>
      </c>
      <c r="X145" s="178" t="e">
        <f t="shared" si="63"/>
        <v>#VALUE!</v>
      </c>
      <c r="Y145" s="178" t="e">
        <f t="shared" si="63"/>
        <v>#VALUE!</v>
      </c>
      <c r="Z145" s="178" t="e">
        <f t="shared" si="63"/>
        <v>#VALUE!</v>
      </c>
      <c r="AA145" s="178" t="e">
        <f t="shared" si="63"/>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206" priority="15">
      <formula>ROUND(O42,2)&lt;&gt;ROUND(O43,2)</formula>
    </cfRule>
  </conditionalFormatting>
  <conditionalFormatting sqref="N43">
    <cfRule type="expression" dxfId="205" priority="14">
      <formula>$G43&lt;&gt;0</formula>
    </cfRule>
  </conditionalFormatting>
  <conditionalFormatting sqref="O53:AA53 AD53 AF53:AG53">
    <cfRule type="expression" dxfId="204" priority="13">
      <formula>ROUND(O52,2)&lt;&gt;ROUND(O53,2)</formula>
    </cfRule>
  </conditionalFormatting>
  <conditionalFormatting sqref="N53">
    <cfRule type="expression" dxfId="203" priority="12">
      <formula>$G53&lt;&gt;0</formula>
    </cfRule>
  </conditionalFormatting>
  <conditionalFormatting sqref="O63:AA63 AD63 AF63:AG63">
    <cfRule type="expression" dxfId="202" priority="11">
      <formula>ROUND(O62,2)&lt;&gt;ROUND(O63,2)</formula>
    </cfRule>
  </conditionalFormatting>
  <conditionalFormatting sqref="N63">
    <cfRule type="expression" dxfId="201" priority="10">
      <formula>$G63&lt;&gt;0</formula>
    </cfRule>
  </conditionalFormatting>
  <conditionalFormatting sqref="O73:AA73 AD73 AF73:AG73">
    <cfRule type="expression" dxfId="200" priority="9">
      <formula>ROUND(O72,2)&lt;&gt;ROUND(O73,2)</formula>
    </cfRule>
  </conditionalFormatting>
  <conditionalFormatting sqref="N73">
    <cfRule type="expression" dxfId="199" priority="8">
      <formula>$G73&lt;&gt;0</formula>
    </cfRule>
  </conditionalFormatting>
  <conditionalFormatting sqref="N82">
    <cfRule type="expression" dxfId="198" priority="7">
      <formula>$G82&lt;&gt;0</formula>
    </cfRule>
  </conditionalFormatting>
  <conditionalFormatting sqref="AD82 AF82:AG82 O82:AA82">
    <cfRule type="expression" dxfId="197" priority="6">
      <formula>ROUND(O81,2)&lt;&gt;ROUND(O82,2)</formula>
    </cfRule>
  </conditionalFormatting>
  <conditionalFormatting sqref="AI43">
    <cfRule type="expression" dxfId="196" priority="5">
      <formula>ROUND(AI42,2)&lt;&gt;ROUND(AI43,2)</formula>
    </cfRule>
  </conditionalFormatting>
  <conditionalFormatting sqref="AI53">
    <cfRule type="expression" dxfId="195" priority="4">
      <formula>ROUND(AI52,2)&lt;&gt;ROUND(AI53,2)</formula>
    </cfRule>
  </conditionalFormatting>
  <conditionalFormatting sqref="AI63">
    <cfRule type="expression" dxfId="194" priority="3">
      <formula>ROUND(AI62,2)&lt;&gt;ROUND(AI63,2)</formula>
    </cfRule>
  </conditionalFormatting>
  <conditionalFormatting sqref="AI73">
    <cfRule type="expression" dxfId="193" priority="2">
      <formula>ROUND(AI72,2)&lt;&gt;ROUND(AI73,2)</formula>
    </cfRule>
  </conditionalFormatting>
  <conditionalFormatting sqref="AI82">
    <cfRule type="expression" dxfId="192" priority="1">
      <formula>ROUND(AI81,2)&lt;&gt;ROUND(AI82,2)</formula>
    </cfRule>
  </conditionalFormatting>
  <dataValidations count="2">
    <dataValidation type="list" allowBlank="1" sqref="B29" xr:uid="{00000000-0002-0000-1D00-000000000000}">
      <formula1>"SELF,ALL,BAS,DEP,BASMEMBERS,MEMBERS,NOEXPAND,GDEP"</formula1>
    </dataValidation>
    <dataValidation type="list" allowBlank="1" sqref="B28" xr:uid="{00000000-0002-0000-1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45090"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5090" r:id="rId5" name="FPMExcelClientSheetOptionstb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787</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D2143</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D2143</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1E00-000000000000}">
      <formula1>"ACCOUNT,BUSINESSUNIT,CATEGORY,DATASRC,DEPARTMENT,INTCO,MEASURES,RPTCURRENCY,TIME"</formula1>
    </dataValidation>
    <dataValidation type="list" allowBlank="1" sqref="B29 B95 B62"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040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0405" r:id="rId7" name="FPMExcelClientSheetOptionstb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5">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787</v>
      </c>
      <c r="C6" s="1" t="s">
        <v>1404</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1405</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1406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1407</v>
      </c>
      <c r="G19" s="18" t="str">
        <f>$B$6</f>
        <v>D2143</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tr">
        <f>$B$6</f>
        <v>D2143</v>
      </c>
      <c r="H20" s="18">
        <v>946000</v>
      </c>
      <c r="I20" s="19"/>
      <c r="J20" s="19"/>
      <c r="K20" s="18"/>
      <c r="L20" s="19"/>
      <c r="M20" s="19"/>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I21" s="1"/>
      <c r="J21" s="1"/>
    </row>
    <row r="22" spans="1:40" hidden="1" outlineLevel="1" x14ac:dyDescent="0.25">
      <c r="A22" s="6" t="s">
        <v>7</v>
      </c>
      <c r="B22" s="16" t="s">
        <v>1408</v>
      </c>
      <c r="I22" s="1"/>
      <c r="J22" s="1"/>
    </row>
    <row r="23" spans="1:40" hidden="1" outlineLevel="1" x14ac:dyDescent="0.25">
      <c r="A23" s="6" t="s">
        <v>47</v>
      </c>
      <c r="B23" s="16" t="s">
        <v>1409</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1410</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c r="Q35" s="310"/>
      <c r="R35" s="310"/>
      <c r="S35" s="310"/>
      <c r="T35" s="310"/>
      <c r="U35" s="310"/>
      <c r="V35" s="310"/>
      <c r="W35" s="310"/>
      <c r="X35" s="310"/>
      <c r="Y35" s="310"/>
      <c r="Z35" s="310"/>
      <c r="AA35" s="310">
        <f t="shared" ref="AA35:AA58" si="1">IF($I35="B1","",SUM(O35:Z35))</f>
        <v>0</v>
      </c>
      <c r="AB35" s="311" t="str">
        <f t="shared" ref="AB35:AB58" si="2">IF(AA35=0,"",IFERROR(AA35/AA$19,""))</f>
        <v/>
      </c>
      <c r="AC35" s="328"/>
      <c r="AD35" s="310"/>
      <c r="AE35" s="311" t="str">
        <f t="shared" ref="AE35:AE58" si="3">IF(AD35=0,"",IFERROR(AD35/AD$19,""))</f>
        <v/>
      </c>
      <c r="AF35" s="312">
        <f t="shared" ref="AF35:AF58" si="4">IF(AND($AA35="",AD35=""),"",$AA35-AD35)</f>
        <v>0</v>
      </c>
      <c r="AG35" s="310"/>
      <c r="AH35" s="311" t="str">
        <f t="shared" ref="AH35:AH58" si="5">IF(AG35=0,"",IFERROR(AG35/AG$19,""))</f>
        <v/>
      </c>
      <c r="AI35" s="313">
        <f t="shared" ref="AI35:AI58" si="6">IF(AND($AA35="",AG35=""),"",$AA35-AG35)</f>
        <v>0</v>
      </c>
      <c r="AJ35" s="399">
        <f t="shared" ref="AJ35:AJ58" si="7">IFERROR(AA35/AA$20,0)</f>
        <v>0</v>
      </c>
      <c r="AK35" s="400">
        <f t="shared" ref="AK35:AK58" si="8">IFERROR(AD35/AD$20,0)</f>
        <v>0</v>
      </c>
      <c r="AL35" s="401">
        <f t="shared" ref="AL35:AL58" si="9">IFERROR(AG35/AG$20,0)</f>
        <v>0</v>
      </c>
      <c r="AM35" s="402">
        <f t="shared" ref="AM35:AM58" si="10">+IFERROR(ROUND(($AB35-AE35)*100,2)&amp;" pts.",0)</f>
        <v>0</v>
      </c>
      <c r="AN35" s="403">
        <f t="shared" ref="AN35:AN58" si="11">+IFERROR(ROUND(($AB35-AH35)*100,2)&amp;" pts.",0)</f>
        <v>0</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c r="AJ37" s="399">
        <f t="shared" si="7"/>
        <v>0</v>
      </c>
      <c r="AK37" s="400">
        <f t="shared" si="8"/>
        <v>0</v>
      </c>
      <c r="AL37" s="401">
        <f t="shared" si="9"/>
        <v>0</v>
      </c>
      <c r="AM37" s="402">
        <f t="shared" si="10"/>
        <v>0</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c r="P40" s="134"/>
      <c r="Q40" s="134"/>
      <c r="R40" s="134"/>
      <c r="S40" s="134"/>
      <c r="T40" s="134"/>
      <c r="U40" s="134"/>
      <c r="V40" s="134"/>
      <c r="W40" s="134"/>
      <c r="X40" s="134"/>
      <c r="Y40" s="134"/>
      <c r="Z40" s="134"/>
      <c r="AA40" s="134">
        <f t="shared" si="1"/>
        <v>0</v>
      </c>
      <c r="AB40" s="135" t="str">
        <f t="shared" si="2"/>
        <v/>
      </c>
      <c r="AC40" s="137"/>
      <c r="AD40" s="134"/>
      <c r="AE40" s="135" t="str">
        <f t="shared" si="3"/>
        <v/>
      </c>
      <c r="AF40" s="136">
        <f t="shared" si="4"/>
        <v>0</v>
      </c>
      <c r="AG40" s="134"/>
      <c r="AH40" s="135" t="str">
        <f t="shared" si="5"/>
        <v/>
      </c>
      <c r="AI40" s="291">
        <f t="shared" si="6"/>
        <v>0</v>
      </c>
      <c r="AJ40" s="360">
        <f t="shared" si="7"/>
        <v>0</v>
      </c>
      <c r="AK40" s="361">
        <f t="shared" si="8"/>
        <v>0</v>
      </c>
      <c r="AL40" s="363">
        <f t="shared" si="9"/>
        <v>0</v>
      </c>
      <c r="AM40" s="405">
        <f t="shared" si="10"/>
        <v>0</v>
      </c>
      <c r="AN40" s="406">
        <f t="shared" si="11"/>
        <v>0</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c r="Q42" s="310"/>
      <c r="R42" s="310"/>
      <c r="S42" s="310"/>
      <c r="T42" s="310"/>
      <c r="U42" s="310"/>
      <c r="V42" s="310"/>
      <c r="W42" s="310"/>
      <c r="X42" s="310"/>
      <c r="Y42" s="310"/>
      <c r="Z42" s="310"/>
      <c r="AA42" s="310">
        <f t="shared" si="1"/>
        <v>0</v>
      </c>
      <c r="AB42" s="311" t="str">
        <f t="shared" si="2"/>
        <v/>
      </c>
      <c r="AC42" s="328"/>
      <c r="AD42" s="310"/>
      <c r="AE42" s="311" t="str">
        <f t="shared" si="3"/>
        <v/>
      </c>
      <c r="AF42" s="312">
        <f t="shared" si="4"/>
        <v>0</v>
      </c>
      <c r="AG42" s="310"/>
      <c r="AH42" s="311" t="str">
        <f t="shared" si="5"/>
        <v/>
      </c>
      <c r="AI42" s="313">
        <f t="shared" si="6"/>
        <v>0</v>
      </c>
      <c r="AJ42" s="399">
        <f t="shared" si="7"/>
        <v>0</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c r="Y43" s="310"/>
      <c r="Z43" s="310"/>
      <c r="AA43" s="310">
        <f t="shared" si="1"/>
        <v>0</v>
      </c>
      <c r="AB43" s="311" t="str">
        <f t="shared" si="2"/>
        <v/>
      </c>
      <c r="AC43" s="328"/>
      <c r="AD43" s="310"/>
      <c r="AE43" s="311" t="str">
        <f t="shared" si="3"/>
        <v/>
      </c>
      <c r="AF43" s="312">
        <f t="shared" si="4"/>
        <v>0</v>
      </c>
      <c r="AG43" s="310"/>
      <c r="AH43" s="311" t="str">
        <f t="shared" si="5"/>
        <v/>
      </c>
      <c r="AI43" s="313">
        <f t="shared" si="6"/>
        <v>0</v>
      </c>
      <c r="AJ43" s="399">
        <f t="shared" si="7"/>
        <v>0</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c r="P44" s="310"/>
      <c r="Q44" s="310"/>
      <c r="R44" s="310"/>
      <c r="S44" s="310"/>
      <c r="T44" s="310"/>
      <c r="U44" s="310"/>
      <c r="V44" s="310"/>
      <c r="W44" s="310"/>
      <c r="X44" s="310"/>
      <c r="Y44" s="310"/>
      <c r="Z44" s="310"/>
      <c r="AA44" s="310">
        <f t="shared" si="1"/>
        <v>0</v>
      </c>
      <c r="AB44" s="311" t="str">
        <f t="shared" si="2"/>
        <v/>
      </c>
      <c r="AC44" s="328"/>
      <c r="AD44" s="310"/>
      <c r="AE44" s="311" t="str">
        <f t="shared" si="3"/>
        <v/>
      </c>
      <c r="AF44" s="312">
        <f t="shared" si="4"/>
        <v>0</v>
      </c>
      <c r="AG44" s="310"/>
      <c r="AH44" s="311" t="str">
        <f t="shared" si="5"/>
        <v/>
      </c>
      <c r="AI44" s="313">
        <f t="shared" si="6"/>
        <v>0</v>
      </c>
      <c r="AJ44" s="399">
        <f t="shared" si="7"/>
        <v>0</v>
      </c>
      <c r="AK44" s="400">
        <f t="shared" si="8"/>
        <v>0</v>
      </c>
      <c r="AL44" s="401">
        <f t="shared" si="9"/>
        <v>0</v>
      </c>
      <c r="AM44" s="402">
        <f t="shared" si="10"/>
        <v>0</v>
      </c>
      <c r="AN44" s="403">
        <f t="shared" si="11"/>
        <v>0</v>
      </c>
    </row>
    <row r="45" spans="1:40" x14ac:dyDescent="0.25">
      <c r="H45" s="15" t="s">
        <v>270</v>
      </c>
      <c r="I45" s="161" t="s">
        <v>1058</v>
      </c>
      <c r="J45" s="161" t="s">
        <v>78</v>
      </c>
      <c r="K45" s="68" t="str">
        <f t="shared" si="0"/>
        <v>&gt;</v>
      </c>
      <c r="L45" s="162"/>
      <c r="M45" s="162"/>
      <c r="N45" s="162" t="s">
        <v>1319</v>
      </c>
      <c r="O45" s="309"/>
      <c r="P45" s="310"/>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c r="P47" s="134"/>
      <c r="Q47" s="134"/>
      <c r="R47" s="134"/>
      <c r="S47" s="134"/>
      <c r="T47" s="134"/>
      <c r="U47" s="134"/>
      <c r="V47" s="134"/>
      <c r="W47" s="134"/>
      <c r="X47" s="134"/>
      <c r="Y47" s="134"/>
      <c r="Z47" s="134"/>
      <c r="AA47" s="134">
        <f t="shared" si="1"/>
        <v>0</v>
      </c>
      <c r="AB47" s="135" t="str">
        <f t="shared" si="2"/>
        <v/>
      </c>
      <c r="AC47" s="137"/>
      <c r="AD47" s="134"/>
      <c r="AE47" s="135" t="str">
        <f t="shared" si="3"/>
        <v/>
      </c>
      <c r="AF47" s="136">
        <f t="shared" si="4"/>
        <v>0</v>
      </c>
      <c r="AG47" s="134"/>
      <c r="AH47" s="135" t="str">
        <f t="shared" si="5"/>
        <v/>
      </c>
      <c r="AI47" s="291">
        <f t="shared" si="6"/>
        <v>0</v>
      </c>
      <c r="AJ47" s="360">
        <f t="shared" si="7"/>
        <v>0</v>
      </c>
      <c r="AK47" s="361">
        <f t="shared" si="8"/>
        <v>0</v>
      </c>
      <c r="AL47" s="363">
        <f t="shared" si="9"/>
        <v>0</v>
      </c>
      <c r="AM47" s="405">
        <f t="shared" si="10"/>
        <v>0</v>
      </c>
      <c r="AN47" s="406">
        <f t="shared" si="11"/>
        <v>0</v>
      </c>
    </row>
    <row r="48" spans="1:40" x14ac:dyDescent="0.25">
      <c r="H48" s="15" t="s">
        <v>486</v>
      </c>
      <c r="I48" s="161" t="s">
        <v>1058</v>
      </c>
      <c r="J48" s="161" t="s">
        <v>78</v>
      </c>
      <c r="K48" s="68" t="str">
        <f t="shared" si="0"/>
        <v>&gt;</v>
      </c>
      <c r="L48" s="162"/>
      <c r="M48" s="162"/>
      <c r="N48" s="162" t="s">
        <v>1213</v>
      </c>
      <c r="O48" s="330"/>
      <c r="P48" s="47"/>
      <c r="Q48" s="47"/>
      <c r="R48" s="47"/>
      <c r="S48" s="47"/>
      <c r="T48" s="47"/>
      <c r="U48" s="47"/>
      <c r="V48" s="47"/>
      <c r="W48" s="47"/>
      <c r="X48" s="47"/>
      <c r="Y48" s="47"/>
      <c r="Z48" s="47"/>
      <c r="AA48" s="47">
        <f t="shared" si="1"/>
        <v>0</v>
      </c>
      <c r="AB48" s="48" t="str">
        <f t="shared" si="2"/>
        <v/>
      </c>
      <c r="AC48" s="54"/>
      <c r="AD48" s="47"/>
      <c r="AE48" s="48" t="str">
        <f t="shared" si="3"/>
        <v/>
      </c>
      <c r="AF48" s="150">
        <f t="shared" si="4"/>
        <v>0</v>
      </c>
      <c r="AG48" s="47"/>
      <c r="AH48" s="48" t="str">
        <f t="shared" si="5"/>
        <v/>
      </c>
      <c r="AI48" s="331">
        <f t="shared" si="6"/>
        <v>0</v>
      </c>
      <c r="AJ48" s="420">
        <f t="shared" si="7"/>
        <v>0</v>
      </c>
      <c r="AK48" s="421">
        <f t="shared" si="8"/>
        <v>0</v>
      </c>
      <c r="AL48" s="422">
        <f t="shared" si="9"/>
        <v>0</v>
      </c>
      <c r="AM48" s="423">
        <f t="shared" si="10"/>
        <v>0</v>
      </c>
      <c r="AN48" s="424">
        <f t="shared" si="11"/>
        <v>0</v>
      </c>
    </row>
    <row r="49" spans="1:40" x14ac:dyDescent="0.25">
      <c r="A49" s="3" t="s">
        <v>0</v>
      </c>
      <c r="B49" s="5" t="s">
        <v>1</v>
      </c>
      <c r="H49" s="15" t="s">
        <v>273</v>
      </c>
      <c r="I49" s="479" t="s">
        <v>1064</v>
      </c>
      <c r="J49" s="479" t="s">
        <v>78</v>
      </c>
      <c r="K49" s="480" t="str">
        <f t="shared" si="0"/>
        <v/>
      </c>
      <c r="L49" s="170"/>
      <c r="M49" s="170"/>
      <c r="N49" s="170" t="s">
        <v>1214</v>
      </c>
      <c r="O49" s="224"/>
      <c r="P49" s="134"/>
      <c r="Q49" s="134"/>
      <c r="R49" s="134"/>
      <c r="S49" s="134"/>
      <c r="T49" s="134"/>
      <c r="U49" s="134"/>
      <c r="V49" s="134"/>
      <c r="W49" s="134"/>
      <c r="X49" s="134"/>
      <c r="Y49" s="134"/>
      <c r="Z49" s="134"/>
      <c r="AA49" s="134">
        <f t="shared" si="1"/>
        <v>0</v>
      </c>
      <c r="AB49" s="135" t="str">
        <f t="shared" si="2"/>
        <v/>
      </c>
      <c r="AC49" s="137"/>
      <c r="AD49" s="134"/>
      <c r="AE49" s="135" t="str">
        <f t="shared" si="3"/>
        <v/>
      </c>
      <c r="AF49" s="136">
        <f t="shared" si="4"/>
        <v>0</v>
      </c>
      <c r="AG49" s="134"/>
      <c r="AH49" s="135" t="str">
        <f t="shared" si="5"/>
        <v/>
      </c>
      <c r="AI49" s="291">
        <f t="shared" si="6"/>
        <v>0</v>
      </c>
      <c r="AJ49" s="360">
        <f t="shared" si="7"/>
        <v>0</v>
      </c>
      <c r="AK49" s="361">
        <f t="shared" si="8"/>
        <v>0</v>
      </c>
      <c r="AL49" s="363">
        <f t="shared" si="9"/>
        <v>0</v>
      </c>
      <c r="AM49" s="405">
        <f t="shared" si="10"/>
        <v>0</v>
      </c>
      <c r="AN49" s="406">
        <f t="shared" si="11"/>
        <v>0</v>
      </c>
    </row>
    <row r="50" spans="1:40" x14ac:dyDescent="0.25">
      <c r="A50" s="6" t="s">
        <v>2</v>
      </c>
      <c r="B50" s="16" t="s">
        <v>1405</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1406</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1411</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c r="P54" s="310"/>
      <c r="Q54" s="310"/>
      <c r="R54" s="310"/>
      <c r="S54" s="310"/>
      <c r="T54" s="310"/>
      <c r="U54" s="310"/>
      <c r="V54" s="310"/>
      <c r="W54" s="310"/>
      <c r="X54" s="310"/>
      <c r="Y54" s="310"/>
      <c r="Z54" s="310"/>
      <c r="AA54" s="310">
        <f t="shared" si="1"/>
        <v>0</v>
      </c>
      <c r="AB54" s="311" t="str">
        <f t="shared" si="2"/>
        <v/>
      </c>
      <c r="AC54" s="328"/>
      <c r="AD54" s="310"/>
      <c r="AE54" s="311" t="str">
        <f t="shared" si="3"/>
        <v/>
      </c>
      <c r="AF54" s="312">
        <f t="shared" si="4"/>
        <v>0</v>
      </c>
      <c r="AG54" s="310"/>
      <c r="AH54" s="311" t="str">
        <f t="shared" si="5"/>
        <v/>
      </c>
      <c r="AI54" s="313">
        <f t="shared" si="6"/>
        <v>0</v>
      </c>
      <c r="AJ54" s="399">
        <f t="shared" si="7"/>
        <v>0</v>
      </c>
      <c r="AK54" s="400">
        <f t="shared" si="8"/>
        <v>0</v>
      </c>
      <c r="AL54" s="401">
        <f t="shared" si="9"/>
        <v>0</v>
      </c>
      <c r="AM54" s="402">
        <f t="shared" si="10"/>
        <v>0</v>
      </c>
      <c r="AN54" s="403">
        <f t="shared" si="11"/>
        <v>0</v>
      </c>
    </row>
    <row r="55" spans="1:40" x14ac:dyDescent="0.25">
      <c r="A55" s="6" t="s">
        <v>7</v>
      </c>
      <c r="B55" s="16" t="s">
        <v>1412</v>
      </c>
      <c r="F55" s="152"/>
      <c r="H55" s="15" t="s">
        <v>283</v>
      </c>
      <c r="I55" s="161" t="s">
        <v>1058</v>
      </c>
      <c r="J55" s="161" t="s">
        <v>78</v>
      </c>
      <c r="K55" s="68" t="str">
        <f t="shared" si="0"/>
        <v>&gt;</v>
      </c>
      <c r="L55" s="162"/>
      <c r="M55" s="162"/>
      <c r="N55" s="162" t="s">
        <v>1220</v>
      </c>
      <c r="O55" s="309"/>
      <c r="P55" s="310"/>
      <c r="Q55" s="310"/>
      <c r="R55" s="310"/>
      <c r="S55" s="310"/>
      <c r="T55" s="310"/>
      <c r="U55" s="310"/>
      <c r="V55" s="310"/>
      <c r="W55" s="310"/>
      <c r="X55" s="310"/>
      <c r="Y55" s="310"/>
      <c r="Z55" s="310"/>
      <c r="AA55" s="310">
        <f t="shared" si="1"/>
        <v>0</v>
      </c>
      <c r="AB55" s="311" t="str">
        <f t="shared" si="2"/>
        <v/>
      </c>
      <c r="AC55" s="328"/>
      <c r="AD55" s="310"/>
      <c r="AE55" s="311" t="str">
        <f t="shared" si="3"/>
        <v/>
      </c>
      <c r="AF55" s="312">
        <f t="shared" si="4"/>
        <v>0</v>
      </c>
      <c r="AG55" s="310"/>
      <c r="AH55" s="311" t="str">
        <f t="shared" si="5"/>
        <v/>
      </c>
      <c r="AI55" s="313">
        <f t="shared" si="6"/>
        <v>0</v>
      </c>
      <c r="AJ55" s="399">
        <f t="shared" si="7"/>
        <v>0</v>
      </c>
      <c r="AK55" s="400">
        <f t="shared" si="8"/>
        <v>0</v>
      </c>
      <c r="AL55" s="401">
        <f t="shared" si="9"/>
        <v>0</v>
      </c>
      <c r="AM55" s="402">
        <f t="shared" si="10"/>
        <v>0</v>
      </c>
      <c r="AN55" s="403">
        <f t="shared" si="11"/>
        <v>0</v>
      </c>
    </row>
    <row r="56" spans="1:40" x14ac:dyDescent="0.25">
      <c r="A56" s="6" t="s">
        <v>47</v>
      </c>
      <c r="B56" s="16" t="s">
        <v>1409</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c r="P57" s="36"/>
      <c r="Q57" s="36"/>
      <c r="R57" s="36"/>
      <c r="S57" s="36"/>
      <c r="T57" s="36"/>
      <c r="U57" s="36"/>
      <c r="V57" s="36"/>
      <c r="W57" s="36"/>
      <c r="X57" s="36"/>
      <c r="Y57" s="36"/>
      <c r="Z57" s="36"/>
      <c r="AA57" s="36">
        <f t="shared" si="1"/>
        <v>0</v>
      </c>
      <c r="AB57" s="37" t="str">
        <f t="shared" si="2"/>
        <v/>
      </c>
      <c r="AC57" s="35"/>
      <c r="AD57" s="36"/>
      <c r="AE57" s="37" t="str">
        <f t="shared" si="3"/>
        <v/>
      </c>
      <c r="AF57" s="58">
        <f t="shared" si="4"/>
        <v>0</v>
      </c>
      <c r="AG57" s="36"/>
      <c r="AH57" s="37" t="str">
        <f t="shared" si="5"/>
        <v/>
      </c>
      <c r="AI57" s="292">
        <f t="shared" si="6"/>
        <v>0</v>
      </c>
      <c r="AJ57" s="372">
        <f t="shared" si="7"/>
        <v>0</v>
      </c>
      <c r="AK57" s="373">
        <f t="shared" si="8"/>
        <v>0</v>
      </c>
      <c r="AL57" s="375">
        <f t="shared" si="9"/>
        <v>0</v>
      </c>
      <c r="AM57" s="407">
        <f t="shared" si="10"/>
        <v>0</v>
      </c>
      <c r="AN57" s="408">
        <f t="shared" si="11"/>
        <v>0</v>
      </c>
    </row>
    <row r="58" spans="1:40" x14ac:dyDescent="0.25">
      <c r="G58" s="14"/>
      <c r="H58" s="15" t="s">
        <v>280</v>
      </c>
      <c r="I58" s="479" t="s">
        <v>1012</v>
      </c>
      <c r="J58" s="479" t="s">
        <v>78</v>
      </c>
      <c r="K58" s="480" t="str">
        <f t="shared" si="0"/>
        <v/>
      </c>
      <c r="L58" s="170">
        <v>400000</v>
      </c>
      <c r="M58" s="170"/>
      <c r="N58" s="170" t="s">
        <v>1003</v>
      </c>
      <c r="O58" s="224"/>
      <c r="P58" s="134"/>
      <c r="Q58" s="134"/>
      <c r="R58" s="134"/>
      <c r="S58" s="134"/>
      <c r="T58" s="134"/>
      <c r="U58" s="134"/>
      <c r="V58" s="134"/>
      <c r="W58" s="134"/>
      <c r="X58" s="134"/>
      <c r="Y58" s="134"/>
      <c r="Z58" s="134"/>
      <c r="AA58" s="134">
        <f t="shared" si="1"/>
        <v>0</v>
      </c>
      <c r="AB58" s="135" t="str">
        <f t="shared" si="2"/>
        <v/>
      </c>
      <c r="AC58" s="137"/>
      <c r="AD58" s="134"/>
      <c r="AE58" s="135" t="str">
        <f t="shared" si="3"/>
        <v/>
      </c>
      <c r="AF58" s="136">
        <f t="shared" si="4"/>
        <v>0</v>
      </c>
      <c r="AG58" s="134"/>
      <c r="AH58" s="135" t="str">
        <f t="shared" si="5"/>
        <v/>
      </c>
      <c r="AI58" s="291">
        <f t="shared" si="6"/>
        <v>0</v>
      </c>
      <c r="AJ58" s="360">
        <f t="shared" si="7"/>
        <v>0</v>
      </c>
      <c r="AK58" s="361">
        <f t="shared" si="8"/>
        <v>0</v>
      </c>
      <c r="AL58" s="363">
        <f t="shared" si="9"/>
        <v>0</v>
      </c>
      <c r="AM58" s="405">
        <f t="shared" si="10"/>
        <v>0</v>
      </c>
      <c r="AN58" s="406">
        <f t="shared"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c r="P62" s="310"/>
      <c r="Q62" s="310"/>
      <c r="R62" s="310"/>
      <c r="S62" s="310"/>
      <c r="T62" s="310"/>
      <c r="U62" s="310"/>
      <c r="V62" s="310"/>
      <c r="W62" s="310"/>
      <c r="X62" s="310"/>
      <c r="Y62" s="310"/>
      <c r="Z62" s="310"/>
      <c r="AA62" s="310">
        <f t="shared" ref="AA62:AA70" si="13">IF($I62="B1","",SUM(O62:Z62))</f>
        <v>0</v>
      </c>
      <c r="AB62" s="311"/>
      <c r="AC62" s="328"/>
      <c r="AD62" s="310"/>
      <c r="AE62" s="311"/>
      <c r="AF62" s="312">
        <f t="shared" ref="AF62:AF72" si="14">IF(AND($AA62="",AD62=""),"",$AA62-AD62)</f>
        <v>0</v>
      </c>
      <c r="AG62" s="310"/>
      <c r="AH62" s="311"/>
      <c r="AI62" s="313">
        <f t="shared" ref="AI62:AI72" si="15">IF(AND($AA62="",AG62=""),"",$AA62-AG62)</f>
        <v>0</v>
      </c>
      <c r="AJ62" s="399">
        <f t="shared" ref="AJ62:AJ70" si="16">IFERROR(AA62/AA$20,0)</f>
        <v>0</v>
      </c>
      <c r="AK62" s="400">
        <f t="shared" ref="AK62:AK70" si="17">IFERROR(AD62/AD$20,0)</f>
        <v>0</v>
      </c>
      <c r="AL62" s="401">
        <f t="shared" ref="AL62:AL70" si="18">IFERROR(AG62/AG$20,0)</f>
        <v>0</v>
      </c>
      <c r="AM62" s="402" t="str">
        <f t="shared" ref="AM62:AM70" si="19">+IFERROR(ROUND(($AB62-AE62)*100,2)&amp;" pts.",0)</f>
        <v>0 pts.</v>
      </c>
      <c r="AN62" s="403" t="str">
        <f t="shared" ref="AN62:AN70" si="20">+IFERROR(ROUND(($AB62-AH62)*100,2)&amp;" pts.",0)</f>
        <v>0 pts.</v>
      </c>
    </row>
    <row r="63" spans="1:40" x14ac:dyDescent="0.25">
      <c r="A63" s="6" t="s">
        <v>14</v>
      </c>
      <c r="B63" s="7"/>
      <c r="H63" s="15" t="s">
        <v>636</v>
      </c>
      <c r="I63" s="161" t="s">
        <v>1058</v>
      </c>
      <c r="J63" s="161" t="s">
        <v>78</v>
      </c>
      <c r="K63" s="68" t="str">
        <f t="shared" si="12"/>
        <v>&gt;</v>
      </c>
      <c r="L63" s="162"/>
      <c r="M63" s="162"/>
      <c r="N63" s="162" t="s">
        <v>1226</v>
      </c>
      <c r="O63" s="323"/>
      <c r="P63" s="324"/>
      <c r="Q63" s="324"/>
      <c r="R63" s="324"/>
      <c r="S63" s="324"/>
      <c r="T63" s="324"/>
      <c r="U63" s="324"/>
      <c r="V63" s="324"/>
      <c r="W63" s="324"/>
      <c r="X63" s="324"/>
      <c r="Y63" s="324"/>
      <c r="Z63" s="324"/>
      <c r="AA63" s="324">
        <f t="shared" si="13"/>
        <v>0</v>
      </c>
      <c r="AB63" s="325"/>
      <c r="AC63" s="290"/>
      <c r="AD63" s="324"/>
      <c r="AE63" s="325"/>
      <c r="AF63" s="326">
        <f t="shared" si="14"/>
        <v>0</v>
      </c>
      <c r="AG63" s="324"/>
      <c r="AH63" s="325"/>
      <c r="AI63" s="327">
        <f t="shared" si="15"/>
        <v>0</v>
      </c>
      <c r="AJ63" s="409">
        <f t="shared" si="16"/>
        <v>0</v>
      </c>
      <c r="AK63" s="410">
        <f t="shared" si="17"/>
        <v>0</v>
      </c>
      <c r="AL63" s="411">
        <f t="shared" si="18"/>
        <v>0</v>
      </c>
      <c r="AM63" s="412" t="str">
        <f t="shared" si="19"/>
        <v>0 pts.</v>
      </c>
      <c r="AN63" s="413" t="str">
        <f t="shared" si="20"/>
        <v>0 pts.</v>
      </c>
    </row>
    <row r="64" spans="1:40" x14ac:dyDescent="0.25">
      <c r="A64" s="6" t="s">
        <v>15</v>
      </c>
      <c r="B64" s="7"/>
      <c r="H64" s="15" t="s">
        <v>286</v>
      </c>
      <c r="I64" s="479" t="s">
        <v>1064</v>
      </c>
      <c r="J64" s="479" t="s">
        <v>78</v>
      </c>
      <c r="K64" s="480" t="str">
        <f t="shared" si="12"/>
        <v/>
      </c>
      <c r="L64" s="170"/>
      <c r="M64" s="170"/>
      <c r="N64" s="170" t="s">
        <v>1227</v>
      </c>
      <c r="O64" s="224"/>
      <c r="P64" s="134"/>
      <c r="Q64" s="134"/>
      <c r="R64" s="134"/>
      <c r="S64" s="134"/>
      <c r="T64" s="134"/>
      <c r="U64" s="134"/>
      <c r="V64" s="134"/>
      <c r="W64" s="134"/>
      <c r="X64" s="134"/>
      <c r="Y64" s="134"/>
      <c r="Z64" s="134"/>
      <c r="AA64" s="134">
        <f t="shared" si="13"/>
        <v>0</v>
      </c>
      <c r="AB64" s="135"/>
      <c r="AC64" s="137"/>
      <c r="AD64" s="134"/>
      <c r="AE64" s="135"/>
      <c r="AF64" s="136">
        <f t="shared" si="14"/>
        <v>0</v>
      </c>
      <c r="AG64" s="134"/>
      <c r="AH64" s="135"/>
      <c r="AI64" s="291">
        <f t="shared" si="15"/>
        <v>0</v>
      </c>
      <c r="AJ64" s="360">
        <f t="shared" si="16"/>
        <v>0</v>
      </c>
      <c r="AK64" s="361">
        <f t="shared" si="17"/>
        <v>0</v>
      </c>
      <c r="AL64" s="363">
        <f t="shared" si="18"/>
        <v>0</v>
      </c>
      <c r="AM64" s="405" t="str">
        <f t="shared" si="19"/>
        <v>0 pts.</v>
      </c>
      <c r="AN64" s="406" t="str">
        <f t="shared" si="20"/>
        <v>0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c r="P70" s="134"/>
      <c r="Q70" s="134"/>
      <c r="R70" s="134"/>
      <c r="S70" s="134"/>
      <c r="T70" s="134"/>
      <c r="U70" s="134"/>
      <c r="V70" s="134"/>
      <c r="W70" s="134"/>
      <c r="X70" s="134"/>
      <c r="Y70" s="134"/>
      <c r="Z70" s="134"/>
      <c r="AA70" s="134">
        <f t="shared" si="13"/>
        <v>0</v>
      </c>
      <c r="AB70" s="135"/>
      <c r="AC70" s="137"/>
      <c r="AD70" s="134"/>
      <c r="AE70" s="135"/>
      <c r="AF70" s="136">
        <f t="shared" si="14"/>
        <v>0</v>
      </c>
      <c r="AG70" s="134"/>
      <c r="AH70" s="135"/>
      <c r="AI70" s="291">
        <f t="shared" si="15"/>
        <v>0</v>
      </c>
      <c r="AJ70" s="360">
        <f t="shared" si="16"/>
        <v>0</v>
      </c>
      <c r="AK70" s="361">
        <f t="shared" si="17"/>
        <v>0</v>
      </c>
      <c r="AL70" s="363">
        <f t="shared" si="18"/>
        <v>0</v>
      </c>
      <c r="AM70" s="405" t="str">
        <f t="shared" si="19"/>
        <v>0 pts.</v>
      </c>
      <c r="AN70" s="406" t="str">
        <f t="shared" si="20"/>
        <v>0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0</v>
      </c>
      <c r="P72" s="164">
        <f t="shared" si="21"/>
        <v>0</v>
      </c>
      <c r="Q72" s="164">
        <f t="shared" si="21"/>
        <v>0</v>
      </c>
      <c r="R72" s="164">
        <f t="shared" si="21"/>
        <v>0</v>
      </c>
      <c r="S72" s="164">
        <f t="shared" si="21"/>
        <v>0</v>
      </c>
      <c r="T72" s="164">
        <f t="shared" si="21"/>
        <v>0</v>
      </c>
      <c r="U72" s="164">
        <f t="shared" si="21"/>
        <v>0</v>
      </c>
      <c r="V72" s="164">
        <f t="shared" si="21"/>
        <v>0</v>
      </c>
      <c r="W72" s="164">
        <f t="shared" si="21"/>
        <v>0</v>
      </c>
      <c r="X72" s="164">
        <f t="shared" si="21"/>
        <v>0</v>
      </c>
      <c r="Y72" s="164">
        <f t="shared" si="21"/>
        <v>0</v>
      </c>
      <c r="Z72" s="164">
        <f t="shared" si="21"/>
        <v>0</v>
      </c>
      <c r="AA72" s="134">
        <f>IF($I72="B1","",SUM(O72:Z72))</f>
        <v>0</v>
      </c>
      <c r="AB72" s="135" t="str">
        <f>IF(AA72=0,"",IFERROR(AA72/AA$19,""))</f>
        <v/>
      </c>
      <c r="AD72" s="164">
        <f>SUMIF($H$35:$H$70,"400000",AD35:AD70)-SUMIF($H$35:$H$70,"500001",AD35:AD70)</f>
        <v>0</v>
      </c>
      <c r="AE72" s="135" t="str">
        <f>IF(AD72=0,"",IFERROR(AD72/AD$19,""))</f>
        <v/>
      </c>
      <c r="AF72" s="165">
        <f t="shared" si="14"/>
        <v>0</v>
      </c>
      <c r="AG72" s="164">
        <f>SUMIF($H$35:$H$70,"400000",AG35:AG70)-SUMIF($H$35:$H$70,"500001",AG35:AG70)</f>
        <v>0</v>
      </c>
      <c r="AH72" s="135" t="str">
        <f>IF(AG72=0,"",IFERROR(AG72/AG$19,""))</f>
        <v/>
      </c>
      <c r="AI72" s="165">
        <f t="shared" si="15"/>
        <v>0</v>
      </c>
      <c r="AJ72" s="360">
        <f>IFERROR(AA72/AA$20,0)</f>
        <v>0</v>
      </c>
      <c r="AK72" s="361">
        <f>IFERROR(AD72/AD$20,0)</f>
        <v>0</v>
      </c>
      <c r="AL72" s="363">
        <f>IFERROR(AG72/AG$20,0)</f>
        <v>0</v>
      </c>
      <c r="AM72" s="405">
        <f>+IFERROR(ROUND(($AB72-AE72)*100,2)&amp;" pts.",0)</f>
        <v>0</v>
      </c>
      <c r="AN72" s="406">
        <f>+IFERROR(ROUND(($AB72-AH72)*100,2)&amp;"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IF(AND(I76&gt;="T3"),"&gt;","")</f>
        <v/>
      </c>
      <c r="L76" s="162"/>
      <c r="M76" s="162"/>
      <c r="N76" s="162"/>
      <c r="O76" s="38"/>
      <c r="P76" s="38"/>
      <c r="Q76" s="38"/>
      <c r="R76" s="38"/>
      <c r="S76" s="38"/>
      <c r="T76" s="38"/>
      <c r="U76" s="38"/>
      <c r="V76" s="38"/>
      <c r="W76" s="38"/>
      <c r="X76" s="38"/>
      <c r="Y76" s="38"/>
      <c r="Z76" s="38"/>
      <c r="AA76" s="310">
        <f>IF($I76="B1","",SUM(O76:Z76))</f>
        <v>0</v>
      </c>
      <c r="AB76" s="39" t="str">
        <f>IF(AA76=0,"",IFERROR(AA76/AA$19,""))</f>
        <v/>
      </c>
      <c r="AD76" s="38"/>
      <c r="AE76" s="39" t="str">
        <f>IF(AD76=0,"",IFERROR(AD76/AD$19,""))</f>
        <v/>
      </c>
      <c r="AF76" s="132">
        <f>IF(AND($AA76="",AD76=""),"",$AA76-AD76)</f>
        <v>0</v>
      </c>
      <c r="AG76" s="38"/>
      <c r="AH76" s="39" t="str">
        <f>IF(AG76=0,"",IFERROR(AG76/AG$19,""))</f>
        <v/>
      </c>
      <c r="AI76" s="132">
        <f>IF(AND($AA76="",AG76=""),"",$AA76-AG76)</f>
        <v>0</v>
      </c>
      <c r="AJ76" s="399">
        <f>IFERROR(AA76/AA$20,0)</f>
        <v>0</v>
      </c>
      <c r="AK76" s="400">
        <f>IFERROR(AD76/AD$20,0)</f>
        <v>0</v>
      </c>
      <c r="AL76" s="401">
        <f>IFERROR(AG76/AG$20,0)</f>
        <v>0</v>
      </c>
      <c r="AM76" s="402">
        <f>+IFERROR(ROUND(($AB76-AE76)*100,2)&amp;" pts.",0)</f>
        <v>0</v>
      </c>
      <c r="AN76" s="403">
        <f>+IFERROR(ROUND(($AB76-AH76)*100,2)&amp;" pts.",0)</f>
        <v>0</v>
      </c>
    </row>
    <row r="77" spans="1:40" hidden="1" x14ac:dyDescent="0.25">
      <c r="A77" s="1" t="s">
        <v>108</v>
      </c>
      <c r="C77" s="151" t="s">
        <v>101</v>
      </c>
      <c r="D77" s="1" t="s">
        <v>107</v>
      </c>
      <c r="F77" s="1" t="s">
        <v>99</v>
      </c>
      <c r="H77" s="15"/>
      <c r="I77" s="161"/>
      <c r="J77" s="161"/>
      <c r="K77" s="68" t="str">
        <f>IF(AND(I77&gt;="T3"),"&gt;","")</f>
        <v/>
      </c>
      <c r="L77" s="162"/>
      <c r="M77" s="162"/>
      <c r="N77" s="162"/>
      <c r="O77" s="38"/>
      <c r="P77" s="38"/>
      <c r="Q77" s="38"/>
      <c r="R77" s="38"/>
      <c r="S77" s="38"/>
      <c r="T77" s="38"/>
      <c r="U77" s="38"/>
      <c r="V77" s="38"/>
      <c r="W77" s="38"/>
      <c r="X77" s="38"/>
      <c r="Y77" s="38"/>
      <c r="Z77" s="38"/>
      <c r="AA77" s="310">
        <f>IF($I77="B1","",SUM(O77:Z77))</f>
        <v>0</v>
      </c>
      <c r="AB77" s="39" t="str">
        <f>IF(AA77=0,"",IFERROR(AA77/AA$19,""))</f>
        <v/>
      </c>
      <c r="AD77" s="38"/>
      <c r="AE77" s="39" t="str">
        <f>IF(AD77=0,"",IFERROR(AD77/AD$19,""))</f>
        <v/>
      </c>
      <c r="AF77" s="132">
        <f>IF(AND($AA77="",AD77=""),"",$AA77-AD77)</f>
        <v>0</v>
      </c>
      <c r="AG77" s="38"/>
      <c r="AH77" s="39" t="str">
        <f>IF(AG77=0,"",IFERROR(AG77/AG$19,""))</f>
        <v/>
      </c>
      <c r="AI77" s="132">
        <f>IF(AND($AA77="",AG77=""),"",$AA77-AG77)</f>
        <v>0</v>
      </c>
      <c r="AJ77" s="399">
        <f>IFERROR(AA77/AA$20,0)</f>
        <v>0</v>
      </c>
      <c r="AK77" s="400">
        <f>IFERROR(AD77/AD$20,0)</f>
        <v>0</v>
      </c>
      <c r="AL77" s="401">
        <f>IFERROR(AG77/AG$20,0)</f>
        <v>0</v>
      </c>
      <c r="AM77" s="402">
        <f>+IFERROR(ROUND(($AB77-AE77)*100,2)&amp;" pts.",0)</f>
        <v>0</v>
      </c>
      <c r="AN77" s="403">
        <f>+IFERROR(ROUND(($AB77-AH77)*100,2)&amp;" pts.",0)</f>
        <v>0</v>
      </c>
    </row>
    <row r="78" spans="1:40" x14ac:dyDescent="0.25">
      <c r="H78" s="15" t="s">
        <v>75</v>
      </c>
      <c r="I78" s="28" t="s">
        <v>1011</v>
      </c>
      <c r="J78" s="28" t="s">
        <v>78</v>
      </c>
      <c r="K78" s="69" t="str">
        <f>IF(AND(I78&gt;="T3"),"&gt;","")</f>
        <v/>
      </c>
      <c r="L78" s="25"/>
      <c r="M78" s="162"/>
      <c r="N78" s="25" t="s">
        <v>1082</v>
      </c>
      <c r="O78" s="38"/>
      <c r="P78" s="38"/>
      <c r="Q78" s="38"/>
      <c r="R78" s="38"/>
      <c r="S78" s="38"/>
      <c r="T78" s="38"/>
      <c r="U78" s="38"/>
      <c r="V78" s="38"/>
      <c r="W78" s="38"/>
      <c r="X78" s="38"/>
      <c r="Y78" s="38"/>
      <c r="Z78" s="38"/>
      <c r="AA78" s="310" t="str">
        <f>IF($I78="B1","",SUM(O78:Z78))</f>
        <v/>
      </c>
      <c r="AB78" s="39" t="str">
        <f>IF(AA78=0,"",IFERROR(AA78/AA$19,""))</f>
        <v/>
      </c>
      <c r="AD78" s="38"/>
      <c r="AE78" s="39" t="str">
        <f>IF(AD78=0,"",IFERROR(AD78/AD$19,""))</f>
        <v/>
      </c>
      <c r="AF78" s="132" t="str">
        <f>IF(AND($AA78="",AD78=""),"",$AA78-AD78)</f>
        <v/>
      </c>
      <c r="AG78" s="38"/>
      <c r="AH78" s="39" t="str">
        <f>IF(AG78=0,"",IFERROR(AG78/AG$19,""))</f>
        <v/>
      </c>
      <c r="AI78" s="132" t="str">
        <f>IF(AND($AA78="",AG78=""),"",$AA78-AG78)</f>
        <v/>
      </c>
      <c r="AJ78" s="399">
        <f>IFERROR(AA78/AA$20,0)</f>
        <v>0</v>
      </c>
      <c r="AK78" s="400">
        <f>IFERROR(AD78/AD$20,0)</f>
        <v>0</v>
      </c>
      <c r="AL78" s="401">
        <f>IFERROR(AG78/AG$20,0)</f>
        <v>0</v>
      </c>
      <c r="AM78" s="402">
        <f>+IFERROR(ROUND(($AB78-AE78)*100,2)&amp;" pts.",0)</f>
        <v>0</v>
      </c>
      <c r="AN78" s="403">
        <f>+IFERROR(ROUND(($AB78-AH78)*100,2)&amp;" pts.",0)</f>
        <v>0</v>
      </c>
    </row>
    <row r="79" spans="1:40" hidden="1" x14ac:dyDescent="0.25">
      <c r="C79" s="32"/>
      <c r="H79" s="15" t="s">
        <v>667</v>
      </c>
      <c r="I79" s="161"/>
      <c r="J79" s="161"/>
      <c r="K79" s="68" t="str">
        <f>IF(AND(I79&gt;="T3"),"&gt;","")</f>
        <v/>
      </c>
      <c r="L79" s="162"/>
      <c r="M79" s="162"/>
      <c r="N79" s="162"/>
      <c r="O79" s="47"/>
      <c r="P79" s="47"/>
      <c r="Q79" s="47"/>
      <c r="R79" s="47"/>
      <c r="S79" s="47"/>
      <c r="T79" s="47"/>
      <c r="U79" s="47"/>
      <c r="V79" s="47"/>
      <c r="W79" s="47"/>
      <c r="X79" s="47"/>
      <c r="Y79" s="47"/>
      <c r="Z79" s="47"/>
      <c r="AA79" s="324">
        <f>IF($I79="B1","",SUM(O79:Z79))</f>
        <v>0</v>
      </c>
      <c r="AB79" s="48" t="str">
        <f>IF(AA79=0,"",IFERROR(AA79/AA$19,""))</f>
        <v/>
      </c>
      <c r="AD79" s="47"/>
      <c r="AE79" s="48" t="str">
        <f>IF(AD79=0,"",IFERROR(AD79/AD$19,""))</f>
        <v/>
      </c>
      <c r="AF79" s="150">
        <f>IF(AND($AA79="",AD79=""),"",$AA79-AD79)</f>
        <v>0</v>
      </c>
      <c r="AG79" s="47"/>
      <c r="AH79" s="48" t="str">
        <f>IF(AG79=0,"",IFERROR(AG79/AG$19,""))</f>
        <v/>
      </c>
      <c r="AI79" s="150">
        <f>IF(AND($AA79="",AG79=""),"",$AA79-AG79)</f>
        <v>0</v>
      </c>
      <c r="AJ79" s="399">
        <f>IFERROR(AA79/AA$20,0)</f>
        <v>0</v>
      </c>
      <c r="AK79" s="400">
        <f>IFERROR(AD79/AD$20,0)</f>
        <v>0</v>
      </c>
      <c r="AL79" s="401">
        <f>IFERROR(AG79/AG$20,0)</f>
        <v>0</v>
      </c>
      <c r="AM79" s="402">
        <f>+IFERROR(ROUND(($AB79-AE79)*100,2)&amp;" pts.",0)</f>
        <v>0</v>
      </c>
      <c r="AN79" s="403">
        <f>+IFERROR(ROUND(($AB79-AH79)*100,2)&amp;" pts.",0)</f>
        <v>0</v>
      </c>
    </row>
    <row r="80" spans="1:40" hidden="1" x14ac:dyDescent="0.25">
      <c r="A80" s="4" t="s">
        <v>988</v>
      </c>
      <c r="H80" s="15"/>
      <c r="I80" s="161"/>
      <c r="J80" s="161"/>
      <c r="K80" s="68" t="str">
        <f>IF(AND(I80&gt;="T3"),"&gt;","")</f>
        <v/>
      </c>
      <c r="L80" s="162"/>
      <c r="M80" s="162"/>
      <c r="N80" s="162"/>
      <c r="O80" s="47"/>
      <c r="P80" s="47"/>
      <c r="Q80" s="47"/>
      <c r="R80" s="47"/>
      <c r="S80" s="47"/>
      <c r="T80" s="47"/>
      <c r="U80" s="47"/>
      <c r="V80" s="47"/>
      <c r="W80" s="47"/>
      <c r="X80" s="47"/>
      <c r="Y80" s="47"/>
      <c r="Z80" s="47"/>
      <c r="AA80" s="324">
        <f>IF($I80="B1","",SUM(O80:Z80))</f>
        <v>0</v>
      </c>
      <c r="AB80" s="48" t="str">
        <f>IF(AA80=0,"",IFERROR(AA80/AA$19,""))</f>
        <v/>
      </c>
      <c r="AD80" s="47"/>
      <c r="AE80" s="48" t="str">
        <f>IF(AD80=0,"",IFERROR(AD80/AD$19,""))</f>
        <v/>
      </c>
      <c r="AF80" s="150">
        <f>IF(AND($AA80="",AD80=""),"",$AA80-AD80)</f>
        <v>0</v>
      </c>
      <c r="AG80" s="47"/>
      <c r="AH80" s="48" t="str">
        <f>IF(AG80=0,"",IFERROR(AG80/AG$19,""))</f>
        <v/>
      </c>
      <c r="AI80" s="150">
        <f>IF(AND($AA80="",AG80=""),"",$AA80-AG80)</f>
        <v>0</v>
      </c>
      <c r="AJ80" s="399">
        <f>IFERROR(AA80/AA$20,0)</f>
        <v>0</v>
      </c>
      <c r="AK80" s="400">
        <f>IFERROR(AD80/AD$20,0)</f>
        <v>0</v>
      </c>
      <c r="AL80" s="401">
        <f>IFERROR(AG80/AG$20,0)</f>
        <v>0</v>
      </c>
      <c r="AM80" s="402">
        <f>+IFERROR(ROUND(($AB80-AE80)*100,2)&amp;" pts.",0)</f>
        <v>0</v>
      </c>
      <c r="AN80" s="403">
        <f>+IFERROR(ROUND(($AB80-AH80)*100,2)&amp;"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s">
        <v>1011</v>
      </c>
      <c r="J82" s="11" t="s">
        <v>78</v>
      </c>
      <c r="N82" s="40" t="s">
        <v>1092</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16" t="s">
        <v>1405</v>
      </c>
      <c r="H83" s="15" t="s">
        <v>667</v>
      </c>
      <c r="I83" s="161"/>
      <c r="J83" s="161"/>
      <c r="K83" s="68" t="str">
        <f>IF(AND(I83&lt;&gt;"B1",J83="Y"),"&gt;","")</f>
        <v/>
      </c>
      <c r="L83" s="162"/>
      <c r="M83" s="162"/>
      <c r="N83" s="162"/>
      <c r="O83" s="21"/>
      <c r="P83" s="21"/>
      <c r="Q83" s="21"/>
      <c r="R83" s="21"/>
      <c r="S83" s="21"/>
      <c r="T83" s="21"/>
      <c r="U83" s="21"/>
      <c r="V83" s="21"/>
      <c r="W83" s="21"/>
      <c r="X83" s="21"/>
      <c r="Y83" s="21"/>
      <c r="Z83" s="21"/>
      <c r="AA83" s="310">
        <f>IF($I83="B1","",SUM(O83:Z83))</f>
        <v>0</v>
      </c>
      <c r="AB83" s="17" t="str">
        <f>IF(AA83=0,"",IFERROR(AA83/AA$19,""))</f>
        <v/>
      </c>
      <c r="AD83" s="21"/>
      <c r="AE83" s="17" t="str">
        <f>IF(AD83=0,"",IFERROR(AD83/AD$19,""))</f>
        <v/>
      </c>
      <c r="AF83" s="50">
        <f>IF(AND($AA83="",AD83=""),"",$AA83-AD83)</f>
        <v>0</v>
      </c>
      <c r="AG83" s="21"/>
      <c r="AH83" s="17" t="str">
        <f>IF(AG83=0,"",IFERROR(AG83/AG$19,""))</f>
        <v/>
      </c>
      <c r="AI83" s="50">
        <f>IF(AND($AA83="",AG83=""),"",$AA83-AG83)</f>
        <v>0</v>
      </c>
      <c r="AJ83" s="399">
        <f>IFERROR(AA83/AA$20,0)</f>
        <v>0</v>
      </c>
      <c r="AK83" s="400">
        <f>IFERROR(AD83/AD$20,0)</f>
        <v>0</v>
      </c>
      <c r="AL83" s="401">
        <f>IFERROR(AG83/AG$20,0)</f>
        <v>0</v>
      </c>
      <c r="AM83" s="402">
        <f>+IFERROR(ROUND(($AB83-AE83)*100,2)&amp;" pts.",0)</f>
        <v>0</v>
      </c>
      <c r="AN83" s="403">
        <f>+IFERROR(ROUND(($AB83-AH83)*100,2)&amp;" pts.",0)</f>
        <v>0</v>
      </c>
    </row>
    <row r="84" spans="1:40" hidden="1" x14ac:dyDescent="0.25">
      <c r="A84" s="6" t="s">
        <v>3</v>
      </c>
      <c r="B84" s="16" t="s">
        <v>1406</v>
      </c>
      <c r="H84" s="15"/>
      <c r="I84" s="161"/>
      <c r="J84" s="161"/>
      <c r="K84" s="68" t="str">
        <f>IF(AND(I84&lt;&gt;"B1",J84="Y"),"&gt;","")</f>
        <v/>
      </c>
      <c r="L84" s="162"/>
      <c r="M84" s="162"/>
      <c r="N84" s="162"/>
      <c r="O84" s="21"/>
      <c r="P84" s="21"/>
      <c r="Q84" s="21"/>
      <c r="R84" s="21"/>
      <c r="S84" s="21"/>
      <c r="T84" s="21"/>
      <c r="U84" s="21"/>
      <c r="V84" s="21"/>
      <c r="W84" s="21"/>
      <c r="X84" s="21"/>
      <c r="Y84" s="21"/>
      <c r="Z84" s="21"/>
      <c r="AA84" s="310">
        <f>IF($I84="B1","",SUM(O84:Z84))</f>
        <v>0</v>
      </c>
      <c r="AB84" s="17" t="str">
        <f>IF(AA84=0,"",IFERROR(AA84/AA$19,""))</f>
        <v/>
      </c>
      <c r="AD84" s="21"/>
      <c r="AE84" s="17" t="str">
        <f>IF(AD84=0,"",IFERROR(AD84/AD$19,""))</f>
        <v/>
      </c>
      <c r="AF84" s="50">
        <f>IF(AND($AA84="",AD84=""),"",$AA84-AD84)</f>
        <v>0</v>
      </c>
      <c r="AG84" s="21"/>
      <c r="AH84" s="17" t="str">
        <f>IF(AG84=0,"",IFERROR(AG84/AG$19,""))</f>
        <v/>
      </c>
      <c r="AI84" s="50">
        <f>IF(AND($AA84="",AG84=""),"",$AA84-AG84)</f>
        <v>0</v>
      </c>
      <c r="AJ84" s="399">
        <f>IFERROR(AA84/AA$20,0)</f>
        <v>0</v>
      </c>
      <c r="AK84" s="400">
        <f>IFERROR(AD84/AD$20,0)</f>
        <v>0</v>
      </c>
      <c r="AL84" s="401">
        <f>IFERROR(AG84/AG$20,0)</f>
        <v>0</v>
      </c>
      <c r="AM84" s="402">
        <f>+IFERROR(ROUND(($AB84-AE84)*100,2)&amp;" pts.",0)</f>
        <v>0</v>
      </c>
      <c r="AN84" s="403">
        <f>+IFERROR(ROUND(($AB84-AH84)*100,2)&amp;" pts.",0)</f>
        <v>0</v>
      </c>
    </row>
    <row r="85" spans="1:40" x14ac:dyDescent="0.25">
      <c r="A85" s="6" t="s">
        <v>4</v>
      </c>
      <c r="B85" s="16" t="s">
        <v>1413</v>
      </c>
      <c r="H85" s="15" t="s">
        <v>79</v>
      </c>
      <c r="I85" s="27" t="s">
        <v>1012</v>
      </c>
      <c r="J85" s="27" t="s">
        <v>78</v>
      </c>
      <c r="K85" s="26"/>
      <c r="L85" s="26"/>
      <c r="M85" s="26"/>
      <c r="N85" s="25" t="s">
        <v>1116</v>
      </c>
      <c r="O85" s="33"/>
      <c r="P85" s="33"/>
      <c r="Q85" s="33"/>
      <c r="R85" s="33"/>
      <c r="S85" s="33"/>
      <c r="T85" s="33"/>
      <c r="U85" s="33"/>
      <c r="V85" s="33"/>
      <c r="W85" s="33"/>
      <c r="X85" s="33"/>
      <c r="Y85" s="33"/>
      <c r="Z85" s="33"/>
      <c r="AA85" s="33">
        <f>IF($I85="B1","",SUM(O85:Z85))</f>
        <v>0</v>
      </c>
      <c r="AB85" s="34" t="str">
        <f>IF(AA85=0,"",IFERROR(AA85/AA$19,""))</f>
        <v/>
      </c>
      <c r="AD85" s="33"/>
      <c r="AE85" s="34" t="str">
        <f>IF(AD85=0,"",IFERROR(AD85/AD$19,""))</f>
        <v/>
      </c>
      <c r="AF85" s="52">
        <f>IF(AND($AA85="",AD85=""),"",$AA85-AD85)</f>
        <v>0</v>
      </c>
      <c r="AG85" s="33"/>
      <c r="AH85" s="34" t="str">
        <f>IF(AG85=0,"",IFERROR(AG85/AG$19,""))</f>
        <v/>
      </c>
      <c r="AI85" s="52">
        <f>IF(AND($AA85="",AG85=""),"",$AA85-AG85)</f>
        <v>0</v>
      </c>
      <c r="AJ85" s="415">
        <f>IFERROR(AA85/AA$20,0)</f>
        <v>0</v>
      </c>
      <c r="AK85" s="416">
        <f>IFERROR(AD85/AD$20,0)</f>
        <v>0</v>
      </c>
      <c r="AL85" s="417">
        <f>IFERROR(AG85/AG$20,0)</f>
        <v>0</v>
      </c>
      <c r="AM85" s="418">
        <f>+IFERROR(ROUND(($AB85-AE85)*100,2)&amp;" pts.",0)</f>
        <v>0</v>
      </c>
      <c r="AN85" s="436">
        <f>+IFERROR(ROUND(($AB85-AH85)*100,2)&amp;" pts.",0)</f>
        <v>0</v>
      </c>
    </row>
    <row r="86" spans="1:40" x14ac:dyDescent="0.25">
      <c r="A86" s="6" t="s">
        <v>5</v>
      </c>
      <c r="B86" s="7"/>
    </row>
    <row r="87" spans="1:40" x14ac:dyDescent="0.25">
      <c r="A87" s="6" t="s">
        <v>6</v>
      </c>
      <c r="B87" s="7"/>
      <c r="H87" s="15" t="s">
        <v>80</v>
      </c>
      <c r="I87" s="27" t="s">
        <v>1012</v>
      </c>
      <c r="J87" s="27" t="s">
        <v>78</v>
      </c>
      <c r="K87" s="25"/>
      <c r="L87" s="25"/>
      <c r="M87" s="25"/>
      <c r="N87" s="25" t="s">
        <v>1117</v>
      </c>
      <c r="O87" s="36"/>
      <c r="P87" s="36"/>
      <c r="Q87" s="36"/>
      <c r="R87" s="36"/>
      <c r="S87" s="36"/>
      <c r="T87" s="36"/>
      <c r="U87" s="36"/>
      <c r="V87" s="36"/>
      <c r="W87" s="36"/>
      <c r="X87" s="36"/>
      <c r="Y87" s="36"/>
      <c r="Z87" s="36"/>
      <c r="AA87" s="36">
        <f>IF($I87="B1","",SUM(O87:Z87))</f>
        <v>0</v>
      </c>
      <c r="AB87" s="37" t="str">
        <f>IF(AA87=0,"",IFERROR(AA87/AA$19,""))</f>
        <v/>
      </c>
      <c r="AD87" s="36"/>
      <c r="AE87" s="37" t="str">
        <f>IF(AD87=0,"",IFERROR(AD87/AD$19,""))</f>
        <v/>
      </c>
      <c r="AF87" s="59">
        <f>IF(AND($AA87="",AD87=""),"",$AA87-AD87)</f>
        <v>0</v>
      </c>
      <c r="AG87" s="60"/>
      <c r="AH87" s="61" t="str">
        <f>IF(AG87=0,"",IFERROR(AG87/AG$19,""))</f>
        <v/>
      </c>
      <c r="AI87" s="59">
        <f>IF(AND($AA87="",AG87=""),"",$AA87-AG87)</f>
        <v>0</v>
      </c>
      <c r="AJ87" s="392">
        <f>IFERROR(AA87/AA$20,0)</f>
        <v>0</v>
      </c>
      <c r="AK87" s="393">
        <f>IFERROR(AD87/AD$20,0)</f>
        <v>0</v>
      </c>
      <c r="AL87" s="394">
        <f>IFERROR(AG87/AG$20,0)</f>
        <v>0</v>
      </c>
      <c r="AM87" s="395">
        <f>+IFERROR(ROUND(($AB87-AE87)*100,2)&amp;" pts.",0)</f>
        <v>0</v>
      </c>
      <c r="AN87" s="437">
        <f>+IFERROR(ROUND(($AB87-AH87)*100,2)&amp;" pts.",0)</f>
        <v>0</v>
      </c>
    </row>
    <row r="88" spans="1:40" ht="15.75" thickBot="1" x14ac:dyDescent="0.3">
      <c r="A88" s="6" t="s">
        <v>7</v>
      </c>
      <c r="B88" s="16" t="s">
        <v>1414</v>
      </c>
      <c r="H88" s="15" t="s">
        <v>81</v>
      </c>
      <c r="I88" s="27" t="s">
        <v>1012</v>
      </c>
      <c r="J88" s="27" t="s">
        <v>78</v>
      </c>
      <c r="K88" s="25"/>
      <c r="L88" s="25"/>
      <c r="M88" s="25"/>
      <c r="N88" s="25" t="s">
        <v>1118</v>
      </c>
      <c r="O88" s="62"/>
      <c r="P88" s="62"/>
      <c r="Q88" s="62"/>
      <c r="R88" s="62"/>
      <c r="S88" s="62"/>
      <c r="T88" s="62"/>
      <c r="U88" s="62"/>
      <c r="V88" s="62"/>
      <c r="W88" s="62"/>
      <c r="X88" s="62"/>
      <c r="Y88" s="62"/>
      <c r="Z88" s="62"/>
      <c r="AA88" s="62">
        <f>IF($I88="B1","",SUM(O88:Z88))</f>
        <v>0</v>
      </c>
      <c r="AB88" s="63" t="str">
        <f>IF(AA88=0,"",IFERROR(AA88/AA$19,""))</f>
        <v/>
      </c>
      <c r="AD88" s="62"/>
      <c r="AE88" s="63" t="str">
        <f>IF(AD88=0,"",IFERROR(AD88/AD$19,""))</f>
        <v/>
      </c>
      <c r="AF88" s="64">
        <f>IF(AND($AA88="",AD88=""),"",$AA88-AD88)</f>
        <v>0</v>
      </c>
      <c r="AG88" s="62"/>
      <c r="AH88" s="63" t="str">
        <f>IF(AG88=0,"",IFERROR(AG88/AG$19,""))</f>
        <v/>
      </c>
      <c r="AI88" s="64">
        <f>IF(AND($AA88="",AG88=""),"",$AA88-AG88)</f>
        <v>0</v>
      </c>
      <c r="AJ88" s="430">
        <f>IFERROR(AA88/AA$20,0)</f>
        <v>0</v>
      </c>
      <c r="AK88" s="431">
        <f>IFERROR(AD88/AD$20,0)</f>
        <v>0</v>
      </c>
      <c r="AL88" s="432">
        <f>IFERROR(AG88/AG$20,0)</f>
        <v>0</v>
      </c>
      <c r="AM88" s="433">
        <f>+IFERROR(ROUND(($AB88-AE88)*100,2)&amp;" pts.",0)</f>
        <v>0</v>
      </c>
      <c r="AN88" s="438">
        <f>+IFERROR(ROUND(($AB88-AH88)*100,2)&amp;" pts.",0)</f>
        <v>0</v>
      </c>
    </row>
    <row r="89" spans="1:40" ht="15.75" thickTop="1" x14ac:dyDescent="0.25">
      <c r="A89" s="6" t="s">
        <v>47</v>
      </c>
      <c r="B89" s="16" t="s">
        <v>1409</v>
      </c>
    </row>
    <row r="90" spans="1:40" x14ac:dyDescent="0.25">
      <c r="A90" s="6" t="s">
        <v>8</v>
      </c>
      <c r="B90" s="7"/>
      <c r="N90" s="26" t="str">
        <f>N87&amp;" - Check"</f>
        <v>Total Expenses - Check</v>
      </c>
      <c r="O90" s="139">
        <f t="shared" ref="O90:AA90" si="22">SUMIF($H$35:$H$88,"600000",O$35:O$88)+SUMIF($H$35:$H$88,"700000",O$35:O$88)-SUMIF($H$35:$H$88,"TOTDEPTEXP",O$35:O$88)</f>
        <v>0</v>
      </c>
      <c r="P90" s="139">
        <f t="shared" si="22"/>
        <v>0</v>
      </c>
      <c r="Q90" s="139">
        <f t="shared" si="22"/>
        <v>0</v>
      </c>
      <c r="R90" s="139">
        <f t="shared" si="22"/>
        <v>0</v>
      </c>
      <c r="S90" s="139">
        <f t="shared" si="22"/>
        <v>0</v>
      </c>
      <c r="T90" s="139">
        <f t="shared" si="22"/>
        <v>0</v>
      </c>
      <c r="U90" s="139">
        <f t="shared" si="22"/>
        <v>0</v>
      </c>
      <c r="V90" s="139">
        <f t="shared" si="22"/>
        <v>0</v>
      </c>
      <c r="W90" s="139">
        <f t="shared" si="22"/>
        <v>0</v>
      </c>
      <c r="X90" s="139">
        <f t="shared" si="22"/>
        <v>0</v>
      </c>
      <c r="Y90" s="139">
        <f t="shared" si="22"/>
        <v>0</v>
      </c>
      <c r="Z90" s="139">
        <f t="shared" si="22"/>
        <v>0</v>
      </c>
      <c r="AA90" s="139">
        <f t="shared" si="22"/>
        <v>0</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str">
        <f>N88&amp;" - Check"</f>
        <v>Department Profit (Loss) - Check</v>
      </c>
      <c r="O91" s="139">
        <f t="shared" ref="O91:AA91" si="23">SUMIF($H$35:$H$88,"KPI_GP",O$35:O$88)-SUMIF($H$35:$H$88,"TOTDEPTEXP",O$35:O$88)-SUMIF($H$35:$H$88,"TOTDEPTPL",O$35:O$88)</f>
        <v>0</v>
      </c>
      <c r="P91" s="139">
        <f t="shared" si="23"/>
        <v>0</v>
      </c>
      <c r="Q91" s="139">
        <f t="shared" si="23"/>
        <v>0</v>
      </c>
      <c r="R91" s="139">
        <f t="shared" si="23"/>
        <v>0</v>
      </c>
      <c r="S91" s="139">
        <f t="shared" si="23"/>
        <v>0</v>
      </c>
      <c r="T91" s="139">
        <f t="shared" si="23"/>
        <v>0</v>
      </c>
      <c r="U91" s="139">
        <f t="shared" si="23"/>
        <v>0</v>
      </c>
      <c r="V91" s="139">
        <f t="shared" si="23"/>
        <v>0</v>
      </c>
      <c r="W91" s="139">
        <f t="shared" si="23"/>
        <v>0</v>
      </c>
      <c r="X91" s="139">
        <f t="shared" si="23"/>
        <v>0</v>
      </c>
      <c r="Y91" s="139">
        <f t="shared" si="23"/>
        <v>0</v>
      </c>
      <c r="Z91" s="139">
        <f t="shared" si="23"/>
        <v>0</v>
      </c>
      <c r="AA91" s="139">
        <f t="shared" si="23"/>
        <v>0</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s">
        <v>988</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16" t="s">
        <v>1405</v>
      </c>
      <c r="H114" s="11"/>
      <c r="J114" s="1"/>
    </row>
    <row r="115" spans="1:10" x14ac:dyDescent="0.25">
      <c r="A115" s="6" t="s">
        <v>3</v>
      </c>
      <c r="B115" s="16" t="s">
        <v>1406</v>
      </c>
      <c r="H115" s="11"/>
      <c r="J115" s="1"/>
    </row>
    <row r="116" spans="1:10" x14ac:dyDescent="0.25">
      <c r="A116" s="6" t="s">
        <v>4</v>
      </c>
      <c r="B116" s="16" t="s">
        <v>1415</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1409</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1F00-000000000000}">
      <formula1>"SELF,ALL,BAS,DEP,BASMEMBERS,MEMBERS,NOEXPAND,GDEP"</formula1>
    </dataValidation>
    <dataValidation type="list" allowBlank="1" sqref="B28 B94 B61" xr:uid="{00000000-0002-0000-1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4611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6118" r:id="rId5" name="FPMExcelClientSheetOptionstb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'ZSriImMDIEKQMZC+g31cpw=='!N1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787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D2143</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D2143</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84"/>
      <c r="P129" s="466"/>
      <c r="Q129" s="466"/>
      <c r="R129" s="466"/>
      <c r="S129" s="466"/>
      <c r="T129" s="466"/>
      <c r="U129" s="466"/>
      <c r="V129" s="466"/>
      <c r="W129" s="466"/>
      <c r="X129" s="466"/>
      <c r="Y129" s="466"/>
      <c r="Z129" s="466"/>
      <c r="AA129" s="466"/>
      <c r="AB129" s="485"/>
      <c r="AD129" s="484"/>
      <c r="AE129" s="466"/>
      <c r="AF129" s="466"/>
      <c r="AG129" s="466"/>
      <c r="AH129" s="466"/>
      <c r="AI129" s="485"/>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91" priority="15">
      <formula>ROUND(O42,2)&lt;&gt;ROUND(O43,2)</formula>
    </cfRule>
  </conditionalFormatting>
  <conditionalFormatting sqref="N43">
    <cfRule type="expression" dxfId="190" priority="14">
      <formula>$G43&lt;&gt;0</formula>
    </cfRule>
  </conditionalFormatting>
  <conditionalFormatting sqref="O53:AA53 AD53 AF53:AG53">
    <cfRule type="expression" dxfId="189" priority="13">
      <formula>ROUND(O52,2)&lt;&gt;ROUND(O53,2)</formula>
    </cfRule>
  </conditionalFormatting>
  <conditionalFormatting sqref="N53">
    <cfRule type="expression" dxfId="188" priority="12">
      <formula>$G53&lt;&gt;0</formula>
    </cfRule>
  </conditionalFormatting>
  <conditionalFormatting sqref="O63:AA63 AD63 AF63:AG63">
    <cfRule type="expression" dxfId="187" priority="11">
      <formula>ROUND(O62,2)&lt;&gt;ROUND(O63,2)</formula>
    </cfRule>
  </conditionalFormatting>
  <conditionalFormatting sqref="N63">
    <cfRule type="expression" dxfId="186" priority="10">
      <formula>$G63&lt;&gt;0</formula>
    </cfRule>
  </conditionalFormatting>
  <conditionalFormatting sqref="O73:AA73 AD73 AF73:AG73">
    <cfRule type="expression" dxfId="185" priority="9">
      <formula>ROUND(O72,2)&lt;&gt;ROUND(O73,2)</formula>
    </cfRule>
  </conditionalFormatting>
  <conditionalFormatting sqref="N73">
    <cfRule type="expression" dxfId="184" priority="8">
      <formula>$G73&lt;&gt;0</formula>
    </cfRule>
  </conditionalFormatting>
  <conditionalFormatting sqref="N82">
    <cfRule type="expression" dxfId="183" priority="7">
      <formula>$G82&lt;&gt;0</formula>
    </cfRule>
  </conditionalFormatting>
  <conditionalFormatting sqref="AD82 AF82:AG82 O82:AA82">
    <cfRule type="expression" dxfId="182" priority="6">
      <formula>ROUND(O81,2)&lt;&gt;ROUND(O82,2)</formula>
    </cfRule>
  </conditionalFormatting>
  <conditionalFormatting sqref="AI43">
    <cfRule type="expression" dxfId="181" priority="5">
      <formula>ROUND(AI42,2)&lt;&gt;ROUND(AI43,2)</formula>
    </cfRule>
  </conditionalFormatting>
  <conditionalFormatting sqref="AI53">
    <cfRule type="expression" dxfId="180" priority="4">
      <formula>ROUND(AI52,2)&lt;&gt;ROUND(AI53,2)</formula>
    </cfRule>
  </conditionalFormatting>
  <conditionalFormatting sqref="AI63">
    <cfRule type="expression" dxfId="179" priority="3">
      <formula>ROUND(AI62,2)&lt;&gt;ROUND(AI63,2)</formula>
    </cfRule>
  </conditionalFormatting>
  <conditionalFormatting sqref="AI73">
    <cfRule type="expression" dxfId="178" priority="2">
      <formula>ROUND(AI72,2)&lt;&gt;ROUND(AI73,2)</formula>
    </cfRule>
  </conditionalFormatting>
  <conditionalFormatting sqref="AI82">
    <cfRule type="expression" dxfId="177" priority="1">
      <formula>ROUND(AI81,2)&lt;&gt;ROUND(AI82,2)</formula>
    </cfRule>
  </conditionalFormatting>
  <dataValidations count="2">
    <dataValidation type="list" allowBlank="1" sqref="B29" xr:uid="{00000000-0002-0000-2000-000000000000}">
      <formula1>"SELF,ALL,BAS,DEP,BASMEMBERS,MEMBERS,NOEXPAND,GDEP"</formula1>
    </dataValidation>
    <dataValidation type="list" allowBlank="1" sqref="B28" xr:uid="{00000000-0002-0000-2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6">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f>Venue5!N1</f>
        <v>0</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787</v>
      </c>
      <c r="C6" s="1" t="s">
        <v>1404</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1416</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1417</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1418</v>
      </c>
      <c r="G19" s="18" t="str">
        <f>$B$6</f>
        <v>D2143</v>
      </c>
      <c r="H19" s="18" t="s">
        <v>273</v>
      </c>
      <c r="I19" s="19"/>
      <c r="J19" s="19"/>
      <c r="K19" s="18"/>
      <c r="L19" s="18"/>
      <c r="M19" s="18"/>
      <c r="N19" s="18" t="s">
        <v>1214</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G20" s="18" t="str">
        <f>$B$6</f>
        <v>D2143</v>
      </c>
      <c r="H20" s="18">
        <v>946000</v>
      </c>
      <c r="I20" s="19"/>
      <c r="J20" s="19"/>
      <c r="K20" s="18"/>
      <c r="L20" s="18"/>
      <c r="M20" s="18"/>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1419</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1410</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IF(AG39=0,"",IFERROR(AG39/AG$19,""))</f>
        <v/>
      </c>
      <c r="AI39" s="165">
        <f t="shared" si="2"/>
        <v>0</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s">
        <v>1009</v>
      </c>
      <c r="J88" s="161" t="s">
        <v>78</v>
      </c>
      <c r="L88" s="162"/>
      <c r="M88" s="162"/>
      <c r="N88" s="162" t="s">
        <v>1355</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c r="P103" s="164"/>
      <c r="Q103" s="164"/>
      <c r="R103" s="164"/>
      <c r="S103" s="164"/>
      <c r="T103" s="164"/>
      <c r="U103" s="164"/>
      <c r="V103" s="164"/>
      <c r="W103" s="164"/>
      <c r="X103" s="164"/>
      <c r="Y103" s="164"/>
      <c r="Z103" s="164"/>
      <c r="AA103" s="164">
        <f t="shared" si="27"/>
        <v>0</v>
      </c>
      <c r="AB103" s="175" t="str">
        <f t="shared" si="28"/>
        <v/>
      </c>
      <c r="AD103" s="164"/>
      <c r="AE103" s="175" t="str">
        <f t="shared" si="29"/>
        <v/>
      </c>
      <c r="AF103" s="165">
        <f t="shared" si="30"/>
        <v>0</v>
      </c>
      <c r="AG103" s="164"/>
      <c r="AH103" s="175" t="str">
        <f t="shared" si="31"/>
        <v/>
      </c>
      <c r="AI103" s="165">
        <f t="shared" si="32"/>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c r="P111" s="164"/>
      <c r="Q111" s="164"/>
      <c r="R111" s="164"/>
      <c r="S111" s="164"/>
      <c r="T111" s="164"/>
      <c r="U111" s="164"/>
      <c r="V111" s="164"/>
      <c r="W111" s="164"/>
      <c r="X111" s="164"/>
      <c r="Y111" s="164"/>
      <c r="Z111" s="164"/>
      <c r="AA111" s="164">
        <f t="shared" si="33"/>
        <v>0</v>
      </c>
      <c r="AB111" s="175" t="str">
        <f t="shared" si="34"/>
        <v/>
      </c>
      <c r="AD111" s="164"/>
      <c r="AE111" s="175" t="str">
        <f t="shared" si="35"/>
        <v/>
      </c>
      <c r="AF111" s="165">
        <f t="shared" si="36"/>
        <v>0</v>
      </c>
      <c r="AG111" s="164"/>
      <c r="AH111" s="175" t="str">
        <f t="shared" si="37"/>
        <v/>
      </c>
      <c r="AI111" s="165">
        <f t="shared" si="38"/>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c r="P119" s="164"/>
      <c r="Q119" s="164"/>
      <c r="R119" s="164"/>
      <c r="S119" s="164"/>
      <c r="T119" s="164"/>
      <c r="U119" s="164"/>
      <c r="V119" s="164"/>
      <c r="W119" s="164"/>
      <c r="X119" s="164"/>
      <c r="Y119" s="164"/>
      <c r="Z119" s="164"/>
      <c r="AA119" s="164">
        <f t="shared" si="39"/>
        <v>0</v>
      </c>
      <c r="AB119" s="175" t="str">
        <f t="shared" si="40"/>
        <v/>
      </c>
      <c r="AD119" s="164"/>
      <c r="AE119" s="175" t="str">
        <f t="shared" si="41"/>
        <v/>
      </c>
      <c r="AF119" s="165">
        <f t="shared" si="42"/>
        <v>0</v>
      </c>
      <c r="AG119" s="164"/>
      <c r="AH119" s="175" t="str">
        <f t="shared" si="43"/>
        <v/>
      </c>
      <c r="AI119" s="165">
        <f t="shared" si="44"/>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0</v>
      </c>
      <c r="P126" s="164">
        <f t="shared" si="56"/>
        <v>0</v>
      </c>
      <c r="Q126" s="164">
        <f t="shared" si="56"/>
        <v>0</v>
      </c>
      <c r="R126" s="164">
        <f t="shared" si="56"/>
        <v>0</v>
      </c>
      <c r="S126" s="164">
        <f t="shared" si="56"/>
        <v>0</v>
      </c>
      <c r="T126" s="164">
        <f t="shared" si="56"/>
        <v>0</v>
      </c>
      <c r="U126" s="164">
        <f t="shared" si="56"/>
        <v>0</v>
      </c>
      <c r="V126" s="164">
        <f t="shared" si="56"/>
        <v>0</v>
      </c>
      <c r="W126" s="164">
        <f t="shared" si="56"/>
        <v>0</v>
      </c>
      <c r="X126" s="164">
        <f t="shared" si="56"/>
        <v>0</v>
      </c>
      <c r="Y126" s="164">
        <f t="shared" si="56"/>
        <v>0</v>
      </c>
      <c r="Z126" s="164">
        <f t="shared" si="56"/>
        <v>0</v>
      </c>
      <c r="AA126" s="164">
        <f t="shared" si="46"/>
        <v>0</v>
      </c>
      <c r="AB126" s="175" t="str">
        <f t="shared" si="47"/>
        <v/>
      </c>
      <c r="AD126" s="164">
        <f>SUM(AD121:AD125)</f>
        <v>0</v>
      </c>
      <c r="AE126" s="175" t="str">
        <f t="shared" si="48"/>
        <v/>
      </c>
      <c r="AF126" s="165">
        <f t="shared" si="49"/>
        <v>0</v>
      </c>
      <c r="AG126" s="164">
        <f>SUM(AG121:AG125)</f>
        <v>0</v>
      </c>
      <c r="AH126" s="175" t="str">
        <f t="shared" si="50"/>
        <v/>
      </c>
      <c r="AI126" s="165">
        <f t="shared" si="51"/>
        <v>0</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c r="P130" s="21"/>
      <c r="Q130" s="21"/>
      <c r="R130" s="21"/>
      <c r="S130" s="21"/>
      <c r="T130" s="21"/>
      <c r="U130" s="21"/>
      <c r="V130" s="21"/>
      <c r="W130" s="21"/>
      <c r="X130" s="21"/>
      <c r="Y130" s="21"/>
      <c r="Z130" s="21"/>
      <c r="AA130" s="21">
        <f>SUM(O130:Z130)</f>
        <v>0</v>
      </c>
      <c r="AB130" s="311"/>
      <c r="AD130" s="21"/>
      <c r="AE130" s="311"/>
      <c r="AF130" s="50">
        <f t="shared" ref="AF130:AF141" si="58">IF(AND($AA130="",AD130=""),"",$AA130-AD130)</f>
        <v>0</v>
      </c>
      <c r="AG130" s="21"/>
      <c r="AH130" s="311"/>
      <c r="AI130" s="50">
        <f t="shared" ref="AI130:AI141" si="59">IF(AND($AA130="",AG130=""),"",$AA130-AG130)</f>
        <v>0</v>
      </c>
    </row>
    <row r="131" spans="3:35" x14ac:dyDescent="0.25">
      <c r="C131" s="32"/>
      <c r="H131" s="149" t="s">
        <v>756</v>
      </c>
      <c r="I131" s="161"/>
      <c r="J131" s="161"/>
      <c r="L131" s="162"/>
      <c r="M131" s="162"/>
      <c r="N131" s="467" t="s">
        <v>1321</v>
      </c>
      <c r="O131" s="172"/>
      <c r="P131" s="172"/>
      <c r="Q131" s="172"/>
      <c r="R131" s="172"/>
      <c r="S131" s="172"/>
      <c r="T131" s="172"/>
      <c r="U131" s="172"/>
      <c r="V131" s="172"/>
      <c r="W131" s="172"/>
      <c r="X131" s="172"/>
      <c r="Y131" s="172"/>
      <c r="Z131" s="172"/>
      <c r="AA131" s="172"/>
      <c r="AB131" s="311"/>
      <c r="AD131" s="172"/>
      <c r="AE131" s="311"/>
      <c r="AF131" s="468" t="str">
        <f t="shared" si="58"/>
        <v/>
      </c>
      <c r="AG131" s="172"/>
      <c r="AH131" s="311"/>
      <c r="AI131" s="468" t="str">
        <f t="shared" si="59"/>
        <v/>
      </c>
    </row>
    <row r="132" spans="3:35" x14ac:dyDescent="0.25">
      <c r="C132" s="32"/>
      <c r="H132" s="149" t="s">
        <v>636</v>
      </c>
      <c r="I132" s="161"/>
      <c r="J132" s="161"/>
      <c r="L132" s="162"/>
      <c r="M132" s="162"/>
      <c r="N132" s="162" t="s">
        <v>1226</v>
      </c>
      <c r="O132" s="21"/>
      <c r="P132" s="21"/>
      <c r="Q132" s="21"/>
      <c r="R132" s="21"/>
      <c r="S132" s="21"/>
      <c r="T132" s="21"/>
      <c r="U132" s="21"/>
      <c r="V132" s="21"/>
      <c r="W132" s="21"/>
      <c r="X132" s="21"/>
      <c r="Y132" s="21"/>
      <c r="Z132" s="21"/>
      <c r="AA132" s="21">
        <f>SUM(O132:Z132)</f>
        <v>0</v>
      </c>
      <c r="AB132" s="311"/>
      <c r="AD132" s="21"/>
      <c r="AE132" s="311"/>
      <c r="AF132" s="50">
        <f t="shared" si="58"/>
        <v>0</v>
      </c>
      <c r="AG132" s="21"/>
      <c r="AH132" s="311"/>
      <c r="AI132" s="50">
        <f t="shared" si="59"/>
        <v>0</v>
      </c>
    </row>
    <row r="133" spans="3:35" x14ac:dyDescent="0.25">
      <c r="C133" s="32"/>
      <c r="H133" s="149" t="s">
        <v>757</v>
      </c>
      <c r="I133" s="161"/>
      <c r="J133" s="161"/>
      <c r="L133" s="162"/>
      <c r="M133" s="162"/>
      <c r="N133" s="467" t="s">
        <v>1326</v>
      </c>
      <c r="O133" s="172"/>
      <c r="P133" s="172"/>
      <c r="Q133" s="172"/>
      <c r="R133" s="172"/>
      <c r="S133" s="172"/>
      <c r="T133" s="172"/>
      <c r="U133" s="172"/>
      <c r="V133" s="172"/>
      <c r="W133" s="172"/>
      <c r="X133" s="172"/>
      <c r="Y133" s="172"/>
      <c r="Z133" s="172"/>
      <c r="AA133" s="172"/>
      <c r="AB133" s="311"/>
      <c r="AD133" s="172"/>
      <c r="AE133" s="311"/>
      <c r="AF133" s="468" t="str">
        <f t="shared" si="58"/>
        <v/>
      </c>
      <c r="AG133" s="172"/>
      <c r="AH133" s="311"/>
      <c r="AI133" s="468" t="str">
        <f t="shared" si="59"/>
        <v/>
      </c>
    </row>
    <row r="134" spans="3:35" x14ac:dyDescent="0.25">
      <c r="C134" s="32"/>
      <c r="H134" s="149" t="s">
        <v>755</v>
      </c>
      <c r="I134" s="161"/>
      <c r="J134" s="161"/>
      <c r="L134" s="162">
        <v>561300</v>
      </c>
      <c r="M134" s="162"/>
      <c r="N134" s="162" t="s">
        <v>1327</v>
      </c>
      <c r="O134" s="21"/>
      <c r="P134" s="21"/>
      <c r="Q134" s="21"/>
      <c r="R134" s="21"/>
      <c r="S134" s="21"/>
      <c r="T134" s="21"/>
      <c r="U134" s="21"/>
      <c r="V134" s="21"/>
      <c r="W134" s="21"/>
      <c r="X134" s="21"/>
      <c r="Y134" s="21"/>
      <c r="Z134" s="21"/>
      <c r="AA134" s="21">
        <f>SUM(O134:Z134)</f>
        <v>0</v>
      </c>
      <c r="AB134" s="311"/>
      <c r="AD134" s="21"/>
      <c r="AE134" s="311"/>
      <c r="AF134" s="50">
        <f t="shared" si="58"/>
        <v>0</v>
      </c>
      <c r="AG134" s="21"/>
      <c r="AH134" s="311"/>
      <c r="AI134" s="50">
        <f t="shared" si="59"/>
        <v>0</v>
      </c>
    </row>
    <row r="135" spans="3:35" x14ac:dyDescent="0.25">
      <c r="C135" s="32"/>
      <c r="H135" s="149" t="s">
        <v>758</v>
      </c>
      <c r="I135" s="161"/>
      <c r="J135" s="161"/>
      <c r="L135" s="162"/>
      <c r="M135" s="162"/>
      <c r="N135" s="467" t="s">
        <v>1328</v>
      </c>
      <c r="O135" s="172"/>
      <c r="P135" s="172"/>
      <c r="Q135" s="172"/>
      <c r="R135" s="172"/>
      <c r="S135" s="172"/>
      <c r="T135" s="172"/>
      <c r="U135" s="172"/>
      <c r="V135" s="172"/>
      <c r="W135" s="172"/>
      <c r="X135" s="172"/>
      <c r="Y135" s="172"/>
      <c r="Z135" s="172"/>
      <c r="AA135" s="172"/>
      <c r="AB135" s="311"/>
      <c r="AD135" s="172"/>
      <c r="AE135" s="311"/>
      <c r="AF135" s="468" t="str">
        <f t="shared" si="58"/>
        <v/>
      </c>
      <c r="AG135" s="172"/>
      <c r="AH135" s="311"/>
      <c r="AI135" s="468" t="str">
        <f t="shared" si="59"/>
        <v/>
      </c>
    </row>
    <row r="136" spans="3:35" x14ac:dyDescent="0.25">
      <c r="C136" s="32"/>
      <c r="H136" s="149">
        <v>561400</v>
      </c>
      <c r="I136" s="161"/>
      <c r="J136" s="161"/>
      <c r="L136" s="162">
        <v>561400</v>
      </c>
      <c r="M136" s="162"/>
      <c r="N136" s="162" t="s">
        <v>1329</v>
      </c>
      <c r="O136" s="21"/>
      <c r="P136" s="21"/>
      <c r="Q136" s="21"/>
      <c r="R136" s="21"/>
      <c r="S136" s="21"/>
      <c r="T136" s="21"/>
      <c r="U136" s="21"/>
      <c r="V136" s="21"/>
      <c r="W136" s="21"/>
      <c r="X136" s="21"/>
      <c r="Y136" s="21"/>
      <c r="Z136" s="21"/>
      <c r="AA136" s="21">
        <f>SUM(O136:Z136)</f>
        <v>0</v>
      </c>
      <c r="AB136" s="311"/>
      <c r="AD136" s="21"/>
      <c r="AE136" s="311"/>
      <c r="AF136" s="50">
        <f t="shared" si="58"/>
        <v>0</v>
      </c>
      <c r="AG136" s="21"/>
      <c r="AH136" s="311"/>
      <c r="AI136" s="50">
        <f t="shared" si="59"/>
        <v>0</v>
      </c>
    </row>
    <row r="137" spans="3:35" x14ac:dyDescent="0.25">
      <c r="C137" s="32"/>
      <c r="H137" s="149" t="s">
        <v>759</v>
      </c>
      <c r="I137" s="161"/>
      <c r="J137" s="161"/>
      <c r="L137" s="162"/>
      <c r="M137" s="162"/>
      <c r="N137" s="467" t="s">
        <v>1330</v>
      </c>
      <c r="O137" s="172"/>
      <c r="P137" s="172"/>
      <c r="Q137" s="172"/>
      <c r="R137" s="172"/>
      <c r="S137" s="172"/>
      <c r="T137" s="172"/>
      <c r="U137" s="172"/>
      <c r="V137" s="172"/>
      <c r="W137" s="172"/>
      <c r="X137" s="172"/>
      <c r="Y137" s="172"/>
      <c r="Z137" s="172"/>
      <c r="AA137" s="172"/>
      <c r="AB137" s="311"/>
      <c r="AD137" s="172"/>
      <c r="AE137" s="311"/>
      <c r="AF137" s="468" t="str">
        <f t="shared" si="58"/>
        <v/>
      </c>
      <c r="AG137" s="172"/>
      <c r="AH137" s="311"/>
      <c r="AI137" s="468" t="str">
        <f t="shared" si="59"/>
        <v/>
      </c>
    </row>
    <row r="138" spans="3:35" x14ac:dyDescent="0.25">
      <c r="H138" s="149">
        <v>561500</v>
      </c>
      <c r="I138" s="161"/>
      <c r="J138" s="161"/>
      <c r="L138" s="162">
        <v>561500</v>
      </c>
      <c r="M138" s="162"/>
      <c r="N138" s="162" t="s">
        <v>1331</v>
      </c>
      <c r="O138" s="21"/>
      <c r="P138" s="21"/>
      <c r="Q138" s="21"/>
      <c r="R138" s="21"/>
      <c r="S138" s="21"/>
      <c r="T138" s="21"/>
      <c r="U138" s="21"/>
      <c r="V138" s="21"/>
      <c r="W138" s="21"/>
      <c r="X138" s="21"/>
      <c r="Y138" s="21"/>
      <c r="Z138" s="21"/>
      <c r="AA138" s="21">
        <f>SUM(O138:Z138)</f>
        <v>0</v>
      </c>
      <c r="AB138" s="311"/>
      <c r="AD138" s="21"/>
      <c r="AE138" s="311"/>
      <c r="AF138" s="50">
        <f t="shared" si="58"/>
        <v>0</v>
      </c>
      <c r="AG138" s="21"/>
      <c r="AH138" s="311"/>
      <c r="AI138" s="50">
        <f t="shared" si="59"/>
        <v>0</v>
      </c>
    </row>
    <row r="139" spans="3:35" x14ac:dyDescent="0.25">
      <c r="C139" s="32"/>
      <c r="H139" s="149" t="s">
        <v>760</v>
      </c>
      <c r="I139" s="161"/>
      <c r="J139" s="161"/>
      <c r="L139" s="162"/>
      <c r="M139" s="162"/>
      <c r="N139" s="467" t="s">
        <v>1332</v>
      </c>
      <c r="O139" s="172"/>
      <c r="P139" s="172"/>
      <c r="Q139" s="172"/>
      <c r="R139" s="172"/>
      <c r="S139" s="172"/>
      <c r="T139" s="172"/>
      <c r="U139" s="172"/>
      <c r="V139" s="172"/>
      <c r="W139" s="172"/>
      <c r="X139" s="172"/>
      <c r="Y139" s="172"/>
      <c r="Z139" s="172"/>
      <c r="AA139" s="172"/>
      <c r="AB139" s="311"/>
      <c r="AD139" s="172"/>
      <c r="AE139" s="311"/>
      <c r="AF139" s="468" t="str">
        <f t="shared" si="58"/>
        <v/>
      </c>
      <c r="AG139" s="172"/>
      <c r="AH139" s="311"/>
      <c r="AI139" s="468" t="str">
        <f t="shared" si="59"/>
        <v/>
      </c>
    </row>
    <row r="140" spans="3:35" x14ac:dyDescent="0.25">
      <c r="C140" s="32"/>
      <c r="H140" s="149" t="s">
        <v>286</v>
      </c>
      <c r="I140" s="161"/>
      <c r="J140" s="161"/>
      <c r="L140" s="162"/>
      <c r="M140" s="162"/>
      <c r="N140" s="162" t="s">
        <v>1227</v>
      </c>
      <c r="O140" s="21"/>
      <c r="P140" s="21"/>
      <c r="Q140" s="21"/>
      <c r="R140" s="21"/>
      <c r="S140" s="21"/>
      <c r="T140" s="21"/>
      <c r="U140" s="21"/>
      <c r="V140" s="21"/>
      <c r="W140" s="21"/>
      <c r="X140" s="21"/>
      <c r="Y140" s="21"/>
      <c r="Z140" s="21"/>
      <c r="AA140" s="21">
        <f>SUM(O140:Z140)</f>
        <v>0</v>
      </c>
      <c r="AB140" s="311"/>
      <c r="AD140" s="21"/>
      <c r="AE140" s="311"/>
      <c r="AF140" s="50">
        <f t="shared" si="58"/>
        <v>0</v>
      </c>
      <c r="AG140" s="21"/>
      <c r="AH140" s="311"/>
      <c r="AI140" s="50">
        <f t="shared" si="59"/>
        <v>0</v>
      </c>
    </row>
    <row r="141" spans="3:35" x14ac:dyDescent="0.25">
      <c r="C141" s="32"/>
      <c r="H141" s="149"/>
      <c r="I141" s="161"/>
      <c r="J141" s="161"/>
      <c r="L141" s="162"/>
      <c r="M141" s="162"/>
      <c r="N141" s="467" t="s">
        <v>762</v>
      </c>
      <c r="O141" s="172" t="str">
        <f t="shared" ref="O141:AA141" si="60">IFERROR(O140/O85,"")</f>
        <v/>
      </c>
      <c r="P141" s="172" t="str">
        <f t="shared" si="60"/>
        <v/>
      </c>
      <c r="Q141" s="172" t="str">
        <f t="shared" si="60"/>
        <v/>
      </c>
      <c r="R141" s="172" t="str">
        <f t="shared" si="60"/>
        <v/>
      </c>
      <c r="S141" s="172" t="str">
        <f t="shared" si="60"/>
        <v/>
      </c>
      <c r="T141" s="172" t="str">
        <f t="shared" si="60"/>
        <v/>
      </c>
      <c r="U141" s="172" t="str">
        <f t="shared" si="60"/>
        <v/>
      </c>
      <c r="V141" s="172" t="str">
        <f t="shared" si="60"/>
        <v/>
      </c>
      <c r="W141" s="172" t="str">
        <f t="shared" si="60"/>
        <v/>
      </c>
      <c r="X141" s="172" t="str">
        <f t="shared" si="60"/>
        <v/>
      </c>
      <c r="Y141" s="172" t="str">
        <f t="shared" si="60"/>
        <v/>
      </c>
      <c r="Z141" s="172" t="str">
        <f t="shared" si="60"/>
        <v/>
      </c>
      <c r="AA141" s="172" t="str">
        <f t="shared" si="60"/>
        <v/>
      </c>
      <c r="AB141" s="311"/>
      <c r="AD141" s="172" t="str">
        <f>IFERROR(AD140/AD85,"")</f>
        <v/>
      </c>
      <c r="AE141" s="311"/>
      <c r="AF141" s="468" t="str">
        <f t="shared" si="58"/>
        <v/>
      </c>
      <c r="AG141" s="172" t="str">
        <f>IFERROR(AG140/AG85,"")</f>
        <v/>
      </c>
      <c r="AH141" s="311"/>
      <c r="AI141" s="468" t="str">
        <f t="shared" si="59"/>
        <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t="e">
        <f t="shared" ref="O145:AA145" si="63">IFERROR(O$85/O87,"")-O88</f>
        <v>#VALUE!</v>
      </c>
      <c r="P145" s="178" t="e">
        <f t="shared" si="63"/>
        <v>#VALUE!</v>
      </c>
      <c r="Q145" s="178" t="e">
        <f t="shared" si="63"/>
        <v>#VALUE!</v>
      </c>
      <c r="R145" s="178" t="e">
        <f t="shared" si="63"/>
        <v>#VALUE!</v>
      </c>
      <c r="S145" s="178" t="e">
        <f t="shared" si="63"/>
        <v>#VALUE!</v>
      </c>
      <c r="T145" s="178" t="e">
        <f t="shared" si="63"/>
        <v>#VALUE!</v>
      </c>
      <c r="U145" s="178" t="e">
        <f t="shared" si="63"/>
        <v>#VALUE!</v>
      </c>
      <c r="V145" s="178" t="e">
        <f t="shared" si="63"/>
        <v>#VALUE!</v>
      </c>
      <c r="W145" s="178" t="e">
        <f t="shared" si="63"/>
        <v>#VALUE!</v>
      </c>
      <c r="X145" s="178" t="e">
        <f t="shared" si="63"/>
        <v>#VALUE!</v>
      </c>
      <c r="Y145" s="178" t="e">
        <f t="shared" si="63"/>
        <v>#VALUE!</v>
      </c>
      <c r="Z145" s="178" t="e">
        <f t="shared" si="63"/>
        <v>#VALUE!</v>
      </c>
      <c r="AA145" s="178" t="e">
        <f t="shared" si="63"/>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76" priority="15">
      <formula>ROUND(O42,2)&lt;&gt;ROUND(O43,2)</formula>
    </cfRule>
  </conditionalFormatting>
  <conditionalFormatting sqref="N43">
    <cfRule type="expression" dxfId="175" priority="14">
      <formula>$G43&lt;&gt;0</formula>
    </cfRule>
  </conditionalFormatting>
  <conditionalFormatting sqref="O53:AA53 AD53 AF53:AG53">
    <cfRule type="expression" dxfId="174" priority="13">
      <formula>ROUND(O52,2)&lt;&gt;ROUND(O53,2)</formula>
    </cfRule>
  </conditionalFormatting>
  <conditionalFormatting sqref="N53">
    <cfRule type="expression" dxfId="173" priority="12">
      <formula>$G53&lt;&gt;0</formula>
    </cfRule>
  </conditionalFormatting>
  <conditionalFormatting sqref="O63:AA63 AD63 AF63:AG63">
    <cfRule type="expression" dxfId="172" priority="11">
      <formula>ROUND(O62,2)&lt;&gt;ROUND(O63,2)</formula>
    </cfRule>
  </conditionalFormatting>
  <conditionalFormatting sqref="N63">
    <cfRule type="expression" dxfId="171" priority="10">
      <formula>$G63&lt;&gt;0</formula>
    </cfRule>
  </conditionalFormatting>
  <conditionalFormatting sqref="O73:AA73 AD73 AF73:AG73">
    <cfRule type="expression" dxfId="170" priority="9">
      <formula>ROUND(O72,2)&lt;&gt;ROUND(O73,2)</formula>
    </cfRule>
  </conditionalFormatting>
  <conditionalFormatting sqref="N73">
    <cfRule type="expression" dxfId="169" priority="8">
      <formula>$G73&lt;&gt;0</formula>
    </cfRule>
  </conditionalFormatting>
  <conditionalFormatting sqref="N82">
    <cfRule type="expression" dxfId="168" priority="7">
      <formula>$G82&lt;&gt;0</formula>
    </cfRule>
  </conditionalFormatting>
  <conditionalFormatting sqref="AD82 AF82:AG82 O82:AA82">
    <cfRule type="expression" dxfId="167" priority="6">
      <formula>ROUND(O81,2)&lt;&gt;ROUND(O82,2)</formula>
    </cfRule>
  </conditionalFormatting>
  <conditionalFormatting sqref="AI43">
    <cfRule type="expression" dxfId="166" priority="5">
      <formula>ROUND(AI42,2)&lt;&gt;ROUND(AI43,2)</formula>
    </cfRule>
  </conditionalFormatting>
  <conditionalFormatting sqref="AI53">
    <cfRule type="expression" dxfId="165" priority="4">
      <formula>ROUND(AI52,2)&lt;&gt;ROUND(AI53,2)</formula>
    </cfRule>
  </conditionalFormatting>
  <conditionalFormatting sqref="AI63">
    <cfRule type="expression" dxfId="164" priority="3">
      <formula>ROUND(AI62,2)&lt;&gt;ROUND(AI63,2)</formula>
    </cfRule>
  </conditionalFormatting>
  <conditionalFormatting sqref="AI73">
    <cfRule type="expression" dxfId="163" priority="2">
      <formula>ROUND(AI72,2)&lt;&gt;ROUND(AI73,2)</formula>
    </cfRule>
  </conditionalFormatting>
  <conditionalFormatting sqref="AI82">
    <cfRule type="expression" dxfId="162" priority="1">
      <formula>ROUND(AI81,2)&lt;&gt;ROUND(AI82,2)</formula>
    </cfRule>
  </conditionalFormatting>
  <dataValidations count="2">
    <dataValidation type="list" allowBlank="1" sqref="B28" xr:uid="{00000000-0002-0000-2100-000000000000}">
      <formula1>"ACCOUNT,BUSINESSUNIT,CATEGORY,DATASRC,DEPARTMENT,INTCO,MEASURES,RPTCURRENCY,TIME"</formula1>
    </dataValidation>
    <dataValidation type="list" allowBlank="1" sqref="B29" xr:uid="{00000000-0002-0000-2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4713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7138" r:id="rId5" name="FPMExcelClientSheetOptionstb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788</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D2144</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D2144</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2200-000000000000}">
      <formula1>"SELF,ALL,BAS,DEP,BASMEMBERS,MEMBERS,NOEXPAND,GDEP"</formula1>
    </dataValidation>
    <dataValidation type="list" allowBlank="1" sqref="B28 B94 B61"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2449"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2449" r:id="rId7" name="FPMExcelClientSheetOptionstb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67">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788</v>
      </c>
      <c r="C6" s="1" t="s">
        <v>1420</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1421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1422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1423</v>
      </c>
      <c r="G19" s="18" t="str">
        <f>$B$6</f>
        <v>D2144</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tr">
        <f>$B$6</f>
        <v>D2144</v>
      </c>
      <c r="H20" s="18">
        <v>946000</v>
      </c>
      <c r="I20" s="19"/>
      <c r="J20" s="19"/>
      <c r="K20" s="18"/>
      <c r="L20" s="19"/>
      <c r="M20" s="19"/>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I21" s="1"/>
      <c r="J21" s="1"/>
    </row>
    <row r="22" spans="1:40" hidden="1" outlineLevel="1" x14ac:dyDescent="0.25">
      <c r="A22" s="6" t="s">
        <v>7</v>
      </c>
      <c r="B22" s="16" t="s">
        <v>1424</v>
      </c>
      <c r="I22" s="1"/>
      <c r="J22" s="1"/>
    </row>
    <row r="23" spans="1:40" hidden="1" outlineLevel="1" x14ac:dyDescent="0.25">
      <c r="A23" s="6" t="s">
        <v>47</v>
      </c>
      <c r="B23" s="16" t="s">
        <v>1425</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1426</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c r="Q35" s="310"/>
      <c r="R35" s="310"/>
      <c r="S35" s="310"/>
      <c r="T35" s="310"/>
      <c r="U35" s="310"/>
      <c r="V35" s="310"/>
      <c r="W35" s="310"/>
      <c r="X35" s="310"/>
      <c r="Y35" s="310"/>
      <c r="Z35" s="310"/>
      <c r="AA35" s="310">
        <f t="shared" ref="AA35:AA58" si="1">IF($I35="B1","",SUM(O35:Z35))</f>
        <v>0</v>
      </c>
      <c r="AB35" s="311" t="str">
        <f t="shared" ref="AB35:AB58" si="2">IF(AA35=0,"",IFERROR(AA35/AA$19,""))</f>
        <v/>
      </c>
      <c r="AC35" s="328"/>
      <c r="AD35" s="310"/>
      <c r="AE35" s="311" t="str">
        <f t="shared" ref="AE35:AE58" si="3">IF(AD35=0,"",IFERROR(AD35/AD$19,""))</f>
        <v/>
      </c>
      <c r="AF35" s="312">
        <f t="shared" ref="AF35:AF58" si="4">IF(AND($AA35="",AD35=""),"",$AA35-AD35)</f>
        <v>0</v>
      </c>
      <c r="AG35" s="310"/>
      <c r="AH35" s="311" t="str">
        <f t="shared" ref="AH35:AH58" si="5">IF(AG35=0,"",IFERROR(AG35/AG$19,""))</f>
        <v/>
      </c>
      <c r="AI35" s="313">
        <f t="shared" ref="AI35:AI58" si="6">IF(AND($AA35="",AG35=""),"",$AA35-AG35)</f>
        <v>0</v>
      </c>
      <c r="AJ35" s="399">
        <f t="shared" ref="AJ35:AJ58" si="7">IFERROR(AA35/AA$20,0)</f>
        <v>0</v>
      </c>
      <c r="AK35" s="400">
        <f t="shared" ref="AK35:AK58" si="8">IFERROR(AD35/AD$20,0)</f>
        <v>0</v>
      </c>
      <c r="AL35" s="401">
        <f t="shared" ref="AL35:AL58" si="9">IFERROR(AG35/AG$20,0)</f>
        <v>0</v>
      </c>
      <c r="AM35" s="402">
        <f t="shared" ref="AM35:AM58" si="10">+IFERROR(ROUND(($AB35-AE35)*100,2)&amp;" pts.",0)</f>
        <v>0</v>
      </c>
      <c r="AN35" s="403">
        <f t="shared" ref="AN35:AN58" si="11">+IFERROR(ROUND(($AB35-AH35)*100,2)&amp;" pts.",0)</f>
        <v>0</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c r="AJ37" s="399">
        <f t="shared" si="7"/>
        <v>0</v>
      </c>
      <c r="AK37" s="400">
        <f t="shared" si="8"/>
        <v>0</v>
      </c>
      <c r="AL37" s="401">
        <f t="shared" si="9"/>
        <v>0</v>
      </c>
      <c r="AM37" s="402">
        <f t="shared" si="10"/>
        <v>0</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c r="P38" s="310"/>
      <c r="Q38" s="310"/>
      <c r="R38" s="310"/>
      <c r="S38" s="310"/>
      <c r="T38" s="310"/>
      <c r="U38" s="310"/>
      <c r="V38" s="310"/>
      <c r="W38" s="310"/>
      <c r="X38" s="310"/>
      <c r="Y38" s="310"/>
      <c r="Z38" s="310"/>
      <c r="AA38" s="310">
        <f t="shared" si="1"/>
        <v>0</v>
      </c>
      <c r="AB38" s="311" t="str">
        <f t="shared" si="2"/>
        <v/>
      </c>
      <c r="AC38" s="328"/>
      <c r="AD38" s="310"/>
      <c r="AE38" s="311" t="str">
        <f t="shared" si="3"/>
        <v/>
      </c>
      <c r="AF38" s="312">
        <f t="shared" si="4"/>
        <v>0</v>
      </c>
      <c r="AG38" s="310"/>
      <c r="AH38" s="311" t="str">
        <f t="shared" si="5"/>
        <v/>
      </c>
      <c r="AI38" s="313">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c r="P40" s="134"/>
      <c r="Q40" s="134"/>
      <c r="R40" s="134"/>
      <c r="S40" s="134"/>
      <c r="T40" s="134"/>
      <c r="U40" s="134"/>
      <c r="V40" s="134"/>
      <c r="W40" s="134"/>
      <c r="X40" s="134"/>
      <c r="Y40" s="134"/>
      <c r="Z40" s="134"/>
      <c r="AA40" s="134">
        <f t="shared" si="1"/>
        <v>0</v>
      </c>
      <c r="AB40" s="135" t="str">
        <f t="shared" si="2"/>
        <v/>
      </c>
      <c r="AC40" s="137"/>
      <c r="AD40" s="134"/>
      <c r="AE40" s="135" t="str">
        <f t="shared" si="3"/>
        <v/>
      </c>
      <c r="AF40" s="136">
        <f t="shared" si="4"/>
        <v>0</v>
      </c>
      <c r="AG40" s="134"/>
      <c r="AH40" s="135" t="str">
        <f t="shared" si="5"/>
        <v/>
      </c>
      <c r="AI40" s="291">
        <f t="shared" si="6"/>
        <v>0</v>
      </c>
      <c r="AJ40" s="360">
        <f t="shared" si="7"/>
        <v>0</v>
      </c>
      <c r="AK40" s="361">
        <f t="shared" si="8"/>
        <v>0</v>
      </c>
      <c r="AL40" s="363">
        <f t="shared" si="9"/>
        <v>0</v>
      </c>
      <c r="AM40" s="405">
        <f t="shared" si="10"/>
        <v>0</v>
      </c>
      <c r="AN40" s="406">
        <f t="shared" si="11"/>
        <v>0</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c r="Q42" s="310"/>
      <c r="R42" s="310"/>
      <c r="S42" s="310"/>
      <c r="T42" s="310"/>
      <c r="U42" s="310"/>
      <c r="V42" s="310"/>
      <c r="W42" s="310"/>
      <c r="X42" s="310"/>
      <c r="Y42" s="310"/>
      <c r="Z42" s="310"/>
      <c r="AA42" s="310">
        <f t="shared" si="1"/>
        <v>0</v>
      </c>
      <c r="AB42" s="311" t="str">
        <f t="shared" si="2"/>
        <v/>
      </c>
      <c r="AC42" s="328"/>
      <c r="AD42" s="310"/>
      <c r="AE42" s="311" t="str">
        <f t="shared" si="3"/>
        <v/>
      </c>
      <c r="AF42" s="312">
        <f t="shared" si="4"/>
        <v>0</v>
      </c>
      <c r="AG42" s="310"/>
      <c r="AH42" s="311" t="str">
        <f t="shared" si="5"/>
        <v/>
      </c>
      <c r="AI42" s="313">
        <f t="shared" si="6"/>
        <v>0</v>
      </c>
      <c r="AJ42" s="399">
        <f t="shared" si="7"/>
        <v>0</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c r="Y43" s="310"/>
      <c r="Z43" s="310"/>
      <c r="AA43" s="310">
        <f t="shared" si="1"/>
        <v>0</v>
      </c>
      <c r="AB43" s="311" t="str">
        <f t="shared" si="2"/>
        <v/>
      </c>
      <c r="AC43" s="328"/>
      <c r="AD43" s="310"/>
      <c r="AE43" s="311" t="str">
        <f t="shared" si="3"/>
        <v/>
      </c>
      <c r="AF43" s="312">
        <f t="shared" si="4"/>
        <v>0</v>
      </c>
      <c r="AG43" s="310"/>
      <c r="AH43" s="311" t="str">
        <f t="shared" si="5"/>
        <v/>
      </c>
      <c r="AI43" s="313">
        <f t="shared" si="6"/>
        <v>0</v>
      </c>
      <c r="AJ43" s="399">
        <f t="shared" si="7"/>
        <v>0</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c r="P44" s="310"/>
      <c r="Q44" s="310"/>
      <c r="R44" s="310"/>
      <c r="S44" s="310"/>
      <c r="T44" s="310"/>
      <c r="U44" s="310"/>
      <c r="V44" s="310"/>
      <c r="W44" s="310"/>
      <c r="X44" s="310"/>
      <c r="Y44" s="310"/>
      <c r="Z44" s="310"/>
      <c r="AA44" s="310">
        <f t="shared" si="1"/>
        <v>0</v>
      </c>
      <c r="AB44" s="311" t="str">
        <f t="shared" si="2"/>
        <v/>
      </c>
      <c r="AC44" s="328"/>
      <c r="AD44" s="310"/>
      <c r="AE44" s="311" t="str">
        <f t="shared" si="3"/>
        <v/>
      </c>
      <c r="AF44" s="312">
        <f t="shared" si="4"/>
        <v>0</v>
      </c>
      <c r="AG44" s="310"/>
      <c r="AH44" s="311" t="str">
        <f t="shared" si="5"/>
        <v/>
      </c>
      <c r="AI44" s="313">
        <f t="shared" si="6"/>
        <v>0</v>
      </c>
      <c r="AJ44" s="399">
        <f t="shared" si="7"/>
        <v>0</v>
      </c>
      <c r="AK44" s="400">
        <f t="shared" si="8"/>
        <v>0</v>
      </c>
      <c r="AL44" s="401">
        <f t="shared" si="9"/>
        <v>0</v>
      </c>
      <c r="AM44" s="402">
        <f t="shared" si="10"/>
        <v>0</v>
      </c>
      <c r="AN44" s="403">
        <f t="shared" si="11"/>
        <v>0</v>
      </c>
    </row>
    <row r="45" spans="1:40" x14ac:dyDescent="0.25">
      <c r="H45" s="15" t="s">
        <v>270</v>
      </c>
      <c r="I45" s="161" t="s">
        <v>1058</v>
      </c>
      <c r="J45" s="161" t="s">
        <v>78</v>
      </c>
      <c r="K45" s="68" t="str">
        <f t="shared" si="0"/>
        <v>&gt;</v>
      </c>
      <c r="L45" s="162"/>
      <c r="M45" s="162"/>
      <c r="N45" s="162" t="s">
        <v>1319</v>
      </c>
      <c r="O45" s="309"/>
      <c r="P45" s="310"/>
      <c r="Q45" s="310"/>
      <c r="R45" s="310"/>
      <c r="S45" s="310"/>
      <c r="T45" s="310"/>
      <c r="U45" s="310"/>
      <c r="V45" s="310"/>
      <c r="W45" s="310"/>
      <c r="X45" s="310"/>
      <c r="Y45" s="310"/>
      <c r="Z45" s="310"/>
      <c r="AA45" s="310">
        <f t="shared" si="1"/>
        <v>0</v>
      </c>
      <c r="AB45" s="311" t="str">
        <f t="shared" si="2"/>
        <v/>
      </c>
      <c r="AC45" s="328"/>
      <c r="AD45" s="310"/>
      <c r="AE45" s="311" t="str">
        <f t="shared" si="3"/>
        <v/>
      </c>
      <c r="AF45" s="312">
        <f t="shared" si="4"/>
        <v>0</v>
      </c>
      <c r="AG45" s="310"/>
      <c r="AH45" s="311" t="str">
        <f t="shared" si="5"/>
        <v/>
      </c>
      <c r="AI45" s="313">
        <f t="shared" si="6"/>
        <v>0</v>
      </c>
      <c r="AJ45" s="399">
        <f t="shared" si="7"/>
        <v>0</v>
      </c>
      <c r="AK45" s="400">
        <f t="shared" si="8"/>
        <v>0</v>
      </c>
      <c r="AL45" s="401">
        <f t="shared" si="9"/>
        <v>0</v>
      </c>
      <c r="AM45" s="402">
        <f t="shared" si="10"/>
        <v>0</v>
      </c>
      <c r="AN45" s="403">
        <f t="shared" si="11"/>
        <v>0</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c r="P47" s="134"/>
      <c r="Q47" s="134"/>
      <c r="R47" s="134"/>
      <c r="S47" s="134"/>
      <c r="T47" s="134"/>
      <c r="U47" s="134"/>
      <c r="V47" s="134"/>
      <c r="W47" s="134"/>
      <c r="X47" s="134"/>
      <c r="Y47" s="134"/>
      <c r="Z47" s="134"/>
      <c r="AA47" s="134">
        <f t="shared" si="1"/>
        <v>0</v>
      </c>
      <c r="AB47" s="135" t="str">
        <f t="shared" si="2"/>
        <v/>
      </c>
      <c r="AC47" s="137"/>
      <c r="AD47" s="134"/>
      <c r="AE47" s="135" t="str">
        <f t="shared" si="3"/>
        <v/>
      </c>
      <c r="AF47" s="136">
        <f t="shared" si="4"/>
        <v>0</v>
      </c>
      <c r="AG47" s="134"/>
      <c r="AH47" s="135" t="str">
        <f t="shared" si="5"/>
        <v/>
      </c>
      <c r="AI47" s="291">
        <f t="shared" si="6"/>
        <v>0</v>
      </c>
      <c r="AJ47" s="360">
        <f t="shared" si="7"/>
        <v>0</v>
      </c>
      <c r="AK47" s="361">
        <f t="shared" si="8"/>
        <v>0</v>
      </c>
      <c r="AL47" s="363">
        <f t="shared" si="9"/>
        <v>0</v>
      </c>
      <c r="AM47" s="405">
        <f t="shared" si="10"/>
        <v>0</v>
      </c>
      <c r="AN47" s="406">
        <f t="shared" si="11"/>
        <v>0</v>
      </c>
    </row>
    <row r="48" spans="1:40" x14ac:dyDescent="0.25">
      <c r="H48" s="15" t="s">
        <v>486</v>
      </c>
      <c r="I48" s="161" t="s">
        <v>1058</v>
      </c>
      <c r="J48" s="161" t="s">
        <v>78</v>
      </c>
      <c r="K48" s="68" t="str">
        <f t="shared" si="0"/>
        <v>&gt;</v>
      </c>
      <c r="L48" s="162"/>
      <c r="M48" s="162"/>
      <c r="N48" s="162" t="s">
        <v>1213</v>
      </c>
      <c r="O48" s="330"/>
      <c r="P48" s="47"/>
      <c r="Q48" s="47"/>
      <c r="R48" s="47"/>
      <c r="S48" s="47"/>
      <c r="T48" s="47"/>
      <c r="U48" s="47"/>
      <c r="V48" s="47"/>
      <c r="W48" s="47"/>
      <c r="X48" s="47"/>
      <c r="Y48" s="47"/>
      <c r="Z48" s="47"/>
      <c r="AA48" s="47">
        <f t="shared" si="1"/>
        <v>0</v>
      </c>
      <c r="AB48" s="48" t="str">
        <f t="shared" si="2"/>
        <v/>
      </c>
      <c r="AC48" s="54"/>
      <c r="AD48" s="47"/>
      <c r="AE48" s="48" t="str">
        <f t="shared" si="3"/>
        <v/>
      </c>
      <c r="AF48" s="150">
        <f t="shared" si="4"/>
        <v>0</v>
      </c>
      <c r="AG48" s="47"/>
      <c r="AH48" s="48" t="str">
        <f t="shared" si="5"/>
        <v/>
      </c>
      <c r="AI48" s="331">
        <f t="shared" si="6"/>
        <v>0</v>
      </c>
      <c r="AJ48" s="420">
        <f t="shared" si="7"/>
        <v>0</v>
      </c>
      <c r="AK48" s="421">
        <f t="shared" si="8"/>
        <v>0</v>
      </c>
      <c r="AL48" s="422">
        <f t="shared" si="9"/>
        <v>0</v>
      </c>
      <c r="AM48" s="423">
        <f t="shared" si="10"/>
        <v>0</v>
      </c>
      <c r="AN48" s="424">
        <f t="shared" si="11"/>
        <v>0</v>
      </c>
    </row>
    <row r="49" spans="1:40" x14ac:dyDescent="0.25">
      <c r="A49" s="3" t="s">
        <v>0</v>
      </c>
      <c r="B49" s="5" t="s">
        <v>1</v>
      </c>
      <c r="H49" s="15" t="s">
        <v>273</v>
      </c>
      <c r="I49" s="479" t="s">
        <v>1064</v>
      </c>
      <c r="J49" s="479" t="s">
        <v>78</v>
      </c>
      <c r="K49" s="480" t="str">
        <f t="shared" si="0"/>
        <v/>
      </c>
      <c r="L49" s="170"/>
      <c r="M49" s="170"/>
      <c r="N49" s="170" t="s">
        <v>1214</v>
      </c>
      <c r="O49" s="224"/>
      <c r="P49" s="134"/>
      <c r="Q49" s="134"/>
      <c r="R49" s="134"/>
      <c r="S49" s="134"/>
      <c r="T49" s="134"/>
      <c r="U49" s="134"/>
      <c r="V49" s="134"/>
      <c r="W49" s="134"/>
      <c r="X49" s="134"/>
      <c r="Y49" s="134"/>
      <c r="Z49" s="134"/>
      <c r="AA49" s="134">
        <f t="shared" si="1"/>
        <v>0</v>
      </c>
      <c r="AB49" s="135" t="str">
        <f t="shared" si="2"/>
        <v/>
      </c>
      <c r="AC49" s="137"/>
      <c r="AD49" s="134"/>
      <c r="AE49" s="135" t="str">
        <f t="shared" si="3"/>
        <v/>
      </c>
      <c r="AF49" s="136">
        <f t="shared" si="4"/>
        <v>0</v>
      </c>
      <c r="AG49" s="134"/>
      <c r="AH49" s="135" t="str">
        <f t="shared" si="5"/>
        <v/>
      </c>
      <c r="AI49" s="291">
        <f t="shared" si="6"/>
        <v>0</v>
      </c>
      <c r="AJ49" s="360">
        <f t="shared" si="7"/>
        <v>0</v>
      </c>
      <c r="AK49" s="361">
        <f t="shared" si="8"/>
        <v>0</v>
      </c>
      <c r="AL49" s="363">
        <f t="shared" si="9"/>
        <v>0</v>
      </c>
      <c r="AM49" s="405">
        <f t="shared" si="10"/>
        <v>0</v>
      </c>
      <c r="AN49" s="406">
        <f t="shared" si="11"/>
        <v>0</v>
      </c>
    </row>
    <row r="50" spans="1:40" x14ac:dyDescent="0.25">
      <c r="A50" s="6" t="s">
        <v>2</v>
      </c>
      <c r="B50" s="16" t="s">
        <v>1421</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1422</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1427</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c r="P54" s="310"/>
      <c r="Q54" s="310"/>
      <c r="R54" s="310"/>
      <c r="S54" s="310"/>
      <c r="T54" s="310"/>
      <c r="U54" s="310"/>
      <c r="V54" s="310"/>
      <c r="W54" s="310"/>
      <c r="X54" s="310"/>
      <c r="Y54" s="310"/>
      <c r="Z54" s="310"/>
      <c r="AA54" s="310">
        <f t="shared" si="1"/>
        <v>0</v>
      </c>
      <c r="AB54" s="311" t="str">
        <f t="shared" si="2"/>
        <v/>
      </c>
      <c r="AC54" s="328"/>
      <c r="AD54" s="310"/>
      <c r="AE54" s="311" t="str">
        <f t="shared" si="3"/>
        <v/>
      </c>
      <c r="AF54" s="312">
        <f t="shared" si="4"/>
        <v>0</v>
      </c>
      <c r="AG54" s="310"/>
      <c r="AH54" s="311" t="str">
        <f t="shared" si="5"/>
        <v/>
      </c>
      <c r="AI54" s="313">
        <f t="shared" si="6"/>
        <v>0</v>
      </c>
      <c r="AJ54" s="399">
        <f t="shared" si="7"/>
        <v>0</v>
      </c>
      <c r="AK54" s="400">
        <f t="shared" si="8"/>
        <v>0</v>
      </c>
      <c r="AL54" s="401">
        <f t="shared" si="9"/>
        <v>0</v>
      </c>
      <c r="AM54" s="402">
        <f t="shared" si="10"/>
        <v>0</v>
      </c>
      <c r="AN54" s="403">
        <f t="shared" si="11"/>
        <v>0</v>
      </c>
    </row>
    <row r="55" spans="1:40" x14ac:dyDescent="0.25">
      <c r="A55" s="6" t="s">
        <v>7</v>
      </c>
      <c r="B55" s="16" t="s">
        <v>1428</v>
      </c>
      <c r="F55" s="152"/>
      <c r="H55" s="15" t="s">
        <v>283</v>
      </c>
      <c r="I55" s="161" t="s">
        <v>1058</v>
      </c>
      <c r="J55" s="161" t="s">
        <v>78</v>
      </c>
      <c r="K55" s="68" t="str">
        <f t="shared" si="0"/>
        <v>&gt;</v>
      </c>
      <c r="L55" s="162"/>
      <c r="M55" s="162"/>
      <c r="N55" s="162" t="s">
        <v>1220</v>
      </c>
      <c r="O55" s="309"/>
      <c r="P55" s="310"/>
      <c r="Q55" s="310"/>
      <c r="R55" s="310"/>
      <c r="S55" s="310"/>
      <c r="T55" s="310"/>
      <c r="U55" s="310"/>
      <c r="V55" s="310"/>
      <c r="W55" s="310"/>
      <c r="X55" s="310"/>
      <c r="Y55" s="310"/>
      <c r="Z55" s="310"/>
      <c r="AA55" s="310">
        <f t="shared" si="1"/>
        <v>0</v>
      </c>
      <c r="AB55" s="311" t="str">
        <f t="shared" si="2"/>
        <v/>
      </c>
      <c r="AC55" s="328"/>
      <c r="AD55" s="310"/>
      <c r="AE55" s="311" t="str">
        <f t="shared" si="3"/>
        <v/>
      </c>
      <c r="AF55" s="312">
        <f t="shared" si="4"/>
        <v>0</v>
      </c>
      <c r="AG55" s="310"/>
      <c r="AH55" s="311" t="str">
        <f t="shared" si="5"/>
        <v/>
      </c>
      <c r="AI55" s="313">
        <f t="shared" si="6"/>
        <v>0</v>
      </c>
      <c r="AJ55" s="399">
        <f t="shared" si="7"/>
        <v>0</v>
      </c>
      <c r="AK55" s="400">
        <f t="shared" si="8"/>
        <v>0</v>
      </c>
      <c r="AL55" s="401">
        <f t="shared" si="9"/>
        <v>0</v>
      </c>
      <c r="AM55" s="402">
        <f t="shared" si="10"/>
        <v>0</v>
      </c>
      <c r="AN55" s="403">
        <f t="shared" si="11"/>
        <v>0</v>
      </c>
    </row>
    <row r="56" spans="1:40" x14ac:dyDescent="0.25">
      <c r="A56" s="6" t="s">
        <v>47</v>
      </c>
      <c r="B56" s="16" t="s">
        <v>1425</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c r="P57" s="36"/>
      <c r="Q57" s="36"/>
      <c r="R57" s="36"/>
      <c r="S57" s="36"/>
      <c r="T57" s="36"/>
      <c r="U57" s="36"/>
      <c r="V57" s="36"/>
      <c r="W57" s="36"/>
      <c r="X57" s="36"/>
      <c r="Y57" s="36"/>
      <c r="Z57" s="36"/>
      <c r="AA57" s="36">
        <f t="shared" si="1"/>
        <v>0</v>
      </c>
      <c r="AB57" s="37" t="str">
        <f t="shared" si="2"/>
        <v/>
      </c>
      <c r="AC57" s="35"/>
      <c r="AD57" s="36"/>
      <c r="AE57" s="37" t="str">
        <f t="shared" si="3"/>
        <v/>
      </c>
      <c r="AF57" s="58">
        <f t="shared" si="4"/>
        <v>0</v>
      </c>
      <c r="AG57" s="36"/>
      <c r="AH57" s="37" t="str">
        <f t="shared" si="5"/>
        <v/>
      </c>
      <c r="AI57" s="292">
        <f t="shared" si="6"/>
        <v>0</v>
      </c>
      <c r="AJ57" s="372">
        <f t="shared" si="7"/>
        <v>0</v>
      </c>
      <c r="AK57" s="373">
        <f t="shared" si="8"/>
        <v>0</v>
      </c>
      <c r="AL57" s="375">
        <f t="shared" si="9"/>
        <v>0</v>
      </c>
      <c r="AM57" s="407">
        <f t="shared" si="10"/>
        <v>0</v>
      </c>
      <c r="AN57" s="408">
        <f t="shared" si="11"/>
        <v>0</v>
      </c>
    </row>
    <row r="58" spans="1:40" x14ac:dyDescent="0.25">
      <c r="G58" s="14"/>
      <c r="H58" s="15" t="s">
        <v>280</v>
      </c>
      <c r="I58" s="479" t="s">
        <v>1012</v>
      </c>
      <c r="J58" s="479" t="s">
        <v>78</v>
      </c>
      <c r="K58" s="480" t="str">
        <f t="shared" si="0"/>
        <v/>
      </c>
      <c r="L58" s="170">
        <v>400000</v>
      </c>
      <c r="M58" s="170"/>
      <c r="N58" s="170" t="s">
        <v>1003</v>
      </c>
      <c r="O58" s="224"/>
      <c r="P58" s="134"/>
      <c r="Q58" s="134"/>
      <c r="R58" s="134"/>
      <c r="S58" s="134"/>
      <c r="T58" s="134"/>
      <c r="U58" s="134"/>
      <c r="V58" s="134"/>
      <c r="W58" s="134"/>
      <c r="X58" s="134"/>
      <c r="Y58" s="134"/>
      <c r="Z58" s="134"/>
      <c r="AA58" s="134">
        <f t="shared" si="1"/>
        <v>0</v>
      </c>
      <c r="AB58" s="135" t="str">
        <f t="shared" si="2"/>
        <v/>
      </c>
      <c r="AC58" s="137"/>
      <c r="AD58" s="134"/>
      <c r="AE58" s="135" t="str">
        <f t="shared" si="3"/>
        <v/>
      </c>
      <c r="AF58" s="136">
        <f t="shared" si="4"/>
        <v>0</v>
      </c>
      <c r="AG58" s="134"/>
      <c r="AH58" s="135" t="str">
        <f t="shared" si="5"/>
        <v/>
      </c>
      <c r="AI58" s="291">
        <f t="shared" si="6"/>
        <v>0</v>
      </c>
      <c r="AJ58" s="360">
        <f t="shared" si="7"/>
        <v>0</v>
      </c>
      <c r="AK58" s="361">
        <f t="shared" si="8"/>
        <v>0</v>
      </c>
      <c r="AL58" s="363">
        <f t="shared" si="9"/>
        <v>0</v>
      </c>
      <c r="AM58" s="405">
        <f t="shared" si="10"/>
        <v>0</v>
      </c>
      <c r="AN58" s="406">
        <f t="shared"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c r="P62" s="310"/>
      <c r="Q62" s="310"/>
      <c r="R62" s="310"/>
      <c r="S62" s="310"/>
      <c r="T62" s="310"/>
      <c r="U62" s="310"/>
      <c r="V62" s="310"/>
      <c r="W62" s="310"/>
      <c r="X62" s="310"/>
      <c r="Y62" s="310"/>
      <c r="Z62" s="310"/>
      <c r="AA62" s="310">
        <f t="shared" ref="AA62:AA70" si="13">IF($I62="B1","",SUM(O62:Z62))</f>
        <v>0</v>
      </c>
      <c r="AB62" s="311"/>
      <c r="AC62" s="328"/>
      <c r="AD62" s="310"/>
      <c r="AE62" s="311"/>
      <c r="AF62" s="312">
        <f t="shared" ref="AF62:AF72" si="14">IF(AND($AA62="",AD62=""),"",$AA62-AD62)</f>
        <v>0</v>
      </c>
      <c r="AG62" s="310"/>
      <c r="AH62" s="311"/>
      <c r="AI62" s="313">
        <f t="shared" ref="AI62:AI72" si="15">IF(AND($AA62="",AG62=""),"",$AA62-AG62)</f>
        <v>0</v>
      </c>
      <c r="AJ62" s="399">
        <f t="shared" ref="AJ62:AJ70" si="16">IFERROR(AA62/AA$20,0)</f>
        <v>0</v>
      </c>
      <c r="AK62" s="400">
        <f t="shared" ref="AK62:AK70" si="17">IFERROR(AD62/AD$20,0)</f>
        <v>0</v>
      </c>
      <c r="AL62" s="401">
        <f t="shared" ref="AL62:AL70" si="18">IFERROR(AG62/AG$20,0)</f>
        <v>0</v>
      </c>
      <c r="AM62" s="402" t="str">
        <f t="shared" ref="AM62:AM70" si="19">+IFERROR(ROUND(($AB62-AE62)*100,2)&amp;" pts.",0)</f>
        <v>0 pts.</v>
      </c>
      <c r="AN62" s="403" t="str">
        <f t="shared" ref="AN62:AN70" si="20">+IFERROR(ROUND(($AB62-AH62)*100,2)&amp;" pts.",0)</f>
        <v>0 pts.</v>
      </c>
    </row>
    <row r="63" spans="1:40" x14ac:dyDescent="0.25">
      <c r="A63" s="6" t="s">
        <v>14</v>
      </c>
      <c r="B63" s="7"/>
      <c r="H63" s="15" t="s">
        <v>636</v>
      </c>
      <c r="I63" s="161" t="s">
        <v>1058</v>
      </c>
      <c r="J63" s="161" t="s">
        <v>78</v>
      </c>
      <c r="K63" s="68" t="str">
        <f t="shared" si="12"/>
        <v>&gt;</v>
      </c>
      <c r="L63" s="162"/>
      <c r="M63" s="162"/>
      <c r="N63" s="162" t="s">
        <v>1226</v>
      </c>
      <c r="O63" s="323"/>
      <c r="P63" s="324"/>
      <c r="Q63" s="324"/>
      <c r="R63" s="324"/>
      <c r="S63" s="324"/>
      <c r="T63" s="324"/>
      <c r="U63" s="324"/>
      <c r="V63" s="324"/>
      <c r="W63" s="324"/>
      <c r="X63" s="324"/>
      <c r="Y63" s="324"/>
      <c r="Z63" s="324"/>
      <c r="AA63" s="324">
        <f t="shared" si="13"/>
        <v>0</v>
      </c>
      <c r="AB63" s="325"/>
      <c r="AC63" s="290"/>
      <c r="AD63" s="324"/>
      <c r="AE63" s="325"/>
      <c r="AF63" s="326">
        <f t="shared" si="14"/>
        <v>0</v>
      </c>
      <c r="AG63" s="324"/>
      <c r="AH63" s="325"/>
      <c r="AI63" s="327">
        <f t="shared" si="15"/>
        <v>0</v>
      </c>
      <c r="AJ63" s="409">
        <f t="shared" si="16"/>
        <v>0</v>
      </c>
      <c r="AK63" s="410">
        <f t="shared" si="17"/>
        <v>0</v>
      </c>
      <c r="AL63" s="411">
        <f t="shared" si="18"/>
        <v>0</v>
      </c>
      <c r="AM63" s="412" t="str">
        <f t="shared" si="19"/>
        <v>0 pts.</v>
      </c>
      <c r="AN63" s="413" t="str">
        <f t="shared" si="20"/>
        <v>0 pts.</v>
      </c>
    </row>
    <row r="64" spans="1:40" x14ac:dyDescent="0.25">
      <c r="A64" s="6" t="s">
        <v>15</v>
      </c>
      <c r="B64" s="7"/>
      <c r="H64" s="15" t="s">
        <v>286</v>
      </c>
      <c r="I64" s="479" t="s">
        <v>1064</v>
      </c>
      <c r="J64" s="479" t="s">
        <v>78</v>
      </c>
      <c r="K64" s="480" t="str">
        <f t="shared" si="12"/>
        <v/>
      </c>
      <c r="L64" s="170"/>
      <c r="M64" s="170"/>
      <c r="N64" s="170" t="s">
        <v>1227</v>
      </c>
      <c r="O64" s="224"/>
      <c r="P64" s="134"/>
      <c r="Q64" s="134"/>
      <c r="R64" s="134"/>
      <c r="S64" s="134"/>
      <c r="T64" s="134"/>
      <c r="U64" s="134"/>
      <c r="V64" s="134"/>
      <c r="W64" s="134"/>
      <c r="X64" s="134"/>
      <c r="Y64" s="134"/>
      <c r="Z64" s="134"/>
      <c r="AA64" s="134">
        <f t="shared" si="13"/>
        <v>0</v>
      </c>
      <c r="AB64" s="135"/>
      <c r="AC64" s="137"/>
      <c r="AD64" s="134"/>
      <c r="AE64" s="135"/>
      <c r="AF64" s="136">
        <f t="shared" si="14"/>
        <v>0</v>
      </c>
      <c r="AG64" s="134"/>
      <c r="AH64" s="135"/>
      <c r="AI64" s="291">
        <f t="shared" si="15"/>
        <v>0</v>
      </c>
      <c r="AJ64" s="360">
        <f t="shared" si="16"/>
        <v>0</v>
      </c>
      <c r="AK64" s="361">
        <f t="shared" si="17"/>
        <v>0</v>
      </c>
      <c r="AL64" s="363">
        <f t="shared" si="18"/>
        <v>0</v>
      </c>
      <c r="AM64" s="405" t="str">
        <f t="shared" si="19"/>
        <v>0 pts.</v>
      </c>
      <c r="AN64" s="406" t="str">
        <f t="shared" si="20"/>
        <v>0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c r="P70" s="134"/>
      <c r="Q70" s="134"/>
      <c r="R70" s="134"/>
      <c r="S70" s="134"/>
      <c r="T70" s="134"/>
      <c r="U70" s="134"/>
      <c r="V70" s="134"/>
      <c r="W70" s="134"/>
      <c r="X70" s="134"/>
      <c r="Y70" s="134"/>
      <c r="Z70" s="134"/>
      <c r="AA70" s="134">
        <f t="shared" si="13"/>
        <v>0</v>
      </c>
      <c r="AB70" s="135"/>
      <c r="AC70" s="137"/>
      <c r="AD70" s="134"/>
      <c r="AE70" s="135"/>
      <c r="AF70" s="136">
        <f t="shared" si="14"/>
        <v>0</v>
      </c>
      <c r="AG70" s="134"/>
      <c r="AH70" s="135"/>
      <c r="AI70" s="291">
        <f t="shared" si="15"/>
        <v>0</v>
      </c>
      <c r="AJ70" s="360">
        <f t="shared" si="16"/>
        <v>0</v>
      </c>
      <c r="AK70" s="361">
        <f t="shared" si="17"/>
        <v>0</v>
      </c>
      <c r="AL70" s="363">
        <f t="shared" si="18"/>
        <v>0</v>
      </c>
      <c r="AM70" s="405" t="str">
        <f t="shared" si="19"/>
        <v>0 pts.</v>
      </c>
      <c r="AN70" s="406" t="str">
        <f t="shared" si="20"/>
        <v>0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0</v>
      </c>
      <c r="P72" s="164">
        <f t="shared" si="21"/>
        <v>0</v>
      </c>
      <c r="Q72" s="164">
        <f t="shared" si="21"/>
        <v>0</v>
      </c>
      <c r="R72" s="164">
        <f t="shared" si="21"/>
        <v>0</v>
      </c>
      <c r="S72" s="164">
        <f t="shared" si="21"/>
        <v>0</v>
      </c>
      <c r="T72" s="164">
        <f t="shared" si="21"/>
        <v>0</v>
      </c>
      <c r="U72" s="164">
        <f t="shared" si="21"/>
        <v>0</v>
      </c>
      <c r="V72" s="164">
        <f t="shared" si="21"/>
        <v>0</v>
      </c>
      <c r="W72" s="164">
        <f t="shared" si="21"/>
        <v>0</v>
      </c>
      <c r="X72" s="164">
        <f t="shared" si="21"/>
        <v>0</v>
      </c>
      <c r="Y72" s="164">
        <f t="shared" si="21"/>
        <v>0</v>
      </c>
      <c r="Z72" s="164">
        <f t="shared" si="21"/>
        <v>0</v>
      </c>
      <c r="AA72" s="134">
        <f>IF($I72="B1","",SUM(O72:Z72))</f>
        <v>0</v>
      </c>
      <c r="AB72" s="135" t="str">
        <f>IF(AA72=0,"",IFERROR(AA72/AA$19,""))</f>
        <v/>
      </c>
      <c r="AD72" s="164">
        <f>SUMIF($H$35:$H$70,"400000",AD35:AD70)-SUMIF($H$35:$H$70,"500001",AD35:AD70)</f>
        <v>0</v>
      </c>
      <c r="AE72" s="135" t="str">
        <f>IF(AD72=0,"",IFERROR(AD72/AD$19,""))</f>
        <v/>
      </c>
      <c r="AF72" s="165">
        <f t="shared" si="14"/>
        <v>0</v>
      </c>
      <c r="AG72" s="164">
        <f>SUMIF($H$35:$H$70,"400000",AG35:AG70)-SUMIF($H$35:$H$70,"500001",AG35:AG70)</f>
        <v>0</v>
      </c>
      <c r="AH72" s="135" t="str">
        <f>IF(AG72=0,"",IFERROR(AG72/AG$19,""))</f>
        <v/>
      </c>
      <c r="AI72" s="165">
        <f t="shared" si="15"/>
        <v>0</v>
      </c>
      <c r="AJ72" s="360">
        <f>IFERROR(AA72/AA$20,0)</f>
        <v>0</v>
      </c>
      <c r="AK72" s="361">
        <f>IFERROR(AD72/AD$20,0)</f>
        <v>0</v>
      </c>
      <c r="AL72" s="363">
        <f>IFERROR(AG72/AG$20,0)</f>
        <v>0</v>
      </c>
      <c r="AM72" s="405">
        <f>+IFERROR(ROUND(($AB72-AE72)*100,2)&amp;" pts.",0)</f>
        <v>0</v>
      </c>
      <c r="AN72" s="406">
        <f>+IFERROR(ROUND(($AB72-AH72)*100,2)&amp;"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IF(AND(I76&gt;="T3"),"&gt;","")</f>
        <v/>
      </c>
      <c r="L76" s="162"/>
      <c r="M76" s="162"/>
      <c r="N76" s="162"/>
      <c r="O76" s="38"/>
      <c r="P76" s="38"/>
      <c r="Q76" s="38"/>
      <c r="R76" s="38"/>
      <c r="S76" s="38"/>
      <c r="T76" s="38"/>
      <c r="U76" s="38"/>
      <c r="V76" s="38"/>
      <c r="W76" s="38"/>
      <c r="X76" s="38"/>
      <c r="Y76" s="38"/>
      <c r="Z76" s="38"/>
      <c r="AA76" s="310">
        <f>IF($I76="B1","",SUM(O76:Z76))</f>
        <v>0</v>
      </c>
      <c r="AB76" s="39" t="str">
        <f>IF(AA76=0,"",IFERROR(AA76/AA$19,""))</f>
        <v/>
      </c>
      <c r="AD76" s="38"/>
      <c r="AE76" s="39" t="str">
        <f>IF(AD76=0,"",IFERROR(AD76/AD$19,""))</f>
        <v/>
      </c>
      <c r="AF76" s="132">
        <f>IF(AND($AA76="",AD76=""),"",$AA76-AD76)</f>
        <v>0</v>
      </c>
      <c r="AG76" s="38"/>
      <c r="AH76" s="39" t="str">
        <f>IF(AG76=0,"",IFERROR(AG76/AG$19,""))</f>
        <v/>
      </c>
      <c r="AI76" s="132">
        <f>IF(AND($AA76="",AG76=""),"",$AA76-AG76)</f>
        <v>0</v>
      </c>
      <c r="AJ76" s="399">
        <f>IFERROR(AA76/AA$20,0)</f>
        <v>0</v>
      </c>
      <c r="AK76" s="400">
        <f>IFERROR(AD76/AD$20,0)</f>
        <v>0</v>
      </c>
      <c r="AL76" s="401">
        <f>IFERROR(AG76/AG$20,0)</f>
        <v>0</v>
      </c>
      <c r="AM76" s="402">
        <f>+IFERROR(ROUND(($AB76-AE76)*100,2)&amp;" pts.",0)</f>
        <v>0</v>
      </c>
      <c r="AN76" s="403">
        <f>+IFERROR(ROUND(($AB76-AH76)*100,2)&amp;" pts.",0)</f>
        <v>0</v>
      </c>
    </row>
    <row r="77" spans="1:40" hidden="1" x14ac:dyDescent="0.25">
      <c r="A77" s="1" t="s">
        <v>108</v>
      </c>
      <c r="C77" s="151" t="s">
        <v>101</v>
      </c>
      <c r="D77" s="1" t="s">
        <v>107</v>
      </c>
      <c r="F77" s="1" t="s">
        <v>99</v>
      </c>
      <c r="H77" s="15"/>
      <c r="I77" s="161"/>
      <c r="J77" s="161"/>
      <c r="K77" s="68" t="str">
        <f>IF(AND(I77&gt;="T3"),"&gt;","")</f>
        <v/>
      </c>
      <c r="L77" s="162"/>
      <c r="M77" s="162"/>
      <c r="N77" s="162"/>
      <c r="O77" s="38"/>
      <c r="P77" s="38"/>
      <c r="Q77" s="38"/>
      <c r="R77" s="38"/>
      <c r="S77" s="38"/>
      <c r="T77" s="38"/>
      <c r="U77" s="38"/>
      <c r="V77" s="38"/>
      <c r="W77" s="38"/>
      <c r="X77" s="38"/>
      <c r="Y77" s="38"/>
      <c r="Z77" s="38"/>
      <c r="AA77" s="310">
        <f>IF($I77="B1","",SUM(O77:Z77))</f>
        <v>0</v>
      </c>
      <c r="AB77" s="39" t="str">
        <f>IF(AA77=0,"",IFERROR(AA77/AA$19,""))</f>
        <v/>
      </c>
      <c r="AD77" s="38"/>
      <c r="AE77" s="39" t="str">
        <f>IF(AD77=0,"",IFERROR(AD77/AD$19,""))</f>
        <v/>
      </c>
      <c r="AF77" s="132">
        <f>IF(AND($AA77="",AD77=""),"",$AA77-AD77)</f>
        <v>0</v>
      </c>
      <c r="AG77" s="38"/>
      <c r="AH77" s="39" t="str">
        <f>IF(AG77=0,"",IFERROR(AG77/AG$19,""))</f>
        <v/>
      </c>
      <c r="AI77" s="132">
        <f>IF(AND($AA77="",AG77=""),"",$AA77-AG77)</f>
        <v>0</v>
      </c>
      <c r="AJ77" s="399">
        <f>IFERROR(AA77/AA$20,0)</f>
        <v>0</v>
      </c>
      <c r="AK77" s="400">
        <f>IFERROR(AD77/AD$20,0)</f>
        <v>0</v>
      </c>
      <c r="AL77" s="401">
        <f>IFERROR(AG77/AG$20,0)</f>
        <v>0</v>
      </c>
      <c r="AM77" s="402">
        <f>+IFERROR(ROUND(($AB77-AE77)*100,2)&amp;" pts.",0)</f>
        <v>0</v>
      </c>
      <c r="AN77" s="403">
        <f>+IFERROR(ROUND(($AB77-AH77)*100,2)&amp;" pts.",0)</f>
        <v>0</v>
      </c>
    </row>
    <row r="78" spans="1:40" x14ac:dyDescent="0.25">
      <c r="H78" s="15" t="s">
        <v>75</v>
      </c>
      <c r="I78" s="28" t="s">
        <v>1011</v>
      </c>
      <c r="J78" s="28" t="s">
        <v>78</v>
      </c>
      <c r="K78" s="69" t="str">
        <f>IF(AND(I78&gt;="T3"),"&gt;","")</f>
        <v/>
      </c>
      <c r="L78" s="25"/>
      <c r="M78" s="162"/>
      <c r="N78" s="25" t="s">
        <v>1082</v>
      </c>
      <c r="O78" s="38"/>
      <c r="P78" s="38"/>
      <c r="Q78" s="38"/>
      <c r="R78" s="38"/>
      <c r="S78" s="38"/>
      <c r="T78" s="38"/>
      <c r="U78" s="38"/>
      <c r="V78" s="38"/>
      <c r="W78" s="38"/>
      <c r="X78" s="38"/>
      <c r="Y78" s="38"/>
      <c r="Z78" s="38"/>
      <c r="AA78" s="310" t="str">
        <f>IF($I78="B1","",SUM(O78:Z78))</f>
        <v/>
      </c>
      <c r="AB78" s="39" t="str">
        <f>IF(AA78=0,"",IFERROR(AA78/AA$19,""))</f>
        <v/>
      </c>
      <c r="AD78" s="38"/>
      <c r="AE78" s="39" t="str">
        <f>IF(AD78=0,"",IFERROR(AD78/AD$19,""))</f>
        <v/>
      </c>
      <c r="AF78" s="132" t="str">
        <f>IF(AND($AA78="",AD78=""),"",$AA78-AD78)</f>
        <v/>
      </c>
      <c r="AG78" s="38"/>
      <c r="AH78" s="39" t="str">
        <f>IF(AG78=0,"",IFERROR(AG78/AG$19,""))</f>
        <v/>
      </c>
      <c r="AI78" s="132" t="str">
        <f>IF(AND($AA78="",AG78=""),"",$AA78-AG78)</f>
        <v/>
      </c>
      <c r="AJ78" s="399">
        <f>IFERROR(AA78/AA$20,0)</f>
        <v>0</v>
      </c>
      <c r="AK78" s="400">
        <f>IFERROR(AD78/AD$20,0)</f>
        <v>0</v>
      </c>
      <c r="AL78" s="401">
        <f>IFERROR(AG78/AG$20,0)</f>
        <v>0</v>
      </c>
      <c r="AM78" s="402">
        <f>+IFERROR(ROUND(($AB78-AE78)*100,2)&amp;" pts.",0)</f>
        <v>0</v>
      </c>
      <c r="AN78" s="403">
        <f>+IFERROR(ROUND(($AB78-AH78)*100,2)&amp;" pts.",0)</f>
        <v>0</v>
      </c>
    </row>
    <row r="79" spans="1:40" hidden="1" x14ac:dyDescent="0.25">
      <c r="C79" s="32"/>
      <c r="H79" s="15" t="s">
        <v>667</v>
      </c>
      <c r="I79" s="161"/>
      <c r="J79" s="161"/>
      <c r="K79" s="68" t="str">
        <f>IF(AND(I79&gt;="T3"),"&gt;","")</f>
        <v/>
      </c>
      <c r="L79" s="162"/>
      <c r="M79" s="162"/>
      <c r="N79" s="162"/>
      <c r="O79" s="47"/>
      <c r="P79" s="47"/>
      <c r="Q79" s="47"/>
      <c r="R79" s="47"/>
      <c r="S79" s="47"/>
      <c r="T79" s="47"/>
      <c r="U79" s="47"/>
      <c r="V79" s="47"/>
      <c r="W79" s="47"/>
      <c r="X79" s="47"/>
      <c r="Y79" s="47"/>
      <c r="Z79" s="47"/>
      <c r="AA79" s="324">
        <f>IF($I79="B1","",SUM(O79:Z79))</f>
        <v>0</v>
      </c>
      <c r="AB79" s="48" t="str">
        <f>IF(AA79=0,"",IFERROR(AA79/AA$19,""))</f>
        <v/>
      </c>
      <c r="AD79" s="47"/>
      <c r="AE79" s="48" t="str">
        <f>IF(AD79=0,"",IFERROR(AD79/AD$19,""))</f>
        <v/>
      </c>
      <c r="AF79" s="150">
        <f>IF(AND($AA79="",AD79=""),"",$AA79-AD79)</f>
        <v>0</v>
      </c>
      <c r="AG79" s="47"/>
      <c r="AH79" s="48" t="str">
        <f>IF(AG79=0,"",IFERROR(AG79/AG$19,""))</f>
        <v/>
      </c>
      <c r="AI79" s="150">
        <f>IF(AND($AA79="",AG79=""),"",$AA79-AG79)</f>
        <v>0</v>
      </c>
      <c r="AJ79" s="399">
        <f>IFERROR(AA79/AA$20,0)</f>
        <v>0</v>
      </c>
      <c r="AK79" s="400">
        <f>IFERROR(AD79/AD$20,0)</f>
        <v>0</v>
      </c>
      <c r="AL79" s="401">
        <f>IFERROR(AG79/AG$20,0)</f>
        <v>0</v>
      </c>
      <c r="AM79" s="402">
        <f>+IFERROR(ROUND(($AB79-AE79)*100,2)&amp;" pts.",0)</f>
        <v>0</v>
      </c>
      <c r="AN79" s="403">
        <f>+IFERROR(ROUND(($AB79-AH79)*100,2)&amp;" pts.",0)</f>
        <v>0</v>
      </c>
    </row>
    <row r="80" spans="1:40" hidden="1" x14ac:dyDescent="0.25">
      <c r="A80" s="4" t="s">
        <v>988</v>
      </c>
      <c r="H80" s="15"/>
      <c r="I80" s="161"/>
      <c r="J80" s="161"/>
      <c r="K80" s="68" t="str">
        <f>IF(AND(I80&gt;="T3"),"&gt;","")</f>
        <v/>
      </c>
      <c r="L80" s="162"/>
      <c r="M80" s="162"/>
      <c r="N80" s="162"/>
      <c r="O80" s="47"/>
      <c r="P80" s="47"/>
      <c r="Q80" s="47"/>
      <c r="R80" s="47"/>
      <c r="S80" s="47"/>
      <c r="T80" s="47"/>
      <c r="U80" s="47"/>
      <c r="V80" s="47"/>
      <c r="W80" s="47"/>
      <c r="X80" s="47"/>
      <c r="Y80" s="47"/>
      <c r="Z80" s="47"/>
      <c r="AA80" s="324">
        <f>IF($I80="B1","",SUM(O80:Z80))</f>
        <v>0</v>
      </c>
      <c r="AB80" s="48" t="str">
        <f>IF(AA80=0,"",IFERROR(AA80/AA$19,""))</f>
        <v/>
      </c>
      <c r="AD80" s="47"/>
      <c r="AE80" s="48" t="str">
        <f>IF(AD80=0,"",IFERROR(AD80/AD$19,""))</f>
        <v/>
      </c>
      <c r="AF80" s="150">
        <f>IF(AND($AA80="",AD80=""),"",$AA80-AD80)</f>
        <v>0</v>
      </c>
      <c r="AG80" s="47"/>
      <c r="AH80" s="48" t="str">
        <f>IF(AG80=0,"",IFERROR(AG80/AG$19,""))</f>
        <v/>
      </c>
      <c r="AI80" s="150">
        <f>IF(AND($AA80="",AG80=""),"",$AA80-AG80)</f>
        <v>0</v>
      </c>
      <c r="AJ80" s="399">
        <f>IFERROR(AA80/AA$20,0)</f>
        <v>0</v>
      </c>
      <c r="AK80" s="400">
        <f>IFERROR(AD80/AD$20,0)</f>
        <v>0</v>
      </c>
      <c r="AL80" s="401">
        <f>IFERROR(AG80/AG$20,0)</f>
        <v>0</v>
      </c>
      <c r="AM80" s="402">
        <f>+IFERROR(ROUND(($AB80-AE80)*100,2)&amp;" pts.",0)</f>
        <v>0</v>
      </c>
      <c r="AN80" s="403">
        <f>+IFERROR(ROUND(($AB80-AH80)*100,2)&amp;"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s">
        <v>1011</v>
      </c>
      <c r="J82" s="11" t="s">
        <v>78</v>
      </c>
      <c r="N82" s="40" t="s">
        <v>1092</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16" t="s">
        <v>1421</v>
      </c>
      <c r="H83" s="15" t="s">
        <v>667</v>
      </c>
      <c r="I83" s="161"/>
      <c r="J83" s="161"/>
      <c r="K83" s="68" t="str">
        <f>IF(AND(I83&lt;&gt;"B1",J83="Y"),"&gt;","")</f>
        <v/>
      </c>
      <c r="L83" s="162"/>
      <c r="M83" s="162"/>
      <c r="N83" s="162"/>
      <c r="O83" s="21"/>
      <c r="P83" s="21"/>
      <c r="Q83" s="21"/>
      <c r="R83" s="21"/>
      <c r="S83" s="21"/>
      <c r="T83" s="21"/>
      <c r="U83" s="21"/>
      <c r="V83" s="21"/>
      <c r="W83" s="21"/>
      <c r="X83" s="21"/>
      <c r="Y83" s="21"/>
      <c r="Z83" s="21"/>
      <c r="AA83" s="310">
        <f>IF($I83="B1","",SUM(O83:Z83))</f>
        <v>0</v>
      </c>
      <c r="AB83" s="17" t="str">
        <f>IF(AA83=0,"",IFERROR(AA83/AA$19,""))</f>
        <v/>
      </c>
      <c r="AD83" s="21"/>
      <c r="AE83" s="17" t="str">
        <f>IF(AD83=0,"",IFERROR(AD83/AD$19,""))</f>
        <v/>
      </c>
      <c r="AF83" s="50">
        <f>IF(AND($AA83="",AD83=""),"",$AA83-AD83)</f>
        <v>0</v>
      </c>
      <c r="AG83" s="21"/>
      <c r="AH83" s="17" t="str">
        <f>IF(AG83=0,"",IFERROR(AG83/AG$19,""))</f>
        <v/>
      </c>
      <c r="AI83" s="50">
        <f>IF(AND($AA83="",AG83=""),"",$AA83-AG83)</f>
        <v>0</v>
      </c>
      <c r="AJ83" s="399">
        <f>IFERROR(AA83/AA$20,0)</f>
        <v>0</v>
      </c>
      <c r="AK83" s="400">
        <f>IFERROR(AD83/AD$20,0)</f>
        <v>0</v>
      </c>
      <c r="AL83" s="401">
        <f>IFERROR(AG83/AG$20,0)</f>
        <v>0</v>
      </c>
      <c r="AM83" s="402">
        <f>+IFERROR(ROUND(($AB83-AE83)*100,2)&amp;" pts.",0)</f>
        <v>0</v>
      </c>
      <c r="AN83" s="403">
        <f>+IFERROR(ROUND(($AB83-AH83)*100,2)&amp;" pts.",0)</f>
        <v>0</v>
      </c>
    </row>
    <row r="84" spans="1:40" hidden="1" x14ac:dyDescent="0.25">
      <c r="A84" s="6" t="s">
        <v>3</v>
      </c>
      <c r="B84" s="16" t="s">
        <v>1422</v>
      </c>
      <c r="H84" s="15"/>
      <c r="I84" s="161"/>
      <c r="J84" s="161"/>
      <c r="K84" s="68" t="str">
        <f>IF(AND(I84&lt;&gt;"B1",J84="Y"),"&gt;","")</f>
        <v/>
      </c>
      <c r="L84" s="162"/>
      <c r="M84" s="162"/>
      <c r="N84" s="162"/>
      <c r="O84" s="21"/>
      <c r="P84" s="21"/>
      <c r="Q84" s="21"/>
      <c r="R84" s="21"/>
      <c r="S84" s="21"/>
      <c r="T84" s="21"/>
      <c r="U84" s="21"/>
      <c r="V84" s="21"/>
      <c r="W84" s="21"/>
      <c r="X84" s="21"/>
      <c r="Y84" s="21"/>
      <c r="Z84" s="21"/>
      <c r="AA84" s="310">
        <f>IF($I84="B1","",SUM(O84:Z84))</f>
        <v>0</v>
      </c>
      <c r="AB84" s="17" t="str">
        <f>IF(AA84=0,"",IFERROR(AA84/AA$19,""))</f>
        <v/>
      </c>
      <c r="AD84" s="21"/>
      <c r="AE84" s="17" t="str">
        <f>IF(AD84=0,"",IFERROR(AD84/AD$19,""))</f>
        <v/>
      </c>
      <c r="AF84" s="50">
        <f>IF(AND($AA84="",AD84=""),"",$AA84-AD84)</f>
        <v>0</v>
      </c>
      <c r="AG84" s="21"/>
      <c r="AH84" s="17" t="str">
        <f>IF(AG84=0,"",IFERROR(AG84/AG$19,""))</f>
        <v/>
      </c>
      <c r="AI84" s="50">
        <f>IF(AND($AA84="",AG84=""),"",$AA84-AG84)</f>
        <v>0</v>
      </c>
      <c r="AJ84" s="399">
        <f>IFERROR(AA84/AA$20,0)</f>
        <v>0</v>
      </c>
      <c r="AK84" s="400">
        <f>IFERROR(AD84/AD$20,0)</f>
        <v>0</v>
      </c>
      <c r="AL84" s="401">
        <f>IFERROR(AG84/AG$20,0)</f>
        <v>0</v>
      </c>
      <c r="AM84" s="402">
        <f>+IFERROR(ROUND(($AB84-AE84)*100,2)&amp;" pts.",0)</f>
        <v>0</v>
      </c>
      <c r="AN84" s="403">
        <f>+IFERROR(ROUND(($AB84-AH84)*100,2)&amp;" pts.",0)</f>
        <v>0</v>
      </c>
    </row>
    <row r="85" spans="1:40" x14ac:dyDescent="0.25">
      <c r="A85" s="6" t="s">
        <v>4</v>
      </c>
      <c r="B85" s="16" t="s">
        <v>1429</v>
      </c>
      <c r="H85" s="15" t="s">
        <v>79</v>
      </c>
      <c r="I85" s="27" t="s">
        <v>1012</v>
      </c>
      <c r="J85" s="27" t="s">
        <v>78</v>
      </c>
      <c r="K85" s="26"/>
      <c r="L85" s="26"/>
      <c r="M85" s="26"/>
      <c r="N85" s="25" t="s">
        <v>1116</v>
      </c>
      <c r="O85" s="33"/>
      <c r="P85" s="33"/>
      <c r="Q85" s="33"/>
      <c r="R85" s="33"/>
      <c r="S85" s="33"/>
      <c r="T85" s="33"/>
      <c r="U85" s="33"/>
      <c r="V85" s="33"/>
      <c r="W85" s="33"/>
      <c r="X85" s="33"/>
      <c r="Y85" s="33"/>
      <c r="Z85" s="33"/>
      <c r="AA85" s="33">
        <f>IF($I85="B1","",SUM(O85:Z85))</f>
        <v>0</v>
      </c>
      <c r="AB85" s="34" t="str">
        <f>IF(AA85=0,"",IFERROR(AA85/AA$19,""))</f>
        <v/>
      </c>
      <c r="AD85" s="33"/>
      <c r="AE85" s="34" t="str">
        <f>IF(AD85=0,"",IFERROR(AD85/AD$19,""))</f>
        <v/>
      </c>
      <c r="AF85" s="52">
        <f>IF(AND($AA85="",AD85=""),"",$AA85-AD85)</f>
        <v>0</v>
      </c>
      <c r="AG85" s="33"/>
      <c r="AH85" s="34" t="str">
        <f>IF(AG85=0,"",IFERROR(AG85/AG$19,""))</f>
        <v/>
      </c>
      <c r="AI85" s="52">
        <f>IF(AND($AA85="",AG85=""),"",$AA85-AG85)</f>
        <v>0</v>
      </c>
      <c r="AJ85" s="415">
        <f>IFERROR(AA85/AA$20,0)</f>
        <v>0</v>
      </c>
      <c r="AK85" s="416">
        <f>IFERROR(AD85/AD$20,0)</f>
        <v>0</v>
      </c>
      <c r="AL85" s="417">
        <f>IFERROR(AG85/AG$20,0)</f>
        <v>0</v>
      </c>
      <c r="AM85" s="418">
        <f>+IFERROR(ROUND(($AB85-AE85)*100,2)&amp;" pts.",0)</f>
        <v>0</v>
      </c>
      <c r="AN85" s="436">
        <f>+IFERROR(ROUND(($AB85-AH85)*100,2)&amp;" pts.",0)</f>
        <v>0</v>
      </c>
    </row>
    <row r="86" spans="1:40" x14ac:dyDescent="0.25">
      <c r="A86" s="6" t="s">
        <v>5</v>
      </c>
      <c r="B86" s="7"/>
    </row>
    <row r="87" spans="1:40" x14ac:dyDescent="0.25">
      <c r="A87" s="6" t="s">
        <v>6</v>
      </c>
      <c r="B87" s="7"/>
      <c r="H87" s="15" t="s">
        <v>80</v>
      </c>
      <c r="I87" s="27" t="s">
        <v>1012</v>
      </c>
      <c r="J87" s="27" t="s">
        <v>78</v>
      </c>
      <c r="K87" s="25"/>
      <c r="L87" s="25"/>
      <c r="M87" s="25"/>
      <c r="N87" s="25" t="s">
        <v>1117</v>
      </c>
      <c r="O87" s="36"/>
      <c r="P87" s="36"/>
      <c r="Q87" s="36"/>
      <c r="R87" s="36"/>
      <c r="S87" s="36"/>
      <c r="T87" s="36"/>
      <c r="U87" s="36"/>
      <c r="V87" s="36"/>
      <c r="W87" s="36"/>
      <c r="X87" s="36"/>
      <c r="Y87" s="36"/>
      <c r="Z87" s="36"/>
      <c r="AA87" s="36">
        <f>IF($I87="B1","",SUM(O87:Z87))</f>
        <v>0</v>
      </c>
      <c r="AB87" s="37" t="str">
        <f>IF(AA87=0,"",IFERROR(AA87/AA$19,""))</f>
        <v/>
      </c>
      <c r="AD87" s="36"/>
      <c r="AE87" s="37" t="str">
        <f>IF(AD87=0,"",IFERROR(AD87/AD$19,""))</f>
        <v/>
      </c>
      <c r="AF87" s="59">
        <f>IF(AND($AA87="",AD87=""),"",$AA87-AD87)</f>
        <v>0</v>
      </c>
      <c r="AG87" s="60"/>
      <c r="AH87" s="61" t="str">
        <f>IF(AG87=0,"",IFERROR(AG87/AG$19,""))</f>
        <v/>
      </c>
      <c r="AI87" s="59">
        <f>IF(AND($AA87="",AG87=""),"",$AA87-AG87)</f>
        <v>0</v>
      </c>
      <c r="AJ87" s="392">
        <f>IFERROR(AA87/AA$20,0)</f>
        <v>0</v>
      </c>
      <c r="AK87" s="393">
        <f>IFERROR(AD87/AD$20,0)</f>
        <v>0</v>
      </c>
      <c r="AL87" s="394">
        <f>IFERROR(AG87/AG$20,0)</f>
        <v>0</v>
      </c>
      <c r="AM87" s="395">
        <f>+IFERROR(ROUND(($AB87-AE87)*100,2)&amp;" pts.",0)</f>
        <v>0</v>
      </c>
      <c r="AN87" s="437">
        <f>+IFERROR(ROUND(($AB87-AH87)*100,2)&amp;" pts.",0)</f>
        <v>0</v>
      </c>
    </row>
    <row r="88" spans="1:40" ht="15.75" thickBot="1" x14ac:dyDescent="0.3">
      <c r="A88" s="6" t="s">
        <v>7</v>
      </c>
      <c r="B88" s="16" t="s">
        <v>1430</v>
      </c>
      <c r="H88" s="15" t="s">
        <v>81</v>
      </c>
      <c r="I88" s="27" t="s">
        <v>1012</v>
      </c>
      <c r="J88" s="27" t="s">
        <v>78</v>
      </c>
      <c r="K88" s="25"/>
      <c r="L88" s="25"/>
      <c r="M88" s="25"/>
      <c r="N88" s="25" t="s">
        <v>1118</v>
      </c>
      <c r="O88" s="62"/>
      <c r="P88" s="62"/>
      <c r="Q88" s="62"/>
      <c r="R88" s="62"/>
      <c r="S88" s="62"/>
      <c r="T88" s="62"/>
      <c r="U88" s="62"/>
      <c r="V88" s="62"/>
      <c r="W88" s="62"/>
      <c r="X88" s="62"/>
      <c r="Y88" s="62"/>
      <c r="Z88" s="62"/>
      <c r="AA88" s="62">
        <f>IF($I88="B1","",SUM(O88:Z88))</f>
        <v>0</v>
      </c>
      <c r="AB88" s="63" t="str">
        <f>IF(AA88=0,"",IFERROR(AA88/AA$19,""))</f>
        <v/>
      </c>
      <c r="AD88" s="62"/>
      <c r="AE88" s="63" t="str">
        <f>IF(AD88=0,"",IFERROR(AD88/AD$19,""))</f>
        <v/>
      </c>
      <c r="AF88" s="64">
        <f>IF(AND($AA88="",AD88=""),"",$AA88-AD88)</f>
        <v>0</v>
      </c>
      <c r="AG88" s="62"/>
      <c r="AH88" s="63" t="str">
        <f>IF(AG88=0,"",IFERROR(AG88/AG$19,""))</f>
        <v/>
      </c>
      <c r="AI88" s="64">
        <f>IF(AND($AA88="",AG88=""),"",$AA88-AG88)</f>
        <v>0</v>
      </c>
      <c r="AJ88" s="430">
        <f>IFERROR(AA88/AA$20,0)</f>
        <v>0</v>
      </c>
      <c r="AK88" s="431">
        <f>IFERROR(AD88/AD$20,0)</f>
        <v>0</v>
      </c>
      <c r="AL88" s="432">
        <f>IFERROR(AG88/AG$20,0)</f>
        <v>0</v>
      </c>
      <c r="AM88" s="433">
        <f>+IFERROR(ROUND(($AB88-AE88)*100,2)&amp;" pts.",0)</f>
        <v>0</v>
      </c>
      <c r="AN88" s="438">
        <f>+IFERROR(ROUND(($AB88-AH88)*100,2)&amp;" pts.",0)</f>
        <v>0</v>
      </c>
    </row>
    <row r="89" spans="1:40" ht="15.75" thickTop="1" x14ac:dyDescent="0.25">
      <c r="A89" s="6" t="s">
        <v>47</v>
      </c>
      <c r="B89" s="16" t="s">
        <v>1425</v>
      </c>
    </row>
    <row r="90" spans="1:40" x14ac:dyDescent="0.25">
      <c r="A90" s="6" t="s">
        <v>8</v>
      </c>
      <c r="B90" s="7"/>
      <c r="N90" s="26" t="str">
        <f>N87&amp;" - Check"</f>
        <v>Total Expenses - Check</v>
      </c>
      <c r="O90" s="139">
        <f t="shared" ref="O90:AA90" si="22">SUMIF($H$35:$H$88,"600000",O$35:O$88)+SUMIF($H$35:$H$88,"700000",O$35:O$88)-SUMIF($H$35:$H$88,"TOTDEPTEXP",O$35:O$88)</f>
        <v>0</v>
      </c>
      <c r="P90" s="139">
        <f t="shared" si="22"/>
        <v>0</v>
      </c>
      <c r="Q90" s="139">
        <f t="shared" si="22"/>
        <v>0</v>
      </c>
      <c r="R90" s="139">
        <f t="shared" si="22"/>
        <v>0</v>
      </c>
      <c r="S90" s="139">
        <f t="shared" si="22"/>
        <v>0</v>
      </c>
      <c r="T90" s="139">
        <f t="shared" si="22"/>
        <v>0</v>
      </c>
      <c r="U90" s="139">
        <f t="shared" si="22"/>
        <v>0</v>
      </c>
      <c r="V90" s="139">
        <f t="shared" si="22"/>
        <v>0</v>
      </c>
      <c r="W90" s="139">
        <f t="shared" si="22"/>
        <v>0</v>
      </c>
      <c r="X90" s="139">
        <f t="shared" si="22"/>
        <v>0</v>
      </c>
      <c r="Y90" s="139">
        <f t="shared" si="22"/>
        <v>0</v>
      </c>
      <c r="Z90" s="139">
        <f t="shared" si="22"/>
        <v>0</v>
      </c>
      <c r="AA90" s="139">
        <f t="shared" si="22"/>
        <v>0</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str">
        <f>N88&amp;" - Check"</f>
        <v>Department Profit (Loss) - Check</v>
      </c>
      <c r="O91" s="139">
        <f t="shared" ref="O91:AA91" si="23">SUMIF($H$35:$H$88,"KPI_GP",O$35:O$88)-SUMIF($H$35:$H$88,"TOTDEPTEXP",O$35:O$88)-SUMIF($H$35:$H$88,"TOTDEPTPL",O$35:O$88)</f>
        <v>0</v>
      </c>
      <c r="P91" s="139">
        <f t="shared" si="23"/>
        <v>0</v>
      </c>
      <c r="Q91" s="139">
        <f t="shared" si="23"/>
        <v>0</v>
      </c>
      <c r="R91" s="139">
        <f t="shared" si="23"/>
        <v>0</v>
      </c>
      <c r="S91" s="139">
        <f t="shared" si="23"/>
        <v>0</v>
      </c>
      <c r="T91" s="139">
        <f t="shared" si="23"/>
        <v>0</v>
      </c>
      <c r="U91" s="139">
        <f t="shared" si="23"/>
        <v>0</v>
      </c>
      <c r="V91" s="139">
        <f t="shared" si="23"/>
        <v>0</v>
      </c>
      <c r="W91" s="139">
        <f t="shared" si="23"/>
        <v>0</v>
      </c>
      <c r="X91" s="139">
        <f t="shared" si="23"/>
        <v>0</v>
      </c>
      <c r="Y91" s="139">
        <f t="shared" si="23"/>
        <v>0</v>
      </c>
      <c r="Z91" s="139">
        <f t="shared" si="23"/>
        <v>0</v>
      </c>
      <c r="AA91" s="139">
        <f t="shared" si="23"/>
        <v>0</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s">
        <v>988</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16" t="s">
        <v>1421</v>
      </c>
      <c r="H114" s="11"/>
      <c r="J114" s="1"/>
    </row>
    <row r="115" spans="1:10" x14ac:dyDescent="0.25">
      <c r="A115" s="6" t="s">
        <v>3</v>
      </c>
      <c r="B115" s="16" t="s">
        <v>1422</v>
      </c>
      <c r="H115" s="11"/>
      <c r="J115" s="1"/>
    </row>
    <row r="116" spans="1:10" x14ac:dyDescent="0.25">
      <c r="A116" s="6" t="s">
        <v>4</v>
      </c>
      <c r="B116" s="16" t="s">
        <v>1431</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1425</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2300-000000000000}">
      <formula1>"ACCOUNT,BUSINESSUNIT,CATEGORY,DATASRC,DEPARTMENT,INTCO,MEASURES,RPTCURRENCY,TIME"</formula1>
    </dataValidation>
    <dataValidation type="list" allowBlank="1" sqref="B29 B95 B62" xr:uid="{00000000-0002-0000-2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4816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8166" r:id="rId5" name="FPMExcelClientSheetOptionstb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'vTCkZLqCi06j3ZbWEk8hCQ=='!N1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788</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D2144</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D2144</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84"/>
      <c r="P129" s="466"/>
      <c r="Q129" s="466"/>
      <c r="R129" s="466"/>
      <c r="S129" s="466"/>
      <c r="T129" s="466"/>
      <c r="U129" s="466"/>
      <c r="V129" s="466"/>
      <c r="W129" s="466"/>
      <c r="X129" s="466"/>
      <c r="Y129" s="466"/>
      <c r="Z129" s="466"/>
      <c r="AA129" s="466"/>
      <c r="AB129" s="485"/>
      <c r="AD129" s="484"/>
      <c r="AE129" s="466"/>
      <c r="AF129" s="466"/>
      <c r="AG129" s="466"/>
      <c r="AH129" s="466"/>
      <c r="AI129" s="485"/>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61" priority="15">
      <formula>ROUND(O42,2)&lt;&gt;ROUND(O43,2)</formula>
    </cfRule>
  </conditionalFormatting>
  <conditionalFormatting sqref="N43">
    <cfRule type="expression" dxfId="160" priority="14">
      <formula>$G43&lt;&gt;0</formula>
    </cfRule>
  </conditionalFormatting>
  <conditionalFormatting sqref="O53:AA53 AD53 AF53:AG53">
    <cfRule type="expression" dxfId="159" priority="13">
      <formula>ROUND(O52,2)&lt;&gt;ROUND(O53,2)</formula>
    </cfRule>
  </conditionalFormatting>
  <conditionalFormatting sqref="N53">
    <cfRule type="expression" dxfId="158" priority="12">
      <formula>$G53&lt;&gt;0</formula>
    </cfRule>
  </conditionalFormatting>
  <conditionalFormatting sqref="O63:AA63 AD63 AF63:AG63">
    <cfRule type="expression" dxfId="157" priority="11">
      <formula>ROUND(O62,2)&lt;&gt;ROUND(O63,2)</formula>
    </cfRule>
  </conditionalFormatting>
  <conditionalFormatting sqref="N63">
    <cfRule type="expression" dxfId="156" priority="10">
      <formula>$G63&lt;&gt;0</formula>
    </cfRule>
  </conditionalFormatting>
  <conditionalFormatting sqref="O73:AA73 AD73 AF73:AG73">
    <cfRule type="expression" dxfId="155" priority="9">
      <formula>ROUND(O72,2)&lt;&gt;ROUND(O73,2)</formula>
    </cfRule>
  </conditionalFormatting>
  <conditionalFormatting sqref="N73">
    <cfRule type="expression" dxfId="154" priority="8">
      <formula>$G73&lt;&gt;0</formula>
    </cfRule>
  </conditionalFormatting>
  <conditionalFormatting sqref="N82">
    <cfRule type="expression" dxfId="153" priority="7">
      <formula>$G82&lt;&gt;0</formula>
    </cfRule>
  </conditionalFormatting>
  <conditionalFormatting sqref="AD82 AF82:AG82 O82:AA82">
    <cfRule type="expression" dxfId="152" priority="6">
      <formula>ROUND(O81,2)&lt;&gt;ROUND(O82,2)</formula>
    </cfRule>
  </conditionalFormatting>
  <conditionalFormatting sqref="AI43">
    <cfRule type="expression" dxfId="151" priority="5">
      <formula>ROUND(AI42,2)&lt;&gt;ROUND(AI43,2)</formula>
    </cfRule>
  </conditionalFormatting>
  <conditionalFormatting sqref="AI53">
    <cfRule type="expression" dxfId="150" priority="4">
      <formula>ROUND(AI52,2)&lt;&gt;ROUND(AI53,2)</formula>
    </cfRule>
  </conditionalFormatting>
  <conditionalFormatting sqref="AI63">
    <cfRule type="expression" dxfId="149" priority="3">
      <formula>ROUND(AI62,2)&lt;&gt;ROUND(AI63,2)</formula>
    </cfRule>
  </conditionalFormatting>
  <conditionalFormatting sqref="AI73">
    <cfRule type="expression" dxfId="148" priority="2">
      <formula>ROUND(AI72,2)&lt;&gt;ROUND(AI73,2)</formula>
    </cfRule>
  </conditionalFormatting>
  <conditionalFormatting sqref="AI82">
    <cfRule type="expression" dxfId="147" priority="1">
      <formula>ROUND(AI81,2)&lt;&gt;ROUND(AI82,2)</formula>
    </cfRule>
  </conditionalFormatting>
  <dataValidations count="2">
    <dataValidation type="list" allowBlank="1" sqref="B28" xr:uid="{00000000-0002-0000-2400-000000000000}">
      <formula1>"ACCOUNT,BUSINESSUNIT,CATEGORY,DATASRC,DEPARTMENT,INTCO,MEASURES,RPTCURRENCY,TIME"</formula1>
    </dataValidation>
    <dataValidation type="list" allowBlank="1" sqref="B29" xr:uid="{00000000-0002-0000-2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6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f>Venue6!N1</f>
        <v>0</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788</v>
      </c>
      <c r="C6" s="1" t="s">
        <v>1420</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1432</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1433</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1434</v>
      </c>
      <c r="G19" s="18" t="str">
        <f>$B$6</f>
        <v>D2144</v>
      </c>
      <c r="H19" s="18" t="s">
        <v>273</v>
      </c>
      <c r="I19" s="19"/>
      <c r="J19" s="19"/>
      <c r="K19" s="18"/>
      <c r="L19" s="18"/>
      <c r="M19" s="18"/>
      <c r="N19" s="18" t="s">
        <v>1214</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G20" s="18" t="str">
        <f>$B$6</f>
        <v>D2144</v>
      </c>
      <c r="H20" s="18">
        <v>946000</v>
      </c>
      <c r="I20" s="19"/>
      <c r="J20" s="19"/>
      <c r="K20" s="18"/>
      <c r="L20" s="18"/>
      <c r="M20" s="18"/>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1435</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1426</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IF(AG39=0,"",IFERROR(AG39/AG$19,""))</f>
        <v/>
      </c>
      <c r="AI39" s="165">
        <f t="shared" si="2"/>
        <v>0</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s">
        <v>1009</v>
      </c>
      <c r="J88" s="161" t="s">
        <v>78</v>
      </c>
      <c r="L88" s="162"/>
      <c r="M88" s="162"/>
      <c r="N88" s="162" t="s">
        <v>1355</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c r="P103" s="164"/>
      <c r="Q103" s="164"/>
      <c r="R103" s="164"/>
      <c r="S103" s="164"/>
      <c r="T103" s="164"/>
      <c r="U103" s="164"/>
      <c r="V103" s="164"/>
      <c r="W103" s="164"/>
      <c r="X103" s="164"/>
      <c r="Y103" s="164"/>
      <c r="Z103" s="164"/>
      <c r="AA103" s="164">
        <f t="shared" si="27"/>
        <v>0</v>
      </c>
      <c r="AB103" s="175" t="str">
        <f t="shared" si="28"/>
        <v/>
      </c>
      <c r="AD103" s="164"/>
      <c r="AE103" s="175" t="str">
        <f t="shared" si="29"/>
        <v/>
      </c>
      <c r="AF103" s="165">
        <f t="shared" si="30"/>
        <v>0</v>
      </c>
      <c r="AG103" s="164"/>
      <c r="AH103" s="175" t="str">
        <f t="shared" si="31"/>
        <v/>
      </c>
      <c r="AI103" s="165">
        <f t="shared" si="32"/>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c r="P111" s="164"/>
      <c r="Q111" s="164"/>
      <c r="R111" s="164"/>
      <c r="S111" s="164"/>
      <c r="T111" s="164"/>
      <c r="U111" s="164"/>
      <c r="V111" s="164"/>
      <c r="W111" s="164"/>
      <c r="X111" s="164"/>
      <c r="Y111" s="164"/>
      <c r="Z111" s="164"/>
      <c r="AA111" s="164">
        <f t="shared" si="33"/>
        <v>0</v>
      </c>
      <c r="AB111" s="175" t="str">
        <f t="shared" si="34"/>
        <v/>
      </c>
      <c r="AD111" s="164"/>
      <c r="AE111" s="175" t="str">
        <f t="shared" si="35"/>
        <v/>
      </c>
      <c r="AF111" s="165">
        <f t="shared" si="36"/>
        <v>0</v>
      </c>
      <c r="AG111" s="164"/>
      <c r="AH111" s="175" t="str">
        <f t="shared" si="37"/>
        <v/>
      </c>
      <c r="AI111" s="165">
        <f t="shared" si="38"/>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c r="P119" s="164"/>
      <c r="Q119" s="164"/>
      <c r="R119" s="164"/>
      <c r="S119" s="164"/>
      <c r="T119" s="164"/>
      <c r="U119" s="164"/>
      <c r="V119" s="164"/>
      <c r="W119" s="164"/>
      <c r="X119" s="164"/>
      <c r="Y119" s="164"/>
      <c r="Z119" s="164"/>
      <c r="AA119" s="164">
        <f t="shared" si="39"/>
        <v>0</v>
      </c>
      <c r="AB119" s="175" t="str">
        <f t="shared" si="40"/>
        <v/>
      </c>
      <c r="AD119" s="164"/>
      <c r="AE119" s="175" t="str">
        <f t="shared" si="41"/>
        <v/>
      </c>
      <c r="AF119" s="165">
        <f t="shared" si="42"/>
        <v>0</v>
      </c>
      <c r="AG119" s="164"/>
      <c r="AH119" s="175" t="str">
        <f t="shared" si="43"/>
        <v/>
      </c>
      <c r="AI119" s="165">
        <f t="shared" si="44"/>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0</v>
      </c>
      <c r="P126" s="164">
        <f t="shared" si="56"/>
        <v>0</v>
      </c>
      <c r="Q126" s="164">
        <f t="shared" si="56"/>
        <v>0</v>
      </c>
      <c r="R126" s="164">
        <f t="shared" si="56"/>
        <v>0</v>
      </c>
      <c r="S126" s="164">
        <f t="shared" si="56"/>
        <v>0</v>
      </c>
      <c r="T126" s="164">
        <f t="shared" si="56"/>
        <v>0</v>
      </c>
      <c r="U126" s="164">
        <f t="shared" si="56"/>
        <v>0</v>
      </c>
      <c r="V126" s="164">
        <f t="shared" si="56"/>
        <v>0</v>
      </c>
      <c r="W126" s="164">
        <f t="shared" si="56"/>
        <v>0</v>
      </c>
      <c r="X126" s="164">
        <f t="shared" si="56"/>
        <v>0</v>
      </c>
      <c r="Y126" s="164">
        <f t="shared" si="56"/>
        <v>0</v>
      </c>
      <c r="Z126" s="164">
        <f t="shared" si="56"/>
        <v>0</v>
      </c>
      <c r="AA126" s="164">
        <f t="shared" si="46"/>
        <v>0</v>
      </c>
      <c r="AB126" s="175" t="str">
        <f t="shared" si="47"/>
        <v/>
      </c>
      <c r="AD126" s="164">
        <f>SUM(AD121:AD125)</f>
        <v>0</v>
      </c>
      <c r="AE126" s="175" t="str">
        <f t="shared" si="48"/>
        <v/>
      </c>
      <c r="AF126" s="165">
        <f t="shared" si="49"/>
        <v>0</v>
      </c>
      <c r="AG126" s="164">
        <f>SUM(AG121:AG125)</f>
        <v>0</v>
      </c>
      <c r="AH126" s="175" t="str">
        <f t="shared" si="50"/>
        <v/>
      </c>
      <c r="AI126" s="165">
        <f t="shared" si="51"/>
        <v>0</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c r="P130" s="21"/>
      <c r="Q130" s="21"/>
      <c r="R130" s="21"/>
      <c r="S130" s="21"/>
      <c r="T130" s="21"/>
      <c r="U130" s="21"/>
      <c r="V130" s="21"/>
      <c r="W130" s="21"/>
      <c r="X130" s="21"/>
      <c r="Y130" s="21"/>
      <c r="Z130" s="21"/>
      <c r="AA130" s="21">
        <f>SUM(O130:Z130)</f>
        <v>0</v>
      </c>
      <c r="AB130" s="311"/>
      <c r="AD130" s="21"/>
      <c r="AE130" s="311"/>
      <c r="AF130" s="50">
        <f t="shared" ref="AF130:AF141" si="58">IF(AND($AA130="",AD130=""),"",$AA130-AD130)</f>
        <v>0</v>
      </c>
      <c r="AG130" s="21"/>
      <c r="AH130" s="311"/>
      <c r="AI130" s="50">
        <f t="shared" ref="AI130:AI141" si="59">IF(AND($AA130="",AG130=""),"",$AA130-AG130)</f>
        <v>0</v>
      </c>
    </row>
    <row r="131" spans="3:35" x14ac:dyDescent="0.25">
      <c r="C131" s="32"/>
      <c r="H131" s="149" t="s">
        <v>756</v>
      </c>
      <c r="I131" s="161"/>
      <c r="J131" s="161"/>
      <c r="L131" s="162"/>
      <c r="M131" s="162"/>
      <c r="N131" s="467" t="s">
        <v>1321</v>
      </c>
      <c r="O131" s="172"/>
      <c r="P131" s="172"/>
      <c r="Q131" s="172"/>
      <c r="R131" s="172"/>
      <c r="S131" s="172"/>
      <c r="T131" s="172"/>
      <c r="U131" s="172"/>
      <c r="V131" s="172"/>
      <c r="W131" s="172"/>
      <c r="X131" s="172"/>
      <c r="Y131" s="172"/>
      <c r="Z131" s="172"/>
      <c r="AA131" s="172"/>
      <c r="AB131" s="311"/>
      <c r="AD131" s="172"/>
      <c r="AE131" s="311"/>
      <c r="AF131" s="468" t="str">
        <f t="shared" si="58"/>
        <v/>
      </c>
      <c r="AG131" s="172"/>
      <c r="AH131" s="311"/>
      <c r="AI131" s="468" t="str">
        <f t="shared" si="59"/>
        <v/>
      </c>
    </row>
    <row r="132" spans="3:35" x14ac:dyDescent="0.25">
      <c r="C132" s="32"/>
      <c r="H132" s="149" t="s">
        <v>636</v>
      </c>
      <c r="I132" s="161"/>
      <c r="J132" s="161"/>
      <c r="L132" s="162"/>
      <c r="M132" s="162"/>
      <c r="N132" s="162" t="s">
        <v>1226</v>
      </c>
      <c r="O132" s="21"/>
      <c r="P132" s="21"/>
      <c r="Q132" s="21"/>
      <c r="R132" s="21"/>
      <c r="S132" s="21"/>
      <c r="T132" s="21"/>
      <c r="U132" s="21"/>
      <c r="V132" s="21"/>
      <c r="W132" s="21"/>
      <c r="X132" s="21"/>
      <c r="Y132" s="21"/>
      <c r="Z132" s="21"/>
      <c r="AA132" s="21">
        <f>SUM(O132:Z132)</f>
        <v>0</v>
      </c>
      <c r="AB132" s="311"/>
      <c r="AD132" s="21"/>
      <c r="AE132" s="311"/>
      <c r="AF132" s="50">
        <f t="shared" si="58"/>
        <v>0</v>
      </c>
      <c r="AG132" s="21"/>
      <c r="AH132" s="311"/>
      <c r="AI132" s="50">
        <f t="shared" si="59"/>
        <v>0</v>
      </c>
    </row>
    <row r="133" spans="3:35" x14ac:dyDescent="0.25">
      <c r="C133" s="32"/>
      <c r="H133" s="149" t="s">
        <v>757</v>
      </c>
      <c r="I133" s="161"/>
      <c r="J133" s="161"/>
      <c r="L133" s="162"/>
      <c r="M133" s="162"/>
      <c r="N133" s="467" t="s">
        <v>1326</v>
      </c>
      <c r="O133" s="172"/>
      <c r="P133" s="172"/>
      <c r="Q133" s="172"/>
      <c r="R133" s="172"/>
      <c r="S133" s="172"/>
      <c r="T133" s="172"/>
      <c r="U133" s="172"/>
      <c r="V133" s="172"/>
      <c r="W133" s="172"/>
      <c r="X133" s="172"/>
      <c r="Y133" s="172"/>
      <c r="Z133" s="172"/>
      <c r="AA133" s="172"/>
      <c r="AB133" s="311"/>
      <c r="AD133" s="172"/>
      <c r="AE133" s="311"/>
      <c r="AF133" s="468" t="str">
        <f t="shared" si="58"/>
        <v/>
      </c>
      <c r="AG133" s="172"/>
      <c r="AH133" s="311"/>
      <c r="AI133" s="468" t="str">
        <f t="shared" si="59"/>
        <v/>
      </c>
    </row>
    <row r="134" spans="3:35" x14ac:dyDescent="0.25">
      <c r="C134" s="32"/>
      <c r="H134" s="149" t="s">
        <v>755</v>
      </c>
      <c r="I134" s="161"/>
      <c r="J134" s="161"/>
      <c r="L134" s="162">
        <v>561300</v>
      </c>
      <c r="M134" s="162"/>
      <c r="N134" s="162" t="s">
        <v>1327</v>
      </c>
      <c r="O134" s="21"/>
      <c r="P134" s="21"/>
      <c r="Q134" s="21"/>
      <c r="R134" s="21"/>
      <c r="S134" s="21"/>
      <c r="T134" s="21"/>
      <c r="U134" s="21"/>
      <c r="V134" s="21"/>
      <c r="W134" s="21"/>
      <c r="X134" s="21"/>
      <c r="Y134" s="21"/>
      <c r="Z134" s="21"/>
      <c r="AA134" s="21">
        <f>SUM(O134:Z134)</f>
        <v>0</v>
      </c>
      <c r="AB134" s="311"/>
      <c r="AD134" s="21"/>
      <c r="AE134" s="311"/>
      <c r="AF134" s="50">
        <f t="shared" si="58"/>
        <v>0</v>
      </c>
      <c r="AG134" s="21"/>
      <c r="AH134" s="311"/>
      <c r="AI134" s="50">
        <f t="shared" si="59"/>
        <v>0</v>
      </c>
    </row>
    <row r="135" spans="3:35" x14ac:dyDescent="0.25">
      <c r="C135" s="32"/>
      <c r="H135" s="149" t="s">
        <v>758</v>
      </c>
      <c r="I135" s="161"/>
      <c r="J135" s="161"/>
      <c r="L135" s="162"/>
      <c r="M135" s="162"/>
      <c r="N135" s="467" t="s">
        <v>1328</v>
      </c>
      <c r="O135" s="172"/>
      <c r="P135" s="172"/>
      <c r="Q135" s="172"/>
      <c r="R135" s="172"/>
      <c r="S135" s="172"/>
      <c r="T135" s="172"/>
      <c r="U135" s="172"/>
      <c r="V135" s="172"/>
      <c r="W135" s="172"/>
      <c r="X135" s="172"/>
      <c r="Y135" s="172"/>
      <c r="Z135" s="172"/>
      <c r="AA135" s="172"/>
      <c r="AB135" s="311"/>
      <c r="AD135" s="172"/>
      <c r="AE135" s="311"/>
      <c r="AF135" s="468" t="str">
        <f t="shared" si="58"/>
        <v/>
      </c>
      <c r="AG135" s="172"/>
      <c r="AH135" s="311"/>
      <c r="AI135" s="468" t="str">
        <f t="shared" si="59"/>
        <v/>
      </c>
    </row>
    <row r="136" spans="3:35" x14ac:dyDescent="0.25">
      <c r="C136" s="32"/>
      <c r="H136" s="149">
        <v>561400</v>
      </c>
      <c r="I136" s="161"/>
      <c r="J136" s="161"/>
      <c r="L136" s="162">
        <v>561400</v>
      </c>
      <c r="M136" s="162"/>
      <c r="N136" s="162" t="s">
        <v>1329</v>
      </c>
      <c r="O136" s="21"/>
      <c r="P136" s="21"/>
      <c r="Q136" s="21"/>
      <c r="R136" s="21"/>
      <c r="S136" s="21"/>
      <c r="T136" s="21"/>
      <c r="U136" s="21"/>
      <c r="V136" s="21"/>
      <c r="W136" s="21"/>
      <c r="X136" s="21"/>
      <c r="Y136" s="21"/>
      <c r="Z136" s="21"/>
      <c r="AA136" s="21">
        <f>SUM(O136:Z136)</f>
        <v>0</v>
      </c>
      <c r="AB136" s="311"/>
      <c r="AD136" s="21"/>
      <c r="AE136" s="311"/>
      <c r="AF136" s="50">
        <f t="shared" si="58"/>
        <v>0</v>
      </c>
      <c r="AG136" s="21"/>
      <c r="AH136" s="311"/>
      <c r="AI136" s="50">
        <f t="shared" si="59"/>
        <v>0</v>
      </c>
    </row>
    <row r="137" spans="3:35" x14ac:dyDescent="0.25">
      <c r="C137" s="32"/>
      <c r="H137" s="149" t="s">
        <v>759</v>
      </c>
      <c r="I137" s="161"/>
      <c r="J137" s="161"/>
      <c r="L137" s="162"/>
      <c r="M137" s="162"/>
      <c r="N137" s="467" t="s">
        <v>1330</v>
      </c>
      <c r="O137" s="172"/>
      <c r="P137" s="172"/>
      <c r="Q137" s="172"/>
      <c r="R137" s="172"/>
      <c r="S137" s="172"/>
      <c r="T137" s="172"/>
      <c r="U137" s="172"/>
      <c r="V137" s="172"/>
      <c r="W137" s="172"/>
      <c r="X137" s="172"/>
      <c r="Y137" s="172"/>
      <c r="Z137" s="172"/>
      <c r="AA137" s="172"/>
      <c r="AB137" s="311"/>
      <c r="AD137" s="172"/>
      <c r="AE137" s="311"/>
      <c r="AF137" s="468" t="str">
        <f t="shared" si="58"/>
        <v/>
      </c>
      <c r="AG137" s="172"/>
      <c r="AH137" s="311"/>
      <c r="AI137" s="468" t="str">
        <f t="shared" si="59"/>
        <v/>
      </c>
    </row>
    <row r="138" spans="3:35" x14ac:dyDescent="0.25">
      <c r="H138" s="149">
        <v>561500</v>
      </c>
      <c r="I138" s="161"/>
      <c r="J138" s="161"/>
      <c r="L138" s="162">
        <v>561500</v>
      </c>
      <c r="M138" s="162"/>
      <c r="N138" s="162" t="s">
        <v>1331</v>
      </c>
      <c r="O138" s="21"/>
      <c r="P138" s="21"/>
      <c r="Q138" s="21"/>
      <c r="R138" s="21"/>
      <c r="S138" s="21"/>
      <c r="T138" s="21"/>
      <c r="U138" s="21"/>
      <c r="V138" s="21"/>
      <c r="W138" s="21"/>
      <c r="X138" s="21"/>
      <c r="Y138" s="21"/>
      <c r="Z138" s="21"/>
      <c r="AA138" s="21">
        <f>SUM(O138:Z138)</f>
        <v>0</v>
      </c>
      <c r="AB138" s="311"/>
      <c r="AD138" s="21"/>
      <c r="AE138" s="311"/>
      <c r="AF138" s="50">
        <f t="shared" si="58"/>
        <v>0</v>
      </c>
      <c r="AG138" s="21"/>
      <c r="AH138" s="311"/>
      <c r="AI138" s="50">
        <f t="shared" si="59"/>
        <v>0</v>
      </c>
    </row>
    <row r="139" spans="3:35" x14ac:dyDescent="0.25">
      <c r="C139" s="32"/>
      <c r="H139" s="149" t="s">
        <v>760</v>
      </c>
      <c r="I139" s="161"/>
      <c r="J139" s="161"/>
      <c r="L139" s="162"/>
      <c r="M139" s="162"/>
      <c r="N139" s="467" t="s">
        <v>1332</v>
      </c>
      <c r="O139" s="172"/>
      <c r="P139" s="172"/>
      <c r="Q139" s="172"/>
      <c r="R139" s="172"/>
      <c r="S139" s="172"/>
      <c r="T139" s="172"/>
      <c r="U139" s="172"/>
      <c r="V139" s="172"/>
      <c r="W139" s="172"/>
      <c r="X139" s="172"/>
      <c r="Y139" s="172"/>
      <c r="Z139" s="172"/>
      <c r="AA139" s="172"/>
      <c r="AB139" s="311"/>
      <c r="AD139" s="172"/>
      <c r="AE139" s="311"/>
      <c r="AF139" s="468" t="str">
        <f t="shared" si="58"/>
        <v/>
      </c>
      <c r="AG139" s="172"/>
      <c r="AH139" s="311"/>
      <c r="AI139" s="468" t="str">
        <f t="shared" si="59"/>
        <v/>
      </c>
    </row>
    <row r="140" spans="3:35" x14ac:dyDescent="0.25">
      <c r="C140" s="32"/>
      <c r="H140" s="149" t="s">
        <v>286</v>
      </c>
      <c r="I140" s="161"/>
      <c r="J140" s="161"/>
      <c r="L140" s="162"/>
      <c r="M140" s="162"/>
      <c r="N140" s="162" t="s">
        <v>1227</v>
      </c>
      <c r="O140" s="21"/>
      <c r="P140" s="21"/>
      <c r="Q140" s="21"/>
      <c r="R140" s="21"/>
      <c r="S140" s="21"/>
      <c r="T140" s="21"/>
      <c r="U140" s="21"/>
      <c r="V140" s="21"/>
      <c r="W140" s="21"/>
      <c r="X140" s="21"/>
      <c r="Y140" s="21"/>
      <c r="Z140" s="21"/>
      <c r="AA140" s="21">
        <f>SUM(O140:Z140)</f>
        <v>0</v>
      </c>
      <c r="AB140" s="311"/>
      <c r="AD140" s="21"/>
      <c r="AE140" s="311"/>
      <c r="AF140" s="50">
        <f t="shared" si="58"/>
        <v>0</v>
      </c>
      <c r="AG140" s="21"/>
      <c r="AH140" s="311"/>
      <c r="AI140" s="50">
        <f t="shared" si="59"/>
        <v>0</v>
      </c>
    </row>
    <row r="141" spans="3:35" x14ac:dyDescent="0.25">
      <c r="C141" s="32"/>
      <c r="H141" s="149"/>
      <c r="I141" s="161"/>
      <c r="J141" s="161"/>
      <c r="L141" s="162"/>
      <c r="M141" s="162"/>
      <c r="N141" s="467" t="s">
        <v>762</v>
      </c>
      <c r="O141" s="172" t="str">
        <f t="shared" ref="O141:AA141" si="60">IFERROR(O140/O85,"")</f>
        <v/>
      </c>
      <c r="P141" s="172" t="str">
        <f t="shared" si="60"/>
        <v/>
      </c>
      <c r="Q141" s="172" t="str">
        <f t="shared" si="60"/>
        <v/>
      </c>
      <c r="R141" s="172" t="str">
        <f t="shared" si="60"/>
        <v/>
      </c>
      <c r="S141" s="172" t="str">
        <f t="shared" si="60"/>
        <v/>
      </c>
      <c r="T141" s="172" t="str">
        <f t="shared" si="60"/>
        <v/>
      </c>
      <c r="U141" s="172" t="str">
        <f t="shared" si="60"/>
        <v/>
      </c>
      <c r="V141" s="172" t="str">
        <f t="shared" si="60"/>
        <v/>
      </c>
      <c r="W141" s="172" t="str">
        <f t="shared" si="60"/>
        <v/>
      </c>
      <c r="X141" s="172" t="str">
        <f t="shared" si="60"/>
        <v/>
      </c>
      <c r="Y141" s="172" t="str">
        <f t="shared" si="60"/>
        <v/>
      </c>
      <c r="Z141" s="172" t="str">
        <f t="shared" si="60"/>
        <v/>
      </c>
      <c r="AA141" s="172" t="str">
        <f t="shared" si="60"/>
        <v/>
      </c>
      <c r="AB141" s="311"/>
      <c r="AD141" s="172" t="str">
        <f>IFERROR(AD140/AD85,"")</f>
        <v/>
      </c>
      <c r="AE141" s="311"/>
      <c r="AF141" s="468" t="str">
        <f t="shared" si="58"/>
        <v/>
      </c>
      <c r="AG141" s="172" t="str">
        <f>IFERROR(AG140/AG85,"")</f>
        <v/>
      </c>
      <c r="AH141" s="311"/>
      <c r="AI141" s="468" t="str">
        <f t="shared" si="59"/>
        <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t="e">
        <f t="shared" ref="O145:AA145" si="63">IFERROR(O$85/O87,"")-O88</f>
        <v>#VALUE!</v>
      </c>
      <c r="P145" s="178" t="e">
        <f t="shared" si="63"/>
        <v>#VALUE!</v>
      </c>
      <c r="Q145" s="178" t="e">
        <f t="shared" si="63"/>
        <v>#VALUE!</v>
      </c>
      <c r="R145" s="178" t="e">
        <f t="shared" si="63"/>
        <v>#VALUE!</v>
      </c>
      <c r="S145" s="178" t="e">
        <f t="shared" si="63"/>
        <v>#VALUE!</v>
      </c>
      <c r="T145" s="178" t="e">
        <f t="shared" si="63"/>
        <v>#VALUE!</v>
      </c>
      <c r="U145" s="178" t="e">
        <f t="shared" si="63"/>
        <v>#VALUE!</v>
      </c>
      <c r="V145" s="178" t="e">
        <f t="shared" si="63"/>
        <v>#VALUE!</v>
      </c>
      <c r="W145" s="178" t="e">
        <f t="shared" si="63"/>
        <v>#VALUE!</v>
      </c>
      <c r="X145" s="178" t="e">
        <f t="shared" si="63"/>
        <v>#VALUE!</v>
      </c>
      <c r="Y145" s="178" t="e">
        <f t="shared" si="63"/>
        <v>#VALUE!</v>
      </c>
      <c r="Z145" s="178" t="e">
        <f t="shared" si="63"/>
        <v>#VALUE!</v>
      </c>
      <c r="AA145" s="178" t="e">
        <f t="shared" si="63"/>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46" priority="15">
      <formula>ROUND(O42,2)&lt;&gt;ROUND(O43,2)</formula>
    </cfRule>
  </conditionalFormatting>
  <conditionalFormatting sqref="N43">
    <cfRule type="expression" dxfId="145" priority="14">
      <formula>$G43&lt;&gt;0</formula>
    </cfRule>
  </conditionalFormatting>
  <conditionalFormatting sqref="O53:AA53 AD53 AF53:AG53">
    <cfRule type="expression" dxfId="144" priority="13">
      <formula>ROUND(O52,2)&lt;&gt;ROUND(O53,2)</formula>
    </cfRule>
  </conditionalFormatting>
  <conditionalFormatting sqref="N53">
    <cfRule type="expression" dxfId="143" priority="12">
      <formula>$G53&lt;&gt;0</formula>
    </cfRule>
  </conditionalFormatting>
  <conditionalFormatting sqref="O63:AA63 AD63 AF63:AG63">
    <cfRule type="expression" dxfId="142" priority="11">
      <formula>ROUND(O62,2)&lt;&gt;ROUND(O63,2)</formula>
    </cfRule>
  </conditionalFormatting>
  <conditionalFormatting sqref="N63">
    <cfRule type="expression" dxfId="141" priority="10">
      <formula>$G63&lt;&gt;0</formula>
    </cfRule>
  </conditionalFormatting>
  <conditionalFormatting sqref="O73:AA73 AD73 AF73:AG73">
    <cfRule type="expression" dxfId="140" priority="9">
      <formula>ROUND(O72,2)&lt;&gt;ROUND(O73,2)</formula>
    </cfRule>
  </conditionalFormatting>
  <conditionalFormatting sqref="N73">
    <cfRule type="expression" dxfId="139" priority="8">
      <formula>$G73&lt;&gt;0</formula>
    </cfRule>
  </conditionalFormatting>
  <conditionalFormatting sqref="N82">
    <cfRule type="expression" dxfId="138" priority="7">
      <formula>$G82&lt;&gt;0</formula>
    </cfRule>
  </conditionalFormatting>
  <conditionalFormatting sqref="AD82 AF82:AG82 O82:AA82">
    <cfRule type="expression" dxfId="137" priority="6">
      <formula>ROUND(O81,2)&lt;&gt;ROUND(O82,2)</formula>
    </cfRule>
  </conditionalFormatting>
  <conditionalFormatting sqref="AI43">
    <cfRule type="expression" dxfId="136" priority="5">
      <formula>ROUND(AI42,2)&lt;&gt;ROUND(AI43,2)</formula>
    </cfRule>
  </conditionalFormatting>
  <conditionalFormatting sqref="AI53">
    <cfRule type="expression" dxfId="135" priority="4">
      <formula>ROUND(AI52,2)&lt;&gt;ROUND(AI53,2)</formula>
    </cfRule>
  </conditionalFormatting>
  <conditionalFormatting sqref="AI63">
    <cfRule type="expression" dxfId="134" priority="3">
      <formula>ROUND(AI62,2)&lt;&gt;ROUND(AI63,2)</formula>
    </cfRule>
  </conditionalFormatting>
  <conditionalFormatting sqref="AI73">
    <cfRule type="expression" dxfId="133" priority="2">
      <formula>ROUND(AI72,2)&lt;&gt;ROUND(AI73,2)</formula>
    </cfRule>
  </conditionalFormatting>
  <conditionalFormatting sqref="AI82">
    <cfRule type="expression" dxfId="132" priority="1">
      <formula>ROUND(AI81,2)&lt;&gt;ROUND(AI82,2)</formula>
    </cfRule>
  </conditionalFormatting>
  <dataValidations count="2">
    <dataValidation type="list" allowBlank="1" sqref="B29" xr:uid="{00000000-0002-0000-2500-000000000000}">
      <formula1>"SELF,ALL,BAS,DEP,BASMEMBERS,MEMBERS,NOEXPAND,GDEP"</formula1>
    </dataValidation>
    <dataValidation type="list" allowBlank="1" sqref="B28" xr:uid="{00000000-0002-0000-2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4918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49186" r:id="rId5" name="FPMExcelClientSheetOptionstb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5">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734</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_xll.EVRNG(H35:H58)</f>
        <v>#NAME?</v>
      </c>
      <c r="G19" s="18" t="str">
        <f>$B$6</f>
        <v>D2146</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D2146</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v>617.95000000000005</v>
      </c>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v>9178.5</v>
      </c>
      <c r="P38" s="310">
        <v>13570</v>
      </c>
      <c r="Q38" s="310">
        <v>10503.8</v>
      </c>
      <c r="R38" s="310">
        <v>9350.4</v>
      </c>
      <c r="S38" s="310">
        <v>14245.5</v>
      </c>
      <c r="T38" s="310">
        <v>11915.5</v>
      </c>
      <c r="U38" s="310">
        <v>11762.81</v>
      </c>
      <c r="V38" s="310">
        <v>7958.11</v>
      </c>
      <c r="W38" s="310">
        <v>13464.5</v>
      </c>
      <c r="X38" s="310">
        <v>14619.4</v>
      </c>
      <c r="Y38" s="310">
        <v>9453.2000000000007</v>
      </c>
      <c r="Z38" s="310">
        <v>16635.27</v>
      </c>
      <c r="AA38" s="310" t="e">
        <f t="shared" ca="1" si="0"/>
        <v>#NAME?</v>
      </c>
      <c r="AB38" s="311" t="e">
        <f t="shared" ca="1" si="1"/>
        <v>#NAME?</v>
      </c>
      <c r="AC38" s="328"/>
      <c r="AD38" s="310">
        <v>160846.484643</v>
      </c>
      <c r="AE38" s="311" t="str">
        <f t="shared" ca="1" si="2"/>
        <v/>
      </c>
      <c r="AF38" s="312" t="e">
        <f t="shared" ca="1" si="3"/>
        <v>#NAME?</v>
      </c>
      <c r="AG38" s="310">
        <v>111349.46</v>
      </c>
      <c r="AH38" s="311" t="str">
        <f t="shared" ca="1"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9178.5</v>
      </c>
      <c r="P40" s="134">
        <v>13570</v>
      </c>
      <c r="Q40" s="134">
        <v>10503.8</v>
      </c>
      <c r="R40" s="134">
        <v>9350.4</v>
      </c>
      <c r="S40" s="134">
        <v>14245.5</v>
      </c>
      <c r="T40" s="134">
        <v>12533.45</v>
      </c>
      <c r="U40" s="134">
        <v>11762.81</v>
      </c>
      <c r="V40" s="134">
        <v>7958.11</v>
      </c>
      <c r="W40" s="134">
        <v>13464.5</v>
      </c>
      <c r="X40" s="134">
        <v>14619.4</v>
      </c>
      <c r="Y40" s="134">
        <v>9453.2000000000007</v>
      </c>
      <c r="Z40" s="134">
        <v>16635.27</v>
      </c>
      <c r="AA40" s="134" t="e">
        <f t="shared" ca="1" si="0"/>
        <v>#NAME?</v>
      </c>
      <c r="AB40" s="135" t="e">
        <f t="shared" ca="1" si="1"/>
        <v>#NAME?</v>
      </c>
      <c r="AC40" s="137"/>
      <c r="AD40" s="134">
        <v>160846.484643</v>
      </c>
      <c r="AE40" s="135" t="str">
        <f t="shared" ca="1" si="2"/>
        <v/>
      </c>
      <c r="AF40" s="136" t="e">
        <f t="shared" ca="1" si="3"/>
        <v>#NAME?</v>
      </c>
      <c r="AG40" s="134">
        <v>111349.46</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v>49</v>
      </c>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v>28308</v>
      </c>
      <c r="P45" s="310">
        <v>31420</v>
      </c>
      <c r="Q45" s="310">
        <v>28525</v>
      </c>
      <c r="R45" s="310">
        <v>21236.91</v>
      </c>
      <c r="S45" s="310">
        <v>20192</v>
      </c>
      <c r="T45" s="310">
        <v>24789.3</v>
      </c>
      <c r="U45" s="310">
        <v>19499.099999999999</v>
      </c>
      <c r="V45" s="310">
        <v>16036.8</v>
      </c>
      <c r="W45" s="310">
        <v>24496</v>
      </c>
      <c r="X45" s="310">
        <v>15118.2</v>
      </c>
      <c r="Y45" s="310">
        <v>21670.6</v>
      </c>
      <c r="Z45" s="310">
        <v>33113.83</v>
      </c>
      <c r="AA45" s="310" t="e">
        <f t="shared" ca="1" si="0"/>
        <v>#NAME?</v>
      </c>
      <c r="AB45" s="311" t="e">
        <f t="shared" ca="1" si="1"/>
        <v>#NAME?</v>
      </c>
      <c r="AC45" s="328"/>
      <c r="AD45" s="310">
        <v>443368.645357</v>
      </c>
      <c r="AE45" s="311" t="str">
        <f t="shared" ca="1" si="2"/>
        <v/>
      </c>
      <c r="AF45" s="312" t="e">
        <f t="shared" ca="1" si="3"/>
        <v>#NAME?</v>
      </c>
      <c r="AG45" s="310">
        <v>304142.31</v>
      </c>
      <c r="AH45" s="311" t="str">
        <f t="shared" ca="1"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28308</v>
      </c>
      <c r="P47" s="134">
        <v>31420</v>
      </c>
      <c r="Q47" s="134">
        <v>28525</v>
      </c>
      <c r="R47" s="134">
        <v>21236.91</v>
      </c>
      <c r="S47" s="134">
        <v>20192</v>
      </c>
      <c r="T47" s="134">
        <v>24789.3</v>
      </c>
      <c r="U47" s="134">
        <v>19499.099999999999</v>
      </c>
      <c r="V47" s="134">
        <v>16036.8</v>
      </c>
      <c r="W47" s="134">
        <v>24496</v>
      </c>
      <c r="X47" s="134">
        <v>15167.2</v>
      </c>
      <c r="Y47" s="134">
        <v>21670.6</v>
      </c>
      <c r="Z47" s="134">
        <v>33113.83</v>
      </c>
      <c r="AA47" s="134" t="e">
        <f t="shared" ca="1" si="0"/>
        <v>#NAME?</v>
      </c>
      <c r="AB47" s="135" t="e">
        <f t="shared" ca="1" si="1"/>
        <v>#NAME?</v>
      </c>
      <c r="AC47" s="137"/>
      <c r="AD47" s="134">
        <v>443368.645357</v>
      </c>
      <c r="AE47" s="135" t="str">
        <f t="shared" ca="1" si="2"/>
        <v/>
      </c>
      <c r="AF47" s="136" t="e">
        <f t="shared" ca="1" si="3"/>
        <v>#NAME?</v>
      </c>
      <c r="AG47" s="134">
        <v>304142.31</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v>-90.13</v>
      </c>
      <c r="P48" s="47">
        <v>-112.43</v>
      </c>
      <c r="Q48" s="47"/>
      <c r="R48" s="47"/>
      <c r="S48" s="47"/>
      <c r="T48" s="47"/>
      <c r="U48" s="47"/>
      <c r="V48" s="47"/>
      <c r="W48" s="47"/>
      <c r="X48" s="47">
        <v>-122.28</v>
      </c>
      <c r="Y48" s="47">
        <v>-48.77</v>
      </c>
      <c r="Z48" s="47"/>
      <c r="AA48" s="47" t="e">
        <f t="shared" ca="1" si="0"/>
        <v>#NAME?</v>
      </c>
      <c r="AB48" s="48" t="e">
        <f t="shared" ca="1" si="1"/>
        <v>#NAME?</v>
      </c>
      <c r="AC48" s="54"/>
      <c r="AD48" s="47"/>
      <c r="AE48" s="48" t="str">
        <f t="shared" si="2"/>
        <v/>
      </c>
      <c r="AF48" s="150" t="e">
        <f t="shared" ca="1" si="3"/>
        <v>#NAME?</v>
      </c>
      <c r="AG48" s="47">
        <v>-258.89</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37396.370000000003</v>
      </c>
      <c r="P49" s="134">
        <v>44877.57</v>
      </c>
      <c r="Q49" s="134">
        <v>39028.800000000003</v>
      </c>
      <c r="R49" s="134">
        <v>30587.31</v>
      </c>
      <c r="S49" s="134">
        <v>34437.5</v>
      </c>
      <c r="T49" s="134">
        <v>37322.75</v>
      </c>
      <c r="U49" s="134">
        <v>31261.91</v>
      </c>
      <c r="V49" s="134">
        <v>23994.91</v>
      </c>
      <c r="W49" s="134">
        <v>37960.5</v>
      </c>
      <c r="X49" s="134">
        <v>29664.32</v>
      </c>
      <c r="Y49" s="134">
        <v>31075.03</v>
      </c>
      <c r="Z49" s="134">
        <v>49749.1</v>
      </c>
      <c r="AA49" s="134" t="e">
        <f t="shared" ca="1" si="0"/>
        <v>#NAME?</v>
      </c>
      <c r="AB49" s="135" t="e">
        <f t="shared" ca="1" si="1"/>
        <v>#NAME?</v>
      </c>
      <c r="AC49" s="137"/>
      <c r="AD49" s="134">
        <v>604215.13</v>
      </c>
      <c r="AE49" s="135" t="str">
        <f t="shared" ca="1" si="2"/>
        <v/>
      </c>
      <c r="AF49" s="136" t="e">
        <f t="shared" ca="1" si="3"/>
        <v>#NAME?</v>
      </c>
      <c r="AG49" s="134">
        <v>415232.88</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6690.06</v>
      </c>
      <c r="P54" s="310">
        <v>8079.48</v>
      </c>
      <c r="Q54" s="310">
        <v>7071.12</v>
      </c>
      <c r="R54" s="310">
        <v>5475.49</v>
      </c>
      <c r="S54" s="310">
        <v>6532</v>
      </c>
      <c r="T54" s="310">
        <v>6530.58</v>
      </c>
      <c r="U54" s="310">
        <v>5592.78</v>
      </c>
      <c r="V54" s="310">
        <v>4240.8</v>
      </c>
      <c r="W54" s="310">
        <v>6875.64</v>
      </c>
      <c r="X54" s="310">
        <v>5479.56</v>
      </c>
      <c r="Y54" s="310">
        <v>5631</v>
      </c>
      <c r="Z54" s="310">
        <v>9030.56</v>
      </c>
      <c r="AA54" s="310" t="e">
        <f t="shared" ca="1" si="0"/>
        <v>#NAME?</v>
      </c>
      <c r="AB54" s="311" t="e">
        <f t="shared" ca="1" si="1"/>
        <v>#NAME?</v>
      </c>
      <c r="AC54" s="328"/>
      <c r="AD54" s="310">
        <v>108758.7234</v>
      </c>
      <c r="AE54" s="311" t="str">
        <f t="shared" ca="1" si="2"/>
        <v/>
      </c>
      <c r="AF54" s="312" t="e">
        <f t="shared" ca="1" si="3"/>
        <v>#NAME?</v>
      </c>
      <c r="AG54" s="310">
        <v>75181.56</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70</v>
      </c>
      <c r="P55" s="310">
        <v>70</v>
      </c>
      <c r="Q55" s="310">
        <v>90</v>
      </c>
      <c r="R55" s="310">
        <v>15</v>
      </c>
      <c r="S55" s="310">
        <v>50</v>
      </c>
      <c r="T55" s="310">
        <v>70</v>
      </c>
      <c r="U55" s="310">
        <v>80</v>
      </c>
      <c r="V55" s="310">
        <v>62</v>
      </c>
      <c r="W55" s="310">
        <v>232</v>
      </c>
      <c r="X55" s="310">
        <v>260</v>
      </c>
      <c r="Y55" s="310">
        <v>100</v>
      </c>
      <c r="Z55" s="310">
        <v>145</v>
      </c>
      <c r="AA55" s="310" t="e">
        <f t="shared" ca="1" si="0"/>
        <v>#NAME?</v>
      </c>
      <c r="AB55" s="311" t="e">
        <f t="shared" ca="1" si="1"/>
        <v>#NAME?</v>
      </c>
      <c r="AC55" s="328"/>
      <c r="AD55" s="310"/>
      <c r="AE55" s="311" t="str">
        <f t="shared" si="2"/>
        <v/>
      </c>
      <c r="AF55" s="312" t="e">
        <f t="shared" ca="1" si="3"/>
        <v>#NAME?</v>
      </c>
      <c r="AG55" s="310">
        <v>951.16</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6760.06</v>
      </c>
      <c r="P57" s="36">
        <v>8149.48</v>
      </c>
      <c r="Q57" s="36">
        <v>7161.12</v>
      </c>
      <c r="R57" s="36">
        <v>5490.49</v>
      </c>
      <c r="S57" s="36">
        <v>6582</v>
      </c>
      <c r="T57" s="36">
        <v>6600.58</v>
      </c>
      <c r="U57" s="36">
        <v>5672.78</v>
      </c>
      <c r="V57" s="36">
        <v>4302.8</v>
      </c>
      <c r="W57" s="36">
        <v>7107.64</v>
      </c>
      <c r="X57" s="36">
        <v>5739.56</v>
      </c>
      <c r="Y57" s="36">
        <v>5731</v>
      </c>
      <c r="Z57" s="36">
        <v>9175.56</v>
      </c>
      <c r="AA57" s="36" t="e">
        <f t="shared" ca="1" si="0"/>
        <v>#NAME?</v>
      </c>
      <c r="AB57" s="37" t="e">
        <f t="shared" ca="1" si="1"/>
        <v>#NAME?</v>
      </c>
      <c r="AC57" s="35"/>
      <c r="AD57" s="36">
        <v>108758.7234</v>
      </c>
      <c r="AE57" s="37" t="str">
        <f t="shared" ca="1" si="2"/>
        <v/>
      </c>
      <c r="AF57" s="58" t="e">
        <f t="shared" ca="1" si="3"/>
        <v>#NAME?</v>
      </c>
      <c r="AG57" s="36">
        <v>76132.72</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44156.43</v>
      </c>
      <c r="P58" s="134">
        <v>53027.05</v>
      </c>
      <c r="Q58" s="134">
        <v>46189.919999999998</v>
      </c>
      <c r="R58" s="134">
        <v>36077.800000000003</v>
      </c>
      <c r="S58" s="134">
        <v>41019.5</v>
      </c>
      <c r="T58" s="134">
        <v>43923.33</v>
      </c>
      <c r="U58" s="134">
        <v>36934.69</v>
      </c>
      <c r="V58" s="134">
        <v>28297.71</v>
      </c>
      <c r="W58" s="134">
        <v>45068.14</v>
      </c>
      <c r="X58" s="134">
        <v>35403.879999999997</v>
      </c>
      <c r="Y58" s="134">
        <v>36806.03</v>
      </c>
      <c r="Z58" s="134">
        <v>58924.66</v>
      </c>
      <c r="AA58" s="134" t="e">
        <f t="shared" ca="1" si="0"/>
        <v>#NAME?</v>
      </c>
      <c r="AB58" s="135" t="e">
        <f t="shared" ca="1" si="1"/>
        <v>#NAME?</v>
      </c>
      <c r="AC58" s="137"/>
      <c r="AD58" s="134">
        <v>712973.85340000002</v>
      </c>
      <c r="AE58" s="135" t="str">
        <f t="shared" ca="1" si="2"/>
        <v/>
      </c>
      <c r="AF58" s="136" t="e">
        <f t="shared" ca="1" si="3"/>
        <v>#NAME?</v>
      </c>
      <c r="AG58" s="134">
        <v>491365.6</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2570.12</v>
      </c>
      <c r="P62" s="310">
        <v>3708.15</v>
      </c>
      <c r="Q62" s="310">
        <v>2555.1999999999998</v>
      </c>
      <c r="R62" s="310">
        <v>2254.9</v>
      </c>
      <c r="S62" s="310">
        <v>3461.9</v>
      </c>
      <c r="T62" s="310">
        <v>2001.14</v>
      </c>
      <c r="U62" s="310">
        <v>2843.35</v>
      </c>
      <c r="V62" s="310">
        <v>1919.32</v>
      </c>
      <c r="W62" s="310">
        <v>3295.36</v>
      </c>
      <c r="X62" s="310">
        <v>3626.23</v>
      </c>
      <c r="Y62" s="310">
        <v>2268.96</v>
      </c>
      <c r="Z62" s="310">
        <v>4083.23</v>
      </c>
      <c r="AA62" s="310" t="e">
        <f t="shared" ref="AA62:AA70" ca="1" si="12">IF($I62="B1","",SUM(O62:Z62))</f>
        <v>#NAME?</v>
      </c>
      <c r="AB62" s="311" t="e">
        <f ca="1">IF(AA62=0,"",IFERROR(AA62/_xll.EVGTS($B$1,1,_xll.EVPRO($B$1,$H62,"COSBASIS"),$B$3,$B$5,$B$6,$B$7,$B$9,AA$16,AA$17,AA$11),""))</f>
        <v>#NAME?</v>
      </c>
      <c r="AC62" s="328"/>
      <c r="AD62" s="310">
        <v>46967.19</v>
      </c>
      <c r="AE62" s="311" t="str">
        <f ca="1">IF(AD62=0,"",IFERROR(AD62/_xll.EVGTS($B$1,1,_xll.EVPRO($B$1,$H62,"COSBASIS"),$B$3,$B$5,$B$6,$B$7,$B$9,AD$16,AD$17,AD$18),""))</f>
        <v/>
      </c>
      <c r="AF62" s="312" t="e">
        <f t="shared" ref="AF62:AF70" ca="1" si="13">IF(AND($AA62="",AD62=""),"",$AA62-AD62)</f>
        <v>#NAME?</v>
      </c>
      <c r="AG62" s="310">
        <v>32610.79</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6568.79</v>
      </c>
      <c r="P63" s="324">
        <v>7367.21</v>
      </c>
      <c r="Q63" s="324">
        <v>5560.71</v>
      </c>
      <c r="R63" s="324">
        <v>4134.5</v>
      </c>
      <c r="S63" s="324">
        <v>4090.3</v>
      </c>
      <c r="T63" s="324">
        <v>4823.75</v>
      </c>
      <c r="U63" s="324">
        <v>3806.28</v>
      </c>
      <c r="V63" s="324">
        <v>3124.21</v>
      </c>
      <c r="W63" s="324">
        <v>4784.8599999999997</v>
      </c>
      <c r="X63" s="324">
        <v>2937.62</v>
      </c>
      <c r="Y63" s="324">
        <v>4209.42</v>
      </c>
      <c r="Z63" s="324">
        <v>6447.72</v>
      </c>
      <c r="AA63" s="324" t="e">
        <f t="shared" ca="1" si="12"/>
        <v>#NAME?</v>
      </c>
      <c r="AB63" s="325" t="e">
        <f ca="1">IF(AA63=0,"",IFERROR(AA63/_xll.EVGTS($B$1,1,_xll.EVPRO($B$1,$H63,"COSBASIS"),$B$3,$B$5,$B$6,$B$7,$B$9,AA$16,AA$17,AA$11),""))</f>
        <v>#NAME?</v>
      </c>
      <c r="AC63" s="290"/>
      <c r="AD63" s="324">
        <v>102795.89</v>
      </c>
      <c r="AE63" s="325" t="str">
        <f ca="1">IF(AD63=0,"",IFERROR(AD63/_xll.EVGTS($B$1,1,_xll.EVPRO($B$1,$H63,"COSBASIS"),$B$3,$B$5,$B$6,$B$7,$B$9,AD$16,AD$17,AD$18),""))</f>
        <v/>
      </c>
      <c r="AF63" s="326" t="e">
        <f t="shared" ca="1" si="13"/>
        <v>#NAME?</v>
      </c>
      <c r="AG63" s="324">
        <v>72959.520000000004</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9138.91</v>
      </c>
      <c r="P64" s="134">
        <v>11075.36</v>
      </c>
      <c r="Q64" s="134">
        <v>8115.91</v>
      </c>
      <c r="R64" s="134">
        <v>6389.4</v>
      </c>
      <c r="S64" s="134">
        <v>7552.2</v>
      </c>
      <c r="T64" s="134">
        <v>6824.89</v>
      </c>
      <c r="U64" s="134">
        <v>6649.63</v>
      </c>
      <c r="V64" s="134">
        <v>5043.53</v>
      </c>
      <c r="W64" s="134">
        <v>8080.22</v>
      </c>
      <c r="X64" s="134">
        <v>6563.85</v>
      </c>
      <c r="Y64" s="134">
        <v>6478.38</v>
      </c>
      <c r="Z64" s="134">
        <v>10530.95</v>
      </c>
      <c r="AA64" s="134" t="e">
        <f t="shared" ca="1" si="12"/>
        <v>#NAME?</v>
      </c>
      <c r="AB64" s="135" t="e">
        <f ca="1">IF(AA64=0,"",IFERROR(AA64/_xll.EVGTS($B$1,1,_xll.EVPRO($B$1,$H64,"COSBASIS"),$B$3,$B$5,$B$6,$B$7,$B$9,AA$16,AA$17,AA$11),""))</f>
        <v>#NAME?</v>
      </c>
      <c r="AC64" s="137"/>
      <c r="AD64" s="134">
        <v>149763.07999999999</v>
      </c>
      <c r="AE64" s="135" t="str">
        <f ca="1">IF(AD64=0,"",IFERROR(AD64/_xll.EVGTS($B$1,1,_xll.EVPRO($B$1,$H64,"COSBASIS"),$B$3,$B$5,$B$6,$B$7,$B$9,AD$16,AD$17,AD$18),""))</f>
        <v/>
      </c>
      <c r="AF64" s="136" t="e">
        <f t="shared" ca="1" si="13"/>
        <v>#NAME?</v>
      </c>
      <c r="AG64" s="134">
        <v>105570.31</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9138.91</v>
      </c>
      <c r="P70" s="134">
        <v>11075.36</v>
      </c>
      <c r="Q70" s="134">
        <v>8115.91</v>
      </c>
      <c r="R70" s="134">
        <v>6389.4</v>
      </c>
      <c r="S70" s="134">
        <v>7552.2</v>
      </c>
      <c r="T70" s="134">
        <v>6824.89</v>
      </c>
      <c r="U70" s="134">
        <v>6649.63</v>
      </c>
      <c r="V70" s="134">
        <v>5043.53</v>
      </c>
      <c r="W70" s="134">
        <v>8080.22</v>
      </c>
      <c r="X70" s="134">
        <v>6563.85</v>
      </c>
      <c r="Y70" s="134">
        <v>6478.38</v>
      </c>
      <c r="Z70" s="134">
        <v>10530.95</v>
      </c>
      <c r="AA70" s="134" t="e">
        <f t="shared" ca="1" si="12"/>
        <v>#NAME?</v>
      </c>
      <c r="AB70" s="135" t="e">
        <f ca="1">IF(AA70=0,"",IFERROR(AA70/_xll.EVGTS($B$1,1,_xll.EVPRO($B$1,$H70,"COSBASIS"),$B$3,$B$5,$B$6,$B$7,$B$9,AA$16,AA$17,AA$11),""))</f>
        <v>#NAME?</v>
      </c>
      <c r="AC70" s="137"/>
      <c r="AD70" s="134">
        <v>149763.07999999999</v>
      </c>
      <c r="AE70" s="135" t="str">
        <f ca="1">IF(AD70=0,"",IFERROR(AD70/_xll.EVGTS($B$1,1,_xll.EVPRO($B$1,$H70,"COSBASIS"),$B$3,$B$5,$B$6,$B$7,$B$9,AD$16,AD$17,AD$18),""))</f>
        <v/>
      </c>
      <c r="AF70" s="136" t="e">
        <f t="shared" ca="1" si="13"/>
        <v>#NAME?</v>
      </c>
      <c r="AG70" s="134">
        <v>105570.31</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c r="AJ71" s="420">
        <f ca="1">IFERROR(AA71/AA$20,0)</f>
        <v>0</v>
      </c>
      <c r="AK71" s="421">
        <f ca="1">IFERROR(AD71/AD$20,0)</f>
        <v>0</v>
      </c>
      <c r="AL71" s="422">
        <f ca="1">IFERROR(AG71/AG$20,0)</f>
        <v>0</v>
      </c>
      <c r="AM71" s="423">
        <f>+IFERROR(ROUND(($AB71-AE71)*100,2)&amp;" pts.",0)</f>
        <v>0</v>
      </c>
      <c r="AN71" s="424">
        <f>+IFERROR(ROUND(($AB71-AH71)*100,2)&amp;" pts.",0)</f>
        <v>0</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35017.520000000004</v>
      </c>
      <c r="P72" s="164">
        <f t="shared" ref="P72:Y72" si="22">SUMIF($H$35:$H$70,"400000",P35:P70)-SUMIF($H$35:$H$70,"500001",P35:P70)</f>
        <v>41951.69</v>
      </c>
      <c r="Q72" s="164">
        <f t="shared" si="22"/>
        <v>38074.009999999995</v>
      </c>
      <c r="R72" s="164">
        <f t="shared" si="22"/>
        <v>29688.400000000001</v>
      </c>
      <c r="S72" s="164">
        <f t="shared" si="22"/>
        <v>33467.300000000003</v>
      </c>
      <c r="T72" s="164">
        <f t="shared" si="22"/>
        <v>37098.44</v>
      </c>
      <c r="U72" s="164">
        <f t="shared" si="22"/>
        <v>30285.06</v>
      </c>
      <c r="V72" s="164">
        <f t="shared" si="22"/>
        <v>23254.18</v>
      </c>
      <c r="W72" s="164">
        <f t="shared" si="22"/>
        <v>36987.919999999998</v>
      </c>
      <c r="X72" s="164">
        <f t="shared" si="22"/>
        <v>28840.03</v>
      </c>
      <c r="Y72" s="164">
        <f t="shared" si="22"/>
        <v>30327.649999999998</v>
      </c>
      <c r="Z72" s="164">
        <f>SUMIF($H$35:$H$70,"400000",Z35:Z70)-SUMIF($H$35:$H$70,"500001",Z35:Z70)</f>
        <v>48393.710000000006</v>
      </c>
      <c r="AA72" s="134" t="e">
        <f ca="1">IF($I72="B1","",SUM(O72:Z72))</f>
        <v>#NAME?</v>
      </c>
      <c r="AB72" s="135" t="e">
        <f ca="1">IF(AA72=0,"",IFERROR(AA72/AA$19,""))</f>
        <v>#NAME?</v>
      </c>
      <c r="AD72" s="164">
        <f>SUMIF($H$35:$H$70,"400000",AD35:AD70)-SUMIF($H$35:$H$70,"500001",AD35:AD70)</f>
        <v>563210.77340000006</v>
      </c>
      <c r="AE72" s="135" t="str">
        <f ca="1">IF(AD72=0,"",IFERROR(AD72/AD$19,""))</f>
        <v/>
      </c>
      <c r="AF72" s="165" t="e">
        <f t="shared" ca="1" si="21"/>
        <v>#NAME?</v>
      </c>
      <c r="AG72" s="164">
        <f>SUMIF($H$35:$H$70,"400000",AG35:AG70)-SUMIF($H$35:$H$70,"500001",AG35:AG70)</f>
        <v>385795.29</v>
      </c>
      <c r="AH72" s="135" t="str">
        <f ca="1">IF(AG72=0,"",IFERROR(AG72/AG$19,""))</f>
        <v/>
      </c>
      <c r="AI72" s="165" t="e">
        <f ca="1">IF(AND($AA72="",AG72=""),"",$AA72-AG72)</f>
        <v>#NAME?</v>
      </c>
      <c r="AJ72" s="392">
        <f ca="1">IFERROR(AA72/AA$20,0)</f>
        <v>0</v>
      </c>
      <c r="AK72" s="393">
        <f ca="1">IFERROR(AD72/AD$20,0)</f>
        <v>0</v>
      </c>
      <c r="AL72" s="394">
        <f ca="1">IFERROR(AG72/AG$20,0)</f>
        <v>0</v>
      </c>
      <c r="AM72" s="395">
        <f ca="1">+IFERROR(ROUND(($AB72-AE72)*100,2)&amp;" pts.",0)</f>
        <v>0</v>
      </c>
      <c r="AN72" s="437">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t="shared" ref="AA76:AA87" ca="1" si="23">IF($I76="B1","",SUM(O76:Z76))</f>
        <v>#NAME?</v>
      </c>
      <c r="AB76" s="39" t="e">
        <f t="shared" ref="AB76:AB87" ca="1" si="24">IF(AA76=0,"",IFERROR(AA76/AA$19,""))</f>
        <v>#NAME?</v>
      </c>
      <c r="AD76" s="38"/>
      <c r="AE76" s="39" t="str">
        <f t="shared" ref="AE76:AE87" si="25">IF(AD76=0,"",IFERROR(AD76/AD$19,""))</f>
        <v/>
      </c>
      <c r="AF76" s="132" t="e">
        <f t="shared" ref="AF76:AF87" ca="1" si="26">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49"/>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t="shared" ca="1" si="23"/>
        <v>#NAME?</v>
      </c>
      <c r="AB77" s="39" t="e">
        <f t="shared" ca="1" si="24"/>
        <v>#NAME?</v>
      </c>
      <c r="AD77" s="38"/>
      <c r="AE77" s="39" t="str">
        <f t="shared" si="25"/>
        <v/>
      </c>
      <c r="AF77" s="132" t="e">
        <f t="shared" ca="1" si="26"/>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t="shared" ca="1" si="23"/>
        <v>#NAME?</v>
      </c>
      <c r="AB78" s="39" t="e">
        <f t="shared" ca="1" si="24"/>
        <v>#NAME?</v>
      </c>
      <c r="AD78" s="38"/>
      <c r="AE78" s="39" t="str">
        <f t="shared" si="25"/>
        <v/>
      </c>
      <c r="AF78" s="132" t="e">
        <f t="shared" ca="1" si="26"/>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x14ac:dyDescent="0.25">
      <c r="C79" s="32"/>
      <c r="H79" s="15" t="s">
        <v>863</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v>4415.6000000000004</v>
      </c>
      <c r="P79" s="47">
        <v>3396.32</v>
      </c>
      <c r="Q79" s="47">
        <v>3122.32</v>
      </c>
      <c r="R79" s="47">
        <v>2886.24</v>
      </c>
      <c r="S79" s="47">
        <v>2755.04</v>
      </c>
      <c r="T79" s="47"/>
      <c r="U79" s="47">
        <v>2500.96</v>
      </c>
      <c r="V79" s="47">
        <v>2263.84</v>
      </c>
      <c r="W79" s="47">
        <v>3036.88</v>
      </c>
      <c r="X79" s="47">
        <v>2832.32</v>
      </c>
      <c r="Y79" s="47">
        <v>2944.48</v>
      </c>
      <c r="Z79" s="47">
        <v>4714</v>
      </c>
      <c r="AA79" s="324" t="e">
        <f t="shared" ca="1" si="23"/>
        <v>#NAME?</v>
      </c>
      <c r="AB79" s="48" t="e">
        <f t="shared" ca="1" si="24"/>
        <v>#NAME?</v>
      </c>
      <c r="AD79" s="47">
        <v>68760</v>
      </c>
      <c r="AE79" s="48" t="str">
        <f t="shared" ca="1" si="25"/>
        <v/>
      </c>
      <c r="AF79" s="150" t="e">
        <f t="shared" ca="1" si="26"/>
        <v>#NAME?</v>
      </c>
      <c r="AG79" s="47">
        <v>40237.949999999997</v>
      </c>
      <c r="AH79" s="48" t="str">
        <f ca="1">IF(AG79=0,"",IFERROR(AG79/AG$19,""))</f>
        <v/>
      </c>
      <c r="AI79" s="150" t="e">
        <f ca="1">IF(AND($AA79="",AG79=""),"",$AA79-AG79)</f>
        <v>#NAME?</v>
      </c>
      <c r="AJ79" s="409">
        <f ca="1">IFERROR(AA79/AA$20,0)</f>
        <v>0</v>
      </c>
      <c r="AK79" s="410">
        <f ca="1">IFERROR(AD79/AD$20,0)</f>
        <v>0</v>
      </c>
      <c r="AL79" s="411">
        <f ca="1">IFERROR(AG79/AG$20,0)</f>
        <v>0</v>
      </c>
      <c r="AM79" s="412">
        <f ca="1">+IFERROR(ROUND(($AB79-AE79)*100,2)&amp;" pts.",0)</f>
        <v>0</v>
      </c>
      <c r="AN79" s="413">
        <f ca="1">+IFERROR(ROUND(($AB79-AH79)*100,2)&amp;" pts.",0)</f>
        <v>0</v>
      </c>
    </row>
    <row r="80" spans="1:40" x14ac:dyDescent="0.25">
      <c r="A80" s="4" t="e">
        <f ca="1">_xll.EVDRE($B$1,A83:B90,A93:B99)</f>
        <v>#NAME?</v>
      </c>
      <c r="H80" s="15" t="s">
        <v>848</v>
      </c>
      <c r="I80" s="479" t="e">
        <f ca="1">_xll.EVPRO($B$1,$H80,"STYLE")</f>
        <v>#NAME?</v>
      </c>
      <c r="J80" s="479" t="e">
        <f ca="1">_xll.EVPRO($B$1,$H80,"CALC")</f>
        <v>#NAME?</v>
      </c>
      <c r="K80" s="480" t="e">
        <f t="shared" ref="K80:K87" ca="1" si="27">IF(AND(I80&gt;="T3"),"&gt;","")</f>
        <v>#NAME?</v>
      </c>
      <c r="L80" s="170" t="e">
        <f ca="1">_xll.EVPRO($B$1,H80,"JDEID")</f>
        <v>#NAME?</v>
      </c>
      <c r="M80" s="170" t="e">
        <f ca="1">IF(AND(I80="N",J80="N"),_xll.EVPRO($B$1,H80,"PSFTID"),"")</f>
        <v>#NAME?</v>
      </c>
      <c r="N80" s="170" t="e">
        <f ca="1">IF(_xll.EVDES(H80,$B$1)="#NODATA","",_xll.EVDES(H80,$B$1))</f>
        <v>#NAME?</v>
      </c>
      <c r="O80" s="134">
        <v>4415.6000000000004</v>
      </c>
      <c r="P80" s="134">
        <v>3396.32</v>
      </c>
      <c r="Q80" s="134">
        <v>3122.32</v>
      </c>
      <c r="R80" s="134">
        <v>2886.24</v>
      </c>
      <c r="S80" s="134">
        <v>2755.04</v>
      </c>
      <c r="T80" s="134"/>
      <c r="U80" s="134">
        <v>2500.96</v>
      </c>
      <c r="V80" s="134">
        <v>2263.84</v>
      </c>
      <c r="W80" s="134">
        <v>3036.88</v>
      </c>
      <c r="X80" s="134">
        <v>2832.32</v>
      </c>
      <c r="Y80" s="134">
        <v>2944.48</v>
      </c>
      <c r="Z80" s="134">
        <v>4714</v>
      </c>
      <c r="AA80" s="134" t="e">
        <f t="shared" ca="1" si="23"/>
        <v>#NAME?</v>
      </c>
      <c r="AB80" s="135" t="e">
        <f t="shared" ca="1" si="24"/>
        <v>#NAME?</v>
      </c>
      <c r="AC80" s="137"/>
      <c r="AD80" s="134">
        <v>68760</v>
      </c>
      <c r="AE80" s="135" t="str">
        <f t="shared" ca="1" si="25"/>
        <v/>
      </c>
      <c r="AF80" s="136" t="e">
        <f t="shared" ca="1" si="26"/>
        <v>#NAME?</v>
      </c>
      <c r="AG80" s="134">
        <v>40237.949999999997</v>
      </c>
      <c r="AH80" s="135" t="str">
        <f t="shared" ref="AH80:AH87" ca="1" si="28">IF(AG80=0,"",IFERROR(AG80/AG$19,""))</f>
        <v/>
      </c>
      <c r="AI80" s="136" t="e">
        <f t="shared" ref="AI80:AI87" ca="1" si="29">IF(AND($AA80="",AG80=""),"",$AA80-AG80)</f>
        <v>#NAME?</v>
      </c>
      <c r="AJ80" s="360">
        <f t="shared" ref="AJ80:AJ87" ca="1" si="30">IFERROR(AA80/AA$20,0)</f>
        <v>0</v>
      </c>
      <c r="AK80" s="361">
        <f t="shared" ref="AK80:AK87" ca="1" si="31">IFERROR(AD80/AD$20,0)</f>
        <v>0</v>
      </c>
      <c r="AL80" s="363">
        <f t="shared" ref="AL80:AL87" ca="1" si="32">IFERROR(AG80/AG$20,0)</f>
        <v>0</v>
      </c>
      <c r="AM80" s="405">
        <f t="shared" ref="AM80:AM87" ca="1" si="33">+IFERROR(ROUND(($AB80-AE80)*100,2)&amp;" pts.",0)</f>
        <v>0</v>
      </c>
      <c r="AN80" s="406">
        <f t="shared" ref="AN80:AN87" ca="1" si="34">+IFERROR(ROUND(($AB80-AH80)*100,2)&amp;" pts.",0)</f>
        <v>0</v>
      </c>
    </row>
    <row r="81" spans="1:40" x14ac:dyDescent="0.25">
      <c r="H81" s="15" t="s">
        <v>864</v>
      </c>
      <c r="I81" s="161" t="e">
        <f ca="1">_xll.EVPRO($B$1,$H81,"STYLE")</f>
        <v>#NAME?</v>
      </c>
      <c r="J81" s="161" t="e">
        <f ca="1">_xll.EVPRO($B$1,$H81,"CALC")</f>
        <v>#NAME?</v>
      </c>
      <c r="K81" s="68" t="e">
        <f t="shared" ca="1" si="27"/>
        <v>#NAME?</v>
      </c>
      <c r="L81" s="162" t="e">
        <f ca="1">_xll.EVPRO($B$1,H81,"JDEID")</f>
        <v>#NAME?</v>
      </c>
      <c r="M81" s="162" t="e">
        <f ca="1">IF(AND(I81="N",J81="N"),_xll.EVPRO($B$1,H81,"PSFTID"),"")</f>
        <v>#NAME?</v>
      </c>
      <c r="N81" s="162" t="e">
        <f ca="1">IF(_xll.EVDES(H81,$B$1)="#NODATA","",_xll.EVDES(H81,$B$1))</f>
        <v>#NAME?</v>
      </c>
      <c r="O81" s="47">
        <v>6690.06</v>
      </c>
      <c r="P81" s="47">
        <v>8079.48</v>
      </c>
      <c r="Q81" s="47">
        <v>7071.12</v>
      </c>
      <c r="R81" s="47">
        <v>5475.49</v>
      </c>
      <c r="S81" s="47">
        <v>6532</v>
      </c>
      <c r="T81" s="47">
        <v>6530.58</v>
      </c>
      <c r="U81" s="47">
        <v>5592.78</v>
      </c>
      <c r="V81" s="47">
        <v>4240.8</v>
      </c>
      <c r="W81" s="47">
        <v>6875.64</v>
      </c>
      <c r="X81" s="47">
        <v>5479.34</v>
      </c>
      <c r="Y81" s="47">
        <v>5631</v>
      </c>
      <c r="Z81" s="47">
        <v>9030.56</v>
      </c>
      <c r="AA81" s="47" t="e">
        <f t="shared" ca="1" si="23"/>
        <v>#NAME?</v>
      </c>
      <c r="AB81" s="48" t="e">
        <f t="shared" ca="1" si="24"/>
        <v>#NAME?</v>
      </c>
      <c r="AD81" s="47">
        <v>108758.7234</v>
      </c>
      <c r="AE81" s="48" t="str">
        <f t="shared" ca="1" si="25"/>
        <v/>
      </c>
      <c r="AF81" s="150" t="e">
        <f t="shared" ca="1" si="26"/>
        <v>#NAME?</v>
      </c>
      <c r="AG81" s="47">
        <v>75181.62</v>
      </c>
      <c r="AH81" s="48" t="str">
        <f t="shared" ca="1" si="28"/>
        <v/>
      </c>
      <c r="AI81" s="150" t="e">
        <f t="shared" ca="1" si="29"/>
        <v>#NAME?</v>
      </c>
      <c r="AJ81" s="420">
        <f t="shared" ca="1" si="30"/>
        <v>0</v>
      </c>
      <c r="AK81" s="421">
        <f t="shared" ca="1" si="31"/>
        <v>0</v>
      </c>
      <c r="AL81" s="422">
        <f t="shared" ca="1" si="32"/>
        <v>0</v>
      </c>
      <c r="AM81" s="423">
        <f t="shared" ca="1" si="33"/>
        <v>0</v>
      </c>
      <c r="AN81" s="424">
        <f t="shared" ca="1" si="34"/>
        <v>0</v>
      </c>
    </row>
    <row r="82" spans="1:40" x14ac:dyDescent="0.25">
      <c r="A82" s="3" t="s">
        <v>0</v>
      </c>
      <c r="B82" s="5" t="s">
        <v>1</v>
      </c>
      <c r="H82" s="15" t="s">
        <v>850</v>
      </c>
      <c r="I82" s="479" t="e">
        <f ca="1">_xll.EVPRO($B$1,$H82,"STYLE")</f>
        <v>#NAME?</v>
      </c>
      <c r="J82" s="479" t="e">
        <f ca="1">_xll.EVPRO($B$1,$H82,"CALC")</f>
        <v>#NAME?</v>
      </c>
      <c r="K82" s="480" t="e">
        <f t="shared" ca="1" si="27"/>
        <v>#NAME?</v>
      </c>
      <c r="L82" s="170" t="e">
        <f ca="1">_xll.EVPRO($B$1,H82,"JDEID")</f>
        <v>#NAME?</v>
      </c>
      <c r="M82" s="170" t="e">
        <f ca="1">IF(AND(I82="N",J82="N"),_xll.EVPRO($B$1,H82,"PSFTID"),"")</f>
        <v>#NAME?</v>
      </c>
      <c r="N82" s="170" t="e">
        <f ca="1">IF(_xll.EVDES(H82,$B$1)="#NODATA","",_xll.EVDES(H82,$B$1))</f>
        <v>#NAME?</v>
      </c>
      <c r="O82" s="134">
        <v>11105.66</v>
      </c>
      <c r="P82" s="134">
        <v>11475.8</v>
      </c>
      <c r="Q82" s="134">
        <v>10193.44</v>
      </c>
      <c r="R82" s="134">
        <v>8361.73</v>
      </c>
      <c r="S82" s="134">
        <v>9287.0400000000009</v>
      </c>
      <c r="T82" s="134">
        <v>6530.58</v>
      </c>
      <c r="U82" s="134">
        <v>8093.74</v>
      </c>
      <c r="V82" s="134">
        <v>6504.64</v>
      </c>
      <c r="W82" s="134">
        <v>9912.52</v>
      </c>
      <c r="X82" s="134">
        <v>8311.66</v>
      </c>
      <c r="Y82" s="134">
        <v>8575.48</v>
      </c>
      <c r="Z82" s="134">
        <v>13744.56</v>
      </c>
      <c r="AA82" s="134" t="e">
        <f t="shared" ca="1" si="23"/>
        <v>#NAME?</v>
      </c>
      <c r="AB82" s="135" t="e">
        <f t="shared" ca="1" si="24"/>
        <v>#NAME?</v>
      </c>
      <c r="AC82" s="137"/>
      <c r="AD82" s="134">
        <v>177518.72339999999</v>
      </c>
      <c r="AE82" s="135" t="str">
        <f t="shared" ca="1" si="25"/>
        <v/>
      </c>
      <c r="AF82" s="136" t="e">
        <f t="shared" ca="1" si="26"/>
        <v>#NAME?</v>
      </c>
      <c r="AG82" s="134">
        <v>115419.57</v>
      </c>
      <c r="AH82" s="135" t="str">
        <f t="shared" ca="1" si="28"/>
        <v/>
      </c>
      <c r="AI82" s="136" t="e">
        <f t="shared" ca="1" si="29"/>
        <v>#NAME?</v>
      </c>
      <c r="AJ82" s="360">
        <f t="shared" ca="1" si="30"/>
        <v>0</v>
      </c>
      <c r="AK82" s="361">
        <f t="shared" ca="1" si="31"/>
        <v>0</v>
      </c>
      <c r="AL82" s="363">
        <f t="shared" ca="1" si="32"/>
        <v>0</v>
      </c>
      <c r="AM82" s="405">
        <f t="shared" ca="1" si="33"/>
        <v>0</v>
      </c>
      <c r="AN82" s="406">
        <f t="shared" ca="1" si="34"/>
        <v>0</v>
      </c>
    </row>
    <row r="83" spans="1:40" x14ac:dyDescent="0.25">
      <c r="A83" s="6" t="s">
        <v>2</v>
      </c>
      <c r="B83" s="7" t="e">
        <f ca="1">_xll.EVRNG($B$2:$B$10)</f>
        <v>#NAME?</v>
      </c>
      <c r="H83" s="15" t="s">
        <v>851</v>
      </c>
      <c r="I83" s="161" t="e">
        <f ca="1">_xll.EVPRO($B$1,$H83,"STYLE")</f>
        <v>#NAME?</v>
      </c>
      <c r="J83" s="161" t="e">
        <f ca="1">_xll.EVPRO($B$1,$H83,"CALC")</f>
        <v>#NAME?</v>
      </c>
      <c r="K83" s="68" t="e">
        <f t="shared" ca="1" si="27"/>
        <v>#NAME?</v>
      </c>
      <c r="L83" s="162" t="e">
        <f ca="1">_xll.EVPRO($B$1,H83,"JDEID")</f>
        <v>#NAME?</v>
      </c>
      <c r="M83" s="162" t="e">
        <f ca="1">IF(AND(I83="N",J83="N"),_xll.EVPRO($B$1,H83,"PSFTID"),"")</f>
        <v>#NAME?</v>
      </c>
      <c r="N83" s="162" t="e">
        <f ca="1">IF(_xll.EVDES(H83,$B$1)="#NODATA","",_xll.EVDES(H83,$B$1))</f>
        <v>#NAME?</v>
      </c>
      <c r="O83" s="47"/>
      <c r="P83" s="47"/>
      <c r="Q83" s="47"/>
      <c r="R83" s="47"/>
      <c r="S83" s="47"/>
      <c r="T83" s="47"/>
      <c r="U83" s="47"/>
      <c r="V83" s="47"/>
      <c r="W83" s="47"/>
      <c r="X83" s="47"/>
      <c r="Y83" s="47"/>
      <c r="Z83" s="47"/>
      <c r="AA83" s="47" t="e">
        <f t="shared" ca="1" si="23"/>
        <v>#NAME?</v>
      </c>
      <c r="AB83" s="48" t="e">
        <f t="shared" ca="1" si="24"/>
        <v>#NAME?</v>
      </c>
      <c r="AD83" s="47">
        <v>2158.3084122</v>
      </c>
      <c r="AE83" s="48" t="str">
        <f t="shared" ca="1" si="25"/>
        <v/>
      </c>
      <c r="AF83" s="150" t="e">
        <f t="shared" ca="1" si="26"/>
        <v>#NAME?</v>
      </c>
      <c r="AG83" s="47">
        <v>554.29999999999995</v>
      </c>
      <c r="AH83" s="48" t="str">
        <f t="shared" ca="1" si="28"/>
        <v/>
      </c>
      <c r="AI83" s="150" t="e">
        <f t="shared" ca="1" si="29"/>
        <v>#NAME?</v>
      </c>
      <c r="AJ83" s="420">
        <f t="shared" ca="1" si="30"/>
        <v>0</v>
      </c>
      <c r="AK83" s="421">
        <f t="shared" ca="1" si="31"/>
        <v>0</v>
      </c>
      <c r="AL83" s="422">
        <f t="shared" ca="1" si="32"/>
        <v>0</v>
      </c>
      <c r="AM83" s="423">
        <f t="shared" ca="1" si="33"/>
        <v>0</v>
      </c>
      <c r="AN83" s="424">
        <f t="shared" ca="1" si="34"/>
        <v>0</v>
      </c>
    </row>
    <row r="84" spans="1:40" x14ac:dyDescent="0.25">
      <c r="A84" s="6" t="s">
        <v>3</v>
      </c>
      <c r="B84" s="7" t="e">
        <f ca="1">_xll.EVRNG($O$16:$AN$18)</f>
        <v>#NAME?</v>
      </c>
      <c r="H84" s="15" t="s">
        <v>852</v>
      </c>
      <c r="I84" s="161" t="e">
        <f ca="1">_xll.EVPRO($B$1,$H84,"STYLE")</f>
        <v>#NAME?</v>
      </c>
      <c r="J84" s="161" t="e">
        <f ca="1">_xll.EVPRO($B$1,$H84,"CALC")</f>
        <v>#NAME?</v>
      </c>
      <c r="K84" s="68" t="e">
        <f t="shared" ca="1" si="27"/>
        <v>#NAME?</v>
      </c>
      <c r="L84" s="162" t="e">
        <f ca="1">_xll.EVPRO($B$1,H84,"JDEID")</f>
        <v>#NAME?</v>
      </c>
      <c r="M84" s="162" t="e">
        <f ca="1">IF(AND(I84="N",J84="N"),_xll.EVPRO($B$1,H84,"PSFTID"),"")</f>
        <v>#NAME?</v>
      </c>
      <c r="N84" s="162" t="e">
        <f ca="1">IF(_xll.EVDES(H84,$B$1)="#NODATA","",_xll.EVDES(H84,$B$1))</f>
        <v>#NAME?</v>
      </c>
      <c r="O84" s="47"/>
      <c r="P84" s="47"/>
      <c r="Q84" s="47"/>
      <c r="R84" s="47"/>
      <c r="S84" s="47"/>
      <c r="T84" s="47"/>
      <c r="U84" s="47"/>
      <c r="V84" s="47"/>
      <c r="W84" s="47"/>
      <c r="X84" s="47"/>
      <c r="Y84" s="47"/>
      <c r="Z84" s="47"/>
      <c r="AA84" s="324" t="e">
        <f t="shared" ca="1" si="23"/>
        <v>#NAME?</v>
      </c>
      <c r="AB84" s="48" t="e">
        <f t="shared" ca="1" si="24"/>
        <v>#NAME?</v>
      </c>
      <c r="AD84" s="47"/>
      <c r="AE84" s="48" t="str">
        <f t="shared" si="25"/>
        <v/>
      </c>
      <c r="AF84" s="150" t="e">
        <f t="shared" ca="1" si="26"/>
        <v>#NAME?</v>
      </c>
      <c r="AG84" s="47">
        <v>111.68</v>
      </c>
      <c r="AH84" s="48" t="str">
        <f t="shared" ca="1" si="28"/>
        <v/>
      </c>
      <c r="AI84" s="150" t="e">
        <f t="shared" ca="1" si="29"/>
        <v>#NAME?</v>
      </c>
      <c r="AJ84" s="409">
        <f t="shared" ca="1" si="30"/>
        <v>0</v>
      </c>
      <c r="AK84" s="410">
        <f t="shared" ca="1" si="31"/>
        <v>0</v>
      </c>
      <c r="AL84" s="411">
        <f t="shared" ca="1" si="32"/>
        <v>0</v>
      </c>
      <c r="AM84" s="412">
        <f t="shared" ca="1" si="33"/>
        <v>0</v>
      </c>
      <c r="AN84" s="413">
        <f t="shared" ca="1" si="34"/>
        <v>0</v>
      </c>
    </row>
    <row r="85" spans="1:40" x14ac:dyDescent="0.25">
      <c r="A85" s="6" t="s">
        <v>4</v>
      </c>
      <c r="B85" s="7" t="e">
        <f ca="1">_xll.EVRNG(H76:H77,H79:H87,H90:H101)</f>
        <v>#NAME?</v>
      </c>
      <c r="H85" s="15" t="s">
        <v>853</v>
      </c>
      <c r="I85" s="161" t="e">
        <f ca="1">_xll.EVPRO($B$1,$H85,"STYLE")</f>
        <v>#NAME?</v>
      </c>
      <c r="J85" s="161" t="e">
        <f ca="1">_xll.EVPRO($B$1,$H85,"CALC")</f>
        <v>#NAME?</v>
      </c>
      <c r="K85" s="68" t="e">
        <f t="shared" ca="1" si="27"/>
        <v>#NAME?</v>
      </c>
      <c r="L85" s="162" t="e">
        <f ca="1">_xll.EVPRO($B$1,H85,"JDEID")</f>
        <v>#NAME?</v>
      </c>
      <c r="M85" s="162" t="e">
        <f ca="1">IF(AND(I85="N",J85="N"),_xll.EVPRO($B$1,H85,"PSFTID"),"")</f>
        <v>#NAME?</v>
      </c>
      <c r="N85" s="162" t="e">
        <f ca="1">IF(_xll.EVDES(H85,$B$1)="#NODATA","",_xll.EVDES(H85,$B$1))</f>
        <v>#NAME?</v>
      </c>
      <c r="O85" s="47">
        <v>499.79</v>
      </c>
      <c r="P85" s="47">
        <v>499.79</v>
      </c>
      <c r="Q85" s="47">
        <v>499.79</v>
      </c>
      <c r="R85" s="47">
        <v>660.85</v>
      </c>
      <c r="S85" s="47">
        <v>1207.3599999999999</v>
      </c>
      <c r="T85" s="47">
        <v>580.32000000000005</v>
      </c>
      <c r="U85" s="47">
        <v>580.32000000000005</v>
      </c>
      <c r="V85" s="47">
        <v>834.01</v>
      </c>
      <c r="W85" s="47">
        <v>701.55</v>
      </c>
      <c r="X85" s="47">
        <v>824.42</v>
      </c>
      <c r="Y85" s="47">
        <v>701.55</v>
      </c>
      <c r="Z85" s="47">
        <v>394.55</v>
      </c>
      <c r="AA85" s="324" t="e">
        <f t="shared" ca="1" si="23"/>
        <v>#NAME?</v>
      </c>
      <c r="AB85" s="48" t="e">
        <f t="shared" ca="1" si="24"/>
        <v>#NAME?</v>
      </c>
      <c r="AD85" s="47">
        <v>6811.5</v>
      </c>
      <c r="AE85" s="48" t="str">
        <f t="shared" ca="1" si="25"/>
        <v/>
      </c>
      <c r="AF85" s="150" t="e">
        <f t="shared" ca="1" si="26"/>
        <v>#NAME?</v>
      </c>
      <c r="AG85" s="47">
        <v>6003.81</v>
      </c>
      <c r="AH85" s="48" t="str">
        <f t="shared" ca="1" si="28"/>
        <v/>
      </c>
      <c r="AI85" s="150" t="e">
        <f t="shared" ca="1" si="29"/>
        <v>#NAME?</v>
      </c>
      <c r="AJ85" s="409">
        <f t="shared" ca="1" si="30"/>
        <v>0</v>
      </c>
      <c r="AK85" s="410">
        <f t="shared" ca="1" si="31"/>
        <v>0</v>
      </c>
      <c r="AL85" s="411">
        <f t="shared" ca="1" si="32"/>
        <v>0</v>
      </c>
      <c r="AM85" s="412">
        <f t="shared" ca="1" si="33"/>
        <v>0</v>
      </c>
      <c r="AN85" s="413">
        <f t="shared" ca="1" si="34"/>
        <v>0</v>
      </c>
    </row>
    <row r="86" spans="1:40" x14ac:dyDescent="0.25">
      <c r="A86" s="6" t="s">
        <v>5</v>
      </c>
      <c r="B86" s="7"/>
      <c r="H86" s="15" t="s">
        <v>854</v>
      </c>
      <c r="I86" s="479" t="e">
        <f ca="1">_xll.EVPRO($B$1,$H86,"STYLE")</f>
        <v>#NAME?</v>
      </c>
      <c r="J86" s="479" t="e">
        <f ca="1">_xll.EVPRO($B$1,$H86,"CALC")</f>
        <v>#NAME?</v>
      </c>
      <c r="K86" s="480" t="e">
        <f t="shared" ca="1" si="27"/>
        <v>#NAME?</v>
      </c>
      <c r="L86" s="170" t="e">
        <f ca="1">_xll.EVPRO($B$1,H86,"JDEID")</f>
        <v>#NAME?</v>
      </c>
      <c r="M86" s="170" t="e">
        <f ca="1">IF(AND(I86="N",J86="N"),_xll.EVPRO($B$1,H86,"PSFTID"),"")</f>
        <v>#NAME?</v>
      </c>
      <c r="N86" s="170" t="e">
        <f ca="1">IF(_xll.EVDES(H86,$B$1)="#NODATA","",_xll.EVDES(H86,$B$1))</f>
        <v>#NAME?</v>
      </c>
      <c r="O86" s="36">
        <v>499.79</v>
      </c>
      <c r="P86" s="36">
        <v>499.79</v>
      </c>
      <c r="Q86" s="36">
        <v>499.79</v>
      </c>
      <c r="R86" s="36">
        <v>660.85</v>
      </c>
      <c r="S86" s="36">
        <v>1207.3599999999999</v>
      </c>
      <c r="T86" s="36">
        <v>580.32000000000005</v>
      </c>
      <c r="U86" s="36">
        <v>580.32000000000005</v>
      </c>
      <c r="V86" s="36">
        <v>834.01</v>
      </c>
      <c r="W86" s="36">
        <v>701.55</v>
      </c>
      <c r="X86" s="36">
        <v>824.42</v>
      </c>
      <c r="Y86" s="36">
        <v>701.55</v>
      </c>
      <c r="Z86" s="36">
        <v>394.55</v>
      </c>
      <c r="AA86" s="36" t="e">
        <f t="shared" ca="1" si="23"/>
        <v>#NAME?</v>
      </c>
      <c r="AB86" s="37" t="e">
        <f t="shared" ca="1" si="24"/>
        <v>#NAME?</v>
      </c>
      <c r="AC86" s="35"/>
      <c r="AD86" s="36">
        <v>8969.8084122</v>
      </c>
      <c r="AE86" s="37" t="str">
        <f t="shared" ca="1" si="25"/>
        <v/>
      </c>
      <c r="AF86" s="58" t="e">
        <f t="shared" ca="1" si="26"/>
        <v>#NAME?</v>
      </c>
      <c r="AG86" s="36">
        <v>6669.79</v>
      </c>
      <c r="AH86" s="37" t="str">
        <f t="shared" ca="1" si="28"/>
        <v/>
      </c>
      <c r="AI86" s="58" t="e">
        <f t="shared" ca="1" si="29"/>
        <v>#NAME?</v>
      </c>
      <c r="AJ86" s="372">
        <f t="shared" ca="1" si="30"/>
        <v>0</v>
      </c>
      <c r="AK86" s="373">
        <f t="shared" ca="1" si="31"/>
        <v>0</v>
      </c>
      <c r="AL86" s="375">
        <f t="shared" ca="1" si="32"/>
        <v>0</v>
      </c>
      <c r="AM86" s="407">
        <f t="shared" ca="1" si="33"/>
        <v>0</v>
      </c>
      <c r="AN86" s="408">
        <f t="shared" ca="1" si="34"/>
        <v>0</v>
      </c>
    </row>
    <row r="87" spans="1:40" x14ac:dyDescent="0.25">
      <c r="A87" s="6" t="s">
        <v>6</v>
      </c>
      <c r="B87" s="7"/>
      <c r="H87" s="15" t="s">
        <v>76</v>
      </c>
      <c r="I87" s="479" t="e">
        <f ca="1">_xll.EVPRO($B$1,$H87,"STYLE")</f>
        <v>#NAME?</v>
      </c>
      <c r="J87" s="479" t="e">
        <f ca="1">_xll.EVPRO($B$1,$H87,"CALC")</f>
        <v>#NAME?</v>
      </c>
      <c r="K87" s="480" t="e">
        <f t="shared" ca="1" si="27"/>
        <v>#NAME?</v>
      </c>
      <c r="L87" s="170" t="e">
        <f ca="1">_xll.EVPRO($B$1,H87,"JDEID")</f>
        <v>#NAME?</v>
      </c>
      <c r="M87" s="170" t="e">
        <f ca="1">IF(AND(I87="N",J87="N"),_xll.EVPRO($B$1,H87,"PSFTID"),"")</f>
        <v>#NAME?</v>
      </c>
      <c r="N87" s="170" t="e">
        <f ca="1">IF(_xll.EVDES(H87,$B$1)="#NODATA","",_xll.EVDES(H87,$B$1))</f>
        <v>#NAME?</v>
      </c>
      <c r="O87" s="36">
        <v>11605.45</v>
      </c>
      <c r="P87" s="36">
        <v>11975.59</v>
      </c>
      <c r="Q87" s="36">
        <v>10693.23</v>
      </c>
      <c r="R87" s="36">
        <v>9022.58</v>
      </c>
      <c r="S87" s="36">
        <v>10494.4</v>
      </c>
      <c r="T87" s="36">
        <v>7110.9</v>
      </c>
      <c r="U87" s="36">
        <v>8674.06</v>
      </c>
      <c r="V87" s="36">
        <v>7338.65</v>
      </c>
      <c r="W87" s="36">
        <v>10614.07</v>
      </c>
      <c r="X87" s="36">
        <v>9136.08</v>
      </c>
      <c r="Y87" s="36">
        <v>9277.0300000000007</v>
      </c>
      <c r="Z87" s="36">
        <v>14139.11</v>
      </c>
      <c r="AA87" s="36" t="e">
        <f t="shared" ca="1" si="23"/>
        <v>#NAME?</v>
      </c>
      <c r="AB87" s="37" t="e">
        <f t="shared" ca="1" si="24"/>
        <v>#NAME?</v>
      </c>
      <c r="AC87" s="35"/>
      <c r="AD87" s="36">
        <v>186488.5318122</v>
      </c>
      <c r="AE87" s="37" t="str">
        <f t="shared" ca="1" si="25"/>
        <v/>
      </c>
      <c r="AF87" s="58" t="e">
        <f t="shared" ca="1" si="26"/>
        <v>#NAME?</v>
      </c>
      <c r="AG87" s="36">
        <v>122089.36</v>
      </c>
      <c r="AH87" s="37" t="str">
        <f t="shared" ca="1" si="28"/>
        <v/>
      </c>
      <c r="AI87" s="58" t="e">
        <f t="shared" ca="1" si="29"/>
        <v>#NAME?</v>
      </c>
      <c r="AJ87" s="372">
        <f t="shared" ca="1" si="30"/>
        <v>0</v>
      </c>
      <c r="AK87" s="373">
        <f t="shared" ca="1" si="31"/>
        <v>0</v>
      </c>
      <c r="AL87" s="375">
        <f t="shared" ca="1" si="32"/>
        <v>0</v>
      </c>
      <c r="AM87" s="407">
        <f t="shared" ca="1" si="33"/>
        <v>0</v>
      </c>
      <c r="AN87" s="408">
        <f t="shared" ca="1" si="34"/>
        <v>0</v>
      </c>
    </row>
    <row r="88" spans="1:40" x14ac:dyDescent="0.25">
      <c r="A88" s="6" t="s">
        <v>7</v>
      </c>
      <c r="B88" s="7" t="e">
        <f ca="1">_xll.EVRNG(A102:F108)</f>
        <v>#NAME?</v>
      </c>
      <c r="O88" s="41"/>
      <c r="P88" s="45"/>
      <c r="Q88" s="45"/>
      <c r="R88" s="45"/>
      <c r="S88" s="45"/>
      <c r="T88" s="45"/>
      <c r="U88" s="45"/>
      <c r="V88" s="45"/>
      <c r="W88" s="45"/>
      <c r="X88" s="45"/>
      <c r="Y88" s="45"/>
      <c r="Z88" s="45"/>
      <c r="AA88" s="45"/>
      <c r="AB88" s="42"/>
      <c r="AD88" s="41"/>
      <c r="AE88" s="45"/>
      <c r="AF88" s="42"/>
      <c r="AG88" s="41"/>
      <c r="AH88" s="45"/>
      <c r="AI88" s="42"/>
    </row>
    <row r="89" spans="1:40" x14ac:dyDescent="0.25">
      <c r="A89" s="6" t="s">
        <v>47</v>
      </c>
      <c r="B89" s="7" t="e">
        <f ca="1">_xll.EVRNG($A$125:$B$146)</f>
        <v>#NAME?</v>
      </c>
      <c r="H89" s="1" t="s">
        <v>82</v>
      </c>
      <c r="I89" s="11" t="e">
        <f ca="1">_xll.EVPRO($B$1,$H89,"STYLE")</f>
        <v>#NAME?</v>
      </c>
      <c r="J89" s="11" t="e">
        <f ca="1">_xll.EVPRO($B$1,$H89,"CALC")</f>
        <v>#NAME?</v>
      </c>
      <c r="N89" s="40" t="e">
        <f ca="1">IF(_xll.EVDES(H89,$B$1)="#NODATA","",_xll.EVDES(H89,$B$1))</f>
        <v>#NAME?</v>
      </c>
      <c r="O89" s="43"/>
      <c r="P89" s="46"/>
      <c r="Q89" s="46"/>
      <c r="R89" s="46"/>
      <c r="S89" s="46"/>
      <c r="T89" s="46"/>
      <c r="U89" s="46"/>
      <c r="V89" s="46"/>
      <c r="W89" s="46"/>
      <c r="X89" s="46"/>
      <c r="Y89" s="46"/>
      <c r="Z89" s="46"/>
      <c r="AA89" s="46"/>
      <c r="AB89" s="44"/>
      <c r="AD89" s="43"/>
      <c r="AE89" s="46"/>
      <c r="AF89" s="44"/>
      <c r="AG89" s="43"/>
      <c r="AH89" s="46"/>
      <c r="AI89" s="44"/>
    </row>
    <row r="90" spans="1:40" x14ac:dyDescent="0.25">
      <c r="A90" s="6" t="s">
        <v>8</v>
      </c>
      <c r="B90" s="7"/>
      <c r="H90" s="15" t="s">
        <v>869</v>
      </c>
      <c r="I90" s="161" t="e">
        <f ca="1">_xll.EVPRO($B$1,$H90,"STYLE")</f>
        <v>#NAME?</v>
      </c>
      <c r="J90" s="161" t="e">
        <f ca="1">_xll.EVPRO($B$1,$H90,"CALC")</f>
        <v>#NAME?</v>
      </c>
      <c r="K90" s="68" t="e">
        <f ca="1">IF(AND(I90&lt;&gt;"B1",J90="Y"),"&gt;","")</f>
        <v>#NAME?</v>
      </c>
      <c r="L90" s="162" t="e">
        <f ca="1">_xll.EVPRO($B$1,H90,"JDEID")</f>
        <v>#NAME?</v>
      </c>
      <c r="M90" s="162" t="e">
        <f ca="1">IF(AND(I90="N",J90="N"),_xll.EVPRO($B$1,H90,"PSFTID"),"")</f>
        <v>#NAME?</v>
      </c>
      <c r="N90" s="162" t="e">
        <f ca="1">IF(_xll.EVDES(H90,$B$1)="#NODATA","",_xll.EVDES(H90,$B$1))</f>
        <v>#NAME?</v>
      </c>
      <c r="O90" s="21"/>
      <c r="P90" s="21"/>
      <c r="Q90" s="21"/>
      <c r="R90" s="21"/>
      <c r="S90" s="21">
        <v>237.54</v>
      </c>
      <c r="T90" s="21"/>
      <c r="U90" s="21"/>
      <c r="V90" s="21"/>
      <c r="W90" s="21"/>
      <c r="X90" s="21"/>
      <c r="Y90" s="21"/>
      <c r="Z90" s="21"/>
      <c r="AA90" s="310" t="e">
        <f t="shared" ref="AA90:AA102" ca="1" si="35">IF($I90="B1","",SUM(O90:Z90))</f>
        <v>#NAME?</v>
      </c>
      <c r="AB90" s="17" t="e">
        <f t="shared" ref="AB90:AB102" ca="1" si="36">IF(AA90=0,"",IFERROR(AA90/AA$19,""))</f>
        <v>#NAME?</v>
      </c>
      <c r="AD90" s="21"/>
      <c r="AE90" s="17" t="str">
        <f t="shared" ref="AE90:AE102" si="37">IF(AD90=0,"",IFERROR(AD90/AD$19,""))</f>
        <v/>
      </c>
      <c r="AF90" s="50" t="e">
        <f t="shared" ref="AF90:AF102" ca="1" si="38">IF(AND($AA90="",AD90=""),"",$AA90-AD90)</f>
        <v>#NAME?</v>
      </c>
      <c r="AG90" s="21"/>
      <c r="AH90" s="17" t="str">
        <f>IF(AG90=0,"",IFERROR(AG90/AG$19,""))</f>
        <v/>
      </c>
      <c r="AI90" s="50" t="e">
        <f ca="1">IF(AND($AA90="",AG90=""),"",$AA90-AG90)</f>
        <v>#NAME?</v>
      </c>
      <c r="AJ90" s="399">
        <f ca="1">IFERROR(AA90/AA$20,0)</f>
        <v>0</v>
      </c>
      <c r="AK90" s="400">
        <f ca="1">IFERROR(AD90/AD$20,0)</f>
        <v>0</v>
      </c>
      <c r="AL90" s="401">
        <f ca="1">IFERROR(AG90/AG$20,0)</f>
        <v>0</v>
      </c>
      <c r="AM90" s="402">
        <f ca="1">+IFERROR(ROUND(($AB90-AE90)*100,2)&amp;" pts.",0)</f>
        <v>0</v>
      </c>
      <c r="AN90" s="403">
        <f ca="1">+IFERROR(ROUND(($AB90-AH90)*100,2)&amp;" pts.",0)</f>
        <v>0</v>
      </c>
    </row>
    <row r="91" spans="1:40" x14ac:dyDescent="0.25">
      <c r="G91" s="14"/>
      <c r="H91" s="15" t="s">
        <v>832</v>
      </c>
      <c r="I91" s="161" t="e">
        <f ca="1">_xll.EVPRO($B$1,$H91,"STYLE")</f>
        <v>#NAME?</v>
      </c>
      <c r="J91" s="161" t="e">
        <f ca="1">_xll.EVPRO($B$1,$H91,"CALC")</f>
        <v>#NAME?</v>
      </c>
      <c r="K91" s="68" t="e">
        <f t="shared" ref="K91:K101" ca="1" si="39">IF(AND(I91&lt;&gt;"B1",J91="Y"),"&gt;","")</f>
        <v>#NAME?</v>
      </c>
      <c r="L91" s="162" t="e">
        <f ca="1">_xll.EVPRO($B$1,H91,"JDEID")</f>
        <v>#NAME?</v>
      </c>
      <c r="M91" s="162" t="e">
        <f ca="1">IF(AND(I91="N",J91="N"),_xll.EVPRO($B$1,H91,"PSFTID"),"")</f>
        <v>#NAME?</v>
      </c>
      <c r="N91" s="162" t="e">
        <f ca="1">IF(_xll.EVDES(H91,$B$1)="#NODATA","",_xll.EVDES(H91,$B$1))</f>
        <v>#NAME?</v>
      </c>
      <c r="O91" s="21">
        <v>330.33</v>
      </c>
      <c r="P91" s="21">
        <v>390</v>
      </c>
      <c r="Q91" s="21">
        <v>375</v>
      </c>
      <c r="R91" s="21">
        <v>388.56</v>
      </c>
      <c r="S91" s="21">
        <v>306.73</v>
      </c>
      <c r="T91" s="21">
        <v>307</v>
      </c>
      <c r="U91" s="21">
        <v>2896</v>
      </c>
      <c r="V91" s="21">
        <v>304</v>
      </c>
      <c r="W91" s="21">
        <v>435.36</v>
      </c>
      <c r="X91" s="21">
        <v>320.55</v>
      </c>
      <c r="Y91" s="21">
        <v>388.8</v>
      </c>
      <c r="Z91" s="21">
        <v>414</v>
      </c>
      <c r="AA91" s="310" t="e">
        <f t="shared" ca="1" si="35"/>
        <v>#NAME?</v>
      </c>
      <c r="AB91" s="17" t="e">
        <f t="shared" ca="1" si="36"/>
        <v>#NAME?</v>
      </c>
      <c r="AD91" s="21">
        <v>4125.84</v>
      </c>
      <c r="AE91" s="17" t="str">
        <f t="shared" ca="1" si="37"/>
        <v/>
      </c>
      <c r="AF91" s="50" t="e">
        <f t="shared" ca="1" si="38"/>
        <v>#NAME?</v>
      </c>
      <c r="AG91" s="21">
        <v>2910.22</v>
      </c>
      <c r="AH91" s="17" t="str">
        <f t="shared" ref="AH91:AH101" ca="1" si="40">IF(AG91=0,"",IFERROR(AG91/AG$19,""))</f>
        <v/>
      </c>
      <c r="AI91" s="50" t="e">
        <f t="shared" ref="AI91:AI101" ca="1" si="41">IF(AND($AA91="",AG91=""),"",$AA91-AG91)</f>
        <v>#NAME?</v>
      </c>
      <c r="AJ91" s="399">
        <f t="shared" ref="AJ91:AJ101" ca="1" si="42">IFERROR(AA91/AA$20,0)</f>
        <v>0</v>
      </c>
      <c r="AK91" s="400">
        <f t="shared" ref="AK91:AK101" ca="1" si="43">IFERROR(AD91/AD$20,0)</f>
        <v>0</v>
      </c>
      <c r="AL91" s="401">
        <f t="shared" ref="AL91:AL101" ca="1" si="44">IFERROR(AG91/AG$20,0)</f>
        <v>0</v>
      </c>
      <c r="AM91" s="402">
        <f t="shared" ref="AM91:AM101" ca="1" si="45">+IFERROR(ROUND(($AB91-AE91)*100,2)&amp;" pts.",0)</f>
        <v>0</v>
      </c>
      <c r="AN91" s="403">
        <f t="shared" ref="AN91:AN101" ca="1" si="46">+IFERROR(ROUND(($AB91-AH91)*100,2)&amp;" pts.",0)</f>
        <v>0</v>
      </c>
    </row>
    <row r="92" spans="1:40" x14ac:dyDescent="0.25">
      <c r="A92" s="3" t="s">
        <v>9</v>
      </c>
      <c r="B92" s="5" t="s">
        <v>10</v>
      </c>
      <c r="H92" s="15" t="s">
        <v>856</v>
      </c>
      <c r="I92" s="161" t="e">
        <f ca="1">_xll.EVPRO($B$1,$H92,"STYLE")</f>
        <v>#NAME?</v>
      </c>
      <c r="J92" s="161" t="e">
        <f ca="1">_xll.EVPRO($B$1,$H92,"CALC")</f>
        <v>#NAME?</v>
      </c>
      <c r="K92" s="68" t="e">
        <f t="shared" ca="1" si="39"/>
        <v>#NAME?</v>
      </c>
      <c r="L92" s="162" t="e">
        <f ca="1">_xll.EVPRO($B$1,H92,"JDEID")</f>
        <v>#NAME?</v>
      </c>
      <c r="M92" s="162" t="e">
        <f ca="1">IF(AND(I92="N",J92="N"),_xll.EVPRO($B$1,H92,"PSFTID"),"")</f>
        <v>#NAME?</v>
      </c>
      <c r="N92" s="162" t="e">
        <f ca="1">IF(_xll.EVDES(H92,$B$1)="#NODATA","",_xll.EVDES(H92,$B$1))</f>
        <v>#NAME?</v>
      </c>
      <c r="O92" s="21">
        <v>113</v>
      </c>
      <c r="P92" s="21">
        <v>114</v>
      </c>
      <c r="Q92" s="21">
        <v>109</v>
      </c>
      <c r="R92" s="21">
        <v>102</v>
      </c>
      <c r="S92" s="21">
        <v>96</v>
      </c>
      <c r="T92" s="21">
        <v>89</v>
      </c>
      <c r="U92" s="21">
        <v>86</v>
      </c>
      <c r="V92" s="21">
        <v>89</v>
      </c>
      <c r="W92" s="21">
        <v>90</v>
      </c>
      <c r="X92" s="21">
        <v>91</v>
      </c>
      <c r="Y92" s="21">
        <v>104</v>
      </c>
      <c r="Z92" s="21">
        <v>121</v>
      </c>
      <c r="AA92" s="310" t="e">
        <f t="shared" ca="1" si="35"/>
        <v>#NAME?</v>
      </c>
      <c r="AB92" s="17" t="e">
        <f t="shared" ca="1" si="36"/>
        <v>#NAME?</v>
      </c>
      <c r="AD92" s="21">
        <v>1203.3699999999999</v>
      </c>
      <c r="AE92" s="17" t="str">
        <f t="shared" ca="1" si="37"/>
        <v/>
      </c>
      <c r="AF92" s="50" t="e">
        <f t="shared" ca="1" si="38"/>
        <v>#NAME?</v>
      </c>
      <c r="AG92" s="21">
        <v>935.01</v>
      </c>
      <c r="AH92" s="17" t="str">
        <f t="shared" ca="1" si="40"/>
        <v/>
      </c>
      <c r="AI92" s="50" t="e">
        <f t="shared" ca="1" si="41"/>
        <v>#NAME?</v>
      </c>
      <c r="AJ92" s="399">
        <f t="shared" ca="1" si="42"/>
        <v>0</v>
      </c>
      <c r="AK92" s="400">
        <f t="shared" ca="1" si="43"/>
        <v>0</v>
      </c>
      <c r="AL92" s="401">
        <f t="shared" ca="1" si="44"/>
        <v>0</v>
      </c>
      <c r="AM92" s="402">
        <f t="shared" ca="1" si="45"/>
        <v>0</v>
      </c>
      <c r="AN92" s="403">
        <f t="shared" ca="1" si="46"/>
        <v>0</v>
      </c>
    </row>
    <row r="93" spans="1:40" x14ac:dyDescent="0.25">
      <c r="A93" s="6" t="s">
        <v>11</v>
      </c>
      <c r="B93" s="7" t="s">
        <v>21</v>
      </c>
      <c r="H93" s="15" t="s">
        <v>870</v>
      </c>
      <c r="I93" s="161" t="e">
        <f ca="1">_xll.EVPRO($B$1,$H93,"STYLE")</f>
        <v>#NAME?</v>
      </c>
      <c r="J93" s="161" t="e">
        <f ca="1">_xll.EVPRO($B$1,$H93,"CALC")</f>
        <v>#NAME?</v>
      </c>
      <c r="K93" s="68" t="e">
        <f t="shared" ca="1" si="39"/>
        <v>#NAME?</v>
      </c>
      <c r="L93" s="162" t="e">
        <f ca="1">_xll.EVPRO($B$1,H93,"JDEID")</f>
        <v>#NAME?</v>
      </c>
      <c r="M93" s="162" t="e">
        <f ca="1">IF(AND(I93="N",J93="N"),_xll.EVPRO($B$1,H93,"PSFTID"),"")</f>
        <v>#NAME?</v>
      </c>
      <c r="N93" s="162" t="e">
        <f ca="1">IF(_xll.EVDES(H93,$B$1)="#NODATA","",_xll.EVDES(H93,$B$1))</f>
        <v>#NAME?</v>
      </c>
      <c r="O93" s="21">
        <v>19</v>
      </c>
      <c r="P93" s="21">
        <v>19</v>
      </c>
      <c r="Q93" s="21">
        <v>19</v>
      </c>
      <c r="R93" s="21">
        <v>17</v>
      </c>
      <c r="S93" s="21">
        <v>16</v>
      </c>
      <c r="T93" s="21">
        <v>15</v>
      </c>
      <c r="U93" s="21">
        <v>15</v>
      </c>
      <c r="V93" s="21">
        <v>15</v>
      </c>
      <c r="W93" s="21">
        <v>15</v>
      </c>
      <c r="X93" s="21">
        <v>16</v>
      </c>
      <c r="Y93" s="21">
        <v>18</v>
      </c>
      <c r="Z93" s="21">
        <v>21</v>
      </c>
      <c r="AA93" s="310" t="e">
        <f t="shared" ca="1" si="35"/>
        <v>#NAME?</v>
      </c>
      <c r="AB93" s="17" t="e">
        <f t="shared" ca="1" si="36"/>
        <v>#NAME?</v>
      </c>
      <c r="AD93" s="21">
        <v>204.87209216400001</v>
      </c>
      <c r="AE93" s="17" t="str">
        <f t="shared" ca="1" si="37"/>
        <v/>
      </c>
      <c r="AF93" s="50" t="e">
        <f t="shared" ca="1" si="38"/>
        <v>#NAME?</v>
      </c>
      <c r="AG93" s="21">
        <v>148</v>
      </c>
      <c r="AH93" s="17" t="str">
        <f t="shared" ca="1" si="40"/>
        <v/>
      </c>
      <c r="AI93" s="50" t="e">
        <f t="shared" ca="1" si="41"/>
        <v>#NAME?</v>
      </c>
      <c r="AJ93" s="399">
        <f t="shared" ca="1" si="42"/>
        <v>0</v>
      </c>
      <c r="AK93" s="400">
        <f t="shared" ca="1" si="43"/>
        <v>0</v>
      </c>
      <c r="AL93" s="401">
        <f t="shared" ca="1" si="44"/>
        <v>0</v>
      </c>
      <c r="AM93" s="402">
        <f t="shared" ca="1" si="45"/>
        <v>0</v>
      </c>
      <c r="AN93" s="403">
        <f t="shared" ca="1" si="46"/>
        <v>0</v>
      </c>
    </row>
    <row r="94" spans="1:40" x14ac:dyDescent="0.25">
      <c r="A94" s="6" t="s">
        <v>12</v>
      </c>
      <c r="B94" s="7" t="s">
        <v>22</v>
      </c>
      <c r="H94" s="15" t="s">
        <v>872</v>
      </c>
      <c r="I94" s="161" t="e">
        <f ca="1">_xll.EVPRO($B$1,$H94,"STYLE")</f>
        <v>#NAME?</v>
      </c>
      <c r="J94" s="161" t="e">
        <f ca="1">_xll.EVPRO($B$1,$H94,"CALC")</f>
        <v>#NAME?</v>
      </c>
      <c r="K94" s="68" t="e">
        <f t="shared" ca="1" si="39"/>
        <v>#NAME?</v>
      </c>
      <c r="L94" s="162" t="e">
        <f ca="1">_xll.EVPRO($B$1,H94,"JDEID")</f>
        <v>#NAME?</v>
      </c>
      <c r="M94" s="162" t="e">
        <f ca="1">IF(AND(I94="N",J94="N"),_xll.EVPRO($B$1,H94,"PSFTID"),"")</f>
        <v>#NAME?</v>
      </c>
      <c r="N94" s="162" t="e">
        <f ca="1">IF(_xll.EVDES(H94,$B$1)="#NODATA","",_xll.EVDES(H94,$B$1))</f>
        <v>#NAME?</v>
      </c>
      <c r="O94" s="21">
        <v>194</v>
      </c>
      <c r="P94" s="21">
        <v>195</v>
      </c>
      <c r="Q94" s="21">
        <v>188</v>
      </c>
      <c r="R94" s="21">
        <v>175</v>
      </c>
      <c r="S94" s="21">
        <v>164</v>
      </c>
      <c r="T94" s="21">
        <v>153</v>
      </c>
      <c r="U94" s="21">
        <v>148</v>
      </c>
      <c r="V94" s="21">
        <v>152</v>
      </c>
      <c r="W94" s="21">
        <v>153</v>
      </c>
      <c r="X94" s="21">
        <v>156</v>
      </c>
      <c r="Y94" s="21">
        <v>178</v>
      </c>
      <c r="Z94" s="21">
        <v>207</v>
      </c>
      <c r="AA94" s="310" t="e">
        <f t="shared" ca="1" si="35"/>
        <v>#NAME?</v>
      </c>
      <c r="AB94" s="17" t="e">
        <f t="shared" ca="1" si="36"/>
        <v>#NAME?</v>
      </c>
      <c r="AD94" s="21">
        <v>2062.92</v>
      </c>
      <c r="AE94" s="17" t="str">
        <f t="shared" ca="1" si="37"/>
        <v/>
      </c>
      <c r="AF94" s="50" t="e">
        <f t="shared" ca="1" si="38"/>
        <v>#NAME?</v>
      </c>
      <c r="AG94" s="21">
        <v>1485.38</v>
      </c>
      <c r="AH94" s="17" t="str">
        <f t="shared" ca="1" si="40"/>
        <v/>
      </c>
      <c r="AI94" s="50" t="e">
        <f t="shared" ca="1" si="41"/>
        <v>#NAME?</v>
      </c>
      <c r="AJ94" s="399">
        <f t="shared" ca="1" si="42"/>
        <v>0</v>
      </c>
      <c r="AK94" s="400">
        <f t="shared" ca="1" si="43"/>
        <v>0</v>
      </c>
      <c r="AL94" s="401">
        <f t="shared" ca="1" si="44"/>
        <v>0</v>
      </c>
      <c r="AM94" s="402">
        <f t="shared" ca="1" si="45"/>
        <v>0</v>
      </c>
      <c r="AN94" s="403">
        <f t="shared" ca="1" si="46"/>
        <v>0</v>
      </c>
    </row>
    <row r="95" spans="1:40" x14ac:dyDescent="0.25">
      <c r="A95" s="6" t="s">
        <v>13</v>
      </c>
      <c r="B95" s="7" t="s">
        <v>737</v>
      </c>
      <c r="H95" s="15" t="s">
        <v>858</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c r="R95" s="21"/>
      <c r="S95" s="21"/>
      <c r="T95" s="21">
        <v>38.58</v>
      </c>
      <c r="U95" s="21"/>
      <c r="V95" s="21"/>
      <c r="W95" s="21"/>
      <c r="X95" s="21"/>
      <c r="Y95" s="21"/>
      <c r="Z95" s="21"/>
      <c r="AA95" s="310" t="e">
        <f t="shared" ca="1" si="35"/>
        <v>#NAME?</v>
      </c>
      <c r="AB95" s="17" t="e">
        <f t="shared" ca="1" si="36"/>
        <v>#NAME?</v>
      </c>
      <c r="AD95" s="21">
        <v>300</v>
      </c>
      <c r="AE95" s="17" t="str">
        <f t="shared" ca="1" si="37"/>
        <v/>
      </c>
      <c r="AF95" s="50" t="e">
        <f t="shared" ca="1" si="38"/>
        <v>#NAME?</v>
      </c>
      <c r="AG95" s="21">
        <v>134.72</v>
      </c>
      <c r="AH95" s="17" t="str">
        <f t="shared" ca="1" si="40"/>
        <v/>
      </c>
      <c r="AI95" s="50" t="e">
        <f t="shared" ca="1" si="41"/>
        <v>#NAME?</v>
      </c>
      <c r="AJ95" s="399">
        <f t="shared" ca="1" si="42"/>
        <v>0</v>
      </c>
      <c r="AK95" s="400">
        <f t="shared" ca="1" si="43"/>
        <v>0</v>
      </c>
      <c r="AL95" s="401">
        <f t="shared" ca="1" si="44"/>
        <v>0</v>
      </c>
      <c r="AM95" s="402">
        <f t="shared" ca="1" si="45"/>
        <v>0</v>
      </c>
      <c r="AN95" s="403">
        <f t="shared" ca="1" si="46"/>
        <v>0</v>
      </c>
    </row>
    <row r="96" spans="1:40" x14ac:dyDescent="0.25">
      <c r="A96" s="6" t="s">
        <v>14</v>
      </c>
      <c r="B96" s="7"/>
      <c r="H96" s="15" t="s">
        <v>833</v>
      </c>
      <c r="I96" s="161" t="e">
        <f ca="1">_xll.EVPRO($B$1,$H96,"STYLE")</f>
        <v>#NAME?</v>
      </c>
      <c r="J96" s="161" t="e">
        <f ca="1">_xll.EVPRO($B$1,$H96,"CALC")</f>
        <v>#NAME?</v>
      </c>
      <c r="K96" s="68" t="e">
        <f t="shared" ca="1" si="39"/>
        <v>#NAME?</v>
      </c>
      <c r="L96" s="162" t="e">
        <f ca="1">_xll.EVPRO($B$1,H96,"JDEID")</f>
        <v>#NAME?</v>
      </c>
      <c r="M96" s="162" t="e">
        <f ca="1">IF(AND(I96="N",J96="N"),_xll.EVPRO($B$1,H96,"PSFTID"),"")</f>
        <v>#NAME?</v>
      </c>
      <c r="N96" s="162" t="e">
        <f ca="1">IF(_xll.EVDES(H96,$B$1)="#NODATA","",_xll.EVDES(H96,$B$1))</f>
        <v>#NAME?</v>
      </c>
      <c r="O96" s="21"/>
      <c r="P96" s="21">
        <v>150</v>
      </c>
      <c r="Q96" s="21">
        <v>75</v>
      </c>
      <c r="R96" s="21"/>
      <c r="S96" s="21">
        <v>150</v>
      </c>
      <c r="T96" s="21">
        <v>75</v>
      </c>
      <c r="U96" s="21"/>
      <c r="V96" s="21">
        <v>150</v>
      </c>
      <c r="W96" s="21">
        <v>75</v>
      </c>
      <c r="X96" s="21">
        <v>75</v>
      </c>
      <c r="Y96" s="21">
        <v>75</v>
      </c>
      <c r="Z96" s="21">
        <v>75</v>
      </c>
      <c r="AA96" s="310" t="e">
        <f t="shared" ca="1" si="35"/>
        <v>#NAME?</v>
      </c>
      <c r="AB96" s="17" t="e">
        <f t="shared" ca="1" si="36"/>
        <v>#NAME?</v>
      </c>
      <c r="AD96" s="21">
        <v>900</v>
      </c>
      <c r="AE96" s="17" t="str">
        <f t="shared" ca="1" si="37"/>
        <v/>
      </c>
      <c r="AF96" s="50" t="e">
        <f t="shared" ca="1" si="38"/>
        <v>#NAME?</v>
      </c>
      <c r="AG96" s="21">
        <v>975</v>
      </c>
      <c r="AH96" s="17" t="str">
        <f t="shared" ca="1" si="40"/>
        <v/>
      </c>
      <c r="AI96" s="50" t="e">
        <f t="shared" ca="1" si="41"/>
        <v>#NAME?</v>
      </c>
      <c r="AJ96" s="399">
        <f t="shared" ca="1" si="42"/>
        <v>0</v>
      </c>
      <c r="AK96" s="400">
        <f t="shared" ca="1" si="43"/>
        <v>0</v>
      </c>
      <c r="AL96" s="401">
        <f t="shared" ca="1" si="44"/>
        <v>0</v>
      </c>
      <c r="AM96" s="402">
        <f t="shared" ca="1" si="45"/>
        <v>0</v>
      </c>
      <c r="AN96" s="403">
        <f t="shared" ca="1" si="46"/>
        <v>0</v>
      </c>
    </row>
    <row r="97" spans="1:40" x14ac:dyDescent="0.25">
      <c r="A97" s="6" t="s">
        <v>15</v>
      </c>
      <c r="B97" s="7"/>
      <c r="H97" s="15" t="s">
        <v>874</v>
      </c>
      <c r="I97" s="161" t="e">
        <f ca="1">_xll.EVPRO($B$1,$H97,"STYLE")</f>
        <v>#NAME?</v>
      </c>
      <c r="J97" s="161" t="e">
        <f ca="1">_xll.EVPRO($B$1,$H97,"CALC")</f>
        <v>#NAME?</v>
      </c>
      <c r="K97" s="68" t="e">
        <f t="shared" ca="1" si="39"/>
        <v>#NAME?</v>
      </c>
      <c r="L97" s="162" t="e">
        <f ca="1">_xll.EVPRO($B$1,H97,"JDEID")</f>
        <v>#NAME?</v>
      </c>
      <c r="M97" s="162" t="e">
        <f ca="1">IF(AND(I97="N",J97="N"),_xll.EVPRO($B$1,H97,"PSFTID"),"")</f>
        <v>#NAME?</v>
      </c>
      <c r="N97" s="162" t="e">
        <f ca="1">IF(_xll.EVDES(H97,$B$1)="#NODATA","",_xll.EVDES(H97,$B$1))</f>
        <v>#NAME?</v>
      </c>
      <c r="O97" s="21"/>
      <c r="P97" s="21"/>
      <c r="Q97" s="21"/>
      <c r="R97" s="21"/>
      <c r="S97" s="21"/>
      <c r="T97" s="21"/>
      <c r="U97" s="21"/>
      <c r="V97" s="21"/>
      <c r="W97" s="21"/>
      <c r="X97" s="21"/>
      <c r="Y97" s="21"/>
      <c r="Z97" s="21"/>
      <c r="AA97" s="310" t="e">
        <f t="shared" ca="1" si="35"/>
        <v>#NAME?</v>
      </c>
      <c r="AB97" s="17" t="e">
        <f t="shared" ca="1" si="36"/>
        <v>#NAME?</v>
      </c>
      <c r="AD97" s="21">
        <v>515.73</v>
      </c>
      <c r="AE97" s="17" t="str">
        <f t="shared" ca="1" si="37"/>
        <v/>
      </c>
      <c r="AF97" s="50" t="e">
        <f t="shared" ca="1" si="38"/>
        <v>#NAME?</v>
      </c>
      <c r="AG97" s="21">
        <v>500.73</v>
      </c>
      <c r="AH97" s="17" t="str">
        <f t="shared" ca="1" si="40"/>
        <v/>
      </c>
      <c r="AI97" s="50" t="e">
        <f t="shared" ca="1" si="41"/>
        <v>#NAME?</v>
      </c>
      <c r="AJ97" s="399">
        <f t="shared" ca="1" si="42"/>
        <v>0</v>
      </c>
      <c r="AK97" s="400">
        <f t="shared" ca="1" si="43"/>
        <v>0</v>
      </c>
      <c r="AL97" s="401">
        <f t="shared" ca="1" si="44"/>
        <v>0</v>
      </c>
      <c r="AM97" s="402">
        <f t="shared" ca="1" si="45"/>
        <v>0</v>
      </c>
      <c r="AN97" s="403">
        <f t="shared" ca="1" si="46"/>
        <v>0</v>
      </c>
    </row>
    <row r="98" spans="1:40" x14ac:dyDescent="0.25">
      <c r="A98" s="6" t="s">
        <v>16</v>
      </c>
      <c r="B98" s="7" t="s">
        <v>78</v>
      </c>
      <c r="H98" s="15" t="s">
        <v>859</v>
      </c>
      <c r="I98" s="161" t="e">
        <f ca="1">_xll.EVPRO($B$1,$H98,"STYLE")</f>
        <v>#NAME?</v>
      </c>
      <c r="J98" s="161" t="e">
        <f ca="1">_xll.EVPRO($B$1,$H98,"CALC")</f>
        <v>#NAME?</v>
      </c>
      <c r="K98" s="68" t="e">
        <f t="shared" ca="1" si="39"/>
        <v>#NAME?</v>
      </c>
      <c r="L98" s="162" t="e">
        <f ca="1">_xll.EVPRO($B$1,H98,"JDEID")</f>
        <v>#NAME?</v>
      </c>
      <c r="M98" s="162" t="e">
        <f ca="1">IF(AND(I98="N",J98="N"),_xll.EVPRO($B$1,H98,"PSFTID"),"")</f>
        <v>#NAME?</v>
      </c>
      <c r="N98" s="162" t="e">
        <f ca="1">IF(_xll.EVDES(H98,$B$1)="#NODATA","",_xll.EVDES(H98,$B$1))</f>
        <v>#NAME?</v>
      </c>
      <c r="O98" s="21"/>
      <c r="P98" s="21"/>
      <c r="Q98" s="21"/>
      <c r="R98" s="21"/>
      <c r="S98" s="21"/>
      <c r="T98" s="21">
        <v>267.16000000000003</v>
      </c>
      <c r="U98" s="21"/>
      <c r="V98" s="21"/>
      <c r="W98" s="21"/>
      <c r="X98" s="21"/>
      <c r="Y98" s="21"/>
      <c r="Z98" s="21"/>
      <c r="AA98" s="310" t="e">
        <f t="shared" ca="1" si="35"/>
        <v>#NAME?</v>
      </c>
      <c r="AB98" s="17" t="e">
        <f t="shared" ca="1" si="36"/>
        <v>#NAME?</v>
      </c>
      <c r="AD98" s="21"/>
      <c r="AE98" s="17" t="str">
        <f t="shared" si="37"/>
        <v/>
      </c>
      <c r="AF98" s="50" t="e">
        <f t="shared" ca="1" si="38"/>
        <v>#NAME?</v>
      </c>
      <c r="AG98" s="21">
        <v>57.01</v>
      </c>
      <c r="AH98" s="17" t="str">
        <f t="shared" ca="1" si="40"/>
        <v/>
      </c>
      <c r="AI98" s="50" t="e">
        <f t="shared" ca="1" si="41"/>
        <v>#NAME?</v>
      </c>
      <c r="AJ98" s="399">
        <f t="shared" ca="1" si="42"/>
        <v>0</v>
      </c>
      <c r="AK98" s="400">
        <f t="shared" ca="1" si="43"/>
        <v>0</v>
      </c>
      <c r="AL98" s="401">
        <f t="shared" ca="1" si="44"/>
        <v>0</v>
      </c>
      <c r="AM98" s="402">
        <f t="shared" ca="1" si="45"/>
        <v>0</v>
      </c>
      <c r="AN98" s="403">
        <f t="shared" ca="1" si="46"/>
        <v>0</v>
      </c>
    </row>
    <row r="99" spans="1:40" x14ac:dyDescent="0.25">
      <c r="A99" s="6" t="s">
        <v>17</v>
      </c>
      <c r="B99" s="7"/>
      <c r="H99" s="15" t="s">
        <v>877</v>
      </c>
      <c r="I99" s="161" t="e">
        <f ca="1">_xll.EVPRO($B$1,$H99,"STYLE")</f>
        <v>#NAME?</v>
      </c>
      <c r="J99" s="161" t="e">
        <f ca="1">_xll.EVPRO($B$1,$H99,"CALC")</f>
        <v>#NAME?</v>
      </c>
      <c r="K99" s="68" t="e">
        <f t="shared" ca="1" si="39"/>
        <v>#NAME?</v>
      </c>
      <c r="L99" s="162" t="e">
        <f ca="1">_xll.EVPRO($B$1,H99,"JDEID")</f>
        <v>#NAME?</v>
      </c>
      <c r="M99" s="162" t="e">
        <f ca="1">IF(AND(I99="N",J99="N"),_xll.EVPRO($B$1,H99,"PSFTID"),"")</f>
        <v>#NAME?</v>
      </c>
      <c r="N99" s="162" t="e">
        <f ca="1">IF(_xll.EVDES(H99,$B$1)="#NODATA","",_xll.EVDES(H99,$B$1))</f>
        <v>#NAME?</v>
      </c>
      <c r="O99" s="21"/>
      <c r="P99" s="21"/>
      <c r="Q99" s="21"/>
      <c r="R99" s="21"/>
      <c r="S99" s="21"/>
      <c r="T99" s="21"/>
      <c r="U99" s="21"/>
      <c r="V99" s="21"/>
      <c r="W99" s="21"/>
      <c r="X99" s="21"/>
      <c r="Y99" s="21"/>
      <c r="Z99" s="21"/>
      <c r="AA99" s="310" t="e">
        <f t="shared" ca="1" si="35"/>
        <v>#NAME?</v>
      </c>
      <c r="AB99" s="17" t="e">
        <f t="shared" ca="1" si="36"/>
        <v>#NAME?</v>
      </c>
      <c r="AD99" s="21"/>
      <c r="AE99" s="17" t="str">
        <f t="shared" si="37"/>
        <v/>
      </c>
      <c r="AF99" s="50" t="e">
        <f t="shared" ca="1" si="38"/>
        <v>#NAME?</v>
      </c>
      <c r="AG99" s="21">
        <v>207.96</v>
      </c>
      <c r="AH99" s="17" t="str">
        <f t="shared" ca="1" si="40"/>
        <v/>
      </c>
      <c r="AI99" s="50" t="e">
        <f t="shared" ca="1" si="41"/>
        <v>#NAME?</v>
      </c>
      <c r="AJ99" s="399">
        <f t="shared" ca="1" si="42"/>
        <v>0</v>
      </c>
      <c r="AK99" s="400">
        <f t="shared" ca="1" si="43"/>
        <v>0</v>
      </c>
      <c r="AL99" s="401">
        <f t="shared" ca="1" si="44"/>
        <v>0</v>
      </c>
      <c r="AM99" s="402">
        <f t="shared" ca="1" si="45"/>
        <v>0</v>
      </c>
      <c r="AN99" s="403">
        <f t="shared" ca="1" si="46"/>
        <v>0</v>
      </c>
    </row>
    <row r="100" spans="1:40" x14ac:dyDescent="0.25">
      <c r="H100" s="15" t="s">
        <v>881</v>
      </c>
      <c r="I100" s="161" t="e">
        <f ca="1">_xll.EVPRO($B$1,$H100,"STYLE")</f>
        <v>#NAME?</v>
      </c>
      <c r="J100" s="161" t="e">
        <f ca="1">_xll.EVPRO($B$1,$H100,"CALC")</f>
        <v>#NAME?</v>
      </c>
      <c r="K100" s="68" t="e">
        <f t="shared" ca="1" si="39"/>
        <v>#NAME?</v>
      </c>
      <c r="L100" s="162" t="e">
        <f ca="1">_xll.EVPRO($B$1,H100,"JDEID")</f>
        <v>#NAME?</v>
      </c>
      <c r="M100" s="162" t="e">
        <f ca="1">IF(AND(I100="N",J100="N"),_xll.EVPRO($B$1,H100,"PSFTID"),"")</f>
        <v>#NAME?</v>
      </c>
      <c r="N100" s="162" t="e">
        <f ca="1">IF(_xll.EVDES(H100,$B$1)="#NODATA","",_xll.EVDES(H100,$B$1))</f>
        <v>#NAME?</v>
      </c>
      <c r="O100" s="21"/>
      <c r="P100" s="21"/>
      <c r="Q100" s="21"/>
      <c r="R100" s="21"/>
      <c r="S100" s="21"/>
      <c r="T100" s="21"/>
      <c r="U100" s="21"/>
      <c r="V100" s="21"/>
      <c r="W100" s="21">
        <v>900</v>
      </c>
      <c r="X100" s="21">
        <v>-900</v>
      </c>
      <c r="Y100" s="21"/>
      <c r="Z100" s="21"/>
      <c r="AA100" s="310" t="e">
        <f t="shared" ca="1" si="35"/>
        <v>#NAME?</v>
      </c>
      <c r="AB100" s="17" t="e">
        <f t="shared" ca="1" si="36"/>
        <v>#NAME?</v>
      </c>
      <c r="AD100" s="21">
        <v>7700.0000000003001</v>
      </c>
      <c r="AE100" s="17" t="str">
        <f t="shared" ca="1" si="37"/>
        <v/>
      </c>
      <c r="AF100" s="50" t="e">
        <f t="shared" ca="1" si="38"/>
        <v>#NAME?</v>
      </c>
      <c r="AG100" s="21"/>
      <c r="AH100" s="17" t="str">
        <f t="shared" si="40"/>
        <v/>
      </c>
      <c r="AI100" s="50" t="e">
        <f t="shared" ca="1" si="41"/>
        <v>#NAME?</v>
      </c>
      <c r="AJ100" s="399">
        <f t="shared" ca="1" si="42"/>
        <v>0</v>
      </c>
      <c r="AK100" s="400">
        <f t="shared" ca="1" si="43"/>
        <v>0</v>
      </c>
      <c r="AL100" s="401">
        <f t="shared" ca="1" si="44"/>
        <v>0</v>
      </c>
      <c r="AM100" s="402">
        <f t="shared" ca="1" si="45"/>
        <v>0</v>
      </c>
      <c r="AN100" s="403">
        <f t="shared" ca="1" si="46"/>
        <v>0</v>
      </c>
    </row>
    <row r="101" spans="1:40" x14ac:dyDescent="0.25">
      <c r="A101" s="22" t="s">
        <v>92</v>
      </c>
      <c r="B101" s="23" t="s">
        <v>93</v>
      </c>
      <c r="C101" s="23" t="s">
        <v>94</v>
      </c>
      <c r="D101" s="23" t="s">
        <v>95</v>
      </c>
      <c r="E101" s="23" t="s">
        <v>96</v>
      </c>
      <c r="F101" s="24" t="s">
        <v>97</v>
      </c>
      <c r="H101" s="15" t="s">
        <v>841</v>
      </c>
      <c r="I101" s="161" t="e">
        <f ca="1">_xll.EVPRO($B$1,$H101,"STYLE")</f>
        <v>#NAME?</v>
      </c>
      <c r="J101" s="161" t="e">
        <f ca="1">_xll.EVPRO($B$1,$H101,"CALC")</f>
        <v>#NAME?</v>
      </c>
      <c r="K101" s="68" t="e">
        <f t="shared" ca="1" si="39"/>
        <v>#NAME?</v>
      </c>
      <c r="L101" s="162" t="e">
        <f ca="1">_xll.EVPRO($B$1,H101,"JDEID")</f>
        <v>#NAME?</v>
      </c>
      <c r="M101" s="162" t="e">
        <f ca="1">IF(AND(I101="N",J101="N"),_xll.EVPRO($B$1,H101,"PSFTID"),"")</f>
        <v>#NAME?</v>
      </c>
      <c r="N101" s="162" t="e">
        <f ca="1">IF(_xll.EVDES(H101,$B$1)="#NODATA","",_xll.EVDES(H101,$B$1))</f>
        <v>#NAME?</v>
      </c>
      <c r="O101" s="21"/>
      <c r="P101" s="21"/>
      <c r="Q101" s="21"/>
      <c r="R101" s="21"/>
      <c r="S101" s="21"/>
      <c r="T101" s="21"/>
      <c r="U101" s="21"/>
      <c r="V101" s="21"/>
      <c r="W101" s="21"/>
      <c r="X101" s="21"/>
      <c r="Y101" s="21">
        <v>323</v>
      </c>
      <c r="Z101" s="21"/>
      <c r="AA101" s="310" t="e">
        <f t="shared" ca="1" si="35"/>
        <v>#NAME?</v>
      </c>
      <c r="AB101" s="17" t="e">
        <f t="shared" ca="1" si="36"/>
        <v>#NAME?</v>
      </c>
      <c r="AD101" s="21">
        <v>323</v>
      </c>
      <c r="AE101" s="17" t="str">
        <f t="shared" ca="1" si="37"/>
        <v/>
      </c>
      <c r="AF101" s="50" t="e">
        <f t="shared" ca="1" si="38"/>
        <v>#NAME?</v>
      </c>
      <c r="AG101" s="21">
        <v>273</v>
      </c>
      <c r="AH101" s="17" t="str">
        <f t="shared" ca="1" si="40"/>
        <v/>
      </c>
      <c r="AI101" s="50" t="e">
        <f t="shared" ca="1" si="41"/>
        <v>#NAME?</v>
      </c>
      <c r="AJ101" s="399">
        <f t="shared" ca="1" si="42"/>
        <v>0</v>
      </c>
      <c r="AK101" s="400">
        <f t="shared" ca="1" si="43"/>
        <v>0</v>
      </c>
      <c r="AL101" s="401">
        <f t="shared" ca="1" si="44"/>
        <v>0</v>
      </c>
      <c r="AM101" s="402">
        <f t="shared" ca="1" si="45"/>
        <v>0</v>
      </c>
      <c r="AN101" s="403">
        <f t="shared" ca="1" si="46"/>
        <v>0</v>
      </c>
    </row>
    <row r="102" spans="1:40" x14ac:dyDescent="0.25">
      <c r="H102" s="15" t="s">
        <v>79</v>
      </c>
      <c r="I102" s="27" t="e">
        <f ca="1">_xll.EVPRO($B$1,$H102,"STYLE")</f>
        <v>#NAME?</v>
      </c>
      <c r="J102" s="27" t="e">
        <f ca="1">_xll.EVPRO($B$1,$H102,"CALC")</f>
        <v>#NAME?</v>
      </c>
      <c r="K102" s="26"/>
      <c r="L102" s="26"/>
      <c r="M102" s="26"/>
      <c r="N102" s="25" t="e">
        <f ca="1">IF(_xll.EVDES(H102,$B$1)="#NODATA","",_xll.EVDES(H102,$B$1))</f>
        <v>#NAME?</v>
      </c>
      <c r="O102" s="33">
        <v>656.33</v>
      </c>
      <c r="P102" s="33">
        <v>868</v>
      </c>
      <c r="Q102" s="33">
        <v>766</v>
      </c>
      <c r="R102" s="33">
        <v>682.56</v>
      </c>
      <c r="S102" s="33">
        <v>970.27</v>
      </c>
      <c r="T102" s="33">
        <v>944.74</v>
      </c>
      <c r="U102" s="33">
        <v>3145</v>
      </c>
      <c r="V102" s="33">
        <v>710</v>
      </c>
      <c r="W102" s="33">
        <v>1668.36</v>
      </c>
      <c r="X102" s="33">
        <v>-241.45</v>
      </c>
      <c r="Y102" s="33">
        <v>1086.8</v>
      </c>
      <c r="Z102" s="33">
        <v>838</v>
      </c>
      <c r="AA102" s="33" t="e">
        <f t="shared" ca="1" si="35"/>
        <v>#NAME?</v>
      </c>
      <c r="AB102" s="34" t="e">
        <f t="shared" ca="1" si="36"/>
        <v>#NAME?</v>
      </c>
      <c r="AD102" s="33">
        <v>17335.7320921643</v>
      </c>
      <c r="AE102" s="34" t="str">
        <f t="shared" ca="1" si="37"/>
        <v/>
      </c>
      <c r="AF102" s="52" t="e">
        <f t="shared" ca="1" si="38"/>
        <v>#NAME?</v>
      </c>
      <c r="AG102" s="33">
        <v>7627.03</v>
      </c>
      <c r="AH102" s="34" t="str">
        <f ca="1">IF(AG102=0,"",IFERROR(AG102/AG$19,""))</f>
        <v/>
      </c>
      <c r="AI102" s="52" t="e">
        <f ca="1">IF(AND($AA102="",AG102=""),"",$AA102-AG102)</f>
        <v>#NAME?</v>
      </c>
      <c r="AJ102" s="415">
        <f ca="1">IFERROR(AA102/AA$20,0)</f>
        <v>0</v>
      </c>
      <c r="AK102" s="416">
        <f ca="1">IFERROR(AD102/AD$20,0)</f>
        <v>0</v>
      </c>
      <c r="AL102" s="417">
        <f ca="1">IFERROR(AG102/AG$20,0)</f>
        <v>0</v>
      </c>
      <c r="AM102" s="418">
        <f ca="1">+IFERROR(ROUND(($AB102-AE102)*100,2)&amp;" pts.",0)</f>
        <v>0</v>
      </c>
      <c r="AN102" s="436">
        <f ca="1">+IFERROR(ROUND(($AB102-AH102)*100,2)&amp;" pts.",0)</f>
        <v>0</v>
      </c>
    </row>
    <row r="103" spans="1:40" x14ac:dyDescent="0.25">
      <c r="A103" s="1" t="s">
        <v>108</v>
      </c>
      <c r="C103" s="26" t="s">
        <v>101</v>
      </c>
      <c r="D103" s="1" t="s">
        <v>106</v>
      </c>
      <c r="F103" s="1" t="s">
        <v>98</v>
      </c>
    </row>
    <row r="104" spans="1:40" x14ac:dyDescent="0.25">
      <c r="A104" s="1" t="s">
        <v>100</v>
      </c>
      <c r="C104" s="8" t="s">
        <v>101</v>
      </c>
      <c r="D104" s="1" t="s">
        <v>106</v>
      </c>
      <c r="F104" s="1" t="s">
        <v>98</v>
      </c>
      <c r="H104" s="15" t="s">
        <v>80</v>
      </c>
      <c r="I104" s="27" t="e">
        <f ca="1">_xll.EVPRO($B$1,$H104,"STYLE")</f>
        <v>#NAME?</v>
      </c>
      <c r="J104" s="27" t="e">
        <f ca="1">_xll.EVPRO($B$1,$H104,"CALC")</f>
        <v>#NAME?</v>
      </c>
      <c r="K104" s="25"/>
      <c r="L104" s="25"/>
      <c r="M104" s="25"/>
      <c r="N104" s="25" t="e">
        <f ca="1">IF(_xll.EVDES(H104,$B$1)="#NODATA","",_xll.EVDES(H104,$B$1))</f>
        <v>#NAME?</v>
      </c>
      <c r="O104" s="36">
        <v>12261.78</v>
      </c>
      <c r="P104" s="36">
        <v>12843.59</v>
      </c>
      <c r="Q104" s="36">
        <v>11459.23</v>
      </c>
      <c r="R104" s="36">
        <v>9705.14</v>
      </c>
      <c r="S104" s="36">
        <v>11464.67</v>
      </c>
      <c r="T104" s="36">
        <v>8055.64</v>
      </c>
      <c r="U104" s="36">
        <v>11819.06</v>
      </c>
      <c r="V104" s="36">
        <v>8048.65</v>
      </c>
      <c r="W104" s="36">
        <v>12282.43</v>
      </c>
      <c r="X104" s="36">
        <v>8894.6299999999992</v>
      </c>
      <c r="Y104" s="36">
        <v>10363.83</v>
      </c>
      <c r="Z104" s="36">
        <v>14977.11</v>
      </c>
      <c r="AA104" s="36" t="e">
        <f ca="1">IF($I104="B1","",SUM(O104:Z104))</f>
        <v>#NAME?</v>
      </c>
      <c r="AB104" s="37" t="e">
        <f ca="1">IF(AA104=0,"",IFERROR(AA104/AA$19,""))</f>
        <v>#NAME?</v>
      </c>
      <c r="AD104" s="36">
        <v>203824.26390436399</v>
      </c>
      <c r="AE104" s="37" t="str">
        <f ca="1">IF(AD104=0,"",IFERROR(AD104/AD$19,""))</f>
        <v/>
      </c>
      <c r="AF104" s="59" t="e">
        <f ca="1">IF(AND($AA104="",AD104=""),"",$AA104-AD104)</f>
        <v>#NAME?</v>
      </c>
      <c r="AG104" s="60">
        <v>129716.39</v>
      </c>
      <c r="AH104" s="61" t="str">
        <f ca="1">IF(AG104=0,"",IFERROR(AG104/AG$19,""))</f>
        <v/>
      </c>
      <c r="AI104" s="59" t="e">
        <f ca="1">IF(AND($AA104="",AG104=""),"",$AA104-AG104)</f>
        <v>#NAME?</v>
      </c>
      <c r="AJ104" s="392">
        <f ca="1">IFERROR(AA104/AA$20,0)</f>
        <v>0</v>
      </c>
      <c r="AK104" s="393">
        <f ca="1">IFERROR(AD104/AD$20,0)</f>
        <v>0</v>
      </c>
      <c r="AL104" s="394">
        <f ca="1">IFERROR(AG104/AG$20,0)</f>
        <v>0</v>
      </c>
      <c r="AM104" s="395">
        <f ca="1">+IFERROR(ROUND(($AB104-AE104)*100,2)&amp;" pts.",0)</f>
        <v>0</v>
      </c>
      <c r="AN104" s="437">
        <f ca="1">+IFERROR(ROUND(($AB104-AH104)*100,2)&amp;" pts.",0)</f>
        <v>0</v>
      </c>
    </row>
    <row r="105" spans="1:40" ht="15.75" thickBot="1" x14ac:dyDescent="0.3">
      <c r="A105" s="1" t="s">
        <v>109</v>
      </c>
      <c r="C105" s="25" t="s">
        <v>101</v>
      </c>
      <c r="D105" s="1" t="s">
        <v>106</v>
      </c>
      <c r="F105" s="1" t="s">
        <v>98</v>
      </c>
      <c r="G105" s="14"/>
      <c r="H105" s="15" t="s">
        <v>81</v>
      </c>
      <c r="I105" s="27" t="e">
        <f ca="1">_xll.EVPRO($B$1,$H105,"STYLE")</f>
        <v>#NAME?</v>
      </c>
      <c r="J105" s="27" t="e">
        <f ca="1">_xll.EVPRO($B$1,$H105,"CALC")</f>
        <v>#NAME?</v>
      </c>
      <c r="K105" s="25"/>
      <c r="L105" s="25"/>
      <c r="M105" s="25"/>
      <c r="N105" s="25" t="e">
        <f ca="1">IF(_xll.EVDES(H105,$B$1)="#NODATA","",_xll.EVDES(H105,$B$1))</f>
        <v>#NAME?</v>
      </c>
      <c r="O105" s="62">
        <v>22755.74</v>
      </c>
      <c r="P105" s="62">
        <v>29108.1</v>
      </c>
      <c r="Q105" s="62">
        <v>26614.78</v>
      </c>
      <c r="R105" s="62">
        <v>19983.259999999998</v>
      </c>
      <c r="S105" s="62">
        <v>22002.63</v>
      </c>
      <c r="T105" s="62">
        <v>29042.799999999999</v>
      </c>
      <c r="U105" s="62">
        <v>18466</v>
      </c>
      <c r="V105" s="62">
        <v>15205.53</v>
      </c>
      <c r="W105" s="62">
        <v>24705.49</v>
      </c>
      <c r="X105" s="62">
        <v>19945.400000000001</v>
      </c>
      <c r="Y105" s="62">
        <v>19963.82</v>
      </c>
      <c r="Z105" s="62">
        <v>33416.6</v>
      </c>
      <c r="AA105" s="62" t="e">
        <f ca="1">IF($I105="B1","",SUM(O105:Z105))</f>
        <v>#NAME?</v>
      </c>
      <c r="AB105" s="63" t="e">
        <f ca="1">IF(AA105=0,"",IFERROR(AA105/AA$19,""))</f>
        <v>#NAME?</v>
      </c>
      <c r="AD105" s="62">
        <v>359386.50949563598</v>
      </c>
      <c r="AE105" s="63" t="str">
        <f ca="1">IF(AD105=0,"",IFERROR(AD105/AD$19,""))</f>
        <v/>
      </c>
      <c r="AF105" s="64" t="e">
        <f ca="1">IF(AND($AA105="",AD105=""),"",$AA105-AD105)</f>
        <v>#NAME?</v>
      </c>
      <c r="AG105" s="62">
        <v>256078.9</v>
      </c>
      <c r="AH105" s="63" t="str">
        <f ca="1">IF(AG105=0,"",IFERROR(AG105/AG$19,""))</f>
        <v/>
      </c>
      <c r="AI105" s="64" t="e">
        <f ca="1">IF(AND($AA105="",AG105=""),"",$AA105-AG105)</f>
        <v>#NAME?</v>
      </c>
      <c r="AJ105" s="430">
        <f ca="1">IFERROR(AA105/AA$20,0)</f>
        <v>0</v>
      </c>
      <c r="AK105" s="431">
        <f ca="1">IFERROR(AD105/AD$20,0)</f>
        <v>0</v>
      </c>
      <c r="AL105" s="432">
        <f ca="1">IFERROR(AG105/AG$20,0)</f>
        <v>0</v>
      </c>
      <c r="AM105" s="433">
        <f ca="1">+IFERROR(ROUND(($AB105-AE105)*100,2)&amp;" pts.",0)</f>
        <v>0</v>
      </c>
      <c r="AN105" s="438">
        <f ca="1">+IFERROR(ROUND(($AB105-AH105)*100,2)&amp;" pts.",0)</f>
        <v>0</v>
      </c>
    </row>
    <row r="106" spans="1:40" ht="15.75" thickTop="1" x14ac:dyDescent="0.25">
      <c r="A106" s="1" t="s">
        <v>109</v>
      </c>
      <c r="C106" s="151" t="s">
        <v>101</v>
      </c>
      <c r="D106" s="1" t="s">
        <v>107</v>
      </c>
      <c r="F106" s="1" t="s">
        <v>99</v>
      </c>
    </row>
    <row r="107" spans="1:40" x14ac:dyDescent="0.25">
      <c r="A107" s="1" t="s">
        <v>110</v>
      </c>
      <c r="C107" s="25" t="s">
        <v>101</v>
      </c>
      <c r="D107" s="1" t="s">
        <v>106</v>
      </c>
      <c r="F107" s="1" t="s">
        <v>98</v>
      </c>
      <c r="N107" s="26" t="e">
        <f ca="1">N104&amp;" - Check"</f>
        <v>#NAME?</v>
      </c>
      <c r="O107" s="139">
        <f t="shared" ref="O107:AA107" si="47">SUMIF($H$35:$H$105,"600000",O$35:O$105)+SUMIF($H$35:$H$105,"700000",O$35:O$105)-SUMIF($H$35:$H$105,"TOTDEPTEXP",O$35:O$105)</f>
        <v>0</v>
      </c>
      <c r="P107" s="139">
        <f t="shared" si="47"/>
        <v>0</v>
      </c>
      <c r="Q107" s="139">
        <f t="shared" si="47"/>
        <v>0</v>
      </c>
      <c r="R107" s="139">
        <f t="shared" si="47"/>
        <v>0</v>
      </c>
      <c r="S107" s="139">
        <f t="shared" si="47"/>
        <v>0</v>
      </c>
      <c r="T107" s="139">
        <f t="shared" si="47"/>
        <v>0</v>
      </c>
      <c r="U107" s="139">
        <f t="shared" si="47"/>
        <v>0</v>
      </c>
      <c r="V107" s="139">
        <f t="shared" si="47"/>
        <v>0</v>
      </c>
      <c r="W107" s="139">
        <f t="shared" si="47"/>
        <v>0</v>
      </c>
      <c r="X107" s="139">
        <f t="shared" si="47"/>
        <v>0</v>
      </c>
      <c r="Y107" s="139">
        <f t="shared" si="47"/>
        <v>0</v>
      </c>
      <c r="Z107" s="139">
        <f t="shared" si="47"/>
        <v>0</v>
      </c>
      <c r="AA107" s="139" t="e">
        <f t="shared" ca="1" si="47"/>
        <v>#NAME?</v>
      </c>
      <c r="AB107" s="17"/>
      <c r="AD107" s="139">
        <f>SUMIF($H$35:$H$105,"600000",AD$35:AD$105)+SUMIF($H$35:$H$105,"700000",AD$35:AD$105)-SUMIF($H$35:$H$105,"TOTDEPTEXP",AD$35:AD$105)</f>
        <v>3.2014213502407074E-10</v>
      </c>
      <c r="AE107" s="17"/>
      <c r="AF107" s="21"/>
      <c r="AG107" s="139">
        <f>SUMIF($H$35:$H$105,"600000",AG$35:AG$105)+SUMIF($H$35:$H$105,"700000",AG$35:AG$105)-SUMIF($H$35:$H$105,"TOTDEPTEXP",AG$35:AG$105)</f>
        <v>0</v>
      </c>
      <c r="AH107" s="17"/>
      <c r="AI107" s="21"/>
    </row>
    <row r="108" spans="1:40" x14ac:dyDescent="0.25">
      <c r="A108" s="1" t="s">
        <v>110</v>
      </c>
      <c r="C108" s="29" t="s">
        <v>101</v>
      </c>
      <c r="D108" s="1" t="s">
        <v>107</v>
      </c>
      <c r="F108" s="1" t="s">
        <v>99</v>
      </c>
      <c r="N108" s="26" t="e">
        <f ca="1">N105&amp;" - Check"</f>
        <v>#NAME?</v>
      </c>
      <c r="O108" s="139">
        <f t="shared" ref="O108:AA108" si="48">SUMIF($H$35:$H$105,"KPI_GP",O$35:O$105)-SUMIF($H$35:$H$105,"TOTDEPTEXP",O$35:O$105)-SUMIF($H$35:$H$105,"TOTDEPTPL",O$35:O$105)</f>
        <v>0</v>
      </c>
      <c r="P108" s="139">
        <f t="shared" si="48"/>
        <v>0</v>
      </c>
      <c r="Q108" s="139">
        <f t="shared" si="48"/>
        <v>0</v>
      </c>
      <c r="R108" s="139">
        <f t="shared" si="48"/>
        <v>0</v>
      </c>
      <c r="S108" s="139">
        <f t="shared" si="48"/>
        <v>0</v>
      </c>
      <c r="T108" s="139">
        <f t="shared" si="48"/>
        <v>0</v>
      </c>
      <c r="U108" s="139">
        <f t="shared" si="48"/>
        <v>0</v>
      </c>
      <c r="V108" s="139">
        <f t="shared" si="48"/>
        <v>0</v>
      </c>
      <c r="W108" s="139">
        <f t="shared" si="48"/>
        <v>0</v>
      </c>
      <c r="X108" s="139">
        <f t="shared" si="48"/>
        <v>0</v>
      </c>
      <c r="Y108" s="139">
        <f t="shared" si="48"/>
        <v>0</v>
      </c>
      <c r="Z108" s="139">
        <f t="shared" si="48"/>
        <v>0</v>
      </c>
      <c r="AA108" s="139" t="e">
        <f t="shared" ca="1" si="48"/>
        <v>#NAME?</v>
      </c>
      <c r="AB108" s="17"/>
      <c r="AD108" s="139">
        <f>SUMIF($H$35:$H$105,"KPI_GP",AD$35:AD$105)-SUMIF($H$35:$H$105,"TOTDEPTEXP",AD$35:AD$105)-SUMIF($H$35:$H$105,"TOTDEPTPL",AD$35:AD$105)</f>
        <v>0</v>
      </c>
      <c r="AE108" s="17"/>
      <c r="AF108" s="21"/>
      <c r="AG108" s="139">
        <f>SUMIF($H$35:$H$105,"KPI_GP",AG$35:AG$105)-SUMIF($H$35:$H$105,"TOTDEPTEXP",AG$35:AG$105)-SUMIF($H$35:$H$105,"TOTDEPTPL",AG$35:AG$105)</f>
        <v>0</v>
      </c>
      <c r="AH108" s="17"/>
      <c r="AI108" s="21"/>
    </row>
    <row r="109" spans="1:40" x14ac:dyDescent="0.25">
      <c r="C109" s="32"/>
    </row>
    <row r="110" spans="1:40" x14ac:dyDescent="0.25">
      <c r="O110" s="166"/>
      <c r="P110" s="166"/>
      <c r="Q110" s="166"/>
      <c r="R110" s="166"/>
      <c r="S110" s="166"/>
      <c r="T110" s="166"/>
      <c r="U110" s="166"/>
      <c r="V110" s="166"/>
      <c r="W110" s="166"/>
      <c r="X110" s="166"/>
      <c r="Y110" s="166"/>
      <c r="Z110" s="166"/>
      <c r="AA110" s="166"/>
      <c r="AD110" s="166"/>
      <c r="AG110" s="166"/>
    </row>
    <row r="111" spans="1:40" x14ac:dyDescent="0.25">
      <c r="A111" s="4" t="e">
        <f ca="1">_xll.EVDRE($B$1,A114:B121)</f>
        <v>#NAME?</v>
      </c>
      <c r="B111" s="1" t="s">
        <v>736</v>
      </c>
      <c r="G111" s="14"/>
    </row>
    <row r="112" spans="1:40" x14ac:dyDescent="0.25">
      <c r="O112" s="166"/>
      <c r="P112" s="166"/>
      <c r="Q112" s="166"/>
      <c r="R112" s="166"/>
      <c r="S112" s="166"/>
      <c r="T112" s="166"/>
      <c r="U112" s="166"/>
      <c r="V112" s="166"/>
      <c r="W112" s="166"/>
      <c r="X112" s="166"/>
      <c r="Y112" s="166"/>
      <c r="Z112" s="166"/>
      <c r="AA112" s="166"/>
      <c r="AD112" s="166"/>
      <c r="AG112" s="166"/>
    </row>
    <row r="113" spans="1:10" x14ac:dyDescent="0.25">
      <c r="A113" s="3" t="s">
        <v>0</v>
      </c>
      <c r="B113" s="5" t="s">
        <v>1</v>
      </c>
    </row>
    <row r="114" spans="1:10" x14ac:dyDescent="0.25">
      <c r="A114" s="6" t="s">
        <v>2</v>
      </c>
      <c r="B114" s="7" t="e">
        <f ca="1">_xll.EVRNG($B$2:$B$10)</f>
        <v>#NAME?</v>
      </c>
    </row>
    <row r="115" spans="1:10" x14ac:dyDescent="0.25">
      <c r="A115" s="6" t="s">
        <v>3</v>
      </c>
      <c r="B115" s="7" t="e">
        <f ca="1">_xll.EVRNG($O$16:$AN$18)</f>
        <v>#NAME?</v>
      </c>
      <c r="H115" s="11"/>
      <c r="J115" s="1"/>
    </row>
    <row r="116" spans="1:10" x14ac:dyDescent="0.25">
      <c r="A116" s="6" t="s">
        <v>4</v>
      </c>
      <c r="B116" s="7" t="e">
        <f ca="1">_xll.EVRNG(H102:H105)</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c r="H130" s="11"/>
      <c r="J130" s="1"/>
    </row>
    <row r="131" spans="1:10" x14ac:dyDescent="0.25">
      <c r="A131" s="6" t="s">
        <v>31</v>
      </c>
      <c r="B131" s="7" t="s">
        <v>78</v>
      </c>
      <c r="H131" s="11"/>
      <c r="J131" s="1"/>
    </row>
    <row r="132" spans="1:10" x14ac:dyDescent="0.25">
      <c r="A132" s="6" t="s">
        <v>32</v>
      </c>
      <c r="B132" s="7"/>
      <c r="H132" s="11"/>
      <c r="J132" s="1"/>
    </row>
    <row r="133" spans="1:10" x14ac:dyDescent="0.25">
      <c r="A133" s="6" t="s">
        <v>33</v>
      </c>
      <c r="B133" s="7"/>
      <c r="H133" s="11"/>
      <c r="J133" s="1"/>
    </row>
    <row r="134" spans="1:10" x14ac:dyDescent="0.25">
      <c r="A134" s="6" t="s">
        <v>34</v>
      </c>
      <c r="B134" s="7"/>
      <c r="H134" s="11"/>
      <c r="J134" s="1"/>
    </row>
    <row r="135" spans="1:10" x14ac:dyDescent="0.25">
      <c r="A135" s="6" t="s">
        <v>35</v>
      </c>
      <c r="B135" s="7"/>
      <c r="H135" s="11"/>
      <c r="J135" s="1"/>
    </row>
    <row r="136" spans="1:10" x14ac:dyDescent="0.25">
      <c r="A136" s="6" t="s">
        <v>36</v>
      </c>
      <c r="B136" s="7"/>
      <c r="H136" s="11"/>
      <c r="J136" s="1"/>
    </row>
    <row r="137" spans="1:10" x14ac:dyDescent="0.25">
      <c r="A137" s="6" t="s">
        <v>37</v>
      </c>
      <c r="B137" s="7"/>
      <c r="H137" s="11"/>
      <c r="J137" s="1"/>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5" x14ac:dyDescent="0.25">
      <c r="E163" s="76"/>
    </row>
    <row r="167" spans="5:5" x14ac:dyDescent="0.25">
      <c r="E167" s="76"/>
    </row>
    <row r="178" spans="7:34" x14ac:dyDescent="0.25">
      <c r="I178" s="76"/>
      <c r="J178" s="1"/>
      <c r="K178" s="76"/>
      <c r="L178" s="76"/>
      <c r="M178" s="76"/>
      <c r="O178" s="76"/>
      <c r="P178" s="76"/>
      <c r="Q178" s="76"/>
      <c r="R178" s="76"/>
      <c r="S178" s="76"/>
      <c r="T178" s="76"/>
      <c r="U178" s="76"/>
      <c r="V178" s="76"/>
      <c r="W178" s="76"/>
      <c r="X178" s="76"/>
      <c r="Y178" s="76"/>
      <c r="Z178" s="76"/>
      <c r="AA178" s="76"/>
      <c r="AD178" s="76"/>
      <c r="AF178" s="76"/>
      <c r="AH178" s="76"/>
    </row>
    <row r="182" spans="7:34" x14ac:dyDescent="0.25">
      <c r="I182" s="76"/>
      <c r="J182" s="1"/>
      <c r="K182" s="76"/>
      <c r="L182" s="76"/>
      <c r="M182" s="76"/>
      <c r="O182" s="76"/>
      <c r="P182" s="76"/>
      <c r="Q182" s="76"/>
      <c r="R182" s="76"/>
      <c r="S182" s="76"/>
      <c r="T182" s="76"/>
      <c r="U182" s="76"/>
      <c r="V182" s="76"/>
      <c r="W182" s="76"/>
      <c r="X182" s="76"/>
      <c r="Y182" s="76"/>
      <c r="Z182" s="76"/>
      <c r="AA182" s="76"/>
      <c r="AD182" s="76"/>
      <c r="AF182" s="76"/>
      <c r="AH182" s="76"/>
    </row>
    <row r="190" spans="7:34" x14ac:dyDescent="0.25">
      <c r="G190" s="76"/>
    </row>
    <row r="194" spans="7:7" x14ac:dyDescent="0.25">
      <c r="G194" s="76"/>
    </row>
  </sheetData>
  <mergeCells count="2">
    <mergeCell ref="AD31:AE31"/>
    <mergeCell ref="AG31:AH31"/>
  </mergeCells>
  <dataValidations disablePrompts="1" count="2">
    <dataValidation type="list" allowBlank="1" sqref="B29 B62 B95" xr:uid="{00000000-0002-0000-2600-000000000000}">
      <formula1>"SELF,ALL,BAS,DEP,BASMEMBERS,MEMBERS,NOEXPAND,GDEP"</formula1>
    </dataValidation>
    <dataValidation type="list" allowBlank="1" sqref="B28 B61 B94" xr:uid="{00000000-0002-0000-2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9">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G1" s="347" t="s">
        <v>22</v>
      </c>
      <c r="H1" s="49" t="s">
        <v>728</v>
      </c>
      <c r="I1" s="1"/>
      <c r="J1" s="1"/>
      <c r="N1" s="18" t="s">
        <v>1436</v>
      </c>
      <c r="O1" s="1" t="s">
        <v>731</v>
      </c>
    </row>
    <row r="2" spans="1:35" hidden="1" outlineLevel="1" x14ac:dyDescent="0.25">
      <c r="A2" s="8" t="s">
        <v>22</v>
      </c>
      <c r="B2" s="12" t="s">
        <v>56</v>
      </c>
      <c r="C2" s="1" t="s">
        <v>980</v>
      </c>
      <c r="G2" s="347" t="s">
        <v>50</v>
      </c>
      <c r="H2" s="49" t="str">
        <f>"BU"&amp;RIGHT(B3,4)</f>
        <v>BU1334</v>
      </c>
      <c r="I2" s="1"/>
      <c r="J2" s="1"/>
    </row>
    <row r="3" spans="1:35" hidden="1" outlineLevel="1" x14ac:dyDescent="0.25">
      <c r="A3" s="8" t="s">
        <v>50</v>
      </c>
      <c r="B3" s="9" t="s">
        <v>978</v>
      </c>
      <c r="C3" s="1" t="s">
        <v>981</v>
      </c>
      <c r="G3" s="347" t="s">
        <v>19</v>
      </c>
      <c r="H3" s="49" t="s">
        <v>683</v>
      </c>
      <c r="I3" s="1"/>
      <c r="J3" s="1"/>
    </row>
    <row r="4" spans="1:35" hidden="1" outlineLevel="1" x14ac:dyDescent="0.25">
      <c r="A4" s="8" t="s">
        <v>19</v>
      </c>
      <c r="B4" s="9" t="str">
        <f>SetUp!$D$6</f>
        <v>CURRENT</v>
      </c>
      <c r="C4" s="1" t="s">
        <v>959</v>
      </c>
      <c r="E4" s="49">
        <v>20240100</v>
      </c>
      <c r="F4" s="49">
        <v>20240100</v>
      </c>
      <c r="G4" s="347" t="s">
        <v>51</v>
      </c>
      <c r="H4" s="49" t="s">
        <v>730</v>
      </c>
    </row>
    <row r="5" spans="1:35" hidden="1" outlineLevel="1" x14ac:dyDescent="0.25">
      <c r="A5" s="8" t="s">
        <v>51</v>
      </c>
      <c r="B5" s="12" t="s">
        <v>59</v>
      </c>
      <c r="C5" s="1" t="s">
        <v>59</v>
      </c>
      <c r="G5" s="347" t="s">
        <v>53</v>
      </c>
      <c r="H5" s="49" t="s">
        <v>729</v>
      </c>
    </row>
    <row r="6" spans="1:35" hidden="1" outlineLevel="1" x14ac:dyDescent="0.25">
      <c r="A6" s="8" t="s">
        <v>52</v>
      </c>
      <c r="B6" s="12" t="s">
        <v>734</v>
      </c>
      <c r="C6" s="1" t="s">
        <v>1437</v>
      </c>
      <c r="E6" s="49" t="s">
        <v>1335</v>
      </c>
      <c r="F6" s="1" t="s">
        <v>278</v>
      </c>
      <c r="G6" s="347" t="s">
        <v>20</v>
      </c>
      <c r="H6" s="49" t="s">
        <v>55</v>
      </c>
    </row>
    <row r="7" spans="1:35" hidden="1" outlineLevel="1" x14ac:dyDescent="0.25">
      <c r="A7" s="8" t="s">
        <v>53</v>
      </c>
      <c r="B7" s="12" t="s">
        <v>61</v>
      </c>
      <c r="C7" s="1" t="s">
        <v>983</v>
      </c>
      <c r="G7" s="347" t="s">
        <v>54</v>
      </c>
      <c r="H7" s="49" t="s">
        <v>62</v>
      </c>
    </row>
    <row r="8" spans="1:35" hidden="1" outlineLevel="1" x14ac:dyDescent="0.25">
      <c r="A8" s="8" t="s">
        <v>20</v>
      </c>
      <c r="B8" s="12" t="s">
        <v>63</v>
      </c>
      <c r="C8" s="1" t="s">
        <v>984</v>
      </c>
      <c r="G8" s="347" t="s">
        <v>18</v>
      </c>
      <c r="H8" s="49" t="s">
        <v>727</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1438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1439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1440</v>
      </c>
      <c r="G19" s="18" t="str">
        <f>$B$6</f>
        <v>D2146</v>
      </c>
      <c r="H19" s="18">
        <v>400000</v>
      </c>
      <c r="I19" s="19"/>
      <c r="J19" s="19"/>
      <c r="K19" s="18"/>
      <c r="L19" s="18"/>
      <c r="M19" s="18"/>
      <c r="N19" s="18" t="s">
        <v>1003</v>
      </c>
      <c r="O19" s="20">
        <v>44156.43</v>
      </c>
      <c r="P19" s="20">
        <v>53027.05</v>
      </c>
      <c r="Q19" s="20">
        <v>46189.919999999998</v>
      </c>
      <c r="R19" s="20">
        <v>36077.800000000003</v>
      </c>
      <c r="S19" s="20">
        <v>41019.5</v>
      </c>
      <c r="T19" s="20">
        <v>43923.33</v>
      </c>
      <c r="U19" s="20">
        <v>36934.69</v>
      </c>
      <c r="V19" s="20">
        <v>28297.71</v>
      </c>
      <c r="W19" s="20">
        <v>45068.14</v>
      </c>
      <c r="X19" s="20">
        <v>35403.879999999997</v>
      </c>
      <c r="Y19" s="20">
        <v>36806.03</v>
      </c>
      <c r="Z19" s="20">
        <v>58924.66</v>
      </c>
      <c r="AA19" s="20">
        <f>SUM(O19:Z19)</f>
        <v>505829.14000000013</v>
      </c>
      <c r="AB19" s="18"/>
      <c r="AC19" s="18"/>
      <c r="AD19" s="20">
        <v>712973.85340000002</v>
      </c>
      <c r="AE19" s="18"/>
      <c r="AF19" s="18"/>
      <c r="AG19" s="20">
        <v>491365.6</v>
      </c>
      <c r="AH19" s="18"/>
      <c r="AI19" s="18"/>
    </row>
    <row r="20" spans="1:40" hidden="1" outlineLevel="1" x14ac:dyDescent="0.25">
      <c r="A20" s="6" t="s">
        <v>5</v>
      </c>
      <c r="B20" s="7"/>
      <c r="G20" s="18" t="str">
        <f>$B$6</f>
        <v>D2146</v>
      </c>
      <c r="H20" s="18">
        <v>946000</v>
      </c>
      <c r="I20" s="19"/>
      <c r="J20" s="19"/>
      <c r="K20" s="18"/>
      <c r="L20" s="19"/>
      <c r="M20" s="19"/>
      <c r="N20" s="18" t="s">
        <v>1196</v>
      </c>
      <c r="O20" s="20">
        <v>1237</v>
      </c>
      <c r="P20" s="20">
        <v>1625</v>
      </c>
      <c r="Q20" s="20">
        <v>1332</v>
      </c>
      <c r="R20" s="20">
        <v>1175</v>
      </c>
      <c r="S20" s="20">
        <v>1295</v>
      </c>
      <c r="T20" s="20">
        <v>1491</v>
      </c>
      <c r="U20" s="20">
        <v>1297</v>
      </c>
      <c r="V20" s="20">
        <v>1068</v>
      </c>
      <c r="W20" s="20">
        <v>1206</v>
      </c>
      <c r="X20" s="20">
        <v>1240</v>
      </c>
      <c r="Y20" s="20">
        <v>1281</v>
      </c>
      <c r="Z20" s="20">
        <v>1582</v>
      </c>
      <c r="AA20" s="20">
        <f>SUM(O20:Z20)</f>
        <v>15829</v>
      </c>
      <c r="AB20" s="18"/>
      <c r="AC20" s="18"/>
      <c r="AD20" s="20">
        <v>17191</v>
      </c>
      <c r="AE20" s="18"/>
      <c r="AF20" s="18"/>
      <c r="AG20" s="20">
        <v>13344</v>
      </c>
      <c r="AH20" s="18"/>
      <c r="AI20" s="18"/>
    </row>
    <row r="21" spans="1:40" hidden="1" outlineLevel="1" x14ac:dyDescent="0.25">
      <c r="A21" s="6" t="s">
        <v>6</v>
      </c>
      <c r="B21" s="7"/>
      <c r="I21" s="1"/>
      <c r="J21" s="1"/>
    </row>
    <row r="22" spans="1:40" hidden="1" outlineLevel="1" x14ac:dyDescent="0.25">
      <c r="A22" s="6" t="s">
        <v>7</v>
      </c>
      <c r="B22" s="16" t="s">
        <v>1441</v>
      </c>
      <c r="I22" s="1"/>
      <c r="J22" s="1"/>
    </row>
    <row r="23" spans="1:40" hidden="1" outlineLevel="1" x14ac:dyDescent="0.25">
      <c r="A23" s="6" t="s">
        <v>47</v>
      </c>
      <c r="B23" s="16" t="s">
        <v>1442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1436</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D_VENUES=Y,REV_F,BEV,DEP(REV_BEV) AND D_VENUES=Y,REV_BEV,ALLOW_FB,REV_FB,OTHR_REV,DEP(REV_OTHR) AND D_VENUES=Y,REV_OTHR,400000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8" si="0">IF(AND(I35&gt;="T5"),"&gt;","")</f>
        <v>&gt;</v>
      </c>
      <c r="L35" s="162">
        <v>461100</v>
      </c>
      <c r="M35" s="162"/>
      <c r="N35" s="162" t="s">
        <v>1258</v>
      </c>
      <c r="O35" s="309"/>
      <c r="P35" s="310"/>
      <c r="Q35" s="310"/>
      <c r="R35" s="310"/>
      <c r="S35" s="310"/>
      <c r="T35" s="310">
        <v>617.95000000000005</v>
      </c>
      <c r="U35" s="310"/>
      <c r="V35" s="310"/>
      <c r="W35" s="310"/>
      <c r="X35" s="310"/>
      <c r="Y35" s="310"/>
      <c r="Z35" s="310"/>
      <c r="AA35" s="310">
        <f t="shared" ref="AA35:AA58" si="1">IF($I35="B1","",SUM(O35:Z35))</f>
        <v>617.95000000000005</v>
      </c>
      <c r="AB35" s="311">
        <f t="shared" ref="AB35:AB58" si="2">IF(AA35=0,"",IFERROR(AA35/AA$19,""))</f>
        <v>1.2216575739388994E-3</v>
      </c>
      <c r="AC35" s="328"/>
      <c r="AD35" s="310"/>
      <c r="AE35" s="311" t="str">
        <f t="shared" ref="AE35:AE58" si="3">IF(AD35=0,"",IFERROR(AD35/AD$19,""))</f>
        <v/>
      </c>
      <c r="AF35" s="312">
        <f t="shared" ref="AF35:AF58" si="4">IF(AND($AA35="",AD35=""),"",$AA35-AD35)</f>
        <v>617.95000000000005</v>
      </c>
      <c r="AG35" s="310"/>
      <c r="AH35" s="311" t="str">
        <f t="shared" ref="AH35:AH58" si="5">IF(AG35=0,"",IFERROR(AG35/AG$19,""))</f>
        <v/>
      </c>
      <c r="AI35" s="313">
        <f t="shared" ref="AI35:AI58" si="6">IF(AND($AA35="",AG35=""),"",$AA35-AG35)</f>
        <v>617.95000000000005</v>
      </c>
      <c r="AJ35" s="399">
        <f t="shared" ref="AJ35:AJ58" si="7">IFERROR(AA35/AA$20,0)</f>
        <v>3.9039105439383416E-2</v>
      </c>
      <c r="AK35" s="400">
        <f t="shared" ref="AK35:AK58" si="8">IFERROR(AD35/AD$20,0)</f>
        <v>0</v>
      </c>
      <c r="AL35" s="401">
        <f t="shared" ref="AL35:AL58" si="9">IFERROR(AG35/AG$20,0)</f>
        <v>0</v>
      </c>
      <c r="AM35" s="402">
        <f t="shared" ref="AM35:AM58" si="10">+IFERROR(ROUND(($AB35-AE35)*100,2)&amp;" pts.",0)</f>
        <v>0</v>
      </c>
      <c r="AN35" s="403">
        <f t="shared" ref="AN35:AN58" si="11">+IFERROR(ROUND(($AB35-AH35)*100,2)&amp;" pts.",0)</f>
        <v>0</v>
      </c>
    </row>
    <row r="36" spans="1:40" x14ac:dyDescent="0.25">
      <c r="H36" s="15" t="s">
        <v>261</v>
      </c>
      <c r="I36" s="161" t="s">
        <v>1058</v>
      </c>
      <c r="J36" s="161" t="s">
        <v>78</v>
      </c>
      <c r="K36" s="68" t="str">
        <f t="shared" si="0"/>
        <v>&gt;</v>
      </c>
      <c r="L36" s="162">
        <v>462100</v>
      </c>
      <c r="M36" s="162"/>
      <c r="N36" s="162" t="s">
        <v>1265</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c r="AJ37" s="399">
        <f t="shared" si="7"/>
        <v>0</v>
      </c>
      <c r="AK37" s="400">
        <f t="shared" si="8"/>
        <v>0</v>
      </c>
      <c r="AL37" s="401">
        <f t="shared" si="9"/>
        <v>0</v>
      </c>
      <c r="AM37" s="402">
        <f t="shared" si="10"/>
        <v>0</v>
      </c>
      <c r="AN37" s="403">
        <f t="shared" si="11"/>
        <v>0</v>
      </c>
    </row>
    <row r="38" spans="1:40" x14ac:dyDescent="0.25">
      <c r="A38" s="1" t="s">
        <v>105</v>
      </c>
      <c r="C38" s="26" t="s">
        <v>101</v>
      </c>
      <c r="D38" s="1" t="s">
        <v>106</v>
      </c>
      <c r="F38" s="1" t="s">
        <v>98</v>
      </c>
      <c r="H38" s="15" t="s">
        <v>263</v>
      </c>
      <c r="I38" s="161" t="s">
        <v>1058</v>
      </c>
      <c r="J38" s="161" t="s">
        <v>78</v>
      </c>
      <c r="K38" s="68" t="str">
        <f t="shared" si="0"/>
        <v>&gt;</v>
      </c>
      <c r="L38" s="162">
        <v>464100</v>
      </c>
      <c r="M38" s="162"/>
      <c r="N38" s="162" t="s">
        <v>1279</v>
      </c>
      <c r="O38" s="309">
        <v>9178.5</v>
      </c>
      <c r="P38" s="310">
        <v>13570</v>
      </c>
      <c r="Q38" s="310">
        <v>10503.8</v>
      </c>
      <c r="R38" s="310">
        <v>9350.4</v>
      </c>
      <c r="S38" s="310">
        <v>14245.5</v>
      </c>
      <c r="T38" s="310">
        <v>11915.5</v>
      </c>
      <c r="U38" s="310">
        <v>11762.81</v>
      </c>
      <c r="V38" s="310">
        <v>7958.11</v>
      </c>
      <c r="W38" s="310">
        <v>13464.5</v>
      </c>
      <c r="X38" s="310">
        <v>14619.4</v>
      </c>
      <c r="Y38" s="310">
        <v>9453.2000000000007</v>
      </c>
      <c r="Z38" s="310">
        <v>16635.27</v>
      </c>
      <c r="AA38" s="310">
        <f t="shared" si="1"/>
        <v>142656.99</v>
      </c>
      <c r="AB38" s="311">
        <f t="shared" si="2"/>
        <v>0.28202604144158233</v>
      </c>
      <c r="AC38" s="328"/>
      <c r="AD38" s="310">
        <v>160846.484643</v>
      </c>
      <c r="AE38" s="311">
        <f t="shared" si="3"/>
        <v>0.22559941556897492</v>
      </c>
      <c r="AF38" s="312">
        <f t="shared" si="4"/>
        <v>-18189.494643000013</v>
      </c>
      <c r="AG38" s="310">
        <v>111349.46</v>
      </c>
      <c r="AH38" s="311">
        <f t="shared" si="5"/>
        <v>0.22661224147559375</v>
      </c>
      <c r="AI38" s="313">
        <f t="shared" si="6"/>
        <v>31307.529999999984</v>
      </c>
      <c r="AJ38" s="399">
        <f t="shared" si="7"/>
        <v>9.0123817044664847</v>
      </c>
      <c r="AK38" s="400">
        <f t="shared" si="8"/>
        <v>9.3564356141585723</v>
      </c>
      <c r="AL38" s="401">
        <f t="shared" si="9"/>
        <v>8.3445338729016783</v>
      </c>
      <c r="AM38" s="402" t="str">
        <f t="shared" si="10"/>
        <v>5.64 pts.</v>
      </c>
      <c r="AN38" s="403" t="str">
        <f t="shared" si="11"/>
        <v>5.54 pts.</v>
      </c>
    </row>
    <row r="39" spans="1:40" x14ac:dyDescent="0.25">
      <c r="A39" s="1" t="s">
        <v>104</v>
      </c>
      <c r="C39" s="26" t="s">
        <v>101</v>
      </c>
      <c r="D39" s="1" t="s">
        <v>106</v>
      </c>
      <c r="F39" s="1" t="s">
        <v>98</v>
      </c>
      <c r="H39" s="15" t="s">
        <v>264</v>
      </c>
      <c r="I39" s="161" t="s">
        <v>1058</v>
      </c>
      <c r="J39" s="161" t="s">
        <v>78</v>
      </c>
      <c r="K39" s="68" t="str">
        <f t="shared" si="0"/>
        <v>&gt;</v>
      </c>
      <c r="L39" s="162">
        <v>465100</v>
      </c>
      <c r="M39" s="162"/>
      <c r="N39" s="162" t="s">
        <v>1286</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409">
        <f t="shared" si="7"/>
        <v>0</v>
      </c>
      <c r="AK39" s="410">
        <f t="shared" si="8"/>
        <v>0</v>
      </c>
      <c r="AL39" s="411">
        <f t="shared" si="9"/>
        <v>0</v>
      </c>
      <c r="AM39" s="412">
        <f t="shared" si="10"/>
        <v>0</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v>9178.5</v>
      </c>
      <c r="P40" s="134">
        <v>13570</v>
      </c>
      <c r="Q40" s="134">
        <v>10503.8</v>
      </c>
      <c r="R40" s="134">
        <v>9350.4</v>
      </c>
      <c r="S40" s="134">
        <v>14245.5</v>
      </c>
      <c r="T40" s="134">
        <v>12533.45</v>
      </c>
      <c r="U40" s="134">
        <v>11762.81</v>
      </c>
      <c r="V40" s="134">
        <v>7958.11</v>
      </c>
      <c r="W40" s="134">
        <v>13464.5</v>
      </c>
      <c r="X40" s="134">
        <v>14619.4</v>
      </c>
      <c r="Y40" s="134">
        <v>9453.2000000000007</v>
      </c>
      <c r="Z40" s="134">
        <v>16635.27</v>
      </c>
      <c r="AA40" s="134">
        <f t="shared" si="1"/>
        <v>143274.94</v>
      </c>
      <c r="AB40" s="135">
        <f t="shared" si="2"/>
        <v>0.28324769901552127</v>
      </c>
      <c r="AC40" s="137"/>
      <c r="AD40" s="134">
        <v>160846.484643</v>
      </c>
      <c r="AE40" s="135">
        <f t="shared" si="3"/>
        <v>0.22559941556897492</v>
      </c>
      <c r="AF40" s="136">
        <f t="shared" si="4"/>
        <v>-17571.544643000001</v>
      </c>
      <c r="AG40" s="134">
        <v>111349.46</v>
      </c>
      <c r="AH40" s="135">
        <f t="shared" si="5"/>
        <v>0.22661224147559375</v>
      </c>
      <c r="AI40" s="291">
        <f t="shared" si="6"/>
        <v>31925.479999999996</v>
      </c>
      <c r="AJ40" s="360">
        <f t="shared" si="7"/>
        <v>9.0514208099058688</v>
      </c>
      <c r="AK40" s="361">
        <f t="shared" si="8"/>
        <v>9.3564356141585723</v>
      </c>
      <c r="AL40" s="363">
        <f t="shared" si="9"/>
        <v>8.3445338729016783</v>
      </c>
      <c r="AM40" s="405" t="str">
        <f t="shared" si="10"/>
        <v>5.76 pts.</v>
      </c>
      <c r="AN40" s="406" t="str">
        <f t="shared" si="11"/>
        <v>5.66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14"/>
      <c r="P41" s="315"/>
      <c r="Q41" s="315"/>
      <c r="R41" s="315"/>
      <c r="S41" s="315"/>
      <c r="T41" s="315"/>
      <c r="U41" s="315"/>
      <c r="V41" s="315"/>
      <c r="W41" s="315"/>
      <c r="X41" s="315"/>
      <c r="Y41" s="315"/>
      <c r="Z41" s="315"/>
      <c r="AA41" s="315" t="str">
        <f t="shared" si="1"/>
        <v/>
      </c>
      <c r="AB41" s="316" t="str">
        <f t="shared" si="2"/>
        <v/>
      </c>
      <c r="AC41" s="329"/>
      <c r="AD41" s="315"/>
      <c r="AE41" s="316" t="str">
        <f t="shared" si="3"/>
        <v/>
      </c>
      <c r="AF41" s="317" t="str">
        <f t="shared" si="4"/>
        <v/>
      </c>
      <c r="AG41" s="315"/>
      <c r="AH41" s="316" t="str">
        <f t="shared" si="5"/>
        <v/>
      </c>
      <c r="AI41" s="31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09"/>
      <c r="P42" s="310"/>
      <c r="Q42" s="310"/>
      <c r="R42" s="310"/>
      <c r="S42" s="310"/>
      <c r="T42" s="310"/>
      <c r="U42" s="310"/>
      <c r="V42" s="310"/>
      <c r="W42" s="310"/>
      <c r="X42" s="310"/>
      <c r="Y42" s="310"/>
      <c r="Z42" s="310"/>
      <c r="AA42" s="310">
        <f t="shared" si="1"/>
        <v>0</v>
      </c>
      <c r="AB42" s="311" t="str">
        <f t="shared" si="2"/>
        <v/>
      </c>
      <c r="AC42" s="328"/>
      <c r="AD42" s="310"/>
      <c r="AE42" s="311" t="str">
        <f t="shared" si="3"/>
        <v/>
      </c>
      <c r="AF42" s="312">
        <f t="shared" si="4"/>
        <v>0</v>
      </c>
      <c r="AG42" s="310"/>
      <c r="AH42" s="311" t="str">
        <f t="shared" si="5"/>
        <v/>
      </c>
      <c r="AI42" s="313">
        <f t="shared" si="6"/>
        <v>0</v>
      </c>
      <c r="AJ42" s="399">
        <f t="shared" si="7"/>
        <v>0</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09"/>
      <c r="P43" s="310"/>
      <c r="Q43" s="310"/>
      <c r="R43" s="310"/>
      <c r="S43" s="310"/>
      <c r="T43" s="310"/>
      <c r="U43" s="310"/>
      <c r="V43" s="310"/>
      <c r="W43" s="310"/>
      <c r="X43" s="310">
        <v>49</v>
      </c>
      <c r="Y43" s="310"/>
      <c r="Z43" s="310"/>
      <c r="AA43" s="310">
        <f t="shared" si="1"/>
        <v>49</v>
      </c>
      <c r="AB43" s="311">
        <f t="shared" si="2"/>
        <v>9.6870654782759235E-5</v>
      </c>
      <c r="AC43" s="328"/>
      <c r="AD43" s="310"/>
      <c r="AE43" s="311" t="str">
        <f t="shared" si="3"/>
        <v/>
      </c>
      <c r="AF43" s="312">
        <f t="shared" si="4"/>
        <v>49</v>
      </c>
      <c r="AG43" s="310"/>
      <c r="AH43" s="311" t="str">
        <f t="shared" si="5"/>
        <v/>
      </c>
      <c r="AI43" s="313">
        <f t="shared" si="6"/>
        <v>49</v>
      </c>
      <c r="AJ43" s="399">
        <f t="shared" si="7"/>
        <v>3.0955840545833597E-3</v>
      </c>
      <c r="AK43" s="400">
        <f t="shared" si="8"/>
        <v>0</v>
      </c>
      <c r="AL43" s="401">
        <f t="shared" si="9"/>
        <v>0</v>
      </c>
      <c r="AM43" s="402">
        <f t="shared" si="10"/>
        <v>0</v>
      </c>
      <c r="AN43" s="403">
        <f t="shared" si="11"/>
        <v>0</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09"/>
      <c r="P44" s="310"/>
      <c r="Q44" s="310"/>
      <c r="R44" s="310"/>
      <c r="S44" s="310"/>
      <c r="T44" s="310"/>
      <c r="U44" s="310"/>
      <c r="V44" s="310"/>
      <c r="W44" s="310"/>
      <c r="X44" s="310"/>
      <c r="Y44" s="310"/>
      <c r="Z44" s="310"/>
      <c r="AA44" s="310">
        <f t="shared" si="1"/>
        <v>0</v>
      </c>
      <c r="AB44" s="311" t="str">
        <f t="shared" si="2"/>
        <v/>
      </c>
      <c r="AC44" s="328"/>
      <c r="AD44" s="310"/>
      <c r="AE44" s="311" t="str">
        <f t="shared" si="3"/>
        <v/>
      </c>
      <c r="AF44" s="312">
        <f t="shared" si="4"/>
        <v>0</v>
      </c>
      <c r="AG44" s="310"/>
      <c r="AH44" s="311" t="str">
        <f t="shared" si="5"/>
        <v/>
      </c>
      <c r="AI44" s="313">
        <f t="shared" si="6"/>
        <v>0</v>
      </c>
      <c r="AJ44" s="399">
        <f t="shared" si="7"/>
        <v>0</v>
      </c>
      <c r="AK44" s="400">
        <f t="shared" si="8"/>
        <v>0</v>
      </c>
      <c r="AL44" s="401">
        <f t="shared" si="9"/>
        <v>0</v>
      </c>
      <c r="AM44" s="402">
        <f t="shared" si="10"/>
        <v>0</v>
      </c>
      <c r="AN44" s="403">
        <f t="shared" si="11"/>
        <v>0</v>
      </c>
    </row>
    <row r="45" spans="1:40" x14ac:dyDescent="0.25">
      <c r="H45" s="15" t="s">
        <v>270</v>
      </c>
      <c r="I45" s="161" t="s">
        <v>1058</v>
      </c>
      <c r="J45" s="161" t="s">
        <v>78</v>
      </c>
      <c r="K45" s="68" t="str">
        <f t="shared" si="0"/>
        <v>&gt;</v>
      </c>
      <c r="L45" s="162"/>
      <c r="M45" s="162"/>
      <c r="N45" s="162" t="s">
        <v>1319</v>
      </c>
      <c r="O45" s="309">
        <v>28308</v>
      </c>
      <c r="P45" s="310">
        <v>31420</v>
      </c>
      <c r="Q45" s="310">
        <v>28525</v>
      </c>
      <c r="R45" s="310">
        <v>21236.91</v>
      </c>
      <c r="S45" s="310">
        <v>20192</v>
      </c>
      <c r="T45" s="310">
        <v>24789.3</v>
      </c>
      <c r="U45" s="310">
        <v>19499.099999999999</v>
      </c>
      <c r="V45" s="310">
        <v>16036.8</v>
      </c>
      <c r="W45" s="310">
        <v>24496</v>
      </c>
      <c r="X45" s="310">
        <v>15118.2</v>
      </c>
      <c r="Y45" s="310">
        <v>21670.6</v>
      </c>
      <c r="Z45" s="310">
        <v>33113.83</v>
      </c>
      <c r="AA45" s="310">
        <f t="shared" si="1"/>
        <v>284405.74</v>
      </c>
      <c r="AB45" s="311">
        <f t="shared" si="2"/>
        <v>0.56225653587296276</v>
      </c>
      <c r="AC45" s="328"/>
      <c r="AD45" s="310">
        <v>443368.645357</v>
      </c>
      <c r="AE45" s="311">
        <f t="shared" si="3"/>
        <v>0.62185821154966914</v>
      </c>
      <c r="AF45" s="312">
        <f t="shared" si="4"/>
        <v>-158962.90535700001</v>
      </c>
      <c r="AG45" s="310">
        <v>304142.31</v>
      </c>
      <c r="AH45" s="311">
        <f t="shared" si="5"/>
        <v>0.61897355044797608</v>
      </c>
      <c r="AI45" s="313">
        <f t="shared" si="6"/>
        <v>-19736.570000000007</v>
      </c>
      <c r="AJ45" s="399">
        <f t="shared" si="7"/>
        <v>17.967385179101647</v>
      </c>
      <c r="AK45" s="400">
        <f t="shared" si="8"/>
        <v>25.790741978767961</v>
      </c>
      <c r="AL45" s="401">
        <f t="shared" si="9"/>
        <v>22.792439298561153</v>
      </c>
      <c r="AM45" s="402" t="str">
        <f t="shared" si="10"/>
        <v>-5.96 pts.</v>
      </c>
      <c r="AN45" s="403" t="str">
        <f t="shared" si="11"/>
        <v>-5.67 pts.</v>
      </c>
    </row>
    <row r="46" spans="1:40" x14ac:dyDescent="0.25">
      <c r="H46" s="15" t="s">
        <v>271</v>
      </c>
      <c r="I46" s="161" t="s">
        <v>1058</v>
      </c>
      <c r="J46" s="161" t="s">
        <v>78</v>
      </c>
      <c r="K46" s="68" t="str">
        <f t="shared" si="0"/>
        <v>&gt;</v>
      </c>
      <c r="L46" s="162"/>
      <c r="M46" s="162"/>
      <c r="N46" s="162" t="s">
        <v>1320</v>
      </c>
      <c r="O46" s="323"/>
      <c r="P46" s="324"/>
      <c r="Q46" s="324"/>
      <c r="R46" s="324"/>
      <c r="S46" s="324"/>
      <c r="T46" s="324"/>
      <c r="U46" s="324"/>
      <c r="V46" s="324"/>
      <c r="W46" s="324"/>
      <c r="X46" s="324"/>
      <c r="Y46" s="324"/>
      <c r="Z46" s="324"/>
      <c r="AA46" s="324">
        <f t="shared" si="1"/>
        <v>0</v>
      </c>
      <c r="AB46" s="325" t="str">
        <f t="shared" si="2"/>
        <v/>
      </c>
      <c r="AC46" s="290"/>
      <c r="AD46" s="324"/>
      <c r="AE46" s="325" t="str">
        <f t="shared" si="3"/>
        <v/>
      </c>
      <c r="AF46" s="326">
        <f t="shared" si="4"/>
        <v>0</v>
      </c>
      <c r="AG46" s="324"/>
      <c r="AH46" s="325" t="str">
        <f t="shared" si="5"/>
        <v/>
      </c>
      <c r="AI46" s="327">
        <f t="shared" si="6"/>
        <v>0</v>
      </c>
      <c r="AJ46" s="409">
        <f t="shared" si="7"/>
        <v>0</v>
      </c>
      <c r="AK46" s="410">
        <f t="shared" si="8"/>
        <v>0</v>
      </c>
      <c r="AL46" s="411">
        <f t="shared" si="9"/>
        <v>0</v>
      </c>
      <c r="AM46" s="412">
        <f t="shared" si="10"/>
        <v>0</v>
      </c>
      <c r="AN46" s="413">
        <f t="shared" si="11"/>
        <v>0</v>
      </c>
    </row>
    <row r="47" spans="1:40" x14ac:dyDescent="0.25">
      <c r="A47" s="4" t="s">
        <v>988</v>
      </c>
      <c r="H47" s="15" t="s">
        <v>272</v>
      </c>
      <c r="I47" s="479" t="s">
        <v>1064</v>
      </c>
      <c r="J47" s="479" t="s">
        <v>78</v>
      </c>
      <c r="K47" s="480" t="str">
        <f t="shared" si="0"/>
        <v/>
      </c>
      <c r="L47" s="170"/>
      <c r="M47" s="170"/>
      <c r="N47" s="170" t="s">
        <v>1212</v>
      </c>
      <c r="O47" s="224">
        <v>28308</v>
      </c>
      <c r="P47" s="134">
        <v>31420</v>
      </c>
      <c r="Q47" s="134">
        <v>28525</v>
      </c>
      <c r="R47" s="134">
        <v>21236.91</v>
      </c>
      <c r="S47" s="134">
        <v>20192</v>
      </c>
      <c r="T47" s="134">
        <v>24789.3</v>
      </c>
      <c r="U47" s="134">
        <v>19499.099999999999</v>
      </c>
      <c r="V47" s="134">
        <v>16036.8</v>
      </c>
      <c r="W47" s="134">
        <v>24496</v>
      </c>
      <c r="X47" s="134">
        <v>15167.2</v>
      </c>
      <c r="Y47" s="134">
        <v>21670.6</v>
      </c>
      <c r="Z47" s="134">
        <v>33113.83</v>
      </c>
      <c r="AA47" s="134">
        <f t="shared" si="1"/>
        <v>284454.74</v>
      </c>
      <c r="AB47" s="135">
        <f t="shared" si="2"/>
        <v>0.56235340652774557</v>
      </c>
      <c r="AC47" s="137"/>
      <c r="AD47" s="134">
        <v>443368.645357</v>
      </c>
      <c r="AE47" s="135">
        <f t="shared" si="3"/>
        <v>0.62185821154966914</v>
      </c>
      <c r="AF47" s="136">
        <f t="shared" si="4"/>
        <v>-158913.90535700001</v>
      </c>
      <c r="AG47" s="134">
        <v>304142.31</v>
      </c>
      <c r="AH47" s="135">
        <f t="shared" si="5"/>
        <v>0.61897355044797608</v>
      </c>
      <c r="AI47" s="291">
        <f t="shared" si="6"/>
        <v>-19687.570000000007</v>
      </c>
      <c r="AJ47" s="360">
        <f t="shared" si="7"/>
        <v>17.970480763156232</v>
      </c>
      <c r="AK47" s="361">
        <f t="shared" si="8"/>
        <v>25.790741978767961</v>
      </c>
      <c r="AL47" s="363">
        <f t="shared" si="9"/>
        <v>22.792439298561153</v>
      </c>
      <c r="AM47" s="405" t="str">
        <f t="shared" si="10"/>
        <v>-5.95 pts.</v>
      </c>
      <c r="AN47" s="406" t="str">
        <f t="shared" si="11"/>
        <v>-5.66 pts.</v>
      </c>
    </row>
    <row r="48" spans="1:40" x14ac:dyDescent="0.25">
      <c r="H48" s="15" t="s">
        <v>486</v>
      </c>
      <c r="I48" s="161" t="s">
        <v>1058</v>
      </c>
      <c r="J48" s="161" t="s">
        <v>78</v>
      </c>
      <c r="K48" s="68" t="str">
        <f t="shared" si="0"/>
        <v>&gt;</v>
      </c>
      <c r="L48" s="162"/>
      <c r="M48" s="162"/>
      <c r="N48" s="162" t="s">
        <v>1213</v>
      </c>
      <c r="O48" s="330">
        <v>-90.13</v>
      </c>
      <c r="P48" s="47">
        <v>-112.43</v>
      </c>
      <c r="Q48" s="47"/>
      <c r="R48" s="47"/>
      <c r="S48" s="47"/>
      <c r="T48" s="47"/>
      <c r="U48" s="47"/>
      <c r="V48" s="47"/>
      <c r="W48" s="47"/>
      <c r="X48" s="47">
        <v>-122.28</v>
      </c>
      <c r="Y48" s="47">
        <v>-48.77</v>
      </c>
      <c r="Z48" s="47"/>
      <c r="AA48" s="47">
        <f t="shared" si="1"/>
        <v>-373.61</v>
      </c>
      <c r="AB48" s="48">
        <f t="shared" si="2"/>
        <v>-7.3860908843646279E-4</v>
      </c>
      <c r="AC48" s="54"/>
      <c r="AD48" s="47"/>
      <c r="AE48" s="48" t="str">
        <f t="shared" si="3"/>
        <v/>
      </c>
      <c r="AF48" s="150">
        <f t="shared" si="4"/>
        <v>-373.61</v>
      </c>
      <c r="AG48" s="47">
        <v>-258.89</v>
      </c>
      <c r="AH48" s="48">
        <f t="shared" si="5"/>
        <v>-5.2687856048530871E-4</v>
      </c>
      <c r="AI48" s="331">
        <f t="shared" si="6"/>
        <v>-114.72000000000003</v>
      </c>
      <c r="AJ48" s="420">
        <f t="shared" si="7"/>
        <v>-2.3602880788426307E-2</v>
      </c>
      <c r="AK48" s="421">
        <f t="shared" si="8"/>
        <v>0</v>
      </c>
      <c r="AL48" s="422">
        <f t="shared" si="9"/>
        <v>-1.9401229016786571E-2</v>
      </c>
      <c r="AM48" s="423">
        <f t="shared" si="10"/>
        <v>0</v>
      </c>
      <c r="AN48" s="424" t="str">
        <f t="shared" si="11"/>
        <v>-0.02 pts.</v>
      </c>
    </row>
    <row r="49" spans="1:40" x14ac:dyDescent="0.25">
      <c r="A49" s="3" t="s">
        <v>0</v>
      </c>
      <c r="B49" s="5" t="s">
        <v>1</v>
      </c>
      <c r="H49" s="15" t="s">
        <v>273</v>
      </c>
      <c r="I49" s="479" t="s">
        <v>1064</v>
      </c>
      <c r="J49" s="479" t="s">
        <v>78</v>
      </c>
      <c r="K49" s="480" t="str">
        <f t="shared" si="0"/>
        <v/>
      </c>
      <c r="L49" s="170"/>
      <c r="M49" s="170"/>
      <c r="N49" s="170" t="s">
        <v>1214</v>
      </c>
      <c r="O49" s="224">
        <v>37396.370000000003</v>
      </c>
      <c r="P49" s="134">
        <v>44877.57</v>
      </c>
      <c r="Q49" s="134">
        <v>39028.800000000003</v>
      </c>
      <c r="R49" s="134">
        <v>30587.31</v>
      </c>
      <c r="S49" s="134">
        <v>34437.5</v>
      </c>
      <c r="T49" s="134">
        <v>37322.75</v>
      </c>
      <c r="U49" s="134">
        <v>31261.91</v>
      </c>
      <c r="V49" s="134">
        <v>23994.91</v>
      </c>
      <c r="W49" s="134">
        <v>37960.5</v>
      </c>
      <c r="X49" s="134">
        <v>29664.32</v>
      </c>
      <c r="Y49" s="134">
        <v>31075.03</v>
      </c>
      <c r="Z49" s="134">
        <v>49749.1</v>
      </c>
      <c r="AA49" s="134">
        <f t="shared" si="1"/>
        <v>427356.06999999995</v>
      </c>
      <c r="AB49" s="135">
        <f t="shared" si="2"/>
        <v>0.84486249645483025</v>
      </c>
      <c r="AC49" s="137"/>
      <c r="AD49" s="134">
        <v>604215.13</v>
      </c>
      <c r="AE49" s="135">
        <f t="shared" si="3"/>
        <v>0.84745762711864403</v>
      </c>
      <c r="AF49" s="136">
        <f t="shared" si="4"/>
        <v>-176859.06000000006</v>
      </c>
      <c r="AG49" s="134">
        <v>415232.88</v>
      </c>
      <c r="AH49" s="135">
        <f t="shared" si="5"/>
        <v>0.84505891336308447</v>
      </c>
      <c r="AI49" s="291">
        <f t="shared" si="6"/>
        <v>12123.189999999944</v>
      </c>
      <c r="AJ49" s="360">
        <f t="shared" si="7"/>
        <v>26.998298692273671</v>
      </c>
      <c r="AK49" s="361">
        <f t="shared" si="8"/>
        <v>35.147177592926532</v>
      </c>
      <c r="AL49" s="363">
        <f t="shared" si="9"/>
        <v>31.117571942446045</v>
      </c>
      <c r="AM49" s="405" t="str">
        <f t="shared" si="10"/>
        <v>-0.26 pts.</v>
      </c>
      <c r="AN49" s="406" t="str">
        <f t="shared" si="11"/>
        <v>-0.02 pts.</v>
      </c>
    </row>
    <row r="50" spans="1:40" x14ac:dyDescent="0.25">
      <c r="A50" s="6" t="s">
        <v>2</v>
      </c>
      <c r="B50" s="16" t="s">
        <v>1438</v>
      </c>
      <c r="H50" s="15" t="s">
        <v>279</v>
      </c>
      <c r="I50" s="479" t="s">
        <v>1011</v>
      </c>
      <c r="J50" s="479" t="s">
        <v>78</v>
      </c>
      <c r="K50" s="480" t="str">
        <f t="shared" si="0"/>
        <v/>
      </c>
      <c r="L50" s="170"/>
      <c r="M50" s="170"/>
      <c r="N50" s="170" t="s">
        <v>1215</v>
      </c>
      <c r="O50" s="314"/>
      <c r="P50" s="315"/>
      <c r="Q50" s="315"/>
      <c r="R50" s="315"/>
      <c r="S50" s="315"/>
      <c r="T50" s="315"/>
      <c r="U50" s="315"/>
      <c r="V50" s="315"/>
      <c r="W50" s="315"/>
      <c r="X50" s="315"/>
      <c r="Y50" s="315"/>
      <c r="Z50" s="315"/>
      <c r="AA50" s="315" t="str">
        <f t="shared" si="1"/>
        <v/>
      </c>
      <c r="AB50" s="316" t="str">
        <f t="shared" si="2"/>
        <v/>
      </c>
      <c r="AC50" s="329"/>
      <c r="AD50" s="315"/>
      <c r="AE50" s="316" t="str">
        <f t="shared" si="3"/>
        <v/>
      </c>
      <c r="AF50" s="317" t="str">
        <f t="shared" si="4"/>
        <v/>
      </c>
      <c r="AG50" s="315"/>
      <c r="AH50" s="316" t="str">
        <f t="shared" si="5"/>
        <v/>
      </c>
      <c r="AI50" s="318" t="str">
        <f t="shared" si="6"/>
        <v/>
      </c>
      <c r="AJ50" s="353">
        <f t="shared" si="7"/>
        <v>0</v>
      </c>
      <c r="AK50" s="354">
        <f t="shared" si="8"/>
        <v>0</v>
      </c>
      <c r="AL50" s="356">
        <f t="shared" si="9"/>
        <v>0</v>
      </c>
      <c r="AM50" s="390">
        <f t="shared" si="10"/>
        <v>0</v>
      </c>
      <c r="AN50" s="404">
        <f t="shared" si="11"/>
        <v>0</v>
      </c>
    </row>
    <row r="51" spans="1:40" x14ac:dyDescent="0.25">
      <c r="A51" s="6" t="s">
        <v>3</v>
      </c>
      <c r="B51" s="16" t="s">
        <v>1439</v>
      </c>
      <c r="H51" s="15" t="s">
        <v>274</v>
      </c>
      <c r="I51" s="161" t="s">
        <v>1058</v>
      </c>
      <c r="J51" s="161" t="s">
        <v>78</v>
      </c>
      <c r="K51" s="68" t="str">
        <f t="shared" si="0"/>
        <v>&gt;</v>
      </c>
      <c r="L51" s="162">
        <v>468300</v>
      </c>
      <c r="M51" s="162"/>
      <c r="N51" s="162" t="s">
        <v>1216</v>
      </c>
      <c r="O51" s="309"/>
      <c r="P51" s="310"/>
      <c r="Q51" s="310"/>
      <c r="R51" s="310"/>
      <c r="S51" s="310"/>
      <c r="T51" s="310"/>
      <c r="U51" s="310"/>
      <c r="V51" s="310"/>
      <c r="W51" s="310"/>
      <c r="X51" s="310"/>
      <c r="Y51" s="310"/>
      <c r="Z51" s="310"/>
      <c r="AA51" s="310">
        <f t="shared" si="1"/>
        <v>0</v>
      </c>
      <c r="AB51" s="311" t="str">
        <f t="shared" si="2"/>
        <v/>
      </c>
      <c r="AC51" s="328"/>
      <c r="AD51" s="310"/>
      <c r="AE51" s="311" t="str">
        <f t="shared" si="3"/>
        <v/>
      </c>
      <c r="AF51" s="312">
        <f t="shared" si="4"/>
        <v>0</v>
      </c>
      <c r="AG51" s="310"/>
      <c r="AH51" s="311" t="str">
        <f t="shared" si="5"/>
        <v/>
      </c>
      <c r="AI51" s="313">
        <f t="shared" si="6"/>
        <v>0</v>
      </c>
      <c r="AJ51" s="399">
        <f t="shared" si="7"/>
        <v>0</v>
      </c>
      <c r="AK51" s="400">
        <f t="shared" si="8"/>
        <v>0</v>
      </c>
      <c r="AL51" s="401">
        <f t="shared" si="9"/>
        <v>0</v>
      </c>
      <c r="AM51" s="402">
        <f t="shared" si="10"/>
        <v>0</v>
      </c>
      <c r="AN51" s="403">
        <f t="shared" si="11"/>
        <v>0</v>
      </c>
    </row>
    <row r="52" spans="1:40" x14ac:dyDescent="0.25">
      <c r="A52" s="6" t="s">
        <v>4</v>
      </c>
      <c r="B52" s="16" t="s">
        <v>1443</v>
      </c>
      <c r="H52" s="15" t="s">
        <v>275</v>
      </c>
      <c r="I52" s="161" t="s">
        <v>1058</v>
      </c>
      <c r="J52" s="161" t="s">
        <v>78</v>
      </c>
      <c r="K52" s="68" t="str">
        <f t="shared" si="0"/>
        <v>&gt;</v>
      </c>
      <c r="L52" s="162">
        <v>468350</v>
      </c>
      <c r="M52" s="162"/>
      <c r="N52" s="162" t="s">
        <v>1217</v>
      </c>
      <c r="O52" s="309"/>
      <c r="P52" s="310"/>
      <c r="Q52" s="310"/>
      <c r="R52" s="310"/>
      <c r="S52" s="310"/>
      <c r="T52" s="310"/>
      <c r="U52" s="310"/>
      <c r="V52" s="310"/>
      <c r="W52" s="310"/>
      <c r="X52" s="310"/>
      <c r="Y52" s="310"/>
      <c r="Z52" s="310"/>
      <c r="AA52" s="310">
        <f t="shared" si="1"/>
        <v>0</v>
      </c>
      <c r="AB52" s="311" t="str">
        <f t="shared" si="2"/>
        <v/>
      </c>
      <c r="AC52" s="328"/>
      <c r="AD52" s="310"/>
      <c r="AE52" s="311" t="str">
        <f t="shared" si="3"/>
        <v/>
      </c>
      <c r="AF52" s="312">
        <f t="shared" si="4"/>
        <v>0</v>
      </c>
      <c r="AG52" s="310"/>
      <c r="AH52" s="311" t="str">
        <f t="shared" si="5"/>
        <v/>
      </c>
      <c r="AI52" s="313">
        <f t="shared" si="6"/>
        <v>0</v>
      </c>
      <c r="AJ52" s="399">
        <f t="shared" si="7"/>
        <v>0</v>
      </c>
      <c r="AK52" s="400">
        <f t="shared" si="8"/>
        <v>0</v>
      </c>
      <c r="AL52" s="401">
        <f t="shared" si="9"/>
        <v>0</v>
      </c>
      <c r="AM52" s="402">
        <f t="shared" si="10"/>
        <v>0</v>
      </c>
      <c r="AN52" s="403">
        <f t="shared" si="11"/>
        <v>0</v>
      </c>
    </row>
    <row r="53" spans="1:40" x14ac:dyDescent="0.25">
      <c r="A53" s="6" t="s">
        <v>5</v>
      </c>
      <c r="B53" s="7"/>
      <c r="F53" s="152"/>
      <c r="H53" s="15" t="s">
        <v>276</v>
      </c>
      <c r="I53" s="161" t="s">
        <v>1058</v>
      </c>
      <c r="J53" s="161" t="s">
        <v>78</v>
      </c>
      <c r="K53" s="68" t="str">
        <f t="shared" si="0"/>
        <v>&gt;</v>
      </c>
      <c r="L53" s="162">
        <v>468550</v>
      </c>
      <c r="M53" s="162"/>
      <c r="N53" s="162" t="s">
        <v>1218</v>
      </c>
      <c r="O53" s="309"/>
      <c r="P53" s="310"/>
      <c r="Q53" s="310"/>
      <c r="R53" s="310"/>
      <c r="S53" s="310"/>
      <c r="T53" s="310"/>
      <c r="U53" s="310"/>
      <c r="V53" s="310"/>
      <c r="W53" s="310"/>
      <c r="X53" s="310"/>
      <c r="Y53" s="310"/>
      <c r="Z53" s="310"/>
      <c r="AA53" s="310">
        <f t="shared" si="1"/>
        <v>0</v>
      </c>
      <c r="AB53" s="311" t="str">
        <f t="shared" si="2"/>
        <v/>
      </c>
      <c r="AC53" s="328"/>
      <c r="AD53" s="310"/>
      <c r="AE53" s="311" t="str">
        <f t="shared" si="3"/>
        <v/>
      </c>
      <c r="AF53" s="312">
        <f t="shared" si="4"/>
        <v>0</v>
      </c>
      <c r="AG53" s="310"/>
      <c r="AH53" s="311" t="str">
        <f t="shared" si="5"/>
        <v/>
      </c>
      <c r="AI53" s="313">
        <f t="shared" si="6"/>
        <v>0</v>
      </c>
      <c r="AJ53" s="399">
        <f t="shared" si="7"/>
        <v>0</v>
      </c>
      <c r="AK53" s="400">
        <f t="shared" si="8"/>
        <v>0</v>
      </c>
      <c r="AL53" s="401">
        <f t="shared" si="9"/>
        <v>0</v>
      </c>
      <c r="AM53" s="402">
        <f t="shared" si="10"/>
        <v>0</v>
      </c>
      <c r="AN53" s="403">
        <f t="shared" si="11"/>
        <v>0</v>
      </c>
    </row>
    <row r="54" spans="1:40" x14ac:dyDescent="0.25">
      <c r="A54" s="6" t="s">
        <v>6</v>
      </c>
      <c r="B54" s="7"/>
      <c r="F54" s="152"/>
      <c r="H54" s="15" t="s">
        <v>282</v>
      </c>
      <c r="I54" s="161" t="s">
        <v>1058</v>
      </c>
      <c r="J54" s="161" t="s">
        <v>78</v>
      </c>
      <c r="K54" s="68" t="str">
        <f t="shared" si="0"/>
        <v>&gt;</v>
      </c>
      <c r="L54" s="162"/>
      <c r="M54" s="162"/>
      <c r="N54" s="162" t="s">
        <v>1219</v>
      </c>
      <c r="O54" s="309">
        <v>6690.06</v>
      </c>
      <c r="P54" s="310">
        <v>8079.48</v>
      </c>
      <c r="Q54" s="310">
        <v>7071.12</v>
      </c>
      <c r="R54" s="310">
        <v>5475.49</v>
      </c>
      <c r="S54" s="310">
        <v>6532</v>
      </c>
      <c r="T54" s="310">
        <v>6530.58</v>
      </c>
      <c r="U54" s="310">
        <v>5592.78</v>
      </c>
      <c r="V54" s="310">
        <v>4240.8</v>
      </c>
      <c r="W54" s="310">
        <v>6875.64</v>
      </c>
      <c r="X54" s="310">
        <v>5479.56</v>
      </c>
      <c r="Y54" s="310">
        <v>5631</v>
      </c>
      <c r="Z54" s="310">
        <v>9030.56</v>
      </c>
      <c r="AA54" s="310">
        <f t="shared" si="1"/>
        <v>77229.070000000007</v>
      </c>
      <c r="AB54" s="311">
        <f t="shared" si="2"/>
        <v>0.15267817508497036</v>
      </c>
      <c r="AC54" s="328"/>
      <c r="AD54" s="310">
        <v>108758.7234</v>
      </c>
      <c r="AE54" s="311">
        <f t="shared" si="3"/>
        <v>0.15254237288135594</v>
      </c>
      <c r="AF54" s="312">
        <f t="shared" si="4"/>
        <v>-31529.653399999996</v>
      </c>
      <c r="AG54" s="310">
        <v>75181.56</v>
      </c>
      <c r="AH54" s="311">
        <f t="shared" si="5"/>
        <v>0.15300533859106133</v>
      </c>
      <c r="AI54" s="313">
        <f t="shared" si="6"/>
        <v>2047.5100000000093</v>
      </c>
      <c r="AJ54" s="399">
        <f t="shared" si="7"/>
        <v>4.8789607682102476</v>
      </c>
      <c r="AK54" s="400">
        <f t="shared" si="8"/>
        <v>6.3264919667267758</v>
      </c>
      <c r="AL54" s="401">
        <f t="shared" si="9"/>
        <v>5.6341097122302157</v>
      </c>
      <c r="AM54" s="402" t="str">
        <f t="shared" si="10"/>
        <v>0.01 pts.</v>
      </c>
      <c r="AN54" s="403" t="str">
        <f t="shared" si="11"/>
        <v>-0.03 pts.</v>
      </c>
    </row>
    <row r="55" spans="1:40" x14ac:dyDescent="0.25">
      <c r="A55" s="6" t="s">
        <v>7</v>
      </c>
      <c r="B55" s="16" t="s">
        <v>1444</v>
      </c>
      <c r="F55" s="152"/>
      <c r="H55" s="15" t="s">
        <v>283</v>
      </c>
      <c r="I55" s="161" t="s">
        <v>1058</v>
      </c>
      <c r="J55" s="161" t="s">
        <v>78</v>
      </c>
      <c r="K55" s="68" t="str">
        <f t="shared" si="0"/>
        <v>&gt;</v>
      </c>
      <c r="L55" s="162"/>
      <c r="M55" s="162"/>
      <c r="N55" s="162" t="s">
        <v>1220</v>
      </c>
      <c r="O55" s="309">
        <v>70</v>
      </c>
      <c r="P55" s="310">
        <v>70</v>
      </c>
      <c r="Q55" s="310">
        <v>90</v>
      </c>
      <c r="R55" s="310">
        <v>15</v>
      </c>
      <c r="S55" s="310">
        <v>50</v>
      </c>
      <c r="T55" s="310">
        <v>70</v>
      </c>
      <c r="U55" s="310">
        <v>80</v>
      </c>
      <c r="V55" s="310">
        <v>62</v>
      </c>
      <c r="W55" s="310">
        <v>232</v>
      </c>
      <c r="X55" s="310">
        <v>260</v>
      </c>
      <c r="Y55" s="310">
        <v>100</v>
      </c>
      <c r="Z55" s="310">
        <v>145</v>
      </c>
      <c r="AA55" s="310">
        <f t="shared" si="1"/>
        <v>1244</v>
      </c>
      <c r="AB55" s="311">
        <f t="shared" si="2"/>
        <v>2.4593284601990301E-3</v>
      </c>
      <c r="AC55" s="328"/>
      <c r="AD55" s="310"/>
      <c r="AE55" s="311" t="str">
        <f t="shared" si="3"/>
        <v/>
      </c>
      <c r="AF55" s="312">
        <f t="shared" si="4"/>
        <v>1244</v>
      </c>
      <c r="AG55" s="310">
        <v>951.16</v>
      </c>
      <c r="AH55" s="311">
        <f t="shared" si="5"/>
        <v>1.9357480458542479E-3</v>
      </c>
      <c r="AI55" s="313">
        <f t="shared" si="6"/>
        <v>292.84000000000003</v>
      </c>
      <c r="AJ55" s="399">
        <f t="shared" si="7"/>
        <v>7.8589929875544889E-2</v>
      </c>
      <c r="AK55" s="400">
        <f t="shared" si="8"/>
        <v>0</v>
      </c>
      <c r="AL55" s="401">
        <f t="shared" si="9"/>
        <v>7.1279976019184649E-2</v>
      </c>
      <c r="AM55" s="402">
        <f t="shared" si="10"/>
        <v>0</v>
      </c>
      <c r="AN55" s="403" t="str">
        <f t="shared" si="11"/>
        <v>0.05 pts.</v>
      </c>
    </row>
    <row r="56" spans="1:40" x14ac:dyDescent="0.25">
      <c r="A56" s="6" t="s">
        <v>47</v>
      </c>
      <c r="B56" s="16" t="s">
        <v>1442</v>
      </c>
      <c r="H56" s="15" t="s">
        <v>473</v>
      </c>
      <c r="I56" s="161" t="s">
        <v>1009</v>
      </c>
      <c r="J56" s="161" t="s">
        <v>1009</v>
      </c>
      <c r="K56" s="68" t="str">
        <f t="shared" si="0"/>
        <v/>
      </c>
      <c r="L56" s="162">
        <v>468990</v>
      </c>
      <c r="M56" s="162">
        <v>206022</v>
      </c>
      <c r="N56" s="162" t="s">
        <v>1222</v>
      </c>
      <c r="O56" s="323"/>
      <c r="P56" s="324"/>
      <c r="Q56" s="324"/>
      <c r="R56" s="324"/>
      <c r="S56" s="324"/>
      <c r="T56" s="324"/>
      <c r="U56" s="324"/>
      <c r="V56" s="324"/>
      <c r="W56" s="324"/>
      <c r="X56" s="324"/>
      <c r="Y56" s="324"/>
      <c r="Z56" s="324"/>
      <c r="AA56" s="324">
        <f t="shared" si="1"/>
        <v>0</v>
      </c>
      <c r="AB56" s="325" t="str">
        <f t="shared" si="2"/>
        <v/>
      </c>
      <c r="AC56" s="290"/>
      <c r="AD56" s="324"/>
      <c r="AE56" s="325" t="str">
        <f t="shared" si="3"/>
        <v/>
      </c>
      <c r="AF56" s="326">
        <f t="shared" si="4"/>
        <v>0</v>
      </c>
      <c r="AG56" s="324"/>
      <c r="AH56" s="325" t="str">
        <f t="shared" si="5"/>
        <v/>
      </c>
      <c r="AI56" s="327">
        <f t="shared" si="6"/>
        <v>0</v>
      </c>
      <c r="AJ56" s="409">
        <f t="shared" si="7"/>
        <v>0</v>
      </c>
      <c r="AK56" s="410">
        <f t="shared" si="8"/>
        <v>0</v>
      </c>
      <c r="AL56" s="411">
        <f t="shared" si="9"/>
        <v>0</v>
      </c>
      <c r="AM56" s="412">
        <f t="shared" si="10"/>
        <v>0</v>
      </c>
      <c r="AN56" s="413">
        <f t="shared" si="11"/>
        <v>0</v>
      </c>
    </row>
    <row r="57" spans="1:40" x14ac:dyDescent="0.25">
      <c r="A57" s="6" t="s">
        <v>8</v>
      </c>
      <c r="B57" s="7"/>
      <c r="H57" s="15" t="s">
        <v>277</v>
      </c>
      <c r="I57" s="479" t="s">
        <v>1064</v>
      </c>
      <c r="J57" s="479" t="s">
        <v>78</v>
      </c>
      <c r="K57" s="480" t="str">
        <f t="shared" si="0"/>
        <v/>
      </c>
      <c r="L57" s="170"/>
      <c r="M57" s="170"/>
      <c r="N57" s="170" t="s">
        <v>1221</v>
      </c>
      <c r="O57" s="225">
        <v>6760.06</v>
      </c>
      <c r="P57" s="36">
        <v>8149.48</v>
      </c>
      <c r="Q57" s="36">
        <v>7161.12</v>
      </c>
      <c r="R57" s="36">
        <v>5490.49</v>
      </c>
      <c r="S57" s="36">
        <v>6582</v>
      </c>
      <c r="T57" s="36">
        <v>6600.58</v>
      </c>
      <c r="U57" s="36">
        <v>5672.78</v>
      </c>
      <c r="V57" s="36">
        <v>4302.8</v>
      </c>
      <c r="W57" s="36">
        <v>7107.64</v>
      </c>
      <c r="X57" s="36">
        <v>5739.56</v>
      </c>
      <c r="Y57" s="36">
        <v>5731</v>
      </c>
      <c r="Z57" s="36">
        <v>9175.56</v>
      </c>
      <c r="AA57" s="36">
        <f t="shared" si="1"/>
        <v>78473.070000000007</v>
      </c>
      <c r="AB57" s="37">
        <f t="shared" si="2"/>
        <v>0.15513750354516939</v>
      </c>
      <c r="AC57" s="35"/>
      <c r="AD57" s="36">
        <v>108758.7234</v>
      </c>
      <c r="AE57" s="37">
        <f t="shared" si="3"/>
        <v>0.15254237288135594</v>
      </c>
      <c r="AF57" s="58">
        <f t="shared" si="4"/>
        <v>-30285.653399999996</v>
      </c>
      <c r="AG57" s="36">
        <v>76132.72</v>
      </c>
      <c r="AH57" s="37">
        <f t="shared" si="5"/>
        <v>0.15494108663691558</v>
      </c>
      <c r="AI57" s="292">
        <f t="shared" si="6"/>
        <v>2340.3500000000058</v>
      </c>
      <c r="AJ57" s="372">
        <f t="shared" si="7"/>
        <v>4.9575506980857922</v>
      </c>
      <c r="AK57" s="373">
        <f t="shared" si="8"/>
        <v>6.3264919667267758</v>
      </c>
      <c r="AL57" s="375">
        <f t="shared" si="9"/>
        <v>5.7053896882494008</v>
      </c>
      <c r="AM57" s="407" t="str">
        <f t="shared" si="10"/>
        <v>0.26 pts.</v>
      </c>
      <c r="AN57" s="408" t="str">
        <f t="shared" si="11"/>
        <v>0.02 pts.</v>
      </c>
    </row>
    <row r="58" spans="1:40" x14ac:dyDescent="0.25">
      <c r="G58" s="14"/>
      <c r="H58" s="15" t="s">
        <v>280</v>
      </c>
      <c r="I58" s="479" t="s">
        <v>1012</v>
      </c>
      <c r="J58" s="479" t="s">
        <v>78</v>
      </c>
      <c r="K58" s="480" t="str">
        <f t="shared" si="0"/>
        <v/>
      </c>
      <c r="L58" s="170">
        <v>400000</v>
      </c>
      <c r="M58" s="170"/>
      <c r="N58" s="170" t="s">
        <v>1003</v>
      </c>
      <c r="O58" s="224">
        <v>44156.43</v>
      </c>
      <c r="P58" s="134">
        <v>53027.05</v>
      </c>
      <c r="Q58" s="134">
        <v>46189.919999999998</v>
      </c>
      <c r="R58" s="134">
        <v>36077.800000000003</v>
      </c>
      <c r="S58" s="134">
        <v>41019.5</v>
      </c>
      <c r="T58" s="134">
        <v>43923.33</v>
      </c>
      <c r="U58" s="134">
        <v>36934.69</v>
      </c>
      <c r="V58" s="134">
        <v>28297.71</v>
      </c>
      <c r="W58" s="134">
        <v>45068.14</v>
      </c>
      <c r="X58" s="134">
        <v>35403.879999999997</v>
      </c>
      <c r="Y58" s="134">
        <v>36806.03</v>
      </c>
      <c r="Z58" s="134">
        <v>58924.66</v>
      </c>
      <c r="AA58" s="134">
        <f t="shared" si="1"/>
        <v>505829.14000000013</v>
      </c>
      <c r="AB58" s="135">
        <f t="shared" si="2"/>
        <v>1</v>
      </c>
      <c r="AC58" s="137"/>
      <c r="AD58" s="134">
        <v>712973.85340000002</v>
      </c>
      <c r="AE58" s="135">
        <f t="shared" si="3"/>
        <v>1</v>
      </c>
      <c r="AF58" s="136">
        <f t="shared" si="4"/>
        <v>-207144.71339999989</v>
      </c>
      <c r="AG58" s="134">
        <v>491365.6</v>
      </c>
      <c r="AH58" s="135">
        <f t="shared" si="5"/>
        <v>1</v>
      </c>
      <c r="AI58" s="291">
        <f t="shared" si="6"/>
        <v>14463.540000000154</v>
      </c>
      <c r="AJ58" s="360">
        <f t="shared" si="7"/>
        <v>31.955849390359475</v>
      </c>
      <c r="AK58" s="361">
        <f t="shared" si="8"/>
        <v>41.47366955965331</v>
      </c>
      <c r="AL58" s="363">
        <f t="shared" si="9"/>
        <v>36.822961630695438</v>
      </c>
      <c r="AM58" s="405" t="str">
        <f t="shared" si="10"/>
        <v>0 pts.</v>
      </c>
      <c r="AN58" s="406" t="str">
        <f t="shared" si="11"/>
        <v>0 pts.</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s">
        <v>1011</v>
      </c>
      <c r="J60" s="11" t="s">
        <v>78</v>
      </c>
      <c r="N60" s="40" t="s">
        <v>1223</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s">
        <v>1011</v>
      </c>
      <c r="J61" s="11" t="s">
        <v>78</v>
      </c>
      <c r="N61" s="8" t="s">
        <v>1224</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str">
        <f>"DEP(COS_FB) AND "&amp;$E$6&amp;"=Y,COS_FB,COSOTH,DEP(COS_OTHR) AND "&amp;$E$6&amp;"=Y,COS_OTHR,500001"</f>
        <v>DEP(COS_FB) AND D_VENUES=Y,COS_FB,COSOTH,DEP(COS_OTHR) AND D_VENUES=Y,COS_OTHR,500001</v>
      </c>
      <c r="H62" s="15" t="s">
        <v>285</v>
      </c>
      <c r="I62" s="161" t="s">
        <v>1058</v>
      </c>
      <c r="J62" s="161" t="s">
        <v>78</v>
      </c>
      <c r="K62" s="68" t="str">
        <f t="shared" ref="K62:K72" si="12">IF(AND(I62&gt;="T5"),"&gt;","")</f>
        <v>&gt;</v>
      </c>
      <c r="L62" s="162">
        <v>561100</v>
      </c>
      <c r="M62" s="162"/>
      <c r="N62" s="162" t="s">
        <v>1225</v>
      </c>
      <c r="O62" s="309">
        <v>2570.12</v>
      </c>
      <c r="P62" s="310">
        <v>3708.15</v>
      </c>
      <c r="Q62" s="310">
        <v>2555.1999999999998</v>
      </c>
      <c r="R62" s="310">
        <v>2254.9</v>
      </c>
      <c r="S62" s="310">
        <v>3461.9</v>
      </c>
      <c r="T62" s="310">
        <v>2001.14</v>
      </c>
      <c r="U62" s="310">
        <v>2843.35</v>
      </c>
      <c r="V62" s="310">
        <v>1919.32</v>
      </c>
      <c r="W62" s="310">
        <v>3295.36</v>
      </c>
      <c r="X62" s="310">
        <v>3626.23</v>
      </c>
      <c r="Y62" s="310">
        <v>2268.96</v>
      </c>
      <c r="Z62" s="310">
        <v>4083.23</v>
      </c>
      <c r="AA62" s="310">
        <f t="shared" ref="AA62:AA70" si="13">IF($I62="B1","",SUM(O62:Z62))</f>
        <v>34587.86</v>
      </c>
      <c r="AB62" s="311">
        <v>0.241409000066585</v>
      </c>
      <c r="AC62" s="328"/>
      <c r="AD62" s="310">
        <v>46967.19</v>
      </c>
      <c r="AE62" s="311">
        <v>0.292000102484329</v>
      </c>
      <c r="AF62" s="312">
        <f t="shared" ref="AF62:AF72" si="14">IF(AND($AA62="",AD62=""),"",$AA62-AD62)</f>
        <v>-12379.330000000002</v>
      </c>
      <c r="AG62" s="310">
        <v>32610.79</v>
      </c>
      <c r="AH62" s="311">
        <v>0.29286886528232797</v>
      </c>
      <c r="AI62" s="313">
        <f t="shared" ref="AI62:AI72" si="15">IF(AND($AA62="",AG62=""),"",$AA62-AG62)</f>
        <v>1977.0699999999997</v>
      </c>
      <c r="AJ62" s="399">
        <f t="shared" ref="AJ62:AJ72" si="16">IFERROR(AA62/AA$20,0)</f>
        <v>2.1850944469012572</v>
      </c>
      <c r="AK62" s="400">
        <f t="shared" ref="AK62:AK72" si="17">IFERROR(AD62/AD$20,0)</f>
        <v>2.7320801582223257</v>
      </c>
      <c r="AL62" s="401">
        <f t="shared" ref="AL62:AL72" si="18">IFERROR(AG62/AG$20,0)</f>
        <v>2.4438541666666667</v>
      </c>
      <c r="AM62" s="402" t="str">
        <f t="shared" ref="AM62:AM72" si="19">+IFERROR(ROUND(($AB62-AE62)*100,2)&amp;" pts.",0)</f>
        <v>-5.06 pts.</v>
      </c>
      <c r="AN62" s="403" t="str">
        <f t="shared" ref="AN62:AN72" si="20">+IFERROR(ROUND(($AB62-AH62)*100,2)&amp;" pts.",0)</f>
        <v>-5.15 pts.</v>
      </c>
    </row>
    <row r="63" spans="1:40" x14ac:dyDescent="0.25">
      <c r="A63" s="6" t="s">
        <v>14</v>
      </c>
      <c r="B63" s="7"/>
      <c r="H63" s="15" t="s">
        <v>636</v>
      </c>
      <c r="I63" s="161" t="s">
        <v>1058</v>
      </c>
      <c r="J63" s="161" t="s">
        <v>78</v>
      </c>
      <c r="K63" s="68" t="str">
        <f t="shared" si="12"/>
        <v>&gt;</v>
      </c>
      <c r="L63" s="162"/>
      <c r="M63" s="162"/>
      <c r="N63" s="162" t="s">
        <v>1226</v>
      </c>
      <c r="O63" s="323">
        <v>6568.79</v>
      </c>
      <c r="P63" s="324">
        <v>7367.21</v>
      </c>
      <c r="Q63" s="324">
        <v>5560.71</v>
      </c>
      <c r="R63" s="324">
        <v>4134.5</v>
      </c>
      <c r="S63" s="324">
        <v>4090.3</v>
      </c>
      <c r="T63" s="324">
        <v>4823.75</v>
      </c>
      <c r="U63" s="324">
        <v>3806.28</v>
      </c>
      <c r="V63" s="324">
        <v>3124.21</v>
      </c>
      <c r="W63" s="324">
        <v>4784.8599999999997</v>
      </c>
      <c r="X63" s="324">
        <v>2937.62</v>
      </c>
      <c r="Y63" s="324">
        <v>4209.42</v>
      </c>
      <c r="Z63" s="324">
        <v>6447.72</v>
      </c>
      <c r="AA63" s="324">
        <f t="shared" si="13"/>
        <v>57855.37</v>
      </c>
      <c r="AB63" s="325">
        <v>0.20339042337631599</v>
      </c>
      <c r="AC63" s="290"/>
      <c r="AD63" s="324">
        <v>102795.89</v>
      </c>
      <c r="AE63" s="325">
        <v>0.231851961288848</v>
      </c>
      <c r="AF63" s="326">
        <f t="shared" si="14"/>
        <v>-44940.52</v>
      </c>
      <c r="AG63" s="324">
        <v>72959.520000000004</v>
      </c>
      <c r="AH63" s="325">
        <v>0.239886124360665</v>
      </c>
      <c r="AI63" s="327">
        <f t="shared" si="15"/>
        <v>-15104.150000000001</v>
      </c>
      <c r="AJ63" s="409">
        <f t="shared" si="16"/>
        <v>3.6550236906942954</v>
      </c>
      <c r="AK63" s="410">
        <f t="shared" si="17"/>
        <v>5.9796341108719675</v>
      </c>
      <c r="AL63" s="411">
        <f t="shared" si="18"/>
        <v>5.4675899280575546</v>
      </c>
      <c r="AM63" s="412" t="str">
        <f t="shared" si="19"/>
        <v>-2.85 pts.</v>
      </c>
      <c r="AN63" s="413" t="str">
        <f t="shared" si="20"/>
        <v>-3.65 pts.</v>
      </c>
    </row>
    <row r="64" spans="1:40" x14ac:dyDescent="0.25">
      <c r="A64" s="6" t="s">
        <v>15</v>
      </c>
      <c r="B64" s="7"/>
      <c r="H64" s="15" t="s">
        <v>286</v>
      </c>
      <c r="I64" s="479" t="s">
        <v>1064</v>
      </c>
      <c r="J64" s="479" t="s">
        <v>78</v>
      </c>
      <c r="K64" s="480" t="str">
        <f t="shared" si="12"/>
        <v/>
      </c>
      <c r="L64" s="170"/>
      <c r="M64" s="170"/>
      <c r="N64" s="170" t="s">
        <v>1227</v>
      </c>
      <c r="O64" s="224">
        <v>9138.91</v>
      </c>
      <c r="P64" s="134">
        <v>11075.36</v>
      </c>
      <c r="Q64" s="134">
        <v>8115.91</v>
      </c>
      <c r="R64" s="134">
        <v>6389.4</v>
      </c>
      <c r="S64" s="134">
        <v>7552.2</v>
      </c>
      <c r="T64" s="134">
        <v>6824.89</v>
      </c>
      <c r="U64" s="134">
        <v>6649.63</v>
      </c>
      <c r="V64" s="134">
        <v>5043.53</v>
      </c>
      <c r="W64" s="134">
        <v>8080.22</v>
      </c>
      <c r="X64" s="134">
        <v>6563.85</v>
      </c>
      <c r="Y64" s="134">
        <v>6478.38</v>
      </c>
      <c r="Z64" s="134">
        <v>10530.95</v>
      </c>
      <c r="AA64" s="134">
        <f t="shared" si="13"/>
        <v>92443.23</v>
      </c>
      <c r="AB64" s="135">
        <v>0.216314302029219</v>
      </c>
      <c r="AC64" s="137"/>
      <c r="AD64" s="134">
        <v>149763.07999999999</v>
      </c>
      <c r="AE64" s="135">
        <v>0.247863836180335</v>
      </c>
      <c r="AF64" s="136">
        <f t="shared" si="14"/>
        <v>-57319.849999999991</v>
      </c>
      <c r="AG64" s="134">
        <v>105570.31</v>
      </c>
      <c r="AH64" s="135">
        <v>0.25424361866526601</v>
      </c>
      <c r="AI64" s="291">
        <f t="shared" si="15"/>
        <v>-13127.080000000002</v>
      </c>
      <c r="AJ64" s="360">
        <f t="shared" si="16"/>
        <v>5.8401181375955522</v>
      </c>
      <c r="AK64" s="361">
        <f t="shared" si="17"/>
        <v>8.7117142690942924</v>
      </c>
      <c r="AL64" s="363">
        <f t="shared" si="18"/>
        <v>7.9114440947242208</v>
      </c>
      <c r="AM64" s="405" t="str">
        <f t="shared" si="19"/>
        <v>-3.15 pts.</v>
      </c>
      <c r="AN64" s="406" t="str">
        <f t="shared" si="20"/>
        <v>-3.79 pts.</v>
      </c>
    </row>
    <row r="65" spans="1:40" x14ac:dyDescent="0.25">
      <c r="A65" s="6" t="s">
        <v>16</v>
      </c>
      <c r="B65" s="7"/>
      <c r="H65" s="15" t="s">
        <v>287</v>
      </c>
      <c r="I65" s="479" t="s">
        <v>1011</v>
      </c>
      <c r="J65" s="479" t="s">
        <v>78</v>
      </c>
      <c r="K65" s="480" t="str">
        <f t="shared" si="12"/>
        <v/>
      </c>
      <c r="L65" s="170"/>
      <c r="M65" s="170"/>
      <c r="N65" s="170" t="s">
        <v>1228</v>
      </c>
      <c r="O65" s="314"/>
      <c r="P65" s="315"/>
      <c r="Q65" s="315"/>
      <c r="R65" s="315"/>
      <c r="S65" s="315"/>
      <c r="T65" s="315"/>
      <c r="U65" s="315"/>
      <c r="V65" s="315"/>
      <c r="W65" s="315"/>
      <c r="X65" s="315"/>
      <c r="Y65" s="315"/>
      <c r="Z65" s="315"/>
      <c r="AA65" s="315" t="str">
        <f t="shared" si="13"/>
        <v/>
      </c>
      <c r="AB65" s="316"/>
      <c r="AC65" s="329"/>
      <c r="AD65" s="315"/>
      <c r="AE65" s="316"/>
      <c r="AF65" s="317" t="str">
        <f t="shared" si="14"/>
        <v/>
      </c>
      <c r="AG65" s="315"/>
      <c r="AH65" s="316"/>
      <c r="AI65" s="318" t="str">
        <f t="shared" si="15"/>
        <v/>
      </c>
      <c r="AJ65" s="353">
        <f t="shared" si="16"/>
        <v>0</v>
      </c>
      <c r="AK65" s="354">
        <f t="shared" si="17"/>
        <v>0</v>
      </c>
      <c r="AL65" s="356">
        <f t="shared" si="18"/>
        <v>0</v>
      </c>
      <c r="AM65" s="390" t="str">
        <f t="shared" si="19"/>
        <v>0 pts.</v>
      </c>
      <c r="AN65" s="404" t="str">
        <f t="shared" si="20"/>
        <v>0 pts.</v>
      </c>
    </row>
    <row r="66" spans="1:40" x14ac:dyDescent="0.25">
      <c r="A66" s="6" t="s">
        <v>17</v>
      </c>
      <c r="B66" s="7"/>
      <c r="H66" s="15" t="s">
        <v>637</v>
      </c>
      <c r="I66" s="161" t="s">
        <v>1009</v>
      </c>
      <c r="J66" s="161" t="s">
        <v>1009</v>
      </c>
      <c r="K66" s="68" t="str">
        <f t="shared" si="12"/>
        <v/>
      </c>
      <c r="L66" s="162">
        <v>568300</v>
      </c>
      <c r="M66" s="162">
        <v>306005</v>
      </c>
      <c r="N66" s="162" t="s">
        <v>1229</v>
      </c>
      <c r="O66" s="309"/>
      <c r="P66" s="310"/>
      <c r="Q66" s="310"/>
      <c r="R66" s="310"/>
      <c r="S66" s="310"/>
      <c r="T66" s="310"/>
      <c r="U66" s="310"/>
      <c r="V66" s="310"/>
      <c r="W66" s="310"/>
      <c r="X66" s="310"/>
      <c r="Y66" s="310"/>
      <c r="Z66" s="310"/>
      <c r="AA66" s="310">
        <f t="shared" si="13"/>
        <v>0</v>
      </c>
      <c r="AB66" s="311"/>
      <c r="AC66" s="328"/>
      <c r="AD66" s="310"/>
      <c r="AE66" s="311"/>
      <c r="AF66" s="312">
        <f t="shared" si="14"/>
        <v>0</v>
      </c>
      <c r="AG66" s="310"/>
      <c r="AH66" s="311"/>
      <c r="AI66" s="313">
        <f t="shared" si="15"/>
        <v>0</v>
      </c>
      <c r="AJ66" s="399">
        <f t="shared" si="16"/>
        <v>0</v>
      </c>
      <c r="AK66" s="400">
        <f t="shared" si="17"/>
        <v>0</v>
      </c>
      <c r="AL66" s="401">
        <f t="shared" si="18"/>
        <v>0</v>
      </c>
      <c r="AM66" s="402" t="str">
        <f t="shared" si="19"/>
        <v>0 pts.</v>
      </c>
      <c r="AN66" s="403" t="str">
        <f t="shared" si="20"/>
        <v>0 pts.</v>
      </c>
    </row>
    <row r="67" spans="1:40" x14ac:dyDescent="0.25">
      <c r="H67" s="15" t="s">
        <v>638</v>
      </c>
      <c r="I67" s="161" t="s">
        <v>1009</v>
      </c>
      <c r="J67" s="161" t="s">
        <v>1009</v>
      </c>
      <c r="K67" s="68" t="str">
        <f t="shared" si="12"/>
        <v/>
      </c>
      <c r="L67" s="162">
        <v>568350</v>
      </c>
      <c r="M67" s="162">
        <v>306099</v>
      </c>
      <c r="N67" s="162" t="s">
        <v>1217</v>
      </c>
      <c r="O67" s="309"/>
      <c r="P67" s="310"/>
      <c r="Q67" s="310"/>
      <c r="R67" s="310"/>
      <c r="S67" s="310"/>
      <c r="T67" s="310"/>
      <c r="U67" s="310"/>
      <c r="V67" s="310"/>
      <c r="W67" s="310"/>
      <c r="X67" s="310"/>
      <c r="Y67" s="310"/>
      <c r="Z67" s="310"/>
      <c r="AA67" s="310">
        <f t="shared" si="13"/>
        <v>0</v>
      </c>
      <c r="AB67" s="311"/>
      <c r="AC67" s="328"/>
      <c r="AD67" s="310"/>
      <c r="AE67" s="311"/>
      <c r="AF67" s="312">
        <f t="shared" si="14"/>
        <v>0</v>
      </c>
      <c r="AG67" s="310"/>
      <c r="AH67" s="311"/>
      <c r="AI67" s="313">
        <f t="shared" si="15"/>
        <v>0</v>
      </c>
      <c r="AJ67" s="399">
        <f t="shared" si="16"/>
        <v>0</v>
      </c>
      <c r="AK67" s="400">
        <f t="shared" si="17"/>
        <v>0</v>
      </c>
      <c r="AL67" s="401">
        <f t="shared" si="18"/>
        <v>0</v>
      </c>
      <c r="AM67" s="402" t="str">
        <f t="shared" si="19"/>
        <v>0 pts.</v>
      </c>
      <c r="AN67" s="403" t="str">
        <f t="shared" si="20"/>
        <v>0 pts.</v>
      </c>
    </row>
    <row r="68" spans="1:40" x14ac:dyDescent="0.25">
      <c r="A68" s="22" t="s">
        <v>92</v>
      </c>
      <c r="B68" s="23" t="s">
        <v>93</v>
      </c>
      <c r="C68" s="23" t="s">
        <v>94</v>
      </c>
      <c r="D68" s="23" t="s">
        <v>95</v>
      </c>
      <c r="E68" s="23" t="s">
        <v>96</v>
      </c>
      <c r="F68" s="24" t="s">
        <v>97</v>
      </c>
      <c r="H68" s="15" t="s">
        <v>639</v>
      </c>
      <c r="I68" s="161" t="s">
        <v>1058</v>
      </c>
      <c r="J68" s="161" t="s">
        <v>78</v>
      </c>
      <c r="K68" s="68" t="str">
        <f t="shared" si="12"/>
        <v>&gt;</v>
      </c>
      <c r="L68" s="162"/>
      <c r="M68" s="162"/>
      <c r="N68" s="162" t="s">
        <v>1230</v>
      </c>
      <c r="O68" s="323"/>
      <c r="P68" s="324"/>
      <c r="Q68" s="324"/>
      <c r="R68" s="324"/>
      <c r="S68" s="324"/>
      <c r="T68" s="324"/>
      <c r="U68" s="324"/>
      <c r="V68" s="324"/>
      <c r="W68" s="324"/>
      <c r="X68" s="324"/>
      <c r="Y68" s="324"/>
      <c r="Z68" s="324"/>
      <c r="AA68" s="324">
        <f t="shared" si="13"/>
        <v>0</v>
      </c>
      <c r="AB68" s="325"/>
      <c r="AC68" s="290"/>
      <c r="AD68" s="324"/>
      <c r="AE68" s="325"/>
      <c r="AF68" s="326">
        <f t="shared" si="14"/>
        <v>0</v>
      </c>
      <c r="AG68" s="324"/>
      <c r="AH68" s="325"/>
      <c r="AI68" s="327">
        <f t="shared" si="15"/>
        <v>0</v>
      </c>
      <c r="AJ68" s="409">
        <f t="shared" si="16"/>
        <v>0</v>
      </c>
      <c r="AK68" s="410">
        <f t="shared" si="17"/>
        <v>0</v>
      </c>
      <c r="AL68" s="411">
        <f t="shared" si="18"/>
        <v>0</v>
      </c>
      <c r="AM68" s="412" t="str">
        <f t="shared" si="19"/>
        <v>0 pts.</v>
      </c>
      <c r="AN68" s="413" t="str">
        <f t="shared" si="20"/>
        <v>0 pts.</v>
      </c>
    </row>
    <row r="69" spans="1:40" x14ac:dyDescent="0.25">
      <c r="H69" s="15" t="s">
        <v>288</v>
      </c>
      <c r="I69" s="479" t="s">
        <v>1064</v>
      </c>
      <c r="J69" s="479" t="s">
        <v>78</v>
      </c>
      <c r="K69" s="480" t="str">
        <f t="shared" si="12"/>
        <v/>
      </c>
      <c r="L69" s="170"/>
      <c r="M69" s="170"/>
      <c r="N69" s="170" t="s">
        <v>1231</v>
      </c>
      <c r="O69" s="225"/>
      <c r="P69" s="36"/>
      <c r="Q69" s="36"/>
      <c r="R69" s="36"/>
      <c r="S69" s="36"/>
      <c r="T69" s="36"/>
      <c r="U69" s="36"/>
      <c r="V69" s="36"/>
      <c r="W69" s="36"/>
      <c r="X69" s="36"/>
      <c r="Y69" s="36"/>
      <c r="Z69" s="36"/>
      <c r="AA69" s="36">
        <f t="shared" si="13"/>
        <v>0</v>
      </c>
      <c r="AB69" s="37"/>
      <c r="AC69" s="35"/>
      <c r="AD69" s="36"/>
      <c r="AE69" s="37"/>
      <c r="AF69" s="58">
        <f t="shared" si="14"/>
        <v>0</v>
      </c>
      <c r="AG69" s="36"/>
      <c r="AH69" s="37"/>
      <c r="AI69" s="292">
        <f t="shared" si="15"/>
        <v>0</v>
      </c>
      <c r="AJ69" s="372">
        <f t="shared" si="16"/>
        <v>0</v>
      </c>
      <c r="AK69" s="373">
        <f t="shared" si="17"/>
        <v>0</v>
      </c>
      <c r="AL69" s="375">
        <f t="shared" si="18"/>
        <v>0</v>
      </c>
      <c r="AM69" s="407" t="str">
        <f t="shared" si="19"/>
        <v>0 pts.</v>
      </c>
      <c r="AN69" s="408" t="str">
        <f t="shared" si="20"/>
        <v>0 pts.</v>
      </c>
    </row>
    <row r="70" spans="1:40" x14ac:dyDescent="0.25">
      <c r="A70" s="1" t="s">
        <v>209</v>
      </c>
      <c r="B70" s="1" t="s">
        <v>21</v>
      </c>
      <c r="C70" s="74"/>
      <c r="D70" s="1" t="s">
        <v>590</v>
      </c>
      <c r="F70" s="1" t="s">
        <v>99</v>
      </c>
      <c r="H70" s="15" t="s">
        <v>289</v>
      </c>
      <c r="I70" s="479" t="s">
        <v>1012</v>
      </c>
      <c r="J70" s="479" t="s">
        <v>78</v>
      </c>
      <c r="K70" s="480" t="str">
        <f t="shared" si="12"/>
        <v/>
      </c>
      <c r="L70" s="170">
        <v>500001</v>
      </c>
      <c r="M70" s="170"/>
      <c r="N70" s="170" t="s">
        <v>1232</v>
      </c>
      <c r="O70" s="224">
        <v>9138.91</v>
      </c>
      <c r="P70" s="134">
        <v>11075.36</v>
      </c>
      <c r="Q70" s="134">
        <v>8115.91</v>
      </c>
      <c r="R70" s="134">
        <v>6389.4</v>
      </c>
      <c r="S70" s="134">
        <v>7552.2</v>
      </c>
      <c r="T70" s="134">
        <v>6824.89</v>
      </c>
      <c r="U70" s="134">
        <v>6649.63</v>
      </c>
      <c r="V70" s="134">
        <v>5043.53</v>
      </c>
      <c r="W70" s="134">
        <v>8080.22</v>
      </c>
      <c r="X70" s="134">
        <v>6563.85</v>
      </c>
      <c r="Y70" s="134">
        <v>6478.38</v>
      </c>
      <c r="Z70" s="134">
        <v>10530.95</v>
      </c>
      <c r="AA70" s="134">
        <f t="shared" si="13"/>
        <v>92443.23</v>
      </c>
      <c r="AB70" s="135">
        <v>0.18275584123128999</v>
      </c>
      <c r="AC70" s="137"/>
      <c r="AD70" s="134">
        <v>149763.07999999999</v>
      </c>
      <c r="AE70" s="135">
        <v>0.21005409845791101</v>
      </c>
      <c r="AF70" s="136">
        <f t="shared" si="14"/>
        <v>-57319.849999999991</v>
      </c>
      <c r="AG70" s="134">
        <v>105570.31</v>
      </c>
      <c r="AH70" s="135">
        <v>0.21485083611876801</v>
      </c>
      <c r="AI70" s="291">
        <f t="shared" si="15"/>
        <v>-13127.080000000002</v>
      </c>
      <c r="AJ70" s="360">
        <f t="shared" si="16"/>
        <v>5.8401181375955522</v>
      </c>
      <c r="AK70" s="361">
        <f t="shared" si="17"/>
        <v>8.7117142690942924</v>
      </c>
      <c r="AL70" s="363">
        <f t="shared" si="18"/>
        <v>7.9114440947242208</v>
      </c>
      <c r="AM70" s="405" t="str">
        <f t="shared" si="19"/>
        <v>-2.73 pts.</v>
      </c>
      <c r="AN70" s="406" t="str">
        <f t="shared" si="20"/>
        <v>-3.21 pts.</v>
      </c>
    </row>
    <row r="71" spans="1:40" x14ac:dyDescent="0.25">
      <c r="A71" s="1" t="s">
        <v>105</v>
      </c>
      <c r="C71" s="26" t="s">
        <v>101</v>
      </c>
      <c r="D71" s="1" t="s">
        <v>106</v>
      </c>
      <c r="F71" s="1" t="s">
        <v>98</v>
      </c>
      <c r="H71" s="149" t="s">
        <v>175</v>
      </c>
      <c r="I71" s="28" t="s">
        <v>1011</v>
      </c>
      <c r="J71" s="28" t="s">
        <v>78</v>
      </c>
      <c r="K71" s="69" t="str">
        <f t="shared" si="12"/>
        <v/>
      </c>
      <c r="L71" s="69"/>
      <c r="M71" s="69"/>
      <c r="N71" s="25" t="s">
        <v>175</v>
      </c>
      <c r="O71" s="47"/>
      <c r="P71" s="47"/>
      <c r="Q71" s="47"/>
      <c r="R71" s="47"/>
      <c r="S71" s="47"/>
      <c r="T71" s="47"/>
      <c r="U71" s="47"/>
      <c r="V71" s="47"/>
      <c r="W71" s="47"/>
      <c r="X71" s="47"/>
      <c r="Y71" s="47"/>
      <c r="Z71" s="47"/>
      <c r="AA71" s="47"/>
      <c r="AB71" s="48"/>
      <c r="AD71" s="47"/>
      <c r="AE71" s="48"/>
      <c r="AF71" s="150" t="str">
        <f t="shared" si="14"/>
        <v/>
      </c>
      <c r="AG71" s="47"/>
      <c r="AH71" s="48"/>
      <c r="AI71" s="150" t="str">
        <f t="shared" si="15"/>
        <v/>
      </c>
      <c r="AJ71" s="420">
        <f t="shared" si="16"/>
        <v>0</v>
      </c>
      <c r="AK71" s="421">
        <f t="shared" si="17"/>
        <v>0</v>
      </c>
      <c r="AL71" s="422">
        <f t="shared" si="18"/>
        <v>0</v>
      </c>
      <c r="AM71" s="423" t="str">
        <f t="shared" si="19"/>
        <v>0 pts.</v>
      </c>
      <c r="AN71" s="424" t="str">
        <f t="shared" si="20"/>
        <v>0 pts.</v>
      </c>
    </row>
    <row r="72" spans="1:40" x14ac:dyDescent="0.25">
      <c r="A72" s="1" t="s">
        <v>104</v>
      </c>
      <c r="C72" s="26" t="s">
        <v>101</v>
      </c>
      <c r="D72" s="1" t="s">
        <v>106</v>
      </c>
      <c r="F72" s="1" t="s">
        <v>98</v>
      </c>
      <c r="H72" s="149" t="s">
        <v>292</v>
      </c>
      <c r="I72" s="28" t="s">
        <v>1012</v>
      </c>
      <c r="J72" s="28" t="s">
        <v>78</v>
      </c>
      <c r="K72" s="69" t="str">
        <f t="shared" si="12"/>
        <v/>
      </c>
      <c r="L72" s="69"/>
      <c r="M72" s="69"/>
      <c r="N72" s="25" t="s">
        <v>1233</v>
      </c>
      <c r="O72" s="164">
        <f t="shared" ref="O72:Z72" si="21">SUMIF($H$35:$H$70,"400000",O35:O70)-SUMIF($H$35:$H$70,"500001",O35:O70)</f>
        <v>35017.520000000004</v>
      </c>
      <c r="P72" s="164">
        <f t="shared" si="21"/>
        <v>41951.69</v>
      </c>
      <c r="Q72" s="164">
        <f t="shared" si="21"/>
        <v>38074.009999999995</v>
      </c>
      <c r="R72" s="164">
        <f t="shared" si="21"/>
        <v>29688.400000000001</v>
      </c>
      <c r="S72" s="164">
        <f t="shared" si="21"/>
        <v>33467.300000000003</v>
      </c>
      <c r="T72" s="164">
        <f t="shared" si="21"/>
        <v>37098.44</v>
      </c>
      <c r="U72" s="164">
        <f t="shared" si="21"/>
        <v>30285.06</v>
      </c>
      <c r="V72" s="164">
        <f t="shared" si="21"/>
        <v>23254.18</v>
      </c>
      <c r="W72" s="164">
        <f t="shared" si="21"/>
        <v>36987.919999999998</v>
      </c>
      <c r="X72" s="164">
        <f t="shared" si="21"/>
        <v>28840.03</v>
      </c>
      <c r="Y72" s="164">
        <f t="shared" si="21"/>
        <v>30327.649999999998</v>
      </c>
      <c r="Z72" s="164">
        <f t="shared" si="21"/>
        <v>48393.710000000006</v>
      </c>
      <c r="AA72" s="134">
        <f>IF($I72="B1","",SUM(O72:Z72))</f>
        <v>413385.91</v>
      </c>
      <c r="AB72" s="135">
        <f>IF(AA72=0,"",IFERROR(AA72/AA$19,""))</f>
        <v>0.81724415876870971</v>
      </c>
      <c r="AD72" s="164">
        <f>SUMIF($H$35:$H$70,"400000",AD35:AD70)-SUMIF($H$35:$H$70,"500001",AD35:AD70)</f>
        <v>563210.77340000006</v>
      </c>
      <c r="AE72" s="135">
        <f>IF(AD72=0,"",IFERROR(AD72/AD$19,""))</f>
        <v>0.78994590154208877</v>
      </c>
      <c r="AF72" s="165">
        <f t="shared" si="14"/>
        <v>-149824.86340000009</v>
      </c>
      <c r="AG72" s="164">
        <f>SUMIF($H$35:$H$70,"400000",AG35:AG70)-SUMIF($H$35:$H$70,"500001",AG35:AG70)</f>
        <v>385795.29</v>
      </c>
      <c r="AH72" s="135">
        <f>IF(AG72=0,"",IFERROR(AG72/AG$19,""))</f>
        <v>0.78514916388123224</v>
      </c>
      <c r="AI72" s="165">
        <f t="shared" si="15"/>
        <v>27590.619999999995</v>
      </c>
      <c r="AJ72" s="392">
        <f t="shared" si="16"/>
        <v>26.115731252763911</v>
      </c>
      <c r="AK72" s="393">
        <f t="shared" si="17"/>
        <v>32.761955290559015</v>
      </c>
      <c r="AL72" s="394">
        <f t="shared" si="18"/>
        <v>28.911517535971221</v>
      </c>
      <c r="AM72" s="395" t="str">
        <f t="shared" si="19"/>
        <v>2.73 pts.</v>
      </c>
      <c r="AN72" s="437" t="str">
        <f t="shared" si="20"/>
        <v>3.21 pts.</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s">
        <v>1011</v>
      </c>
      <c r="J74" s="11" t="s">
        <v>78</v>
      </c>
      <c r="N74" s="40" t="s">
        <v>1079</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s">
        <v>1011</v>
      </c>
      <c r="J75" s="11" t="s">
        <v>78</v>
      </c>
      <c r="N75" s="8" t="s">
        <v>1080</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c r="J76" s="161"/>
      <c r="K76" s="68" t="str">
        <f t="shared" ref="K76:K87" si="22">IF(AND(I76&gt;="T3"),"&gt;","")</f>
        <v/>
      </c>
      <c r="L76" s="162"/>
      <c r="M76" s="162"/>
      <c r="N76" s="162"/>
      <c r="O76" s="38"/>
      <c r="P76" s="38"/>
      <c r="Q76" s="38"/>
      <c r="R76" s="38"/>
      <c r="S76" s="38"/>
      <c r="T76" s="38"/>
      <c r="U76" s="38"/>
      <c r="V76" s="38"/>
      <c r="W76" s="38"/>
      <c r="X76" s="38"/>
      <c r="Y76" s="38"/>
      <c r="Z76" s="38"/>
      <c r="AA76" s="310">
        <f t="shared" ref="AA76:AA87" si="23">IF($I76="B1","",SUM(O76:Z76))</f>
        <v>0</v>
      </c>
      <c r="AB76" s="39" t="str">
        <f t="shared" ref="AB76:AB87" si="24">IF(AA76=0,"",IFERROR(AA76/AA$19,""))</f>
        <v/>
      </c>
      <c r="AD76" s="38"/>
      <c r="AE76" s="39" t="str">
        <f t="shared" ref="AE76:AE87" si="25">IF(AD76=0,"",IFERROR(AD76/AD$19,""))</f>
        <v/>
      </c>
      <c r="AF76" s="132">
        <f t="shared" ref="AF76:AF87" si="26">IF(AND($AA76="",AD76=""),"",$AA76-AD76)</f>
        <v>0</v>
      </c>
      <c r="AG76" s="38"/>
      <c r="AH76" s="39" t="str">
        <f t="shared" ref="AH76:AH87" si="27">IF(AG76=0,"",IFERROR(AG76/AG$19,""))</f>
        <v/>
      </c>
      <c r="AI76" s="132">
        <f t="shared" ref="AI76:AI87" si="28">IF(AND($AA76="",AG76=""),"",$AA76-AG76)</f>
        <v>0</v>
      </c>
      <c r="AJ76" s="399">
        <f t="shared" ref="AJ76:AJ87" si="29">IFERROR(AA76/AA$20,0)</f>
        <v>0</v>
      </c>
      <c r="AK76" s="400">
        <f t="shared" ref="AK76:AK87" si="30">IFERROR(AD76/AD$20,0)</f>
        <v>0</v>
      </c>
      <c r="AL76" s="401">
        <f t="shared" ref="AL76:AL87" si="31">IFERROR(AG76/AG$20,0)</f>
        <v>0</v>
      </c>
      <c r="AM76" s="402">
        <f t="shared" ref="AM76:AM87" si="32">+IFERROR(ROUND(($AB76-AE76)*100,2)&amp;" pts.",0)</f>
        <v>0</v>
      </c>
      <c r="AN76" s="403">
        <f t="shared" ref="AN76:AN87" si="33">+IFERROR(ROUND(($AB76-AH76)*100,2)&amp;" pts.",0)</f>
        <v>0</v>
      </c>
    </row>
    <row r="77" spans="1:40" hidden="1" x14ac:dyDescent="0.25">
      <c r="A77" s="1" t="s">
        <v>108</v>
      </c>
      <c r="C77" s="151" t="s">
        <v>101</v>
      </c>
      <c r="D77" s="1" t="s">
        <v>107</v>
      </c>
      <c r="F77" s="1" t="s">
        <v>99</v>
      </c>
      <c r="H77" s="149"/>
      <c r="I77" s="161"/>
      <c r="J77" s="161"/>
      <c r="K77" s="68" t="str">
        <f t="shared" si="22"/>
        <v/>
      </c>
      <c r="L77" s="162"/>
      <c r="M77" s="162"/>
      <c r="N77" s="162"/>
      <c r="O77" s="38"/>
      <c r="P77" s="38"/>
      <c r="Q77" s="38"/>
      <c r="R77" s="38"/>
      <c r="S77" s="38"/>
      <c r="T77" s="38"/>
      <c r="U77" s="38"/>
      <c r="V77" s="38"/>
      <c r="W77" s="38"/>
      <c r="X77" s="38"/>
      <c r="Y77" s="38"/>
      <c r="Z77" s="38"/>
      <c r="AA77" s="310">
        <f t="shared" si="23"/>
        <v>0</v>
      </c>
      <c r="AB77" s="39" t="str">
        <f t="shared" si="24"/>
        <v/>
      </c>
      <c r="AD77" s="38"/>
      <c r="AE77" s="39" t="str">
        <f t="shared" si="25"/>
        <v/>
      </c>
      <c r="AF77" s="132">
        <f t="shared" si="26"/>
        <v>0</v>
      </c>
      <c r="AG77" s="38"/>
      <c r="AH77" s="39" t="str">
        <f t="shared" si="27"/>
        <v/>
      </c>
      <c r="AI77" s="132">
        <f t="shared" si="28"/>
        <v>0</v>
      </c>
      <c r="AJ77" s="399">
        <f t="shared" si="29"/>
        <v>0</v>
      </c>
      <c r="AK77" s="400">
        <f t="shared" si="30"/>
        <v>0</v>
      </c>
      <c r="AL77" s="401">
        <f t="shared" si="31"/>
        <v>0</v>
      </c>
      <c r="AM77" s="402">
        <f t="shared" si="32"/>
        <v>0</v>
      </c>
      <c r="AN77" s="403">
        <f t="shared" si="33"/>
        <v>0</v>
      </c>
    </row>
    <row r="78" spans="1:40" x14ac:dyDescent="0.25">
      <c r="H78" s="15" t="s">
        <v>75</v>
      </c>
      <c r="I78" s="28" t="s">
        <v>1011</v>
      </c>
      <c r="J78" s="28" t="s">
        <v>78</v>
      </c>
      <c r="K78" s="69" t="str">
        <f t="shared" si="22"/>
        <v/>
      </c>
      <c r="L78" s="25"/>
      <c r="M78" s="162"/>
      <c r="N78" s="25" t="s">
        <v>1082</v>
      </c>
      <c r="O78" s="38"/>
      <c r="P78" s="38"/>
      <c r="Q78" s="38"/>
      <c r="R78" s="38"/>
      <c r="S78" s="38"/>
      <c r="T78" s="38"/>
      <c r="U78" s="38"/>
      <c r="V78" s="38"/>
      <c r="W78" s="38"/>
      <c r="X78" s="38"/>
      <c r="Y78" s="38"/>
      <c r="Z78" s="38"/>
      <c r="AA78" s="310" t="str">
        <f t="shared" si="23"/>
        <v/>
      </c>
      <c r="AB78" s="39" t="str">
        <f t="shared" si="24"/>
        <v/>
      </c>
      <c r="AD78" s="38"/>
      <c r="AE78" s="39" t="str">
        <f t="shared" si="25"/>
        <v/>
      </c>
      <c r="AF78" s="132" t="str">
        <f t="shared" si="26"/>
        <v/>
      </c>
      <c r="AG78" s="38"/>
      <c r="AH78" s="39" t="str">
        <f t="shared" si="27"/>
        <v/>
      </c>
      <c r="AI78" s="132" t="str">
        <f t="shared" si="28"/>
        <v/>
      </c>
      <c r="AJ78" s="399">
        <f t="shared" si="29"/>
        <v>0</v>
      </c>
      <c r="AK78" s="400">
        <f t="shared" si="30"/>
        <v>0</v>
      </c>
      <c r="AL78" s="401">
        <f t="shared" si="31"/>
        <v>0</v>
      </c>
      <c r="AM78" s="402">
        <f t="shared" si="32"/>
        <v>0</v>
      </c>
      <c r="AN78" s="403">
        <f t="shared" si="33"/>
        <v>0</v>
      </c>
    </row>
    <row r="79" spans="1:40" x14ac:dyDescent="0.25">
      <c r="C79" s="32"/>
      <c r="H79" s="15" t="s">
        <v>863</v>
      </c>
      <c r="I79" s="161" t="s">
        <v>1012</v>
      </c>
      <c r="J79" s="161" t="s">
        <v>78</v>
      </c>
      <c r="K79" s="68" t="str">
        <f t="shared" si="22"/>
        <v>&gt;</v>
      </c>
      <c r="L79" s="162"/>
      <c r="M79" s="162"/>
      <c r="N79" s="162" t="s">
        <v>336</v>
      </c>
      <c r="O79" s="47">
        <v>4415.6000000000004</v>
      </c>
      <c r="P79" s="47">
        <v>3396.32</v>
      </c>
      <c r="Q79" s="47">
        <v>3122.32</v>
      </c>
      <c r="R79" s="47">
        <v>2886.24</v>
      </c>
      <c r="S79" s="47">
        <v>2755.04</v>
      </c>
      <c r="T79" s="47"/>
      <c r="U79" s="47">
        <v>2500.96</v>
      </c>
      <c r="V79" s="47">
        <v>2263.84</v>
      </c>
      <c r="W79" s="47">
        <v>3036.88</v>
      </c>
      <c r="X79" s="47">
        <v>2832.32</v>
      </c>
      <c r="Y79" s="47">
        <v>2944.48</v>
      </c>
      <c r="Z79" s="47">
        <v>4714</v>
      </c>
      <c r="AA79" s="324">
        <f t="shared" si="23"/>
        <v>34868</v>
      </c>
      <c r="AB79" s="48">
        <f t="shared" si="24"/>
        <v>6.8932367162556102E-2</v>
      </c>
      <c r="AD79" s="47">
        <v>68760</v>
      </c>
      <c r="AE79" s="48">
        <f t="shared" si="25"/>
        <v>9.6441124274193477E-2</v>
      </c>
      <c r="AF79" s="150">
        <f t="shared" si="26"/>
        <v>-33892</v>
      </c>
      <c r="AG79" s="47">
        <v>40237.949999999997</v>
      </c>
      <c r="AH79" s="48">
        <f t="shared" si="27"/>
        <v>8.1890042770596888E-2</v>
      </c>
      <c r="AI79" s="150">
        <f t="shared" si="28"/>
        <v>-5369.9499999999971</v>
      </c>
      <c r="AJ79" s="409">
        <f t="shared" si="29"/>
        <v>2.2027923431676038</v>
      </c>
      <c r="AK79" s="410">
        <f t="shared" si="30"/>
        <v>3.9997673201093598</v>
      </c>
      <c r="AL79" s="411">
        <f t="shared" si="31"/>
        <v>3.0154339028776977</v>
      </c>
      <c r="AM79" s="412" t="str">
        <f t="shared" si="32"/>
        <v>-2.75 pts.</v>
      </c>
      <c r="AN79" s="413" t="str">
        <f t="shared" si="33"/>
        <v>-1.3 pts.</v>
      </c>
    </row>
    <row r="80" spans="1:40" x14ac:dyDescent="0.25">
      <c r="A80" s="4" t="s">
        <v>988</v>
      </c>
      <c r="H80" s="15" t="s">
        <v>848</v>
      </c>
      <c r="I80" s="479" t="s">
        <v>1010</v>
      </c>
      <c r="J80" s="479" t="s">
        <v>78</v>
      </c>
      <c r="K80" s="480" t="str">
        <f t="shared" si="22"/>
        <v/>
      </c>
      <c r="L80" s="170"/>
      <c r="M80" s="170"/>
      <c r="N80" s="170" t="s">
        <v>1085</v>
      </c>
      <c r="O80" s="134">
        <v>4415.6000000000004</v>
      </c>
      <c r="P80" s="134">
        <v>3396.32</v>
      </c>
      <c r="Q80" s="134">
        <v>3122.32</v>
      </c>
      <c r="R80" s="134">
        <v>2886.24</v>
      </c>
      <c r="S80" s="134">
        <v>2755.04</v>
      </c>
      <c r="T80" s="134"/>
      <c r="U80" s="134">
        <v>2500.96</v>
      </c>
      <c r="V80" s="134">
        <v>2263.84</v>
      </c>
      <c r="W80" s="134">
        <v>3036.88</v>
      </c>
      <c r="X80" s="134">
        <v>2832.32</v>
      </c>
      <c r="Y80" s="134">
        <v>2944.48</v>
      </c>
      <c r="Z80" s="134">
        <v>4714</v>
      </c>
      <c r="AA80" s="134">
        <f t="shared" si="23"/>
        <v>34868</v>
      </c>
      <c r="AB80" s="135">
        <f t="shared" si="24"/>
        <v>6.8932367162556102E-2</v>
      </c>
      <c r="AC80" s="137"/>
      <c r="AD80" s="134">
        <v>68760</v>
      </c>
      <c r="AE80" s="135">
        <f t="shared" si="25"/>
        <v>9.6441124274193477E-2</v>
      </c>
      <c r="AF80" s="136">
        <f t="shared" si="26"/>
        <v>-33892</v>
      </c>
      <c r="AG80" s="134">
        <v>40237.949999999997</v>
      </c>
      <c r="AH80" s="135">
        <f t="shared" si="27"/>
        <v>8.1890042770596888E-2</v>
      </c>
      <c r="AI80" s="136">
        <f t="shared" si="28"/>
        <v>-5369.9499999999971</v>
      </c>
      <c r="AJ80" s="360">
        <f t="shared" si="29"/>
        <v>2.2027923431676038</v>
      </c>
      <c r="AK80" s="361">
        <f t="shared" si="30"/>
        <v>3.9997673201093598</v>
      </c>
      <c r="AL80" s="363">
        <f t="shared" si="31"/>
        <v>3.0154339028776977</v>
      </c>
      <c r="AM80" s="405" t="str">
        <f t="shared" si="32"/>
        <v>-2.75 pts.</v>
      </c>
      <c r="AN80" s="406" t="str">
        <f t="shared" si="33"/>
        <v>-1.3 pts.</v>
      </c>
    </row>
    <row r="81" spans="1:40" x14ac:dyDescent="0.25">
      <c r="H81" s="15" t="s">
        <v>864</v>
      </c>
      <c r="I81" s="161" t="s">
        <v>1012</v>
      </c>
      <c r="J81" s="161" t="s">
        <v>78</v>
      </c>
      <c r="K81" s="68" t="str">
        <f t="shared" si="22"/>
        <v>&gt;</v>
      </c>
      <c r="L81" s="162"/>
      <c r="M81" s="162"/>
      <c r="N81" s="162" t="s">
        <v>1238</v>
      </c>
      <c r="O81" s="47">
        <v>6690.06</v>
      </c>
      <c r="P81" s="47">
        <v>8079.48</v>
      </c>
      <c r="Q81" s="47">
        <v>7071.12</v>
      </c>
      <c r="R81" s="47">
        <v>5475.49</v>
      </c>
      <c r="S81" s="47">
        <v>6532</v>
      </c>
      <c r="T81" s="47">
        <v>6530.58</v>
      </c>
      <c r="U81" s="47">
        <v>5592.78</v>
      </c>
      <c r="V81" s="47">
        <v>4240.8</v>
      </c>
      <c r="W81" s="47">
        <v>6875.64</v>
      </c>
      <c r="X81" s="47">
        <v>5479.34</v>
      </c>
      <c r="Y81" s="47">
        <v>5631</v>
      </c>
      <c r="Z81" s="47">
        <v>9030.56</v>
      </c>
      <c r="AA81" s="47">
        <f t="shared" si="23"/>
        <v>77228.850000000006</v>
      </c>
      <c r="AB81" s="48">
        <f t="shared" si="24"/>
        <v>0.1526777401554999</v>
      </c>
      <c r="AD81" s="47">
        <v>108758.7234</v>
      </c>
      <c r="AE81" s="48">
        <f t="shared" si="25"/>
        <v>0.15254237288135594</v>
      </c>
      <c r="AF81" s="150">
        <f t="shared" si="26"/>
        <v>-31529.873399999997</v>
      </c>
      <c r="AG81" s="47">
        <v>75181.62</v>
      </c>
      <c r="AH81" s="48">
        <f t="shared" si="27"/>
        <v>0.15300546069973153</v>
      </c>
      <c r="AI81" s="150">
        <f t="shared" si="28"/>
        <v>2047.2300000000105</v>
      </c>
      <c r="AJ81" s="420">
        <f t="shared" si="29"/>
        <v>4.8789468696695941</v>
      </c>
      <c r="AK81" s="421">
        <f t="shared" si="30"/>
        <v>6.3264919667267758</v>
      </c>
      <c r="AL81" s="422">
        <f t="shared" si="31"/>
        <v>5.6341142086330933</v>
      </c>
      <c r="AM81" s="423" t="str">
        <f t="shared" si="32"/>
        <v>0.01 pts.</v>
      </c>
      <c r="AN81" s="424" t="str">
        <f t="shared" si="33"/>
        <v>-0.03 pts.</v>
      </c>
    </row>
    <row r="82" spans="1:40" x14ac:dyDescent="0.25">
      <c r="A82" s="3" t="s">
        <v>0</v>
      </c>
      <c r="B82" s="5" t="s">
        <v>1</v>
      </c>
      <c r="H82" s="15" t="s">
        <v>850</v>
      </c>
      <c r="I82" s="479" t="s">
        <v>1010</v>
      </c>
      <c r="J82" s="479" t="s">
        <v>78</v>
      </c>
      <c r="K82" s="480" t="str">
        <f t="shared" si="22"/>
        <v/>
      </c>
      <c r="L82" s="170"/>
      <c r="M82" s="170"/>
      <c r="N82" s="170" t="s">
        <v>1088</v>
      </c>
      <c r="O82" s="134">
        <v>11105.66</v>
      </c>
      <c r="P82" s="134">
        <v>11475.8</v>
      </c>
      <c r="Q82" s="134">
        <v>10193.44</v>
      </c>
      <c r="R82" s="134">
        <v>8361.73</v>
      </c>
      <c r="S82" s="134">
        <v>9287.0400000000009</v>
      </c>
      <c r="T82" s="134">
        <v>6530.58</v>
      </c>
      <c r="U82" s="134">
        <v>8093.74</v>
      </c>
      <c r="V82" s="134">
        <v>6504.64</v>
      </c>
      <c r="W82" s="134">
        <v>9912.52</v>
      </c>
      <c r="X82" s="134">
        <v>8311.66</v>
      </c>
      <c r="Y82" s="134">
        <v>8575.48</v>
      </c>
      <c r="Z82" s="134">
        <v>13744.56</v>
      </c>
      <c r="AA82" s="134">
        <f t="shared" si="23"/>
        <v>112096.85</v>
      </c>
      <c r="AB82" s="135">
        <f t="shared" si="24"/>
        <v>0.221610107318056</v>
      </c>
      <c r="AC82" s="137"/>
      <c r="AD82" s="134">
        <v>177518.72339999999</v>
      </c>
      <c r="AE82" s="135">
        <f t="shared" si="25"/>
        <v>0.24898349715554938</v>
      </c>
      <c r="AF82" s="136">
        <f t="shared" si="26"/>
        <v>-65421.873399999982</v>
      </c>
      <c r="AG82" s="134">
        <v>115419.57</v>
      </c>
      <c r="AH82" s="135">
        <f t="shared" si="27"/>
        <v>0.23489550347032842</v>
      </c>
      <c r="AI82" s="136">
        <f t="shared" si="28"/>
        <v>-3322.7200000000012</v>
      </c>
      <c r="AJ82" s="360">
        <f t="shared" si="29"/>
        <v>7.0817392128371983</v>
      </c>
      <c r="AK82" s="361">
        <f t="shared" si="30"/>
        <v>10.326259286836134</v>
      </c>
      <c r="AL82" s="363">
        <f t="shared" si="31"/>
        <v>8.6495481115107911</v>
      </c>
      <c r="AM82" s="405" t="str">
        <f t="shared" si="32"/>
        <v>-2.74 pts.</v>
      </c>
      <c r="AN82" s="406" t="str">
        <f t="shared" si="33"/>
        <v>-1.33 pts.</v>
      </c>
    </row>
    <row r="83" spans="1:40" x14ac:dyDescent="0.25">
      <c r="A83" s="6" t="s">
        <v>2</v>
      </c>
      <c r="B83" s="16" t="s">
        <v>1438</v>
      </c>
      <c r="H83" s="15" t="s">
        <v>851</v>
      </c>
      <c r="I83" s="161" t="s">
        <v>1012</v>
      </c>
      <c r="J83" s="161" t="s">
        <v>78</v>
      </c>
      <c r="K83" s="68" t="str">
        <f t="shared" si="22"/>
        <v>&gt;</v>
      </c>
      <c r="L83" s="162"/>
      <c r="M83" s="162"/>
      <c r="N83" s="162" t="s">
        <v>561</v>
      </c>
      <c r="O83" s="47"/>
      <c r="P83" s="47"/>
      <c r="Q83" s="47"/>
      <c r="R83" s="47"/>
      <c r="S83" s="47"/>
      <c r="T83" s="47"/>
      <c r="U83" s="47"/>
      <c r="V83" s="47"/>
      <c r="W83" s="47"/>
      <c r="X83" s="47"/>
      <c r="Y83" s="47"/>
      <c r="Z83" s="47"/>
      <c r="AA83" s="47">
        <f t="shared" si="23"/>
        <v>0</v>
      </c>
      <c r="AB83" s="48" t="str">
        <f t="shared" si="24"/>
        <v/>
      </c>
      <c r="AD83" s="47">
        <v>2158.3084122</v>
      </c>
      <c r="AE83" s="48">
        <f t="shared" si="25"/>
        <v>3.0271915329118295E-3</v>
      </c>
      <c r="AF83" s="150">
        <f t="shared" si="26"/>
        <v>-2158.3084122</v>
      </c>
      <c r="AG83" s="47">
        <v>554.29999999999995</v>
      </c>
      <c r="AH83" s="48">
        <f t="shared" si="27"/>
        <v>1.128080598234797E-3</v>
      </c>
      <c r="AI83" s="150">
        <f t="shared" si="28"/>
        <v>-554.29999999999995</v>
      </c>
      <c r="AJ83" s="420">
        <f t="shared" si="29"/>
        <v>0</v>
      </c>
      <c r="AK83" s="421">
        <f t="shared" si="30"/>
        <v>0.12554874132976557</v>
      </c>
      <c r="AL83" s="422">
        <f t="shared" si="31"/>
        <v>4.1539268585131892E-2</v>
      </c>
      <c r="AM83" s="423">
        <f t="shared" si="32"/>
        <v>0</v>
      </c>
      <c r="AN83" s="424">
        <f t="shared" si="33"/>
        <v>0</v>
      </c>
    </row>
    <row r="84" spans="1:40" x14ac:dyDescent="0.25">
      <c r="A84" s="6" t="s">
        <v>3</v>
      </c>
      <c r="B84" s="16" t="s">
        <v>1439</v>
      </c>
      <c r="H84" s="15" t="s">
        <v>852</v>
      </c>
      <c r="I84" s="161" t="s">
        <v>1012</v>
      </c>
      <c r="J84" s="161" t="s">
        <v>78</v>
      </c>
      <c r="K84" s="68" t="str">
        <f t="shared" si="22"/>
        <v>&gt;</v>
      </c>
      <c r="L84" s="162"/>
      <c r="M84" s="162"/>
      <c r="N84" s="162" t="s">
        <v>560</v>
      </c>
      <c r="O84" s="47"/>
      <c r="P84" s="47"/>
      <c r="Q84" s="47"/>
      <c r="R84" s="47"/>
      <c r="S84" s="47"/>
      <c r="T84" s="47"/>
      <c r="U84" s="47"/>
      <c r="V84" s="47"/>
      <c r="W84" s="47"/>
      <c r="X84" s="47"/>
      <c r="Y84" s="47"/>
      <c r="Z84" s="47"/>
      <c r="AA84" s="324">
        <f t="shared" si="23"/>
        <v>0</v>
      </c>
      <c r="AB84" s="48" t="str">
        <f t="shared" si="24"/>
        <v/>
      </c>
      <c r="AD84" s="47"/>
      <c r="AE84" s="48" t="str">
        <f t="shared" si="25"/>
        <v/>
      </c>
      <c r="AF84" s="150">
        <f t="shared" si="26"/>
        <v>0</v>
      </c>
      <c r="AG84" s="47">
        <v>111.68</v>
      </c>
      <c r="AH84" s="48">
        <f t="shared" si="27"/>
        <v>2.272849381397477E-4</v>
      </c>
      <c r="AI84" s="150">
        <f t="shared" si="28"/>
        <v>-111.68</v>
      </c>
      <c r="AJ84" s="409">
        <f t="shared" si="29"/>
        <v>0</v>
      </c>
      <c r="AK84" s="410">
        <f t="shared" si="30"/>
        <v>0</v>
      </c>
      <c r="AL84" s="411">
        <f t="shared" si="31"/>
        <v>8.3693045563549163E-3</v>
      </c>
      <c r="AM84" s="412">
        <f t="shared" si="32"/>
        <v>0</v>
      </c>
      <c r="AN84" s="413">
        <f t="shared" si="33"/>
        <v>0</v>
      </c>
    </row>
    <row r="85" spans="1:40" x14ac:dyDescent="0.25">
      <c r="A85" s="6" t="s">
        <v>4</v>
      </c>
      <c r="B85" s="16" t="s">
        <v>1445</v>
      </c>
      <c r="H85" s="15" t="s">
        <v>853</v>
      </c>
      <c r="I85" s="161" t="s">
        <v>1012</v>
      </c>
      <c r="J85" s="161" t="s">
        <v>78</v>
      </c>
      <c r="K85" s="68" t="str">
        <f t="shared" si="22"/>
        <v>&gt;</v>
      </c>
      <c r="L85" s="162"/>
      <c r="M85" s="162"/>
      <c r="N85" s="162" t="s">
        <v>562</v>
      </c>
      <c r="O85" s="47">
        <v>499.79</v>
      </c>
      <c r="P85" s="47">
        <v>499.79</v>
      </c>
      <c r="Q85" s="47">
        <v>499.79</v>
      </c>
      <c r="R85" s="47">
        <v>660.85</v>
      </c>
      <c r="S85" s="47">
        <v>1207.3599999999999</v>
      </c>
      <c r="T85" s="47">
        <v>580.32000000000005</v>
      </c>
      <c r="U85" s="47">
        <v>580.32000000000005</v>
      </c>
      <c r="V85" s="47">
        <v>834.01</v>
      </c>
      <c r="W85" s="47">
        <v>701.55</v>
      </c>
      <c r="X85" s="47">
        <v>824.42</v>
      </c>
      <c r="Y85" s="47">
        <v>701.55</v>
      </c>
      <c r="Z85" s="47">
        <v>394.55</v>
      </c>
      <c r="AA85" s="324">
        <f t="shared" si="23"/>
        <v>7984.3000000000011</v>
      </c>
      <c r="AB85" s="48">
        <f t="shared" si="24"/>
        <v>1.5784578958816013E-2</v>
      </c>
      <c r="AD85" s="47">
        <v>6811.5</v>
      </c>
      <c r="AE85" s="48">
        <f t="shared" si="25"/>
        <v>9.5536462768131009E-3</v>
      </c>
      <c r="AF85" s="150">
        <f t="shared" si="26"/>
        <v>1172.8000000000011</v>
      </c>
      <c r="AG85" s="47">
        <v>6003.81</v>
      </c>
      <c r="AH85" s="48">
        <f t="shared" si="27"/>
        <v>1.2218620920959874E-2</v>
      </c>
      <c r="AI85" s="150">
        <f t="shared" si="28"/>
        <v>1980.4900000000007</v>
      </c>
      <c r="AJ85" s="409">
        <f t="shared" si="29"/>
        <v>0.50440962789816168</v>
      </c>
      <c r="AK85" s="410">
        <f t="shared" si="30"/>
        <v>0.39622476877435869</v>
      </c>
      <c r="AL85" s="411">
        <f t="shared" si="31"/>
        <v>0.44992580935251802</v>
      </c>
      <c r="AM85" s="412" t="str">
        <f t="shared" si="32"/>
        <v>0.62 pts.</v>
      </c>
      <c r="AN85" s="413" t="str">
        <f t="shared" si="33"/>
        <v>0.36 pts.</v>
      </c>
    </row>
    <row r="86" spans="1:40" x14ac:dyDescent="0.25">
      <c r="A86" s="6" t="s">
        <v>5</v>
      </c>
      <c r="B86" s="7"/>
      <c r="H86" s="15" t="s">
        <v>854</v>
      </c>
      <c r="I86" s="479" t="s">
        <v>1010</v>
      </c>
      <c r="J86" s="479" t="s">
        <v>78</v>
      </c>
      <c r="K86" s="480" t="str">
        <f t="shared" si="22"/>
        <v/>
      </c>
      <c r="L86" s="170"/>
      <c r="M86" s="170"/>
      <c r="N86" s="170" t="s">
        <v>1089</v>
      </c>
      <c r="O86" s="36">
        <v>499.79</v>
      </c>
      <c r="P86" s="36">
        <v>499.79</v>
      </c>
      <c r="Q86" s="36">
        <v>499.79</v>
      </c>
      <c r="R86" s="36">
        <v>660.85</v>
      </c>
      <c r="S86" s="36">
        <v>1207.3599999999999</v>
      </c>
      <c r="T86" s="36">
        <v>580.32000000000005</v>
      </c>
      <c r="U86" s="36">
        <v>580.32000000000005</v>
      </c>
      <c r="V86" s="36">
        <v>834.01</v>
      </c>
      <c r="W86" s="36">
        <v>701.55</v>
      </c>
      <c r="X86" s="36">
        <v>824.42</v>
      </c>
      <c r="Y86" s="36">
        <v>701.55</v>
      </c>
      <c r="Z86" s="36">
        <v>394.55</v>
      </c>
      <c r="AA86" s="36">
        <f t="shared" si="23"/>
        <v>7984.3000000000011</v>
      </c>
      <c r="AB86" s="37">
        <f t="shared" si="24"/>
        <v>1.5784578958816013E-2</v>
      </c>
      <c r="AC86" s="35"/>
      <c r="AD86" s="36">
        <v>8969.8084122</v>
      </c>
      <c r="AE86" s="37">
        <f t="shared" si="25"/>
        <v>1.258083780972493E-2</v>
      </c>
      <c r="AF86" s="58">
        <f t="shared" si="26"/>
        <v>-985.50841219999893</v>
      </c>
      <c r="AG86" s="36">
        <v>6669.79</v>
      </c>
      <c r="AH86" s="37">
        <f t="shared" si="27"/>
        <v>1.3573986457334417E-2</v>
      </c>
      <c r="AI86" s="58">
        <f t="shared" si="28"/>
        <v>1314.5100000000011</v>
      </c>
      <c r="AJ86" s="372">
        <f t="shared" si="29"/>
        <v>0.50440962789816168</v>
      </c>
      <c r="AK86" s="373">
        <f t="shared" si="30"/>
        <v>0.52177351010412421</v>
      </c>
      <c r="AL86" s="375">
        <f t="shared" si="31"/>
        <v>0.4998343824940048</v>
      </c>
      <c r="AM86" s="407" t="str">
        <f t="shared" si="32"/>
        <v>0.32 pts.</v>
      </c>
      <c r="AN86" s="408" t="str">
        <f t="shared" si="33"/>
        <v>0.22 pts.</v>
      </c>
    </row>
    <row r="87" spans="1:40" x14ac:dyDescent="0.25">
      <c r="A87" s="6" t="s">
        <v>6</v>
      </c>
      <c r="B87" s="7"/>
      <c r="H87" s="15" t="s">
        <v>76</v>
      </c>
      <c r="I87" s="479" t="s">
        <v>1046</v>
      </c>
      <c r="J87" s="479" t="s">
        <v>78</v>
      </c>
      <c r="K87" s="480" t="str">
        <f t="shared" si="22"/>
        <v/>
      </c>
      <c r="L87" s="170">
        <v>600000</v>
      </c>
      <c r="M87" s="170"/>
      <c r="N87" s="170" t="s">
        <v>1090</v>
      </c>
      <c r="O87" s="36">
        <v>11605.45</v>
      </c>
      <c r="P87" s="36">
        <v>11975.59</v>
      </c>
      <c r="Q87" s="36">
        <v>10693.23</v>
      </c>
      <c r="R87" s="36">
        <v>9022.58</v>
      </c>
      <c r="S87" s="36">
        <v>10494.4</v>
      </c>
      <c r="T87" s="36">
        <v>7110.9</v>
      </c>
      <c r="U87" s="36">
        <v>8674.06</v>
      </c>
      <c r="V87" s="36">
        <v>7338.65</v>
      </c>
      <c r="W87" s="36">
        <v>10614.07</v>
      </c>
      <c r="X87" s="36">
        <v>9136.08</v>
      </c>
      <c r="Y87" s="36">
        <v>9277.0300000000007</v>
      </c>
      <c r="Z87" s="36">
        <v>14139.11</v>
      </c>
      <c r="AA87" s="36">
        <f t="shared" si="23"/>
        <v>120081.15</v>
      </c>
      <c r="AB87" s="37">
        <f t="shared" si="24"/>
        <v>0.23739468627687199</v>
      </c>
      <c r="AC87" s="35"/>
      <c r="AD87" s="36">
        <v>186488.5318122</v>
      </c>
      <c r="AE87" s="37">
        <f t="shared" si="25"/>
        <v>0.26156433496527431</v>
      </c>
      <c r="AF87" s="58">
        <f t="shared" si="26"/>
        <v>-66407.381812200008</v>
      </c>
      <c r="AG87" s="36">
        <v>122089.36</v>
      </c>
      <c r="AH87" s="37">
        <f t="shared" si="27"/>
        <v>0.24846948992766282</v>
      </c>
      <c r="AI87" s="58">
        <f t="shared" si="28"/>
        <v>-2008.2100000000064</v>
      </c>
      <c r="AJ87" s="372">
        <f t="shared" si="29"/>
        <v>7.5861488407353592</v>
      </c>
      <c r="AK87" s="373">
        <f t="shared" si="30"/>
        <v>10.848032796940259</v>
      </c>
      <c r="AL87" s="375">
        <f t="shared" si="31"/>
        <v>9.1493824940047954</v>
      </c>
      <c r="AM87" s="407" t="str">
        <f t="shared" si="32"/>
        <v>-2.42 pts.</v>
      </c>
      <c r="AN87" s="408" t="str">
        <f t="shared" si="33"/>
        <v>-1.11 pts.</v>
      </c>
    </row>
    <row r="88" spans="1:40" x14ac:dyDescent="0.25">
      <c r="A88" s="6" t="s">
        <v>7</v>
      </c>
      <c r="B88" s="16" t="s">
        <v>1446</v>
      </c>
      <c r="O88" s="41"/>
      <c r="P88" s="45"/>
      <c r="Q88" s="45"/>
      <c r="R88" s="45"/>
      <c r="S88" s="45"/>
      <c r="T88" s="45"/>
      <c r="U88" s="45"/>
      <c r="V88" s="45"/>
      <c r="W88" s="45"/>
      <c r="X88" s="45"/>
      <c r="Y88" s="45"/>
      <c r="Z88" s="45"/>
      <c r="AA88" s="45"/>
      <c r="AB88" s="42"/>
      <c r="AD88" s="41"/>
      <c r="AE88" s="45"/>
      <c r="AF88" s="42"/>
      <c r="AG88" s="41"/>
      <c r="AH88" s="45"/>
      <c r="AI88" s="42"/>
    </row>
    <row r="89" spans="1:40" x14ac:dyDescent="0.25">
      <c r="A89" s="6" t="s">
        <v>47</v>
      </c>
      <c r="B89" s="16" t="s">
        <v>1442</v>
      </c>
      <c r="H89" s="1" t="s">
        <v>82</v>
      </c>
      <c r="I89" s="11" t="s">
        <v>1011</v>
      </c>
      <c r="J89" s="11" t="s">
        <v>78</v>
      </c>
      <c r="N89" s="40" t="s">
        <v>1092</v>
      </c>
      <c r="O89" s="43"/>
      <c r="P89" s="46"/>
      <c r="Q89" s="46"/>
      <c r="R89" s="46"/>
      <c r="S89" s="46"/>
      <c r="T89" s="46"/>
      <c r="U89" s="46"/>
      <c r="V89" s="46"/>
      <c r="W89" s="46"/>
      <c r="X89" s="46"/>
      <c r="Y89" s="46"/>
      <c r="Z89" s="46"/>
      <c r="AA89" s="46"/>
      <c r="AB89" s="44"/>
      <c r="AD89" s="43"/>
      <c r="AE89" s="46"/>
      <c r="AF89" s="44"/>
      <c r="AG89" s="43"/>
      <c r="AH89" s="46"/>
      <c r="AI89" s="44"/>
    </row>
    <row r="90" spans="1:40" x14ac:dyDescent="0.25">
      <c r="A90" s="6" t="s">
        <v>8</v>
      </c>
      <c r="B90" s="7"/>
      <c r="H90" s="15" t="s">
        <v>869</v>
      </c>
      <c r="I90" s="161" t="s">
        <v>1009</v>
      </c>
      <c r="J90" s="161" t="s">
        <v>1009</v>
      </c>
      <c r="K90" s="68" t="str">
        <f t="shared" ref="K90:K101" si="34">IF(AND(I90&lt;&gt;"B1",J90="Y"),"&gt;","")</f>
        <v/>
      </c>
      <c r="L90" s="162">
        <v>701300</v>
      </c>
      <c r="M90" s="162">
        <v>690205</v>
      </c>
      <c r="N90" s="162" t="s">
        <v>1093</v>
      </c>
      <c r="O90" s="21"/>
      <c r="P90" s="21"/>
      <c r="Q90" s="21"/>
      <c r="R90" s="21"/>
      <c r="S90" s="21">
        <v>237.54</v>
      </c>
      <c r="T90" s="21"/>
      <c r="U90" s="21"/>
      <c r="V90" s="21"/>
      <c r="W90" s="21"/>
      <c r="X90" s="21"/>
      <c r="Y90" s="21"/>
      <c r="Z90" s="21"/>
      <c r="AA90" s="310">
        <f t="shared" ref="AA90:AA102" si="35">IF($I90="B1","",SUM(O90:Z90))</f>
        <v>237.54</v>
      </c>
      <c r="AB90" s="17">
        <f t="shared" ref="AB90:AB102" si="36">IF(AA90=0,"",IFERROR(AA90/AA$19,""))</f>
        <v>4.6960521096115566E-4</v>
      </c>
      <c r="AD90" s="21"/>
      <c r="AE90" s="17" t="str">
        <f t="shared" ref="AE90:AE102" si="37">IF(AD90=0,"",IFERROR(AD90/AD$19,""))</f>
        <v/>
      </c>
      <c r="AF90" s="50">
        <f t="shared" ref="AF90:AF102" si="38">IF(AND($AA90="",AD90=""),"",$AA90-AD90)</f>
        <v>237.54</v>
      </c>
      <c r="AG90" s="21"/>
      <c r="AH90" s="17" t="str">
        <f t="shared" ref="AH90:AH102" si="39">IF(AG90=0,"",IFERROR(AG90/AG$19,""))</f>
        <v/>
      </c>
      <c r="AI90" s="50">
        <f t="shared" ref="AI90:AI102" si="40">IF(AND($AA90="",AG90=""),"",$AA90-AG90)</f>
        <v>237.54</v>
      </c>
      <c r="AJ90" s="399">
        <f t="shared" ref="AJ90:AJ102" si="41">IFERROR(AA90/AA$20,0)</f>
        <v>1.5006633394402677E-2</v>
      </c>
      <c r="AK90" s="400">
        <f t="shared" ref="AK90:AK102" si="42">IFERROR(AD90/AD$20,0)</f>
        <v>0</v>
      </c>
      <c r="AL90" s="401">
        <f t="shared" ref="AL90:AL102" si="43">IFERROR(AG90/AG$20,0)</f>
        <v>0</v>
      </c>
      <c r="AM90" s="402">
        <f t="shared" ref="AM90:AM102" si="44">+IFERROR(ROUND(($AB90-AE90)*100,2)&amp;" pts.",0)</f>
        <v>0</v>
      </c>
      <c r="AN90" s="403">
        <f t="shared" ref="AN90:AN102" si="45">+IFERROR(ROUND(($AB90-AH90)*100,2)&amp;" pts.",0)</f>
        <v>0</v>
      </c>
    </row>
    <row r="91" spans="1:40" x14ac:dyDescent="0.25">
      <c r="G91" s="14"/>
      <c r="H91" s="15" t="s">
        <v>832</v>
      </c>
      <c r="I91" s="161" t="s">
        <v>1064</v>
      </c>
      <c r="J91" s="161" t="s">
        <v>78</v>
      </c>
      <c r="K91" s="68" t="str">
        <f t="shared" si="34"/>
        <v>&gt;</v>
      </c>
      <c r="L91" s="162">
        <v>701500</v>
      </c>
      <c r="M91" s="162"/>
      <c r="N91" s="162" t="s">
        <v>1094</v>
      </c>
      <c r="O91" s="21">
        <v>330.33</v>
      </c>
      <c r="P91" s="21">
        <v>390</v>
      </c>
      <c r="Q91" s="21">
        <v>375</v>
      </c>
      <c r="R91" s="21">
        <v>388.56</v>
      </c>
      <c r="S91" s="21">
        <v>306.73</v>
      </c>
      <c r="T91" s="21">
        <v>307</v>
      </c>
      <c r="U91" s="21">
        <v>2896</v>
      </c>
      <c r="V91" s="21">
        <v>304</v>
      </c>
      <c r="W91" s="21">
        <v>435.36</v>
      </c>
      <c r="X91" s="21">
        <v>320.55</v>
      </c>
      <c r="Y91" s="21">
        <v>388.8</v>
      </c>
      <c r="Z91" s="21">
        <v>414</v>
      </c>
      <c r="AA91" s="310">
        <f t="shared" si="35"/>
        <v>6856.33</v>
      </c>
      <c r="AB91" s="17">
        <f t="shared" si="36"/>
        <v>1.3554636255238277E-2</v>
      </c>
      <c r="AD91" s="21">
        <v>4125.84</v>
      </c>
      <c r="AE91" s="17">
        <f t="shared" si="37"/>
        <v>5.7868040746864224E-3</v>
      </c>
      <c r="AF91" s="50">
        <f t="shared" si="38"/>
        <v>2730.49</v>
      </c>
      <c r="AG91" s="21">
        <v>2910.22</v>
      </c>
      <c r="AH91" s="17">
        <f t="shared" si="39"/>
        <v>5.9227182366856776E-3</v>
      </c>
      <c r="AI91" s="50">
        <f t="shared" si="40"/>
        <v>3946.11</v>
      </c>
      <c r="AJ91" s="399">
        <f t="shared" si="41"/>
        <v>0.43314991471350051</v>
      </c>
      <c r="AK91" s="400">
        <f t="shared" si="42"/>
        <v>0.24000000000000002</v>
      </c>
      <c r="AL91" s="401">
        <f t="shared" si="43"/>
        <v>0.21809202637889688</v>
      </c>
      <c r="AM91" s="402" t="str">
        <f t="shared" si="44"/>
        <v>0.78 pts.</v>
      </c>
      <c r="AN91" s="403" t="str">
        <f t="shared" si="45"/>
        <v>0.76 pts.</v>
      </c>
    </row>
    <row r="92" spans="1:40" x14ac:dyDescent="0.25">
      <c r="A92" s="3" t="s">
        <v>9</v>
      </c>
      <c r="B92" s="5" t="s">
        <v>10</v>
      </c>
      <c r="H92" s="15" t="s">
        <v>856</v>
      </c>
      <c r="I92" s="161" t="s">
        <v>1009</v>
      </c>
      <c r="J92" s="161" t="s">
        <v>1009</v>
      </c>
      <c r="K92" s="68" t="str">
        <f t="shared" si="34"/>
        <v/>
      </c>
      <c r="L92" s="162">
        <v>701600</v>
      </c>
      <c r="M92" s="162">
        <v>590015</v>
      </c>
      <c r="N92" s="162" t="s">
        <v>1095</v>
      </c>
      <c r="O92" s="21">
        <v>113</v>
      </c>
      <c r="P92" s="21">
        <v>114</v>
      </c>
      <c r="Q92" s="21">
        <v>109</v>
      </c>
      <c r="R92" s="21">
        <v>102</v>
      </c>
      <c r="S92" s="21">
        <v>96</v>
      </c>
      <c r="T92" s="21">
        <v>89</v>
      </c>
      <c r="U92" s="21">
        <v>86</v>
      </c>
      <c r="V92" s="21">
        <v>89</v>
      </c>
      <c r="W92" s="21">
        <v>90</v>
      </c>
      <c r="X92" s="21">
        <v>91</v>
      </c>
      <c r="Y92" s="21">
        <v>104</v>
      </c>
      <c r="Z92" s="21">
        <v>121</v>
      </c>
      <c r="AA92" s="310">
        <f t="shared" si="35"/>
        <v>1204</v>
      </c>
      <c r="AB92" s="17">
        <f t="shared" si="36"/>
        <v>2.3802503746620839E-3</v>
      </c>
      <c r="AD92" s="21">
        <v>1203.3699999999999</v>
      </c>
      <c r="AE92" s="17">
        <f t="shared" si="37"/>
        <v>1.687817855116873E-3</v>
      </c>
      <c r="AF92" s="50">
        <f t="shared" si="38"/>
        <v>0.63000000000010914</v>
      </c>
      <c r="AG92" s="21">
        <v>935.01</v>
      </c>
      <c r="AH92" s="17">
        <f t="shared" si="39"/>
        <v>1.9028804621243327E-3</v>
      </c>
      <c r="AI92" s="50">
        <f t="shared" si="40"/>
        <v>268.99</v>
      </c>
      <c r="AJ92" s="399">
        <f t="shared" si="41"/>
        <v>7.6062922484048265E-2</v>
      </c>
      <c r="AK92" s="400">
        <f t="shared" si="42"/>
        <v>6.9999999999999993E-2</v>
      </c>
      <c r="AL92" s="401">
        <f t="shared" si="43"/>
        <v>7.0069694244604311E-2</v>
      </c>
      <c r="AM92" s="402" t="str">
        <f t="shared" si="44"/>
        <v>0.07 pts.</v>
      </c>
      <c r="AN92" s="403" t="str">
        <f t="shared" si="45"/>
        <v>0.05 pts.</v>
      </c>
    </row>
    <row r="93" spans="1:40" x14ac:dyDescent="0.25">
      <c r="A93" s="6" t="s">
        <v>11</v>
      </c>
      <c r="B93" s="7" t="s">
        <v>21</v>
      </c>
      <c r="H93" s="15" t="s">
        <v>870</v>
      </c>
      <c r="I93" s="161" t="s">
        <v>1009</v>
      </c>
      <c r="J93" s="161" t="s">
        <v>1009</v>
      </c>
      <c r="K93" s="68" t="str">
        <f t="shared" si="34"/>
        <v/>
      </c>
      <c r="L93" s="162">
        <v>701700</v>
      </c>
      <c r="M93" s="162">
        <v>590026</v>
      </c>
      <c r="N93" s="162" t="s">
        <v>1243</v>
      </c>
      <c r="O93" s="21">
        <v>19</v>
      </c>
      <c r="P93" s="21">
        <v>19</v>
      </c>
      <c r="Q93" s="21">
        <v>19</v>
      </c>
      <c r="R93" s="21">
        <v>17</v>
      </c>
      <c r="S93" s="21">
        <v>16</v>
      </c>
      <c r="T93" s="21">
        <v>15</v>
      </c>
      <c r="U93" s="21">
        <v>15</v>
      </c>
      <c r="V93" s="21">
        <v>15</v>
      </c>
      <c r="W93" s="21">
        <v>15</v>
      </c>
      <c r="X93" s="21">
        <v>16</v>
      </c>
      <c r="Y93" s="21">
        <v>18</v>
      </c>
      <c r="Z93" s="21">
        <v>21</v>
      </c>
      <c r="AA93" s="310">
        <f t="shared" si="35"/>
        <v>205</v>
      </c>
      <c r="AB93" s="17">
        <f t="shared" si="36"/>
        <v>4.0527518837684984E-4</v>
      </c>
      <c r="AD93" s="21">
        <v>204.87209216400001</v>
      </c>
      <c r="AE93" s="17">
        <f t="shared" si="37"/>
        <v>2.8734867511201782E-4</v>
      </c>
      <c r="AF93" s="50">
        <f t="shared" si="38"/>
        <v>0.12790783599999145</v>
      </c>
      <c r="AG93" s="21">
        <v>148</v>
      </c>
      <c r="AH93" s="17">
        <f t="shared" si="39"/>
        <v>3.0120138650324729E-4</v>
      </c>
      <c r="AI93" s="50">
        <f t="shared" si="40"/>
        <v>57</v>
      </c>
      <c r="AJ93" s="399">
        <f t="shared" si="41"/>
        <v>1.2950912881420178E-2</v>
      </c>
      <c r="AK93" s="400">
        <f t="shared" si="42"/>
        <v>1.1917404000000001E-2</v>
      </c>
      <c r="AL93" s="401">
        <f t="shared" si="43"/>
        <v>1.1091127098321343E-2</v>
      </c>
      <c r="AM93" s="402" t="str">
        <f t="shared" si="44"/>
        <v>0.01 pts.</v>
      </c>
      <c r="AN93" s="403" t="str">
        <f t="shared" si="45"/>
        <v>0.01 pts.</v>
      </c>
    </row>
    <row r="94" spans="1:40" x14ac:dyDescent="0.25">
      <c r="A94" s="6" t="s">
        <v>12</v>
      </c>
      <c r="B94" s="7" t="s">
        <v>22</v>
      </c>
      <c r="H94" s="15" t="s">
        <v>872</v>
      </c>
      <c r="I94" s="161" t="s">
        <v>1009</v>
      </c>
      <c r="J94" s="161" t="s">
        <v>1009</v>
      </c>
      <c r="K94" s="68" t="str">
        <f t="shared" si="34"/>
        <v/>
      </c>
      <c r="L94" s="162">
        <v>702000</v>
      </c>
      <c r="M94" s="162">
        <v>590031</v>
      </c>
      <c r="N94" s="162" t="s">
        <v>1246</v>
      </c>
      <c r="O94" s="21">
        <v>194</v>
      </c>
      <c r="P94" s="21">
        <v>195</v>
      </c>
      <c r="Q94" s="21">
        <v>188</v>
      </c>
      <c r="R94" s="21">
        <v>175</v>
      </c>
      <c r="S94" s="21">
        <v>164</v>
      </c>
      <c r="T94" s="21">
        <v>153</v>
      </c>
      <c r="U94" s="21">
        <v>148</v>
      </c>
      <c r="V94" s="21">
        <v>152</v>
      </c>
      <c r="W94" s="21">
        <v>153</v>
      </c>
      <c r="X94" s="21">
        <v>156</v>
      </c>
      <c r="Y94" s="21">
        <v>178</v>
      </c>
      <c r="Z94" s="21">
        <v>207</v>
      </c>
      <c r="AA94" s="310">
        <f t="shared" si="35"/>
        <v>2063</v>
      </c>
      <c r="AB94" s="17">
        <f t="shared" si="36"/>
        <v>4.0784522615680057E-3</v>
      </c>
      <c r="AD94" s="21">
        <v>2062.92</v>
      </c>
      <c r="AE94" s="17">
        <f t="shared" si="37"/>
        <v>2.8934020373432112E-3</v>
      </c>
      <c r="AF94" s="50">
        <f t="shared" si="38"/>
        <v>7.999999999992724E-2</v>
      </c>
      <c r="AG94" s="21">
        <v>1485.38</v>
      </c>
      <c r="AH94" s="17">
        <f t="shared" si="39"/>
        <v>3.0229629424607667E-3</v>
      </c>
      <c r="AI94" s="50">
        <f t="shared" si="40"/>
        <v>577.61999999999989</v>
      </c>
      <c r="AJ94" s="399">
        <f t="shared" si="41"/>
        <v>0.13033040621643818</v>
      </c>
      <c r="AK94" s="400">
        <f t="shared" si="42"/>
        <v>0.12000000000000001</v>
      </c>
      <c r="AL94" s="401">
        <f t="shared" si="43"/>
        <v>0.11131444844124701</v>
      </c>
      <c r="AM94" s="402" t="str">
        <f t="shared" si="44"/>
        <v>0.12 pts.</v>
      </c>
      <c r="AN94" s="403" t="str">
        <f t="shared" si="45"/>
        <v>0.11 pts.</v>
      </c>
    </row>
    <row r="95" spans="1:40" x14ac:dyDescent="0.25">
      <c r="A95" s="6" t="s">
        <v>13</v>
      </c>
      <c r="B95" s="7" t="s">
        <v>737</v>
      </c>
      <c r="H95" s="15" t="s">
        <v>858</v>
      </c>
      <c r="I95" s="161" t="s">
        <v>1009</v>
      </c>
      <c r="J95" s="161" t="s">
        <v>1009</v>
      </c>
      <c r="K95" s="68" t="str">
        <f t="shared" si="34"/>
        <v/>
      </c>
      <c r="L95" s="162">
        <v>702300</v>
      </c>
      <c r="M95" s="162">
        <v>590040</v>
      </c>
      <c r="N95" s="162" t="s">
        <v>1097</v>
      </c>
      <c r="O95" s="21"/>
      <c r="P95" s="21"/>
      <c r="Q95" s="21"/>
      <c r="R95" s="21"/>
      <c r="S95" s="21"/>
      <c r="T95" s="21">
        <v>38.58</v>
      </c>
      <c r="U95" s="21"/>
      <c r="V95" s="21"/>
      <c r="W95" s="21"/>
      <c r="X95" s="21"/>
      <c r="Y95" s="21"/>
      <c r="Z95" s="21"/>
      <c r="AA95" s="310">
        <f t="shared" si="35"/>
        <v>38.58</v>
      </c>
      <c r="AB95" s="17">
        <f t="shared" si="36"/>
        <v>7.6270813500384718E-5</v>
      </c>
      <c r="AD95" s="21">
        <v>300</v>
      </c>
      <c r="AE95" s="17">
        <f t="shared" si="37"/>
        <v>4.2077279351742351E-4</v>
      </c>
      <c r="AF95" s="50">
        <f t="shared" si="38"/>
        <v>-261.42</v>
      </c>
      <c r="AG95" s="21">
        <v>134.72</v>
      </c>
      <c r="AH95" s="17">
        <f t="shared" si="39"/>
        <v>2.7417466749809106E-4</v>
      </c>
      <c r="AI95" s="50">
        <f t="shared" si="40"/>
        <v>-96.14</v>
      </c>
      <c r="AJ95" s="399">
        <f t="shared" si="41"/>
        <v>2.43729862909849E-3</v>
      </c>
      <c r="AK95" s="400">
        <f t="shared" si="42"/>
        <v>1.7450991798033853E-2</v>
      </c>
      <c r="AL95" s="401">
        <f t="shared" si="43"/>
        <v>1.0095923261390888E-2</v>
      </c>
      <c r="AM95" s="402" t="str">
        <f t="shared" si="44"/>
        <v>-0.03 pts.</v>
      </c>
      <c r="AN95" s="403" t="str">
        <f t="shared" si="45"/>
        <v>-0.02 pts.</v>
      </c>
    </row>
    <row r="96" spans="1:40" x14ac:dyDescent="0.25">
      <c r="A96" s="6" t="s">
        <v>14</v>
      </c>
      <c r="B96" s="7"/>
      <c r="H96" s="15" t="s">
        <v>833</v>
      </c>
      <c r="I96" s="161" t="s">
        <v>1064</v>
      </c>
      <c r="J96" s="161" t="s">
        <v>78</v>
      </c>
      <c r="K96" s="68" t="str">
        <f t="shared" si="34"/>
        <v>&gt;</v>
      </c>
      <c r="L96" s="162"/>
      <c r="M96" s="162"/>
      <c r="N96" s="162" t="s">
        <v>1099</v>
      </c>
      <c r="O96" s="21"/>
      <c r="P96" s="21">
        <v>150</v>
      </c>
      <c r="Q96" s="21">
        <v>75</v>
      </c>
      <c r="R96" s="21"/>
      <c r="S96" s="21">
        <v>150</v>
      </c>
      <c r="T96" s="21">
        <v>75</v>
      </c>
      <c r="U96" s="21"/>
      <c r="V96" s="21">
        <v>150</v>
      </c>
      <c r="W96" s="21">
        <v>75</v>
      </c>
      <c r="X96" s="21">
        <v>75</v>
      </c>
      <c r="Y96" s="21">
        <v>75</v>
      </c>
      <c r="Z96" s="21">
        <v>75</v>
      </c>
      <c r="AA96" s="310">
        <f t="shared" si="35"/>
        <v>900</v>
      </c>
      <c r="AB96" s="17">
        <f t="shared" si="36"/>
        <v>1.7792569245812918E-3</v>
      </c>
      <c r="AD96" s="21">
        <v>900</v>
      </c>
      <c r="AE96" s="17">
        <f t="shared" si="37"/>
        <v>1.2623183805522706E-3</v>
      </c>
      <c r="AF96" s="50">
        <f t="shared" si="38"/>
        <v>0</v>
      </c>
      <c r="AG96" s="21">
        <v>975</v>
      </c>
      <c r="AH96" s="17">
        <f t="shared" si="39"/>
        <v>1.9842658908153115E-3</v>
      </c>
      <c r="AI96" s="50">
        <f t="shared" si="40"/>
        <v>-75</v>
      </c>
      <c r="AJ96" s="399">
        <f t="shared" si="41"/>
        <v>5.6857666308673956E-2</v>
      </c>
      <c r="AK96" s="400">
        <f t="shared" si="42"/>
        <v>5.2352975394101567E-2</v>
      </c>
      <c r="AL96" s="401">
        <f t="shared" si="43"/>
        <v>7.3066546762589932E-2</v>
      </c>
      <c r="AM96" s="402" t="str">
        <f t="shared" si="44"/>
        <v>0.05 pts.</v>
      </c>
      <c r="AN96" s="403" t="str">
        <f t="shared" si="45"/>
        <v>-0.02 pts.</v>
      </c>
    </row>
    <row r="97" spans="1:40" x14ac:dyDescent="0.25">
      <c r="A97" s="6" t="s">
        <v>15</v>
      </c>
      <c r="B97" s="7"/>
      <c r="H97" s="15" t="s">
        <v>874</v>
      </c>
      <c r="I97" s="161" t="s">
        <v>1064</v>
      </c>
      <c r="J97" s="161" t="s">
        <v>78</v>
      </c>
      <c r="K97" s="68" t="str">
        <f t="shared" si="34"/>
        <v>&gt;</v>
      </c>
      <c r="L97" s="162">
        <v>703000</v>
      </c>
      <c r="M97" s="162"/>
      <c r="N97" s="162" t="s">
        <v>1103</v>
      </c>
      <c r="O97" s="21"/>
      <c r="P97" s="21"/>
      <c r="Q97" s="21"/>
      <c r="R97" s="21"/>
      <c r="S97" s="21"/>
      <c r="T97" s="21"/>
      <c r="U97" s="21"/>
      <c r="V97" s="21"/>
      <c r="W97" s="21"/>
      <c r="X97" s="21"/>
      <c r="Y97" s="21"/>
      <c r="Z97" s="21"/>
      <c r="AA97" s="310">
        <f t="shared" si="35"/>
        <v>0</v>
      </c>
      <c r="AB97" s="17" t="str">
        <f t="shared" si="36"/>
        <v/>
      </c>
      <c r="AD97" s="21">
        <v>515.73</v>
      </c>
      <c r="AE97" s="17">
        <f t="shared" si="37"/>
        <v>7.233505093358028E-4</v>
      </c>
      <c r="AF97" s="50">
        <f t="shared" si="38"/>
        <v>-515.73</v>
      </c>
      <c r="AG97" s="21">
        <v>500.73</v>
      </c>
      <c r="AH97" s="17">
        <f t="shared" si="39"/>
        <v>1.0190579071876421E-3</v>
      </c>
      <c r="AI97" s="50">
        <f t="shared" si="40"/>
        <v>-500.73</v>
      </c>
      <c r="AJ97" s="399">
        <f t="shared" si="41"/>
        <v>0</v>
      </c>
      <c r="AK97" s="400">
        <f t="shared" si="42"/>
        <v>3.0000000000000002E-2</v>
      </c>
      <c r="AL97" s="401">
        <f t="shared" si="43"/>
        <v>3.7524730215827341E-2</v>
      </c>
      <c r="AM97" s="402">
        <f t="shared" si="44"/>
        <v>0</v>
      </c>
      <c r="AN97" s="403">
        <f t="shared" si="45"/>
        <v>0</v>
      </c>
    </row>
    <row r="98" spans="1:40" x14ac:dyDescent="0.25">
      <c r="A98" s="6" t="s">
        <v>16</v>
      </c>
      <c r="B98" s="7" t="s">
        <v>78</v>
      </c>
      <c r="H98" s="15" t="s">
        <v>859</v>
      </c>
      <c r="I98" s="161" t="s">
        <v>1009</v>
      </c>
      <c r="J98" s="161" t="s">
        <v>1009</v>
      </c>
      <c r="K98" s="68" t="str">
        <f t="shared" si="34"/>
        <v/>
      </c>
      <c r="L98" s="162">
        <v>703200</v>
      </c>
      <c r="M98" s="162">
        <v>590035</v>
      </c>
      <c r="N98" s="162" t="s">
        <v>1105</v>
      </c>
      <c r="O98" s="21"/>
      <c r="P98" s="21"/>
      <c r="Q98" s="21"/>
      <c r="R98" s="21"/>
      <c r="S98" s="21"/>
      <c r="T98" s="21">
        <v>267.16000000000003</v>
      </c>
      <c r="U98" s="21"/>
      <c r="V98" s="21"/>
      <c r="W98" s="21"/>
      <c r="X98" s="21"/>
      <c r="Y98" s="21"/>
      <c r="Z98" s="21"/>
      <c r="AA98" s="310">
        <f t="shared" si="35"/>
        <v>267.16000000000003</v>
      </c>
      <c r="AB98" s="17">
        <f t="shared" si="36"/>
        <v>5.2816253330126447E-4</v>
      </c>
      <c r="AD98" s="21"/>
      <c r="AE98" s="17" t="str">
        <f t="shared" si="37"/>
        <v/>
      </c>
      <c r="AF98" s="50">
        <f t="shared" si="38"/>
        <v>267.16000000000003</v>
      </c>
      <c r="AG98" s="21">
        <v>57.01</v>
      </c>
      <c r="AH98" s="17">
        <f t="shared" si="39"/>
        <v>1.1602358813885222E-4</v>
      </c>
      <c r="AI98" s="50">
        <f t="shared" si="40"/>
        <v>210.15000000000003</v>
      </c>
      <c r="AJ98" s="399">
        <f t="shared" si="41"/>
        <v>1.6877882367805928E-2</v>
      </c>
      <c r="AK98" s="400">
        <f t="shared" si="42"/>
        <v>0</v>
      </c>
      <c r="AL98" s="401">
        <f t="shared" si="43"/>
        <v>4.272332134292566E-3</v>
      </c>
      <c r="AM98" s="402">
        <f t="shared" si="44"/>
        <v>0</v>
      </c>
      <c r="AN98" s="403" t="str">
        <f t="shared" si="45"/>
        <v>0.04 pts.</v>
      </c>
    </row>
    <row r="99" spans="1:40" x14ac:dyDescent="0.25">
      <c r="A99" s="6" t="s">
        <v>17</v>
      </c>
      <c r="B99" s="7"/>
      <c r="H99" s="15" t="s">
        <v>877</v>
      </c>
      <c r="I99" s="161" t="s">
        <v>1009</v>
      </c>
      <c r="J99" s="161" t="s">
        <v>1009</v>
      </c>
      <c r="K99" s="68" t="str">
        <f t="shared" si="34"/>
        <v/>
      </c>
      <c r="L99" s="162">
        <v>703500</v>
      </c>
      <c r="M99" s="162">
        <v>590004</v>
      </c>
      <c r="N99" s="162" t="s">
        <v>1247</v>
      </c>
      <c r="O99" s="21"/>
      <c r="P99" s="21"/>
      <c r="Q99" s="21"/>
      <c r="R99" s="21"/>
      <c r="S99" s="21"/>
      <c r="T99" s="21"/>
      <c r="U99" s="21"/>
      <c r="V99" s="21"/>
      <c r="W99" s="21"/>
      <c r="X99" s="21"/>
      <c r="Y99" s="21"/>
      <c r="Z99" s="21"/>
      <c r="AA99" s="310">
        <f t="shared" si="35"/>
        <v>0</v>
      </c>
      <c r="AB99" s="17" t="str">
        <f t="shared" si="36"/>
        <v/>
      </c>
      <c r="AD99" s="21"/>
      <c r="AE99" s="17" t="str">
        <f t="shared" si="37"/>
        <v/>
      </c>
      <c r="AF99" s="50">
        <f t="shared" si="38"/>
        <v>0</v>
      </c>
      <c r="AG99" s="21">
        <v>207.96</v>
      </c>
      <c r="AH99" s="17">
        <f t="shared" si="39"/>
        <v>4.2322865092713044E-4</v>
      </c>
      <c r="AI99" s="50">
        <f t="shared" si="40"/>
        <v>-207.96</v>
      </c>
      <c r="AJ99" s="399">
        <f t="shared" si="41"/>
        <v>0</v>
      </c>
      <c r="AK99" s="400">
        <f t="shared" si="42"/>
        <v>0</v>
      </c>
      <c r="AL99" s="401">
        <f t="shared" si="43"/>
        <v>1.5584532374100721E-2</v>
      </c>
      <c r="AM99" s="402">
        <f t="shared" si="44"/>
        <v>0</v>
      </c>
      <c r="AN99" s="403">
        <f t="shared" si="45"/>
        <v>0</v>
      </c>
    </row>
    <row r="100" spans="1:40" x14ac:dyDescent="0.25">
      <c r="H100" s="15" t="s">
        <v>881</v>
      </c>
      <c r="I100" s="161" t="s">
        <v>1009</v>
      </c>
      <c r="J100" s="161" t="s">
        <v>1009</v>
      </c>
      <c r="K100" s="68" t="str">
        <f t="shared" si="34"/>
        <v/>
      </c>
      <c r="L100" s="162">
        <v>704100</v>
      </c>
      <c r="M100" s="162">
        <v>690241</v>
      </c>
      <c r="N100" s="162" t="s">
        <v>1252</v>
      </c>
      <c r="O100" s="21"/>
      <c r="P100" s="21"/>
      <c r="Q100" s="21"/>
      <c r="R100" s="21"/>
      <c r="S100" s="21"/>
      <c r="T100" s="21"/>
      <c r="U100" s="21"/>
      <c r="V100" s="21"/>
      <c r="W100" s="21">
        <v>900</v>
      </c>
      <c r="X100" s="21">
        <v>-900</v>
      </c>
      <c r="Y100" s="21"/>
      <c r="Z100" s="21"/>
      <c r="AA100" s="310">
        <f t="shared" si="35"/>
        <v>0</v>
      </c>
      <c r="AB100" s="17" t="str">
        <f t="shared" si="36"/>
        <v/>
      </c>
      <c r="AD100" s="21">
        <v>7700.0000000003001</v>
      </c>
      <c r="AE100" s="17">
        <f t="shared" si="37"/>
        <v>1.0799835033614291E-2</v>
      </c>
      <c r="AF100" s="50">
        <f t="shared" si="38"/>
        <v>-7700.0000000003001</v>
      </c>
      <c r="AG100" s="21"/>
      <c r="AH100" s="17" t="str">
        <f t="shared" si="39"/>
        <v/>
      </c>
      <c r="AI100" s="50">
        <f t="shared" si="40"/>
        <v>0</v>
      </c>
      <c r="AJ100" s="399">
        <f t="shared" si="41"/>
        <v>0</v>
      </c>
      <c r="AK100" s="400">
        <f t="shared" si="42"/>
        <v>0.44790878948288643</v>
      </c>
      <c r="AL100" s="401">
        <f t="shared" si="43"/>
        <v>0</v>
      </c>
      <c r="AM100" s="402">
        <f t="shared" si="44"/>
        <v>0</v>
      </c>
      <c r="AN100" s="403">
        <f t="shared" si="45"/>
        <v>0</v>
      </c>
    </row>
    <row r="101" spans="1:40" x14ac:dyDescent="0.25">
      <c r="A101" s="22" t="s">
        <v>92</v>
      </c>
      <c r="B101" s="23" t="s">
        <v>93</v>
      </c>
      <c r="C101" s="23" t="s">
        <v>94</v>
      </c>
      <c r="D101" s="23" t="s">
        <v>95</v>
      </c>
      <c r="E101" s="23" t="s">
        <v>96</v>
      </c>
      <c r="F101" s="24" t="s">
        <v>97</v>
      </c>
      <c r="H101" s="15" t="s">
        <v>841</v>
      </c>
      <c r="I101" s="161" t="s">
        <v>1009</v>
      </c>
      <c r="J101" s="161" t="s">
        <v>1009</v>
      </c>
      <c r="K101" s="68" t="str">
        <f t="shared" si="34"/>
        <v/>
      </c>
      <c r="L101" s="162">
        <v>705500</v>
      </c>
      <c r="M101" s="162">
        <v>690105</v>
      </c>
      <c r="N101" s="162" t="s">
        <v>1113</v>
      </c>
      <c r="O101" s="21"/>
      <c r="P101" s="21"/>
      <c r="Q101" s="21"/>
      <c r="R101" s="21"/>
      <c r="S101" s="21"/>
      <c r="T101" s="21"/>
      <c r="U101" s="21"/>
      <c r="V101" s="21"/>
      <c r="W101" s="21"/>
      <c r="X101" s="21"/>
      <c r="Y101" s="21">
        <v>323</v>
      </c>
      <c r="Z101" s="21"/>
      <c r="AA101" s="310">
        <f t="shared" si="35"/>
        <v>323</v>
      </c>
      <c r="AB101" s="17">
        <f t="shared" si="36"/>
        <v>6.385555407108414E-4</v>
      </c>
      <c r="AD101" s="21">
        <v>323</v>
      </c>
      <c r="AE101" s="17">
        <f t="shared" si="37"/>
        <v>4.5303204102042601E-4</v>
      </c>
      <c r="AF101" s="50">
        <f t="shared" si="38"/>
        <v>0</v>
      </c>
      <c r="AG101" s="21">
        <v>273</v>
      </c>
      <c r="AH101" s="17">
        <f t="shared" si="39"/>
        <v>5.555944494282872E-4</v>
      </c>
      <c r="AI101" s="50">
        <f t="shared" si="40"/>
        <v>50</v>
      </c>
      <c r="AJ101" s="399">
        <f t="shared" si="41"/>
        <v>2.0405584686335208E-2</v>
      </c>
      <c r="AK101" s="400">
        <f t="shared" si="42"/>
        <v>1.878890116921645E-2</v>
      </c>
      <c r="AL101" s="401">
        <f t="shared" si="43"/>
        <v>2.0458633093525181E-2</v>
      </c>
      <c r="AM101" s="402" t="str">
        <f t="shared" si="44"/>
        <v>0.02 pts.</v>
      </c>
      <c r="AN101" s="403" t="str">
        <f t="shared" si="45"/>
        <v>0.01 pts.</v>
      </c>
    </row>
    <row r="102" spans="1:40" x14ac:dyDescent="0.25">
      <c r="H102" s="15" t="s">
        <v>79</v>
      </c>
      <c r="I102" s="27" t="s">
        <v>1012</v>
      </c>
      <c r="J102" s="27" t="s">
        <v>78</v>
      </c>
      <c r="K102" s="26"/>
      <c r="L102" s="26"/>
      <c r="M102" s="26"/>
      <c r="N102" s="25" t="s">
        <v>1116</v>
      </c>
      <c r="O102" s="33">
        <v>656.33</v>
      </c>
      <c r="P102" s="33">
        <v>868</v>
      </c>
      <c r="Q102" s="33">
        <v>766</v>
      </c>
      <c r="R102" s="33">
        <v>682.56</v>
      </c>
      <c r="S102" s="33">
        <v>970.27</v>
      </c>
      <c r="T102" s="33">
        <v>944.74</v>
      </c>
      <c r="U102" s="33">
        <v>3145</v>
      </c>
      <c r="V102" s="33">
        <v>710</v>
      </c>
      <c r="W102" s="33">
        <v>1668.36</v>
      </c>
      <c r="X102" s="33">
        <v>-241.45</v>
      </c>
      <c r="Y102" s="33">
        <v>1086.8</v>
      </c>
      <c r="Z102" s="33">
        <v>838</v>
      </c>
      <c r="AA102" s="33">
        <f t="shared" si="35"/>
        <v>12094.609999999999</v>
      </c>
      <c r="AB102" s="34">
        <f t="shared" si="36"/>
        <v>2.3910465102900152E-2</v>
      </c>
      <c r="AD102" s="33">
        <v>17335.7320921643</v>
      </c>
      <c r="AE102" s="34">
        <f t="shared" si="37"/>
        <v>2.431468140029874E-2</v>
      </c>
      <c r="AF102" s="52">
        <f t="shared" si="38"/>
        <v>-5241.1220921643016</v>
      </c>
      <c r="AG102" s="33">
        <v>7627.03</v>
      </c>
      <c r="AH102" s="34">
        <f t="shared" si="39"/>
        <v>1.5522108181769339E-2</v>
      </c>
      <c r="AI102" s="52">
        <f t="shared" si="40"/>
        <v>4467.579999999999</v>
      </c>
      <c r="AJ102" s="415">
        <f t="shared" si="41"/>
        <v>0.76407922168172338</v>
      </c>
      <c r="AK102" s="416">
        <f t="shared" si="42"/>
        <v>1.0084190618442384</v>
      </c>
      <c r="AL102" s="417">
        <f t="shared" si="43"/>
        <v>0.57156999400479613</v>
      </c>
      <c r="AM102" s="418" t="str">
        <f t="shared" si="44"/>
        <v>-0.04 pts.</v>
      </c>
      <c r="AN102" s="436" t="str">
        <f t="shared" si="45"/>
        <v>0.84 pts.</v>
      </c>
    </row>
    <row r="103" spans="1:40" x14ac:dyDescent="0.25">
      <c r="A103" s="1" t="s">
        <v>108</v>
      </c>
      <c r="C103" s="26" t="s">
        <v>101</v>
      </c>
      <c r="D103" s="1" t="s">
        <v>106</v>
      </c>
      <c r="F103" s="1" t="s">
        <v>98</v>
      </c>
    </row>
    <row r="104" spans="1:40" x14ac:dyDescent="0.25">
      <c r="A104" s="1" t="s">
        <v>100</v>
      </c>
      <c r="C104" s="8" t="s">
        <v>101</v>
      </c>
      <c r="D104" s="1" t="s">
        <v>106</v>
      </c>
      <c r="F104" s="1" t="s">
        <v>98</v>
      </c>
      <c r="H104" s="15" t="s">
        <v>80</v>
      </c>
      <c r="I104" s="27" t="s">
        <v>1012</v>
      </c>
      <c r="J104" s="27" t="s">
        <v>78</v>
      </c>
      <c r="K104" s="25"/>
      <c r="L104" s="25"/>
      <c r="M104" s="25"/>
      <c r="N104" s="25" t="s">
        <v>1117</v>
      </c>
      <c r="O104" s="36">
        <v>12261.78</v>
      </c>
      <c r="P104" s="36">
        <v>12843.59</v>
      </c>
      <c r="Q104" s="36">
        <v>11459.23</v>
      </c>
      <c r="R104" s="36">
        <v>9705.14</v>
      </c>
      <c r="S104" s="36">
        <v>11464.67</v>
      </c>
      <c r="T104" s="36">
        <v>8055.64</v>
      </c>
      <c r="U104" s="36">
        <v>11819.06</v>
      </c>
      <c r="V104" s="36">
        <v>8048.65</v>
      </c>
      <c r="W104" s="36">
        <v>12282.43</v>
      </c>
      <c r="X104" s="36">
        <v>8894.6299999999992</v>
      </c>
      <c r="Y104" s="36">
        <v>10363.83</v>
      </c>
      <c r="Z104" s="36">
        <v>14977.11</v>
      </c>
      <c r="AA104" s="36">
        <f>IF($I104="B1","",SUM(O104:Z104))</f>
        <v>132175.76</v>
      </c>
      <c r="AB104" s="37">
        <f>IF(AA104=0,"",IFERROR(AA104/AA$19,""))</f>
        <v>0.26130515137977217</v>
      </c>
      <c r="AD104" s="36">
        <v>203824.26390436399</v>
      </c>
      <c r="AE104" s="37">
        <f>IF(AD104=0,"",IFERROR(AD104/AD$19,""))</f>
        <v>0.28587901636557261</v>
      </c>
      <c r="AF104" s="59">
        <f>IF(AND($AA104="",AD104=""),"",$AA104-AD104)</f>
        <v>-71648.503904363984</v>
      </c>
      <c r="AG104" s="60">
        <v>129716.39</v>
      </c>
      <c r="AH104" s="61">
        <f>IF(AG104=0,"",IFERROR(AG104/AG$19,""))</f>
        <v>0.26399159810943218</v>
      </c>
      <c r="AI104" s="59">
        <f>IF(AND($AA104="",AG104=""),"",$AA104-AG104)</f>
        <v>2459.3700000000099</v>
      </c>
      <c r="AJ104" s="392">
        <f>IFERROR(AA104/AA$20,0)</f>
        <v>8.3502280624170826</v>
      </c>
      <c r="AK104" s="393">
        <f>IFERROR(AD104/AD$20,0)</f>
        <v>11.85645185878448</v>
      </c>
      <c r="AL104" s="394">
        <f>IFERROR(AG104/AG$20,0)</f>
        <v>9.7209524880095923</v>
      </c>
      <c r="AM104" s="395" t="str">
        <f>+IFERROR(ROUND(($AB104-AE104)*100,2)&amp;" pts.",0)</f>
        <v>-2.46 pts.</v>
      </c>
      <c r="AN104" s="437" t="str">
        <f>+IFERROR(ROUND(($AB104-AH104)*100,2)&amp;" pts.",0)</f>
        <v>-0.27 pts.</v>
      </c>
    </row>
    <row r="105" spans="1:40" ht="15.75" thickBot="1" x14ac:dyDescent="0.3">
      <c r="A105" s="1" t="s">
        <v>109</v>
      </c>
      <c r="C105" s="25" t="s">
        <v>101</v>
      </c>
      <c r="D105" s="1" t="s">
        <v>106</v>
      </c>
      <c r="F105" s="1" t="s">
        <v>98</v>
      </c>
      <c r="G105" s="14"/>
      <c r="H105" s="15" t="s">
        <v>81</v>
      </c>
      <c r="I105" s="27" t="s">
        <v>1012</v>
      </c>
      <c r="J105" s="27" t="s">
        <v>78</v>
      </c>
      <c r="K105" s="25"/>
      <c r="L105" s="25"/>
      <c r="M105" s="25"/>
      <c r="N105" s="25" t="s">
        <v>1118</v>
      </c>
      <c r="O105" s="62">
        <v>22755.74</v>
      </c>
      <c r="P105" s="62">
        <v>29108.1</v>
      </c>
      <c r="Q105" s="62">
        <v>26614.78</v>
      </c>
      <c r="R105" s="62">
        <v>19983.259999999998</v>
      </c>
      <c r="S105" s="62">
        <v>22002.63</v>
      </c>
      <c r="T105" s="62">
        <v>29042.799999999999</v>
      </c>
      <c r="U105" s="62">
        <v>18466</v>
      </c>
      <c r="V105" s="62">
        <v>15205.53</v>
      </c>
      <c r="W105" s="62">
        <v>24705.49</v>
      </c>
      <c r="X105" s="62">
        <v>19945.400000000001</v>
      </c>
      <c r="Y105" s="62">
        <v>19963.82</v>
      </c>
      <c r="Z105" s="62">
        <v>33416.6</v>
      </c>
      <c r="AA105" s="62">
        <f>IF($I105="B1","",SUM(O105:Z105))</f>
        <v>281210.14999999997</v>
      </c>
      <c r="AB105" s="63">
        <f>IF(AA105=0,"",IFERROR(AA105/AA$19,""))</f>
        <v>0.55593900738893753</v>
      </c>
      <c r="AD105" s="62">
        <v>359386.50949563598</v>
      </c>
      <c r="AE105" s="63">
        <f>IF(AD105=0,"",IFERROR(AD105/AD$19,""))</f>
        <v>0.50406688517651599</v>
      </c>
      <c r="AF105" s="64">
        <f>IF(AND($AA105="",AD105=""),"",$AA105-AD105)</f>
        <v>-78176.359495636018</v>
      </c>
      <c r="AG105" s="62">
        <v>256078.9</v>
      </c>
      <c r="AH105" s="63">
        <f>IF(AG105=0,"",IFERROR(AG105/AG$19,""))</f>
        <v>0.52115756577180006</v>
      </c>
      <c r="AI105" s="64">
        <f>IF(AND($AA105="",AG105=""),"",$AA105-AG105)</f>
        <v>25131.249999999971</v>
      </c>
      <c r="AJ105" s="430">
        <f>IFERROR(AA105/AA$20,0)</f>
        <v>17.765503190346831</v>
      </c>
      <c r="AK105" s="431">
        <f>IFERROR(AD105/AD$20,0)</f>
        <v>20.905503431774534</v>
      </c>
      <c r="AL105" s="432">
        <f>IFERROR(AG105/AG$20,0)</f>
        <v>19.190565047961631</v>
      </c>
      <c r="AM105" s="433" t="str">
        <f>+IFERROR(ROUND(($AB105-AE105)*100,2)&amp;" pts.",0)</f>
        <v>5.19 pts.</v>
      </c>
      <c r="AN105" s="438" t="str">
        <f>+IFERROR(ROUND(($AB105-AH105)*100,2)&amp;" pts.",0)</f>
        <v>3.48 pts.</v>
      </c>
    </row>
    <row r="106" spans="1:40" ht="15.75" thickTop="1" x14ac:dyDescent="0.25">
      <c r="A106" s="1" t="s">
        <v>109</v>
      </c>
      <c r="C106" s="151" t="s">
        <v>101</v>
      </c>
      <c r="D106" s="1" t="s">
        <v>107</v>
      </c>
      <c r="F106" s="1" t="s">
        <v>99</v>
      </c>
    </row>
    <row r="107" spans="1:40" x14ac:dyDescent="0.25">
      <c r="A107" s="1" t="s">
        <v>110</v>
      </c>
      <c r="C107" s="25" t="s">
        <v>101</v>
      </c>
      <c r="D107" s="1" t="s">
        <v>106</v>
      </c>
      <c r="F107" s="1" t="s">
        <v>98</v>
      </c>
      <c r="N107" s="26" t="str">
        <f>N104&amp;" - Check"</f>
        <v>Total Expenses - Check</v>
      </c>
      <c r="O107" s="139">
        <f t="shared" ref="O107:AA107" si="46">SUMIF($H$35:$H$105,"600000",O$35:O$105)+SUMIF($H$35:$H$105,"700000",O$35:O$105)-SUMIF($H$35:$H$105,"TOTDEPTEXP",O$35:O$105)</f>
        <v>0</v>
      </c>
      <c r="P107" s="139">
        <f t="shared" si="46"/>
        <v>0</v>
      </c>
      <c r="Q107" s="139">
        <f t="shared" si="46"/>
        <v>0</v>
      </c>
      <c r="R107" s="139">
        <f t="shared" si="46"/>
        <v>0</v>
      </c>
      <c r="S107" s="139">
        <f t="shared" si="46"/>
        <v>0</v>
      </c>
      <c r="T107" s="139">
        <f t="shared" si="46"/>
        <v>0</v>
      </c>
      <c r="U107" s="139">
        <f t="shared" si="46"/>
        <v>0</v>
      </c>
      <c r="V107" s="139">
        <f t="shared" si="46"/>
        <v>0</v>
      </c>
      <c r="W107" s="139">
        <f t="shared" si="46"/>
        <v>0</v>
      </c>
      <c r="X107" s="139">
        <f t="shared" si="46"/>
        <v>0</v>
      </c>
      <c r="Y107" s="139">
        <f t="shared" si="46"/>
        <v>0</v>
      </c>
      <c r="Z107" s="139">
        <f t="shared" si="46"/>
        <v>0</v>
      </c>
      <c r="AA107" s="139">
        <f t="shared" si="46"/>
        <v>0</v>
      </c>
      <c r="AB107" s="17"/>
      <c r="AD107" s="139">
        <f>SUMIF($H$35:$H$105,"600000",AD$35:AD$105)+SUMIF($H$35:$H$105,"700000",AD$35:AD$105)-SUMIF($H$35:$H$105,"TOTDEPTEXP",AD$35:AD$105)</f>
        <v>3.2014213502407074E-10</v>
      </c>
      <c r="AE107" s="17"/>
      <c r="AF107" s="21"/>
      <c r="AG107" s="139">
        <f>SUMIF($H$35:$H$105,"600000",AG$35:AG$105)+SUMIF($H$35:$H$105,"700000",AG$35:AG$105)-SUMIF($H$35:$H$105,"TOTDEPTEXP",AG$35:AG$105)</f>
        <v>0</v>
      </c>
      <c r="AH107" s="17"/>
      <c r="AI107" s="21"/>
    </row>
    <row r="108" spans="1:40" x14ac:dyDescent="0.25">
      <c r="A108" s="1" t="s">
        <v>110</v>
      </c>
      <c r="C108" s="29" t="s">
        <v>101</v>
      </c>
      <c r="D108" s="1" t="s">
        <v>107</v>
      </c>
      <c r="F108" s="1" t="s">
        <v>99</v>
      </c>
      <c r="N108" s="26" t="str">
        <f>N105&amp;" - Check"</f>
        <v>Department Profit (Loss) - Check</v>
      </c>
      <c r="O108" s="139">
        <f t="shared" ref="O108:AA108" si="47">SUMIF($H$35:$H$105,"KPI_GP",O$35:O$105)-SUMIF($H$35:$H$105,"TOTDEPTEXP",O$35:O$105)-SUMIF($H$35:$H$105,"TOTDEPTPL",O$35:O$105)</f>
        <v>0</v>
      </c>
      <c r="P108" s="139">
        <f t="shared" si="47"/>
        <v>0</v>
      </c>
      <c r="Q108" s="139">
        <f t="shared" si="47"/>
        <v>0</v>
      </c>
      <c r="R108" s="139">
        <f t="shared" si="47"/>
        <v>0</v>
      </c>
      <c r="S108" s="139">
        <f t="shared" si="47"/>
        <v>0</v>
      </c>
      <c r="T108" s="139">
        <f t="shared" si="47"/>
        <v>0</v>
      </c>
      <c r="U108" s="139">
        <f t="shared" si="47"/>
        <v>0</v>
      </c>
      <c r="V108" s="139">
        <f t="shared" si="47"/>
        <v>0</v>
      </c>
      <c r="W108" s="139">
        <f t="shared" si="47"/>
        <v>0</v>
      </c>
      <c r="X108" s="139">
        <f t="shared" si="47"/>
        <v>0</v>
      </c>
      <c r="Y108" s="139">
        <f t="shared" si="47"/>
        <v>0</v>
      </c>
      <c r="Z108" s="139">
        <f t="shared" si="47"/>
        <v>0</v>
      </c>
      <c r="AA108" s="139">
        <f t="shared" si="47"/>
        <v>0</v>
      </c>
      <c r="AB108" s="17"/>
      <c r="AD108" s="139">
        <f>SUMIF($H$35:$H$105,"KPI_GP",AD$35:AD$105)-SUMIF($H$35:$H$105,"TOTDEPTEXP",AD$35:AD$105)-SUMIF($H$35:$H$105,"TOTDEPTPL",AD$35:AD$105)</f>
        <v>0</v>
      </c>
      <c r="AE108" s="17"/>
      <c r="AF108" s="21"/>
      <c r="AG108" s="139">
        <f>SUMIF($H$35:$H$105,"KPI_GP",AG$35:AG$105)-SUMIF($H$35:$H$105,"TOTDEPTEXP",AG$35:AG$105)-SUMIF($H$35:$H$105,"TOTDEPTPL",AG$35:AG$105)</f>
        <v>0</v>
      </c>
      <c r="AH108" s="17"/>
      <c r="AI108" s="21"/>
    </row>
    <row r="109" spans="1:40" x14ac:dyDescent="0.25">
      <c r="C109" s="32"/>
    </row>
    <row r="110" spans="1:40" x14ac:dyDescent="0.25">
      <c r="O110" s="166"/>
      <c r="P110" s="166"/>
      <c r="Q110" s="166"/>
      <c r="R110" s="166"/>
      <c r="S110" s="166"/>
      <c r="T110" s="166"/>
      <c r="U110" s="166"/>
      <c r="V110" s="166"/>
      <c r="W110" s="166"/>
      <c r="X110" s="166"/>
      <c r="Y110" s="166"/>
      <c r="Z110" s="166"/>
      <c r="AA110" s="166"/>
      <c r="AD110" s="166"/>
      <c r="AG110" s="166"/>
    </row>
    <row r="111" spans="1:40" x14ac:dyDescent="0.25">
      <c r="A111" s="4" t="s">
        <v>988</v>
      </c>
      <c r="B111" s="1" t="s">
        <v>736</v>
      </c>
      <c r="G111" s="14"/>
    </row>
    <row r="112" spans="1:40" x14ac:dyDescent="0.25">
      <c r="O112" s="166"/>
      <c r="P112" s="166"/>
      <c r="Q112" s="166"/>
      <c r="R112" s="166"/>
      <c r="S112" s="166"/>
      <c r="T112" s="166"/>
      <c r="U112" s="166"/>
      <c r="V112" s="166"/>
      <c r="W112" s="166"/>
      <c r="X112" s="166"/>
      <c r="Y112" s="166"/>
      <c r="Z112" s="166"/>
      <c r="AA112" s="166"/>
      <c r="AD112" s="166"/>
      <c r="AG112" s="166"/>
    </row>
    <row r="113" spans="1:10" x14ac:dyDescent="0.25">
      <c r="A113" s="3" t="s">
        <v>0</v>
      </c>
      <c r="B113" s="5" t="s">
        <v>1</v>
      </c>
    </row>
    <row r="114" spans="1:10" x14ac:dyDescent="0.25">
      <c r="A114" s="6" t="s">
        <v>2</v>
      </c>
      <c r="B114" s="16" t="s">
        <v>1438</v>
      </c>
    </row>
    <row r="115" spans="1:10" x14ac:dyDescent="0.25">
      <c r="A115" s="6" t="s">
        <v>3</v>
      </c>
      <c r="B115" s="16" t="s">
        <v>1439</v>
      </c>
      <c r="H115" s="11"/>
      <c r="J115" s="1"/>
    </row>
    <row r="116" spans="1:10" x14ac:dyDescent="0.25">
      <c r="A116" s="6" t="s">
        <v>4</v>
      </c>
      <c r="B116" s="16" t="s">
        <v>1447</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16" t="s">
        <v>1442</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c r="H130" s="11"/>
      <c r="J130" s="1"/>
    </row>
    <row r="131" spans="1:10" x14ac:dyDescent="0.25">
      <c r="A131" s="6" t="s">
        <v>31</v>
      </c>
      <c r="B131" s="7" t="s">
        <v>78</v>
      </c>
      <c r="H131" s="11"/>
      <c r="J131" s="1"/>
    </row>
    <row r="132" spans="1:10" x14ac:dyDescent="0.25">
      <c r="A132" s="6" t="s">
        <v>32</v>
      </c>
      <c r="B132" s="7"/>
      <c r="H132" s="11"/>
      <c r="J132" s="1"/>
    </row>
    <row r="133" spans="1:10" x14ac:dyDescent="0.25">
      <c r="A133" s="6" t="s">
        <v>33</v>
      </c>
      <c r="B133" s="7"/>
      <c r="H133" s="11"/>
      <c r="J133" s="1"/>
    </row>
    <row r="134" spans="1:10" x14ac:dyDescent="0.25">
      <c r="A134" s="6" t="s">
        <v>34</v>
      </c>
      <c r="B134" s="7"/>
      <c r="H134" s="11"/>
      <c r="J134" s="1"/>
    </row>
    <row r="135" spans="1:10" x14ac:dyDescent="0.25">
      <c r="A135" s="6" t="s">
        <v>35</v>
      </c>
      <c r="B135" s="7"/>
      <c r="H135" s="11"/>
      <c r="J135" s="1"/>
    </row>
    <row r="136" spans="1:10" x14ac:dyDescent="0.25">
      <c r="A136" s="6" t="s">
        <v>36</v>
      </c>
      <c r="B136" s="7"/>
      <c r="H136" s="11"/>
      <c r="J136" s="1"/>
    </row>
    <row r="137" spans="1:10" x14ac:dyDescent="0.25">
      <c r="A137" s="6" t="s">
        <v>37</v>
      </c>
      <c r="B137" s="7"/>
      <c r="H137" s="11"/>
      <c r="J137" s="1"/>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5" x14ac:dyDescent="0.25">
      <c r="E163" s="76"/>
    </row>
    <row r="167" spans="5:5" x14ac:dyDescent="0.25">
      <c r="E167" s="76"/>
    </row>
    <row r="178" spans="7:34" x14ac:dyDescent="0.25">
      <c r="I178" s="76"/>
      <c r="J178" s="1"/>
      <c r="K178" s="76"/>
      <c r="L178" s="76"/>
      <c r="M178" s="76"/>
      <c r="O178" s="76"/>
      <c r="P178" s="76"/>
      <c r="Q178" s="76"/>
      <c r="R178" s="76"/>
      <c r="S178" s="76"/>
      <c r="T178" s="76"/>
      <c r="U178" s="76"/>
      <c r="V178" s="76"/>
      <c r="W178" s="76"/>
      <c r="X178" s="76"/>
      <c r="Y178" s="76"/>
      <c r="Z178" s="76"/>
      <c r="AA178" s="76"/>
      <c r="AD178" s="76"/>
      <c r="AF178" s="76"/>
      <c r="AH178" s="76"/>
    </row>
    <row r="182" spans="7:34" x14ac:dyDescent="0.25">
      <c r="I182" s="76"/>
      <c r="J182" s="1"/>
      <c r="K182" s="76"/>
      <c r="L182" s="76"/>
      <c r="M182" s="76"/>
      <c r="O182" s="76"/>
      <c r="P182" s="76"/>
      <c r="Q182" s="76"/>
      <c r="R182" s="76"/>
      <c r="S182" s="76"/>
      <c r="T182" s="76"/>
      <c r="U182" s="76"/>
      <c r="V182" s="76"/>
      <c r="W182" s="76"/>
      <c r="X182" s="76"/>
      <c r="Y182" s="76"/>
      <c r="Z182" s="76"/>
      <c r="AA182" s="76"/>
      <c r="AD182" s="76"/>
      <c r="AF182" s="76"/>
      <c r="AH182" s="76"/>
    </row>
    <row r="190" spans="7:34" x14ac:dyDescent="0.25">
      <c r="G190" s="76"/>
    </row>
    <row r="194" spans="7:7" x14ac:dyDescent="0.25">
      <c r="G194" s="76"/>
    </row>
  </sheetData>
  <mergeCells count="2">
    <mergeCell ref="AD31:AE31"/>
    <mergeCell ref="AG31:AH31"/>
  </mergeCells>
  <dataValidations count="2">
    <dataValidation type="list" allowBlank="1" sqref="B28 B61 B94" xr:uid="{00000000-0002-0000-2700-000000000000}">
      <formula1>"ACCOUNT,BUSINESSUNIT,CATEGORY,DATASRC,DEPARTMENT,INTCO,MEASURES,RPTCURRENCY,TIME"</formula1>
    </dataValidation>
    <dataValidation type="list" allowBlank="1" sqref="B29 B62 B95" xr:uid="{00000000-0002-0000-27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50213"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0213" r:id="rId5" name="FPMExcelClientSheetOptionstb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'4KNhtOpAEUypgWAtMC7vgA=='!N1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734</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D2146</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D2146</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v>617.95000000000005</v>
      </c>
      <c r="U35" s="21"/>
      <c r="V35" s="21"/>
      <c r="W35" s="21"/>
      <c r="X35" s="21"/>
      <c r="Y35" s="21"/>
      <c r="Z35" s="21"/>
      <c r="AA35" s="21">
        <f t="shared" ref="AA35:AA41" si="0">SUM(O35:Z35)</f>
        <v>617.95000000000005</v>
      </c>
      <c r="AB35" s="17" t="str">
        <f ca="1">IF(AA35=0,"",IFERROR(AA35/AA$19,""))</f>
        <v/>
      </c>
      <c r="AD35" s="21"/>
      <c r="AE35" s="17" t="str">
        <f>IF(AD35=0,"",IFERROR(AD35/AD$19,""))</f>
        <v/>
      </c>
      <c r="AF35" s="50">
        <f t="shared" ref="AF35:AF42" si="1">IF(AND($AA35="",AD35=""),"",$AA35-AD35)</f>
        <v>617.95000000000005</v>
      </c>
      <c r="AG35" s="21"/>
      <c r="AH35" s="17" t="str">
        <f>IF(AG35=0,"",IFERROR(AG35/AG$19,""))</f>
        <v/>
      </c>
      <c r="AI35" s="50">
        <f t="shared" ref="AI35:AI42" si="2">IF(AND($AA35="",AG35=""),"",$AA35-AG35)</f>
        <v>617.95000000000005</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v>617.95000000000005</v>
      </c>
      <c r="U39" s="164"/>
      <c r="V39" s="164"/>
      <c r="W39" s="164"/>
      <c r="X39" s="164"/>
      <c r="Y39" s="164"/>
      <c r="Z39" s="164"/>
      <c r="AA39" s="164">
        <f t="shared" si="0"/>
        <v>617.95000000000005</v>
      </c>
      <c r="AB39" s="175" t="str">
        <f ca="1">IF(AA39=0,"",IFERROR(AA39/AA$19,""))</f>
        <v/>
      </c>
      <c r="AD39" s="164"/>
      <c r="AE39" s="175" t="str">
        <f>IF(AD39=0,"",IFERROR(AD39/AD$19,""))</f>
        <v/>
      </c>
      <c r="AF39" s="165">
        <f t="shared" si="1"/>
        <v>617.95000000000005</v>
      </c>
      <c r="AG39" s="164"/>
      <c r="AH39" s="175" t="str">
        <f t="shared" si="3"/>
        <v/>
      </c>
      <c r="AI39" s="165">
        <f t="shared" si="2"/>
        <v>617.95000000000005</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v>24</v>
      </c>
      <c r="Y47" s="21"/>
      <c r="Z47" s="21"/>
      <c r="AA47" s="21">
        <f t="shared" si="6"/>
        <v>24</v>
      </c>
      <c r="AB47" s="17" t="str">
        <f ca="1">IF(AA47=0,"",IFERROR(AA47/AA$19,""))</f>
        <v/>
      </c>
      <c r="AD47" s="21"/>
      <c r="AE47" s="17" t="str">
        <f>IF(AD47=0,"",IFERROR(AD47/AD$19,""))</f>
        <v/>
      </c>
      <c r="AF47" s="50">
        <f t="shared" si="7"/>
        <v>24</v>
      </c>
      <c r="AG47" s="21"/>
      <c r="AH47" s="17" t="str">
        <f t="shared" si="3"/>
        <v/>
      </c>
      <c r="AI47" s="50">
        <f t="shared" si="8"/>
        <v>24</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v>25</v>
      </c>
      <c r="Y48" s="30"/>
      <c r="Z48" s="30"/>
      <c r="AA48" s="30">
        <f t="shared" si="6"/>
        <v>25</v>
      </c>
      <c r="AB48" s="31" t="str">
        <f ca="1">IF(AA48=0,"",IFERROR(AA48/AA$19,""))</f>
        <v/>
      </c>
      <c r="AD48" s="30"/>
      <c r="AE48" s="31" t="str">
        <f>IF(AD48=0,"",IFERROR(AD48/AD$19,""))</f>
        <v/>
      </c>
      <c r="AF48" s="51">
        <f t="shared" si="7"/>
        <v>25</v>
      </c>
      <c r="AG48" s="30"/>
      <c r="AH48" s="31" t="str">
        <f t="shared" si="3"/>
        <v/>
      </c>
      <c r="AI48" s="51">
        <f t="shared" si="8"/>
        <v>25</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v>49</v>
      </c>
      <c r="Y49" s="164"/>
      <c r="Z49" s="164"/>
      <c r="AA49" s="164">
        <f t="shared" si="6"/>
        <v>49</v>
      </c>
      <c r="AB49" s="175" t="str">
        <f ca="1">IF(AA49=0,"",IFERROR(AA49/AA$19,""))</f>
        <v/>
      </c>
      <c r="AD49" s="164"/>
      <c r="AE49" s="175" t="str">
        <f>IF(AD49=0,"",IFERROR(AD49/AD$19,""))</f>
        <v/>
      </c>
      <c r="AF49" s="165">
        <f t="shared" si="7"/>
        <v>49</v>
      </c>
      <c r="AG49" s="164"/>
      <c r="AH49" s="175" t="str">
        <f t="shared" si="3"/>
        <v/>
      </c>
      <c r="AI49" s="165">
        <f t="shared" si="8"/>
        <v>49</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v>9178.5</v>
      </c>
      <c r="P65" s="21">
        <v>13570</v>
      </c>
      <c r="Q65" s="21">
        <v>10503.8</v>
      </c>
      <c r="R65" s="21">
        <v>9350.4</v>
      </c>
      <c r="S65" s="21">
        <v>14245.5</v>
      </c>
      <c r="T65" s="21">
        <v>11915.5</v>
      </c>
      <c r="U65" s="21">
        <v>11762.81</v>
      </c>
      <c r="V65" s="21">
        <v>7958.11</v>
      </c>
      <c r="W65" s="21">
        <v>13464.5</v>
      </c>
      <c r="X65" s="21">
        <v>14619.4</v>
      </c>
      <c r="Y65" s="21">
        <v>9453.2000000000007</v>
      </c>
      <c r="Z65" s="21">
        <v>16635.27</v>
      </c>
      <c r="AA65" s="21">
        <f t="shared" ref="AA65:AA71" si="16">SUM(O65:Z65)</f>
        <v>142656.99</v>
      </c>
      <c r="AB65" s="17" t="str">
        <f ca="1">IF(AA65=0,"",IFERROR(AA65/AA$19,""))</f>
        <v/>
      </c>
      <c r="AD65" s="21">
        <v>160846.484643</v>
      </c>
      <c r="AE65" s="17" t="str">
        <f ca="1">IF(AD65=0,"",IFERROR(AD65/AD$19,""))</f>
        <v/>
      </c>
      <c r="AF65" s="50">
        <f t="shared" ref="AF65:AF72" si="17">IF(AND($AA65="",AD65=""),"",$AA65-AD65)</f>
        <v>-18189.494643000013</v>
      </c>
      <c r="AG65" s="21">
        <v>111349.46</v>
      </c>
      <c r="AH65" s="17" t="str">
        <f t="shared" ca="1" si="3"/>
        <v/>
      </c>
      <c r="AI65" s="50">
        <f t="shared" ref="AI65:AI72" si="18">IF(AND($AA65="",AG65=""),"",$AA65-AG65)</f>
        <v>31307.529999999984</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v>19181</v>
      </c>
      <c r="P66" s="21">
        <v>23332</v>
      </c>
      <c r="Q66" s="21">
        <v>21510</v>
      </c>
      <c r="R66" s="21">
        <v>15487.91</v>
      </c>
      <c r="S66" s="21">
        <v>13547</v>
      </c>
      <c r="T66" s="21">
        <v>17682.400000000001</v>
      </c>
      <c r="U66" s="21">
        <v>15298.1</v>
      </c>
      <c r="V66" s="21">
        <v>11900.8</v>
      </c>
      <c r="W66" s="21">
        <v>19621</v>
      </c>
      <c r="X66" s="21">
        <v>10427.200000000001</v>
      </c>
      <c r="Y66" s="21">
        <v>14523.5</v>
      </c>
      <c r="Z66" s="21">
        <v>23854.6</v>
      </c>
      <c r="AA66" s="21">
        <f t="shared" si="16"/>
        <v>206365.51</v>
      </c>
      <c r="AB66" s="17" t="str">
        <f ca="1">IF(AA66=0,"",IFERROR(AA66/AA$19,""))</f>
        <v/>
      </c>
      <c r="AD66" s="21">
        <v>320695.60435500002</v>
      </c>
      <c r="AE66" s="17" t="str">
        <f ca="1">IF(AD66=0,"",IFERROR(AD66/AD$19,""))</f>
        <v/>
      </c>
      <c r="AF66" s="50">
        <f t="shared" si="17"/>
        <v>-114330.09435500001</v>
      </c>
      <c r="AG66" s="21">
        <v>218812.91</v>
      </c>
      <c r="AH66" s="17" t="str">
        <f t="shared" ca="1" si="3"/>
        <v/>
      </c>
      <c r="AI66" s="50">
        <f t="shared" si="18"/>
        <v>-12447.399999999994</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v>3922</v>
      </c>
      <c r="P67" s="21">
        <v>3050</v>
      </c>
      <c r="Q67" s="21">
        <v>3205</v>
      </c>
      <c r="R67" s="21">
        <v>2985</v>
      </c>
      <c r="S67" s="21">
        <v>2280</v>
      </c>
      <c r="T67" s="21">
        <v>3308.9</v>
      </c>
      <c r="U67" s="21">
        <v>1881</v>
      </c>
      <c r="V67" s="21">
        <v>2042</v>
      </c>
      <c r="W67" s="21">
        <v>2245</v>
      </c>
      <c r="X67" s="21">
        <v>2610</v>
      </c>
      <c r="Y67" s="21">
        <v>3308.5</v>
      </c>
      <c r="Z67" s="21">
        <v>3644.8</v>
      </c>
      <c r="AA67" s="21">
        <f t="shared" si="16"/>
        <v>34482.200000000004</v>
      </c>
      <c r="AB67" s="17" t="str">
        <f ca="1">IF(AA67=0,"",IFERROR(AA67/AA$19,""))</f>
        <v/>
      </c>
      <c r="AD67" s="21">
        <v>51328.051586000001</v>
      </c>
      <c r="AE67" s="17" t="str">
        <f ca="1">IF(AD67=0,"",IFERROR(AD67/AD$19,""))</f>
        <v/>
      </c>
      <c r="AF67" s="50">
        <f t="shared" si="17"/>
        <v>-16845.851585999997</v>
      </c>
      <c r="AG67" s="21">
        <v>37750.5</v>
      </c>
      <c r="AH67" s="17" t="str">
        <f t="shared" ca="1" si="3"/>
        <v/>
      </c>
      <c r="AI67" s="50">
        <f t="shared" si="18"/>
        <v>-3268.2999999999956</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v>5205</v>
      </c>
      <c r="P68" s="30">
        <v>5038</v>
      </c>
      <c r="Q68" s="30">
        <v>3810</v>
      </c>
      <c r="R68" s="30">
        <v>2764</v>
      </c>
      <c r="S68" s="30">
        <v>4365</v>
      </c>
      <c r="T68" s="30">
        <v>3798</v>
      </c>
      <c r="U68" s="30">
        <v>2320</v>
      </c>
      <c r="V68" s="30">
        <v>2094</v>
      </c>
      <c r="W68" s="30">
        <v>2630</v>
      </c>
      <c r="X68" s="30">
        <v>2081</v>
      </c>
      <c r="Y68" s="30">
        <v>3838.6</v>
      </c>
      <c r="Z68" s="30">
        <v>5614.43</v>
      </c>
      <c r="AA68" s="30">
        <f t="shared" si="16"/>
        <v>43558.03</v>
      </c>
      <c r="AB68" s="31" t="str">
        <f ca="1">IF(AA68=0,"",IFERROR(AA68/AA$19,""))</f>
        <v/>
      </c>
      <c r="AD68" s="30">
        <v>71344.989415999997</v>
      </c>
      <c r="AE68" s="31" t="str">
        <f ca="1">IF(AD68=0,"",IFERROR(AD68/AD$19,""))</f>
        <v/>
      </c>
      <c r="AF68" s="51">
        <f t="shared" si="17"/>
        <v>-27786.959415999998</v>
      </c>
      <c r="AG68" s="30">
        <v>47578.9</v>
      </c>
      <c r="AH68" s="31" t="str">
        <f t="shared" ca="1" si="3"/>
        <v/>
      </c>
      <c r="AI68" s="51">
        <f t="shared" si="18"/>
        <v>-4020.8700000000026</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v>37486.5</v>
      </c>
      <c r="P69" s="164">
        <v>44990</v>
      </c>
      <c r="Q69" s="164">
        <v>39028.800000000003</v>
      </c>
      <c r="R69" s="164">
        <v>30587.31</v>
      </c>
      <c r="S69" s="164">
        <v>34437.5</v>
      </c>
      <c r="T69" s="164">
        <v>36704.800000000003</v>
      </c>
      <c r="U69" s="164">
        <v>31261.91</v>
      </c>
      <c r="V69" s="164">
        <v>23994.91</v>
      </c>
      <c r="W69" s="164">
        <v>37960.5</v>
      </c>
      <c r="X69" s="164">
        <v>29737.599999999999</v>
      </c>
      <c r="Y69" s="164">
        <v>31123.8</v>
      </c>
      <c r="Z69" s="164">
        <v>49749.1</v>
      </c>
      <c r="AA69" s="164">
        <f t="shared" si="16"/>
        <v>427062.73</v>
      </c>
      <c r="AB69" s="175" t="str">
        <f ca="1">IF(AA69=0,"",IFERROR(AA69/AA$19,""))</f>
        <v/>
      </c>
      <c r="AD69" s="164">
        <v>604215.13</v>
      </c>
      <c r="AE69" s="175" t="str">
        <f ca="1">IF(AD69=0,"",IFERROR(AD69/AD$19,""))</f>
        <v/>
      </c>
      <c r="AF69" s="165">
        <f t="shared" si="17"/>
        <v>-177152.40000000002</v>
      </c>
      <c r="AG69" s="164">
        <v>415491.77</v>
      </c>
      <c r="AH69" s="175" t="str">
        <f t="shared" ca="1" si="3"/>
        <v/>
      </c>
      <c r="AI69" s="165">
        <f t="shared" si="18"/>
        <v>11570.959999999963</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v>31</v>
      </c>
      <c r="P70" s="38">
        <v>28</v>
      </c>
      <c r="Q70" s="38">
        <v>31</v>
      </c>
      <c r="R70" s="38">
        <v>30</v>
      </c>
      <c r="S70" s="38">
        <v>31</v>
      </c>
      <c r="T70" s="38"/>
      <c r="U70" s="38">
        <v>31</v>
      </c>
      <c r="V70" s="38">
        <v>31</v>
      </c>
      <c r="W70" s="38">
        <v>30</v>
      </c>
      <c r="X70" s="38">
        <v>31</v>
      </c>
      <c r="Y70" s="38">
        <v>30</v>
      </c>
      <c r="Z70" s="38">
        <v>31</v>
      </c>
      <c r="AA70" s="38">
        <f t="shared" si="16"/>
        <v>335</v>
      </c>
      <c r="AB70" s="39"/>
      <c r="AD70" s="38">
        <v>365</v>
      </c>
      <c r="AE70" s="39"/>
      <c r="AF70" s="132">
        <f t="shared" si="17"/>
        <v>-30</v>
      </c>
      <c r="AG70" s="38">
        <v>365</v>
      </c>
      <c r="AH70" s="39"/>
      <c r="AI70" s="132">
        <f t="shared" si="18"/>
        <v>-30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v>1237</v>
      </c>
      <c r="P71" s="38">
        <v>1625</v>
      </c>
      <c r="Q71" s="38">
        <v>1332</v>
      </c>
      <c r="R71" s="38">
        <v>1175</v>
      </c>
      <c r="S71" s="38">
        <v>1295</v>
      </c>
      <c r="T71" s="38">
        <v>1491</v>
      </c>
      <c r="U71" s="38">
        <v>1297</v>
      </c>
      <c r="V71" s="38">
        <v>1068</v>
      </c>
      <c r="W71" s="38">
        <v>1206</v>
      </c>
      <c r="X71" s="38">
        <v>1240</v>
      </c>
      <c r="Y71" s="38">
        <v>1281</v>
      </c>
      <c r="Z71" s="38">
        <v>1582</v>
      </c>
      <c r="AA71" s="38">
        <f t="shared" si="16"/>
        <v>15829</v>
      </c>
      <c r="AB71" s="39">
        <f>IF(AA71=0,"",IFERROR(AA71/AA$87,""))</f>
        <v>1</v>
      </c>
      <c r="AD71" s="38">
        <v>17191</v>
      </c>
      <c r="AE71" s="39">
        <f>IF(AD71=0,"",IFERROR(AD71/AD$87,""))</f>
        <v>1</v>
      </c>
      <c r="AF71" s="132">
        <f t="shared" si="17"/>
        <v>-1362</v>
      </c>
      <c r="AG71" s="38">
        <v>13344</v>
      </c>
      <c r="AH71" s="39">
        <f>IF(AG71=0,"",IFERROR(AG71/AG$87,""))</f>
        <v>1</v>
      </c>
      <c r="AI71" s="132">
        <f t="shared" si="18"/>
        <v>2485</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v>30.3043654001617</v>
      </c>
      <c r="P72" s="176">
        <v>27.6861538461538</v>
      </c>
      <c r="Q72" s="176">
        <v>29.300900900900899</v>
      </c>
      <c r="R72" s="176">
        <v>26.0317531914894</v>
      </c>
      <c r="S72" s="176">
        <v>26.592664092664101</v>
      </c>
      <c r="T72" s="176">
        <v>24.617572099262201</v>
      </c>
      <c r="U72" s="176">
        <v>24.103245952197401</v>
      </c>
      <c r="V72" s="176">
        <v>22.4671441947566</v>
      </c>
      <c r="W72" s="176">
        <v>31.476368159204</v>
      </c>
      <c r="X72" s="176">
        <v>23.981935483870998</v>
      </c>
      <c r="Y72" s="176">
        <v>24.296487119437899</v>
      </c>
      <c r="Z72" s="176">
        <v>31.4469658659924</v>
      </c>
      <c r="AA72" s="176">
        <f>IFERROR(AA69/AA71,"")</f>
        <v>26.979766883568132</v>
      </c>
      <c r="AB72" s="176"/>
      <c r="AD72" s="176">
        <v>35.147177592926496</v>
      </c>
      <c r="AE72" s="176"/>
      <c r="AF72" s="177">
        <f t="shared" si="17"/>
        <v>-8.1674107093583643</v>
      </c>
      <c r="AG72" s="176">
        <v>31.136973171462799</v>
      </c>
      <c r="AH72" s="176"/>
      <c r="AI72" s="177">
        <f t="shared" si="18"/>
        <v>-4.1572062878946667</v>
      </c>
    </row>
    <row r="73" spans="3:35" x14ac:dyDescent="0.25">
      <c r="G73" s="181">
        <f>COUNTIF(O74:AI74,FALSE)</f>
        <v>0</v>
      </c>
      <c r="H73" s="15"/>
      <c r="I73" s="161"/>
      <c r="J73" s="161"/>
      <c r="K73" s="162"/>
      <c r="L73" s="162"/>
      <c r="M73" s="162"/>
      <c r="N73" s="182" t="s">
        <v>345</v>
      </c>
      <c r="O73" s="179">
        <f t="shared" ref="O73:AA73" si="19">ROUND(IFERROR(O69/O71,0),2)</f>
        <v>30.3</v>
      </c>
      <c r="P73" s="184">
        <f t="shared" si="19"/>
        <v>27.69</v>
      </c>
      <c r="Q73" s="184">
        <f t="shared" si="19"/>
        <v>29.3</v>
      </c>
      <c r="R73" s="184">
        <f t="shared" si="19"/>
        <v>26.03</v>
      </c>
      <c r="S73" s="184">
        <f t="shared" si="19"/>
        <v>26.59</v>
      </c>
      <c r="T73" s="184">
        <f t="shared" si="19"/>
        <v>24.62</v>
      </c>
      <c r="U73" s="184">
        <f t="shared" si="19"/>
        <v>24.1</v>
      </c>
      <c r="V73" s="184">
        <f t="shared" si="19"/>
        <v>22.47</v>
      </c>
      <c r="W73" s="184">
        <f t="shared" si="19"/>
        <v>31.48</v>
      </c>
      <c r="X73" s="184">
        <f t="shared" si="19"/>
        <v>23.98</v>
      </c>
      <c r="Y73" s="184">
        <f t="shared" si="19"/>
        <v>24.3</v>
      </c>
      <c r="Z73" s="184">
        <f t="shared" si="19"/>
        <v>31.45</v>
      </c>
      <c r="AA73" s="184">
        <f t="shared" si="19"/>
        <v>26.98</v>
      </c>
      <c r="AB73" s="183"/>
      <c r="AD73" s="179">
        <f>ROUND(IFERROR(AD69/AD71,0),2)</f>
        <v>35.15</v>
      </c>
      <c r="AE73" s="184"/>
      <c r="AF73" s="180"/>
      <c r="AG73" s="179">
        <f>ROUND(IFERROR(AG69/AG71,0),2)</f>
        <v>31.14</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b">
        <f t="shared" si="20"/>
        <v>1</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v>-90.13</v>
      </c>
      <c r="P83" s="21">
        <v>-112.43</v>
      </c>
      <c r="Q83" s="21"/>
      <c r="R83" s="21"/>
      <c r="S83" s="21"/>
      <c r="T83" s="21"/>
      <c r="U83" s="21"/>
      <c r="V83" s="21"/>
      <c r="W83" s="21"/>
      <c r="X83" s="21">
        <v>-122.28</v>
      </c>
      <c r="Y83" s="21">
        <v>-48.77</v>
      </c>
      <c r="Z83" s="21"/>
      <c r="AA83" s="21">
        <f>SUM(O83:Z83)</f>
        <v>-373.61</v>
      </c>
      <c r="AB83" s="17" t="str">
        <f ca="1">IF(AA83=0,"",IFERROR(AA83/AA$19,""))</f>
        <v/>
      </c>
      <c r="AD83" s="21"/>
      <c r="AE83" s="17" t="str">
        <f>IF(AD83=0,"",IFERROR(AD83/AD$19,""))</f>
        <v/>
      </c>
      <c r="AF83" s="50">
        <f>IF(AND($AA83="",AD83=""),"",$AA83-AD83)</f>
        <v>-373.61</v>
      </c>
      <c r="AG83" s="21">
        <v>-258.89</v>
      </c>
      <c r="AH83" s="17" t="str">
        <f ca="1">IF(AG83=0,"",IFERROR(AG83/AG$19,""))</f>
        <v/>
      </c>
      <c r="AI83" s="50">
        <f>IF(AND($AA83="",AG83=""),"",$AA83-AG83)</f>
        <v>-114.72000000000003</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37396.370000000003</v>
      </c>
      <c r="P85" s="171">
        <v>44877.57</v>
      </c>
      <c r="Q85" s="171">
        <v>39028.800000000003</v>
      </c>
      <c r="R85" s="171">
        <v>30587.31</v>
      </c>
      <c r="S85" s="171">
        <v>34437.5</v>
      </c>
      <c r="T85" s="171">
        <v>37322.75</v>
      </c>
      <c r="U85" s="171">
        <v>31261.91</v>
      </c>
      <c r="V85" s="171">
        <v>23994.91</v>
      </c>
      <c r="W85" s="171">
        <v>37960.5</v>
      </c>
      <c r="X85" s="171">
        <v>29664.32</v>
      </c>
      <c r="Y85" s="171">
        <v>31075.03</v>
      </c>
      <c r="Z85" s="171">
        <v>49749.1</v>
      </c>
      <c r="AA85" s="171">
        <f>SUM(O85:Z85)</f>
        <v>427356.06999999995</v>
      </c>
      <c r="AB85" s="172" t="str">
        <f ca="1">IF(AA85=0,"",IFERROR(AA85/AA$19,""))</f>
        <v/>
      </c>
      <c r="AD85" s="171">
        <v>604215.13</v>
      </c>
      <c r="AE85" s="172" t="str">
        <f ca="1">IF(AD85=0,"",IFERROR(AD85/AD$19,""))</f>
        <v/>
      </c>
      <c r="AF85" s="173">
        <f>IF(AND($AA85="",AD85=""),"",$AA85-AD85)</f>
        <v>-176859.06000000006</v>
      </c>
      <c r="AG85" s="171">
        <v>415232.88</v>
      </c>
      <c r="AH85" s="172" t="str">
        <f ca="1">IF(AG85=0,"",IFERROR(AG85/AG$19,""))</f>
        <v/>
      </c>
      <c r="AI85" s="173">
        <f>IF(AND($AA85="",AG85=""),"",$AA85-AG85)</f>
        <v>12123.189999999944</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v>55</v>
      </c>
      <c r="P86" s="171">
        <v>55</v>
      </c>
      <c r="Q86" s="171">
        <v>55</v>
      </c>
      <c r="R86" s="171">
        <v>55</v>
      </c>
      <c r="S86" s="171">
        <v>55</v>
      </c>
      <c r="T86" s="171"/>
      <c r="U86" s="171">
        <v>55</v>
      </c>
      <c r="V86" s="171">
        <v>55</v>
      </c>
      <c r="W86" s="171">
        <v>55</v>
      </c>
      <c r="X86" s="171">
        <v>55</v>
      </c>
      <c r="Y86" s="171">
        <v>55</v>
      </c>
      <c r="Z86" s="171">
        <v>55</v>
      </c>
      <c r="AA86" s="171">
        <f>SUM(O86:Z86)</f>
        <v>605</v>
      </c>
      <c r="AB86" s="172"/>
      <c r="AD86" s="171"/>
      <c r="AE86" s="172"/>
      <c r="AF86" s="173">
        <f>IF(AND($AA86="",AD86=""),"",$AA86-AD86)</f>
        <v>605</v>
      </c>
      <c r="AG86" s="171">
        <v>660</v>
      </c>
      <c r="AH86" s="172"/>
      <c r="AI86" s="173">
        <f>IF(AND($AA86="",AG86=""),"",$AA86-AG86)</f>
        <v>-55</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1237</v>
      </c>
      <c r="P87" s="171">
        <v>1625</v>
      </c>
      <c r="Q87" s="171">
        <v>1332</v>
      </c>
      <c r="R87" s="171">
        <v>1175</v>
      </c>
      <c r="S87" s="171">
        <v>1295</v>
      </c>
      <c r="T87" s="171">
        <v>1491</v>
      </c>
      <c r="U87" s="171">
        <v>1297</v>
      </c>
      <c r="V87" s="171">
        <v>1068</v>
      </c>
      <c r="W87" s="171">
        <v>1206</v>
      </c>
      <c r="X87" s="171">
        <v>1240</v>
      </c>
      <c r="Y87" s="171">
        <v>1281</v>
      </c>
      <c r="Z87" s="171">
        <v>1582</v>
      </c>
      <c r="AA87" s="171">
        <f>SUM(O87:Z87)</f>
        <v>15829</v>
      </c>
      <c r="AB87" s="172" t="str">
        <f ca="1">IF(AA87=0,"",IFERROR(AA87/AA$20,""))</f>
        <v/>
      </c>
      <c r="AD87" s="171">
        <v>17191</v>
      </c>
      <c r="AE87" s="172" t="str">
        <f ca="1">IF(AD87=0,"",IFERROR(AD87/AD$20,""))</f>
        <v/>
      </c>
      <c r="AF87" s="173">
        <f>IF(AND($AA87="",AD87=""),"",$AA87-AD87)</f>
        <v>-1362</v>
      </c>
      <c r="AG87" s="171">
        <v>13344</v>
      </c>
      <c r="AH87" s="172" t="str">
        <f ca="1">IF(AG87=0,"",IFERROR(AG87/AG$20,""))</f>
        <v/>
      </c>
      <c r="AI87" s="173">
        <f>IF(AND($AA87="",AG87=""),"",$AA87-AG87)</f>
        <v>2485</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30.231503637833502</v>
      </c>
      <c r="P88" s="176">
        <v>27.616966153846199</v>
      </c>
      <c r="Q88" s="176">
        <v>29.300900900900899</v>
      </c>
      <c r="R88" s="176">
        <v>26.0317531914894</v>
      </c>
      <c r="S88" s="176">
        <v>26.592664092664101</v>
      </c>
      <c r="T88" s="176">
        <v>25.032025486250799</v>
      </c>
      <c r="U88" s="176">
        <v>24.103245952197401</v>
      </c>
      <c r="V88" s="176">
        <v>22.4671441947566</v>
      </c>
      <c r="W88" s="176">
        <v>31.476368159204</v>
      </c>
      <c r="X88" s="176">
        <v>23.9228387096774</v>
      </c>
      <c r="Y88" s="176">
        <v>24.2584153005464</v>
      </c>
      <c r="Z88" s="176">
        <v>31.4469658659924</v>
      </c>
      <c r="AA88" s="176">
        <f>IFERROR(AA85/AA87,"")</f>
        <v>26.998298692273671</v>
      </c>
      <c r="AB88" s="176"/>
      <c r="AD88" s="176">
        <v>35.147177592926496</v>
      </c>
      <c r="AE88" s="176"/>
      <c r="AF88" s="177">
        <f>IF(AND($AA88="",AD88=""),"",$AA88-AD88)</f>
        <v>-8.1488789006528251</v>
      </c>
      <c r="AG88" s="176">
        <v>31.117571942445998</v>
      </c>
      <c r="AH88" s="176"/>
      <c r="AI88" s="177">
        <f>IF(AND($AA88="",AG88=""),"",$AA88-AG88)</f>
        <v>-4.119273250172327</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v>6876</v>
      </c>
      <c r="AE92" s="17"/>
      <c r="AF92" s="50">
        <f>IF(AND($AA92="",AD92=""),"",$AA92-AD92)</f>
        <v>-6876</v>
      </c>
      <c r="AG92" s="21">
        <v>251.56</v>
      </c>
      <c r="AH92" s="17"/>
      <c r="AI92" s="50">
        <f>IF(AND($AA92="",AG92=""),"",$AA92-AG92)</f>
        <v>-251.56</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f>IFERROR(AD$87/AD92,"")</f>
        <v>2.5001454333915065</v>
      </c>
      <c r="AE94" s="139"/>
      <c r="AF94" s="140" t="e">
        <f>IF(AND($AA94="",AD94=""),"",$AA94-AD94)</f>
        <v>#VALUE!</v>
      </c>
      <c r="AG94" s="178">
        <f>IFERROR(AG$87/AG92,"")</f>
        <v>53.044999204961044</v>
      </c>
      <c r="AH94" s="139"/>
      <c r="AI94" s="140" t="e">
        <f>IF(AND($AA94="",AG94=""),"",$AA94-AG94)</f>
        <v>#VALUE!</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v>19181</v>
      </c>
      <c r="P101" s="21">
        <v>23332</v>
      </c>
      <c r="Q101" s="21">
        <v>21510</v>
      </c>
      <c r="R101" s="21">
        <v>15487.91</v>
      </c>
      <c r="S101" s="21">
        <v>13547</v>
      </c>
      <c r="T101" s="21">
        <v>17682.400000000001</v>
      </c>
      <c r="U101" s="21">
        <v>15298.1</v>
      </c>
      <c r="V101" s="21">
        <v>11900.8</v>
      </c>
      <c r="W101" s="21">
        <v>19621</v>
      </c>
      <c r="X101" s="21">
        <v>10427.200000000001</v>
      </c>
      <c r="Y101" s="21">
        <v>14523.5</v>
      </c>
      <c r="Z101" s="21">
        <v>23854.6</v>
      </c>
      <c r="AA101" s="21">
        <f t="shared" si="28"/>
        <v>206365.51</v>
      </c>
      <c r="AB101" s="17" t="str">
        <f t="shared" ca="1" si="29"/>
        <v/>
      </c>
      <c r="AD101" s="21">
        <v>320695.60435500002</v>
      </c>
      <c r="AE101" s="17" t="str">
        <f t="shared" ca="1" si="30"/>
        <v/>
      </c>
      <c r="AF101" s="50">
        <f t="shared" si="31"/>
        <v>-114330.09435500001</v>
      </c>
      <c r="AG101" s="21">
        <v>218812.91</v>
      </c>
      <c r="AH101" s="17" t="str">
        <f t="shared" ca="1" si="32"/>
        <v/>
      </c>
      <c r="AI101" s="50">
        <f t="shared" si="33"/>
        <v>-12447.399999999994</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19181</v>
      </c>
      <c r="P103" s="164">
        <v>23332</v>
      </c>
      <c r="Q103" s="164">
        <v>21510</v>
      </c>
      <c r="R103" s="164">
        <v>15487.91</v>
      </c>
      <c r="S103" s="164">
        <v>13547</v>
      </c>
      <c r="T103" s="164">
        <v>17682.400000000001</v>
      </c>
      <c r="U103" s="164">
        <v>15298.1</v>
      </c>
      <c r="V103" s="164">
        <v>11900.8</v>
      </c>
      <c r="W103" s="164">
        <v>19621</v>
      </c>
      <c r="X103" s="164">
        <v>10427.200000000001</v>
      </c>
      <c r="Y103" s="164">
        <v>14523.5</v>
      </c>
      <c r="Z103" s="164">
        <v>23854.6</v>
      </c>
      <c r="AA103" s="164">
        <f t="shared" si="28"/>
        <v>206365.51</v>
      </c>
      <c r="AB103" s="175" t="str">
        <f t="shared" ca="1" si="29"/>
        <v/>
      </c>
      <c r="AD103" s="164">
        <v>320695.60435500002</v>
      </c>
      <c r="AE103" s="175" t="str">
        <f t="shared" ca="1" si="30"/>
        <v/>
      </c>
      <c r="AF103" s="165">
        <f t="shared" si="31"/>
        <v>-114330.09435500001</v>
      </c>
      <c r="AG103" s="164">
        <v>218812.91</v>
      </c>
      <c r="AH103" s="175" t="str">
        <f t="shared" ca="1" si="32"/>
        <v/>
      </c>
      <c r="AI103" s="165">
        <f t="shared" si="33"/>
        <v>-12447.399999999994</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v>24</v>
      </c>
      <c r="Y107" s="21"/>
      <c r="Z107" s="21"/>
      <c r="AA107" s="21">
        <f t="shared" si="34"/>
        <v>24</v>
      </c>
      <c r="AB107" s="17" t="str">
        <f t="shared" ca="1" si="35"/>
        <v/>
      </c>
      <c r="AD107" s="21"/>
      <c r="AE107" s="17" t="str">
        <f t="shared" si="36"/>
        <v/>
      </c>
      <c r="AF107" s="50">
        <f t="shared" si="37"/>
        <v>24</v>
      </c>
      <c r="AG107" s="21"/>
      <c r="AH107" s="17" t="str">
        <f t="shared" si="38"/>
        <v/>
      </c>
      <c r="AI107" s="50">
        <f t="shared" si="39"/>
        <v>24</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v>3922</v>
      </c>
      <c r="P109" s="21">
        <v>3050</v>
      </c>
      <c r="Q109" s="21">
        <v>3205</v>
      </c>
      <c r="R109" s="21">
        <v>2985</v>
      </c>
      <c r="S109" s="21">
        <v>2280</v>
      </c>
      <c r="T109" s="21">
        <v>3308.9</v>
      </c>
      <c r="U109" s="21">
        <v>1881</v>
      </c>
      <c r="V109" s="21">
        <v>2042</v>
      </c>
      <c r="W109" s="21">
        <v>2245</v>
      </c>
      <c r="X109" s="21">
        <v>2610</v>
      </c>
      <c r="Y109" s="21">
        <v>3308.5</v>
      </c>
      <c r="Z109" s="21">
        <v>3644.8</v>
      </c>
      <c r="AA109" s="21">
        <f t="shared" si="34"/>
        <v>34482.200000000004</v>
      </c>
      <c r="AB109" s="17" t="str">
        <f t="shared" ca="1" si="35"/>
        <v/>
      </c>
      <c r="AD109" s="21">
        <v>51328.051586000001</v>
      </c>
      <c r="AE109" s="17" t="str">
        <f t="shared" ca="1" si="36"/>
        <v/>
      </c>
      <c r="AF109" s="50">
        <f t="shared" si="37"/>
        <v>-16845.851585999997</v>
      </c>
      <c r="AG109" s="21">
        <v>37750.5</v>
      </c>
      <c r="AH109" s="17" t="str">
        <f t="shared" ca="1" si="38"/>
        <v/>
      </c>
      <c r="AI109" s="50">
        <f t="shared" si="39"/>
        <v>-3268.2999999999956</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3922</v>
      </c>
      <c r="P111" s="164">
        <v>3050</v>
      </c>
      <c r="Q111" s="164">
        <v>3205</v>
      </c>
      <c r="R111" s="164">
        <v>2985</v>
      </c>
      <c r="S111" s="164">
        <v>2280</v>
      </c>
      <c r="T111" s="164">
        <v>3308.9</v>
      </c>
      <c r="U111" s="164">
        <v>1881</v>
      </c>
      <c r="V111" s="164">
        <v>2042</v>
      </c>
      <c r="W111" s="164">
        <v>2245</v>
      </c>
      <c r="X111" s="164">
        <v>2634</v>
      </c>
      <c r="Y111" s="164">
        <v>3308.5</v>
      </c>
      <c r="Z111" s="164">
        <v>3644.8</v>
      </c>
      <c r="AA111" s="164">
        <f t="shared" si="34"/>
        <v>34506.200000000004</v>
      </c>
      <c r="AB111" s="175" t="str">
        <f t="shared" ca="1" si="35"/>
        <v/>
      </c>
      <c r="AD111" s="164">
        <v>51328.051586000001</v>
      </c>
      <c r="AE111" s="175" t="str">
        <f t="shared" ca="1" si="36"/>
        <v/>
      </c>
      <c r="AF111" s="165">
        <f t="shared" si="37"/>
        <v>-16821.851585999997</v>
      </c>
      <c r="AG111" s="164">
        <v>37750.5</v>
      </c>
      <c r="AH111" s="175" t="str">
        <f t="shared" ca="1" si="38"/>
        <v/>
      </c>
      <c r="AI111" s="165">
        <f t="shared" si="39"/>
        <v>-3244.2999999999956</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v>25</v>
      </c>
      <c r="Y115" s="21"/>
      <c r="Z115" s="21"/>
      <c r="AA115" s="21">
        <f t="shared" si="40"/>
        <v>25</v>
      </c>
      <c r="AB115" s="17" t="str">
        <f t="shared" ca="1" si="41"/>
        <v/>
      </c>
      <c r="AD115" s="21"/>
      <c r="AE115" s="17" t="str">
        <f t="shared" si="42"/>
        <v/>
      </c>
      <c r="AF115" s="50">
        <f t="shared" si="43"/>
        <v>25</v>
      </c>
      <c r="AG115" s="21"/>
      <c r="AH115" s="17" t="str">
        <f t="shared" si="44"/>
        <v/>
      </c>
      <c r="AI115" s="50">
        <f t="shared" si="45"/>
        <v>25</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v>5205</v>
      </c>
      <c r="P117" s="21">
        <v>5038</v>
      </c>
      <c r="Q117" s="21">
        <v>3810</v>
      </c>
      <c r="R117" s="21">
        <v>2764</v>
      </c>
      <c r="S117" s="21">
        <v>4365</v>
      </c>
      <c r="T117" s="21">
        <v>3798</v>
      </c>
      <c r="U117" s="21">
        <v>2320</v>
      </c>
      <c r="V117" s="21">
        <v>2094</v>
      </c>
      <c r="W117" s="21">
        <v>2630</v>
      </c>
      <c r="X117" s="21">
        <v>2081</v>
      </c>
      <c r="Y117" s="21">
        <v>3838.6</v>
      </c>
      <c r="Z117" s="21">
        <v>5614.43</v>
      </c>
      <c r="AA117" s="21">
        <f t="shared" si="40"/>
        <v>43558.03</v>
      </c>
      <c r="AB117" s="17" t="str">
        <f t="shared" ca="1" si="41"/>
        <v/>
      </c>
      <c r="AD117" s="21">
        <v>71344.989415999997</v>
      </c>
      <c r="AE117" s="17" t="str">
        <f t="shared" ca="1" si="42"/>
        <v/>
      </c>
      <c r="AF117" s="50">
        <f t="shared" si="43"/>
        <v>-27786.959415999998</v>
      </c>
      <c r="AG117" s="21">
        <v>47578.9</v>
      </c>
      <c r="AH117" s="17" t="str">
        <f t="shared" ca="1" si="44"/>
        <v/>
      </c>
      <c r="AI117" s="50">
        <f t="shared" si="45"/>
        <v>-4020.8700000000026</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5205</v>
      </c>
      <c r="P119" s="164">
        <v>5038</v>
      </c>
      <c r="Q119" s="164">
        <v>3810</v>
      </c>
      <c r="R119" s="164">
        <v>2764</v>
      </c>
      <c r="S119" s="164">
        <v>4365</v>
      </c>
      <c r="T119" s="164">
        <v>3798</v>
      </c>
      <c r="U119" s="164">
        <v>2320</v>
      </c>
      <c r="V119" s="164">
        <v>2094</v>
      </c>
      <c r="W119" s="164">
        <v>2630</v>
      </c>
      <c r="X119" s="164">
        <v>2106</v>
      </c>
      <c r="Y119" s="164">
        <v>3838.6</v>
      </c>
      <c r="Z119" s="164">
        <v>5614.43</v>
      </c>
      <c r="AA119" s="164">
        <f t="shared" si="40"/>
        <v>43583.03</v>
      </c>
      <c r="AB119" s="175" t="str">
        <f t="shared" ca="1" si="41"/>
        <v/>
      </c>
      <c r="AD119" s="164">
        <v>71344.989415999997</v>
      </c>
      <c r="AE119" s="175" t="str">
        <f t="shared" ca="1" si="42"/>
        <v/>
      </c>
      <c r="AF119" s="165">
        <f t="shared" si="43"/>
        <v>-27761.959415999998</v>
      </c>
      <c r="AG119" s="164">
        <v>47578.9</v>
      </c>
      <c r="AH119" s="175" t="str">
        <f t="shared" ca="1" si="44"/>
        <v/>
      </c>
      <c r="AI119" s="165">
        <f t="shared" si="45"/>
        <v>-3995.8700000000026</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49</v>
      </c>
      <c r="Y122" s="21">
        <f t="shared" si="53"/>
        <v>0</v>
      </c>
      <c r="Z122" s="21">
        <f t="shared" si="53"/>
        <v>0</v>
      </c>
      <c r="AA122" s="21">
        <f t="shared" si="47"/>
        <v>49</v>
      </c>
      <c r="AB122" s="17" t="str">
        <f t="shared" ca="1" si="48"/>
        <v/>
      </c>
      <c r="AD122" s="21">
        <f>AD99+AD107+AD115</f>
        <v>0</v>
      </c>
      <c r="AE122" s="17" t="str">
        <f t="shared" si="49"/>
        <v/>
      </c>
      <c r="AF122" s="50">
        <f t="shared" si="50"/>
        <v>49</v>
      </c>
      <c r="AG122" s="21">
        <f>AG99+AG107+AG115</f>
        <v>0</v>
      </c>
      <c r="AH122" s="17" t="str">
        <f t="shared" si="51"/>
        <v/>
      </c>
      <c r="AI122" s="50">
        <f t="shared" si="52"/>
        <v>49</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28308</v>
      </c>
      <c r="P124" s="21">
        <f t="shared" si="55"/>
        <v>31420</v>
      </c>
      <c r="Q124" s="21">
        <f t="shared" si="55"/>
        <v>28525</v>
      </c>
      <c r="R124" s="21">
        <f t="shared" si="55"/>
        <v>21236.91</v>
      </c>
      <c r="S124" s="21">
        <f t="shared" si="55"/>
        <v>20192</v>
      </c>
      <c r="T124" s="21">
        <f t="shared" si="55"/>
        <v>24789.300000000003</v>
      </c>
      <c r="U124" s="21">
        <f t="shared" si="55"/>
        <v>19499.099999999999</v>
      </c>
      <c r="V124" s="21">
        <f t="shared" si="55"/>
        <v>16036.8</v>
      </c>
      <c r="W124" s="21">
        <f t="shared" si="55"/>
        <v>24496</v>
      </c>
      <c r="X124" s="21">
        <f t="shared" si="55"/>
        <v>15118.2</v>
      </c>
      <c r="Y124" s="21">
        <f t="shared" si="55"/>
        <v>21670.6</v>
      </c>
      <c r="Z124" s="21">
        <f t="shared" si="55"/>
        <v>33113.83</v>
      </c>
      <c r="AA124" s="21">
        <f t="shared" si="47"/>
        <v>284405.74000000005</v>
      </c>
      <c r="AB124" s="17" t="str">
        <f t="shared" ca="1" si="48"/>
        <v/>
      </c>
      <c r="AD124" s="21">
        <f>AD101+AD109+AD117</f>
        <v>443368.64535700006</v>
      </c>
      <c r="AE124" s="17" t="str">
        <f t="shared" ca="1" si="49"/>
        <v/>
      </c>
      <c r="AF124" s="50">
        <f t="shared" si="50"/>
        <v>-158962.90535700001</v>
      </c>
      <c r="AG124" s="21">
        <f>AG101+AG109+AG117</f>
        <v>304142.31</v>
      </c>
      <c r="AH124" s="17" t="str">
        <f t="shared" ca="1" si="51"/>
        <v/>
      </c>
      <c r="AI124" s="50">
        <f t="shared" si="52"/>
        <v>-19736.569999999949</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28308</v>
      </c>
      <c r="P126" s="164">
        <f t="shared" si="57"/>
        <v>31420</v>
      </c>
      <c r="Q126" s="164">
        <f t="shared" si="57"/>
        <v>28525</v>
      </c>
      <c r="R126" s="164">
        <f t="shared" si="57"/>
        <v>21236.91</v>
      </c>
      <c r="S126" s="164">
        <f t="shared" si="57"/>
        <v>20192</v>
      </c>
      <c r="T126" s="164">
        <f t="shared" si="57"/>
        <v>24789.300000000003</v>
      </c>
      <c r="U126" s="164">
        <f t="shared" si="57"/>
        <v>19499.099999999999</v>
      </c>
      <c r="V126" s="164">
        <f t="shared" si="57"/>
        <v>16036.8</v>
      </c>
      <c r="W126" s="164">
        <f t="shared" si="57"/>
        <v>24496</v>
      </c>
      <c r="X126" s="164">
        <f t="shared" si="57"/>
        <v>15167.2</v>
      </c>
      <c r="Y126" s="164">
        <f t="shared" si="57"/>
        <v>21670.6</v>
      </c>
      <c r="Z126" s="164">
        <f t="shared" si="57"/>
        <v>33113.83</v>
      </c>
      <c r="AA126" s="164">
        <f t="shared" si="47"/>
        <v>284454.74000000005</v>
      </c>
      <c r="AB126" s="175" t="str">
        <f t="shared" ca="1" si="48"/>
        <v/>
      </c>
      <c r="AD126" s="164">
        <f>SUM(AD121:AD125)</f>
        <v>443368.64535700006</v>
      </c>
      <c r="AE126" s="175" t="str">
        <f t="shared" ca="1" si="49"/>
        <v/>
      </c>
      <c r="AF126" s="165">
        <f t="shared" si="50"/>
        <v>-158913.90535700001</v>
      </c>
      <c r="AG126" s="164">
        <f>SUM(AG121:AG125)</f>
        <v>304142.31</v>
      </c>
      <c r="AH126" s="175" t="str">
        <f t="shared" ca="1" si="51"/>
        <v/>
      </c>
      <c r="AI126" s="165">
        <f t="shared" si="52"/>
        <v>-19687.569999999949</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2570.12</v>
      </c>
      <c r="P130" s="21">
        <v>3708.15</v>
      </c>
      <c r="Q130" s="21">
        <v>2555.1999999999998</v>
      </c>
      <c r="R130" s="21">
        <v>2254.9</v>
      </c>
      <c r="S130" s="21">
        <v>3461.9</v>
      </c>
      <c r="T130" s="21">
        <v>2001.14</v>
      </c>
      <c r="U130" s="21">
        <v>2843.35</v>
      </c>
      <c r="V130" s="21">
        <v>1919.32</v>
      </c>
      <c r="W130" s="21">
        <v>3295.36</v>
      </c>
      <c r="X130" s="21">
        <v>3626.23</v>
      </c>
      <c r="Y130" s="21">
        <v>2268.96</v>
      </c>
      <c r="Z130" s="21">
        <v>4083.23</v>
      </c>
      <c r="AA130" s="21">
        <f>SUM(O130:Z130)</f>
        <v>34587.86</v>
      </c>
      <c r="AB130" s="311" t="str">
        <f ca="1">IF(AA130=0,"",IFERROR(AA130/_xll.EVGTS($B$1,1,_xll.EVPRO($B$1,$H130,"COSBASIS"),$B$3,$B$5,$B$6,$B$7,$B$9,AA$16,AA$17,AA$11),""))</f>
        <v/>
      </c>
      <c r="AD130" s="21">
        <v>46967.19</v>
      </c>
      <c r="AE130" s="311" t="str">
        <f ca="1">IF(AD130=0,"",IFERROR(AD130/_xll.EVGTS($B$1,1,_xll.EVPRO($B$1,$H130,"COSBASIS"),$B$3,$B$5,$B$6,$B$7,$B$9,AD$16,AD$17,AD$18),""))</f>
        <v/>
      </c>
      <c r="AF130" s="50">
        <f t="shared" ref="AF130:AF140" si="59">IF(AND($AA130="",AD130=""),"",$AA130-AD130)</f>
        <v>-12379.330000000002</v>
      </c>
      <c r="AG130" s="21">
        <v>32610.79</v>
      </c>
      <c r="AH130" s="311" t="str">
        <f ca="1">IF(AG130=0,"",IFERROR(AG130/_xll.EVGTS($B$1,1,_xll.EVPRO($B$1,$H130,"COSBASIS"),$B$3,$B$5,$B$6,$B$7,$B$9,AG$16,AG$17,AG$18),""))</f>
        <v/>
      </c>
      <c r="AI130" s="50">
        <f t="shared" ref="AI130:AI141" si="60">IF(AND($AA130="",AG130=""),"",$AA130-AG130)</f>
        <v>1977.0699999999997</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0.28001525303698899</v>
      </c>
      <c r="P131" s="172">
        <v>0.273260869565217</v>
      </c>
      <c r="Q131" s="172">
        <v>0.24326434242845399</v>
      </c>
      <c r="R131" s="172">
        <v>0.241155458590007</v>
      </c>
      <c r="S131" s="172">
        <v>0.24301709311712499</v>
      </c>
      <c r="T131" s="172">
        <v>0.159663939298437</v>
      </c>
      <c r="U131" s="172">
        <v>0.24172370377486299</v>
      </c>
      <c r="V131" s="172">
        <v>0.24117786760926899</v>
      </c>
      <c r="W131" s="172">
        <v>0.24474432767648299</v>
      </c>
      <c r="X131" s="172">
        <v>0.24804232731849499</v>
      </c>
      <c r="Y131" s="172">
        <v>0.24002031058265999</v>
      </c>
      <c r="Z131" s="172">
        <v>0.245456190371422</v>
      </c>
      <c r="AA131" s="172">
        <v>0.241409000066585</v>
      </c>
      <c r="AB131" s="311"/>
      <c r="AD131" s="172">
        <v>0.292000102484329</v>
      </c>
      <c r="AE131" s="311"/>
      <c r="AF131" s="468">
        <f t="shared" si="59"/>
        <v>-5.0591102417744005E-2</v>
      </c>
      <c r="AG131" s="172">
        <v>0.29286886528232797</v>
      </c>
      <c r="AH131" s="311"/>
      <c r="AI131" s="468">
        <f t="shared" si="60"/>
        <v>-5.1459865215742973E-2</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6568.79</v>
      </c>
      <c r="P132" s="21">
        <v>7367.21</v>
      </c>
      <c r="Q132" s="21">
        <v>5560.71</v>
      </c>
      <c r="R132" s="21">
        <v>4134.5</v>
      </c>
      <c r="S132" s="21">
        <v>4090.3</v>
      </c>
      <c r="T132" s="21">
        <v>4823.75</v>
      </c>
      <c r="U132" s="21">
        <v>3806.28</v>
      </c>
      <c r="V132" s="21">
        <v>3124.21</v>
      </c>
      <c r="W132" s="21">
        <v>4784.8599999999997</v>
      </c>
      <c r="X132" s="21">
        <v>2937.62</v>
      </c>
      <c r="Y132" s="21">
        <v>4209.42</v>
      </c>
      <c r="Z132" s="21">
        <v>6447.72</v>
      </c>
      <c r="AA132" s="21">
        <f>SUM(O132:Z132)</f>
        <v>57855.37</v>
      </c>
      <c r="AB132" s="311" t="str">
        <f ca="1">IF(AA132=0,"",IFERROR(AA132/_xll.EVGTS($B$1,1,_xll.EVPRO($B$1,$H132,"COSBASIS"),$B$3,$B$5,$B$6,$B$7,$B$9,AA$16,AA$17,AA$11),""))</f>
        <v/>
      </c>
      <c r="AD132" s="21">
        <v>102795.89</v>
      </c>
      <c r="AE132" s="311" t="str">
        <f ca="1">IF(AD132=0,"",IFERROR(AD132/_xll.EVGTS($B$1,1,_xll.EVPRO($B$1,$H132,"COSBASIS"),$B$3,$B$5,$B$6,$B$7,$B$9,AD$16,AD$17,AD$18),""))</f>
        <v/>
      </c>
      <c r="AF132" s="50">
        <f t="shared" si="59"/>
        <v>-44940.52</v>
      </c>
      <c r="AG132" s="21">
        <v>72959.520000000004</v>
      </c>
      <c r="AH132" s="311" t="str">
        <f ca="1">IF(AG132=0,"",IFERROR(AG132/_xll.EVGTS($B$1,1,_xll.EVPRO($B$1,$H132,"COSBASIS"),$B$3,$B$5,$B$6,$B$7,$B$9,AG$16,AG$17,AG$18),""))</f>
        <v/>
      </c>
      <c r="AI132" s="50">
        <f t="shared" si="60"/>
        <v>-15104.150000000001</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0.23204712448777701</v>
      </c>
      <c r="P133" s="172">
        <v>0.23447517504773999</v>
      </c>
      <c r="Q133" s="172">
        <v>0.19494163014899199</v>
      </c>
      <c r="R133" s="172">
        <v>0.19468463161542801</v>
      </c>
      <c r="S133" s="172">
        <v>0.20257032488114099</v>
      </c>
      <c r="T133" s="172">
        <v>0.19459000455841799</v>
      </c>
      <c r="U133" s="172">
        <v>0.19520285551640801</v>
      </c>
      <c r="V133" s="172">
        <v>0.19481505038411701</v>
      </c>
      <c r="W133" s="172">
        <v>0.19533229915088199</v>
      </c>
      <c r="X133" s="172">
        <v>0.19368241995885899</v>
      </c>
      <c r="Y133" s="172">
        <v>0.19424566001864299</v>
      </c>
      <c r="Z133" s="172">
        <v>0.19471380990963599</v>
      </c>
      <c r="AA133" s="172">
        <v>0.20339042337631599</v>
      </c>
      <c r="AB133" s="311"/>
      <c r="AD133" s="172">
        <v>0.231851961288848</v>
      </c>
      <c r="AE133" s="311"/>
      <c r="AF133" s="468">
        <f t="shared" si="59"/>
        <v>-2.8461537912532003E-2</v>
      </c>
      <c r="AG133" s="172">
        <v>0.239886124360665</v>
      </c>
      <c r="AH133" s="311"/>
      <c r="AI133" s="468">
        <f t="shared" si="60"/>
        <v>-3.6495700984349011E-2</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4622.62</v>
      </c>
      <c r="P134" s="21">
        <v>5623.01</v>
      </c>
      <c r="Q134" s="21">
        <v>4237.47</v>
      </c>
      <c r="R134" s="21">
        <v>3051.14</v>
      </c>
      <c r="S134" s="21">
        <v>2834.59</v>
      </c>
      <c r="T134" s="21">
        <v>3483.35</v>
      </c>
      <c r="U134" s="21">
        <v>3013.73</v>
      </c>
      <c r="V134" s="21">
        <v>2344.5</v>
      </c>
      <c r="W134" s="21">
        <v>3865.34</v>
      </c>
      <c r="X134" s="21">
        <v>2054.16</v>
      </c>
      <c r="Y134" s="21">
        <v>2861.23</v>
      </c>
      <c r="Z134" s="21">
        <v>4699.4399999999996</v>
      </c>
      <c r="AA134" s="21">
        <f>SUM(O134:Z134)</f>
        <v>42690.580000000009</v>
      </c>
      <c r="AB134" s="311" t="str">
        <f ca="1">IF(AA134=0,"",IFERROR(AA134/_xll.EVGTS($B$1,1,_xll.EVPRO($B$1,$H134,"COSBASIS"),$B$3,$B$5,$B$6,$B$7,$B$9,AA$16,AA$17,AA$11),""))</f>
        <v/>
      </c>
      <c r="AD134" s="21">
        <v>77287.63</v>
      </c>
      <c r="AE134" s="311" t="str">
        <f ca="1">IF(AD134=0,"",IFERROR(AD134/_xll.EVGTS($B$1,1,_xll.EVPRO($B$1,$H134,"COSBASIS"),$B$3,$B$5,$B$6,$B$7,$B$9,AD$16,AD$17,AD$18),""))</f>
        <v/>
      </c>
      <c r="AF134" s="50">
        <f t="shared" si="59"/>
        <v>-34597.049999999996</v>
      </c>
      <c r="AG134" s="21">
        <v>53994.91</v>
      </c>
      <c r="AH134" s="311" t="str">
        <f ca="1">IF(AG134=0,"",IFERROR(AG134/_xll.EVGTS($B$1,1,_xll.EVPRO($B$1,$H134,"COSBASIS"),$B$3,$B$5,$B$6,$B$7,$B$9,AG$16,AG$17,AG$18),""))</f>
        <v/>
      </c>
      <c r="AI134" s="50">
        <f t="shared" si="60"/>
        <v>-11304.329999999994</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0.240999947865075</v>
      </c>
      <c r="P135" s="172">
        <v>0.24099991428081599</v>
      </c>
      <c r="Q135" s="172">
        <v>0.19700000000000001</v>
      </c>
      <c r="R135" s="172">
        <v>0.19700140302984701</v>
      </c>
      <c r="S135" s="172">
        <v>0.20924116040451801</v>
      </c>
      <c r="T135" s="172">
        <v>0.19699531737773199</v>
      </c>
      <c r="U135" s="172">
        <v>0.19700028108065701</v>
      </c>
      <c r="V135" s="172">
        <v>0.197003562785695</v>
      </c>
      <c r="W135" s="172">
        <v>0.19700015289740599</v>
      </c>
      <c r="X135" s="172">
        <v>0.19700015344483701</v>
      </c>
      <c r="Y135" s="172">
        <v>0.197006919819603</v>
      </c>
      <c r="Z135" s="172">
        <v>0.197003512949284</v>
      </c>
      <c r="AA135" s="172">
        <v>0.20686877375972401</v>
      </c>
      <c r="AB135" s="311"/>
      <c r="AD135" s="172">
        <v>0.24099996679232599</v>
      </c>
      <c r="AE135" s="311"/>
      <c r="AF135" s="468">
        <f t="shared" si="59"/>
        <v>-3.4131193032601981E-2</v>
      </c>
      <c r="AG135" s="172">
        <v>0.24676290809349399</v>
      </c>
      <c r="AH135" s="311"/>
      <c r="AI135" s="468">
        <f t="shared" si="60"/>
        <v>-3.9894134333769982E-2</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733.41</v>
      </c>
      <c r="P136" s="21">
        <v>570.35</v>
      </c>
      <c r="Q136" s="21">
        <v>599.34</v>
      </c>
      <c r="R136" s="21">
        <v>558.20000000000005</v>
      </c>
      <c r="S136" s="21">
        <v>426.36</v>
      </c>
      <c r="T136" s="21">
        <v>618.78</v>
      </c>
      <c r="U136" s="21">
        <v>351.75</v>
      </c>
      <c r="V136" s="21">
        <v>381.85</v>
      </c>
      <c r="W136" s="21">
        <v>419.82</v>
      </c>
      <c r="X136" s="21">
        <v>488.07</v>
      </c>
      <c r="Y136" s="21">
        <v>618.78</v>
      </c>
      <c r="Z136" s="21">
        <v>681.62</v>
      </c>
      <c r="AA136" s="21">
        <f>SUM(O136:Z136)</f>
        <v>6448.33</v>
      </c>
      <c r="AB136" s="311" t="str">
        <f ca="1">IF(AA136=0,"",IFERROR(AA136/_xll.EVGTS($B$1,1,_xll.EVPRO($B$1,$H136,"COSBASIS"),$B$3,$B$5,$B$6,$B$7,$B$9,AA$16,AA$17,AA$11),""))</f>
        <v/>
      </c>
      <c r="AD136" s="21">
        <v>9598.34</v>
      </c>
      <c r="AE136" s="311" t="str">
        <f ca="1">IF(AD136=0,"",IFERROR(AD136/_xll.EVGTS($B$1,1,_xll.EVPRO($B$1,$H136,"COSBASIS"),$B$3,$B$5,$B$6,$B$7,$B$9,AD$16,AD$17,AD$18),""))</f>
        <v/>
      </c>
      <c r="AF136" s="50">
        <f t="shared" si="59"/>
        <v>-3150.01</v>
      </c>
      <c r="AG136" s="21">
        <v>7059.35</v>
      </c>
      <c r="AH136" s="311" t="str">
        <f ca="1">IF(AG136=0,"",IFERROR(AG136/_xll.EVGTS($B$1,1,_xll.EVPRO($B$1,$H136,"COSBASIS"),$B$3,$B$5,$B$6,$B$7,$B$9,AG$16,AG$17,AG$18),""))</f>
        <v/>
      </c>
      <c r="AI136" s="50">
        <f t="shared" si="60"/>
        <v>-611.02000000000044</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0.18699898011218799</v>
      </c>
      <c r="P137" s="172">
        <v>0.187</v>
      </c>
      <c r="Q137" s="172">
        <v>0.18700156006240301</v>
      </c>
      <c r="R137" s="172">
        <v>0.18700167504187601</v>
      </c>
      <c r="S137" s="172">
        <v>0.187</v>
      </c>
      <c r="T137" s="172">
        <v>0.18700474477923201</v>
      </c>
      <c r="U137" s="172">
        <v>0.187001594896332</v>
      </c>
      <c r="V137" s="172">
        <v>0.18699804113614099</v>
      </c>
      <c r="W137" s="172">
        <v>0.18700222717149201</v>
      </c>
      <c r="X137" s="172">
        <v>0.18529612756264199</v>
      </c>
      <c r="Y137" s="172">
        <v>0.18702735378570301</v>
      </c>
      <c r="Z137" s="172">
        <v>0.18701163301141399</v>
      </c>
      <c r="AA137" s="172">
        <v>0.18687453269267501</v>
      </c>
      <c r="AB137" s="311"/>
      <c r="AD137" s="172">
        <v>0.18699988999032999</v>
      </c>
      <c r="AE137" s="311"/>
      <c r="AF137" s="468">
        <f t="shared" si="59"/>
        <v>-1.2535729765497661E-4</v>
      </c>
      <c r="AG137" s="172">
        <v>0.18700017218314999</v>
      </c>
      <c r="AH137" s="311"/>
      <c r="AI137" s="468">
        <f t="shared" si="60"/>
        <v>-1.2563949047497691E-4</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1212.76</v>
      </c>
      <c r="P138" s="21">
        <v>1173.8499999999999</v>
      </c>
      <c r="Q138" s="21">
        <v>723.9</v>
      </c>
      <c r="R138" s="21">
        <v>525.16</v>
      </c>
      <c r="S138" s="21">
        <v>829.35</v>
      </c>
      <c r="T138" s="21">
        <v>721.62</v>
      </c>
      <c r="U138" s="21">
        <v>440.8</v>
      </c>
      <c r="V138" s="21">
        <v>397.86</v>
      </c>
      <c r="W138" s="21">
        <v>499.7</v>
      </c>
      <c r="X138" s="21">
        <v>395.39</v>
      </c>
      <c r="Y138" s="21">
        <v>729.41</v>
      </c>
      <c r="Z138" s="21">
        <v>1066.6600000000001</v>
      </c>
      <c r="AA138" s="21">
        <f>SUM(O138:Z138)</f>
        <v>8716.4599999999991</v>
      </c>
      <c r="AB138" s="311" t="str">
        <f ca="1">IF(AA138=0,"",IFERROR(AA138/_xll.EVGTS($B$1,1,_xll.EVPRO($B$1,$H138,"COSBASIS"),$B$3,$B$5,$B$6,$B$7,$B$9,AA$16,AA$17,AA$11),""))</f>
        <v/>
      </c>
      <c r="AD138" s="21">
        <v>15909.92</v>
      </c>
      <c r="AE138" s="311" t="str">
        <f ca="1">IF(AD138=0,"",IFERROR(AD138/_xll.EVGTS($B$1,1,_xll.EVPRO($B$1,$H138,"COSBASIS"),$B$3,$B$5,$B$6,$B$7,$B$9,AD$16,AD$17,AD$18),""))</f>
        <v/>
      </c>
      <c r="AF138" s="50">
        <f t="shared" si="59"/>
        <v>-7193.4600000000009</v>
      </c>
      <c r="AG138" s="21">
        <v>11905.26</v>
      </c>
      <c r="AH138" s="311" t="str">
        <f ca="1">IF(AG138=0,"",IFERROR(AG138/_xll.EVGTS($B$1,1,_xll.EVPRO($B$1,$H138,"COSBASIS"),$B$3,$B$5,$B$6,$B$7,$B$9,AG$16,AG$17,AG$18),""))</f>
        <v/>
      </c>
      <c r="AI138" s="50">
        <f t="shared" si="60"/>
        <v>-3188.8000000000011</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0.232999039385207</v>
      </c>
      <c r="P139" s="172">
        <v>0.23299920603414101</v>
      </c>
      <c r="Q139" s="172">
        <v>0.19</v>
      </c>
      <c r="R139" s="172">
        <v>0.19</v>
      </c>
      <c r="S139" s="172">
        <v>0.19</v>
      </c>
      <c r="T139" s="172">
        <v>0.19</v>
      </c>
      <c r="U139" s="172">
        <v>0.19</v>
      </c>
      <c r="V139" s="172">
        <v>0.19</v>
      </c>
      <c r="W139" s="172">
        <v>0.19</v>
      </c>
      <c r="X139" s="172">
        <v>0.187744539411206</v>
      </c>
      <c r="Y139" s="172">
        <v>0.19001979888501</v>
      </c>
      <c r="Z139" s="172">
        <v>0.18998544821112701</v>
      </c>
      <c r="AA139" s="172">
        <v>0.19999665007228701</v>
      </c>
      <c r="AB139" s="311"/>
      <c r="AD139" s="172">
        <v>0.22299982283594</v>
      </c>
      <c r="AE139" s="311"/>
      <c r="AF139" s="468">
        <f t="shared" si="59"/>
        <v>-2.300317276365299E-2</v>
      </c>
      <c r="AG139" s="172">
        <v>0.25022142168061901</v>
      </c>
      <c r="AH139" s="311"/>
      <c r="AI139" s="468">
        <f t="shared" si="60"/>
        <v>-5.0224771608331997E-2</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9138.91</v>
      </c>
      <c r="P140" s="21">
        <v>11075.36</v>
      </c>
      <c r="Q140" s="21">
        <v>8115.91</v>
      </c>
      <c r="R140" s="21">
        <v>6389.4</v>
      </c>
      <c r="S140" s="21">
        <v>7552.2</v>
      </c>
      <c r="T140" s="21">
        <v>6824.89</v>
      </c>
      <c r="U140" s="21">
        <v>6649.63</v>
      </c>
      <c r="V140" s="21">
        <v>5043.53</v>
      </c>
      <c r="W140" s="21">
        <v>8080.22</v>
      </c>
      <c r="X140" s="21">
        <v>6563.85</v>
      </c>
      <c r="Y140" s="21">
        <v>6478.38</v>
      </c>
      <c r="Z140" s="21">
        <v>10530.95</v>
      </c>
      <c r="AA140" s="21">
        <f>SUM(O140:Z140)</f>
        <v>92443.23</v>
      </c>
      <c r="AB140" s="311" t="str">
        <f ca="1">IF(AA140=0,"",IFERROR(AA140/_xll.EVGTS($B$1,1,_xll.EVPRO($B$1,$H140,"COSBASIS"),$B$3,$B$5,$B$6,$B$7,$B$9,AA$16,AA$17,AA$11),""))</f>
        <v/>
      </c>
      <c r="AD140" s="21">
        <v>149763.07999999999</v>
      </c>
      <c r="AE140" s="311" t="str">
        <f ca="1">IF(AD140=0,"",IFERROR(AD140/_xll.EVGTS($B$1,1,_xll.EVPRO($B$1,$H140,"COSBASIS"),$B$3,$B$5,$B$6,$B$7,$B$9,AD$16,AD$17,AD$18),""))</f>
        <v/>
      </c>
      <c r="AF140" s="50">
        <f t="shared" si="59"/>
        <v>-57319.849999999991</v>
      </c>
      <c r="AG140" s="21">
        <v>105570.31</v>
      </c>
      <c r="AH140" s="311" t="str">
        <f ca="1">IF(AG140=0,"",IFERROR(AG140/_xll.EVGTS($B$1,1,_xll.EVPRO($B$1,$H140,"COSBASIS"),$B$3,$B$5,$B$6,$B$7,$B$9,AG$16,AG$17,AG$18),""))</f>
        <v/>
      </c>
      <c r="AI140" s="50">
        <f t="shared" si="60"/>
        <v>-13127.080000000002</v>
      </c>
    </row>
    <row r="141" spans="3:35" x14ac:dyDescent="0.25">
      <c r="C141" s="32"/>
      <c r="H141" s="149"/>
      <c r="I141" s="161"/>
      <c r="J141" s="161"/>
      <c r="L141" s="162"/>
      <c r="M141" s="162"/>
      <c r="N141" s="467" t="s">
        <v>762</v>
      </c>
      <c r="O141" s="172">
        <f>IFERROR(O140/O85,"")</f>
        <v>0.24437960154956215</v>
      </c>
      <c r="P141" s="172">
        <f t="shared" ref="P141:AA141" si="61">IFERROR(P140/P85,"")</f>
        <v>0.24679054592305244</v>
      </c>
      <c r="Q141" s="172">
        <f t="shared" si="61"/>
        <v>0.2079466957733776</v>
      </c>
      <c r="R141" s="172">
        <f t="shared" si="61"/>
        <v>0.20889054970835944</v>
      </c>
      <c r="S141" s="172">
        <f t="shared" si="61"/>
        <v>0.21930163339382941</v>
      </c>
      <c r="T141" s="172">
        <f t="shared" si="61"/>
        <v>0.18286139151053982</v>
      </c>
      <c r="U141" s="172">
        <f t="shared" si="61"/>
        <v>0.21270709307268815</v>
      </c>
      <c r="V141" s="172">
        <f t="shared" si="61"/>
        <v>0.2101916614815392</v>
      </c>
      <c r="W141" s="172">
        <f t="shared" si="61"/>
        <v>0.2128586293647344</v>
      </c>
      <c r="X141" s="172">
        <f t="shared" si="61"/>
        <v>0.22127087356123451</v>
      </c>
      <c r="Y141" s="172">
        <f t="shared" si="61"/>
        <v>0.20847542222807189</v>
      </c>
      <c r="Z141" s="172">
        <f t="shared" si="61"/>
        <v>0.21168121634361226</v>
      </c>
      <c r="AA141" s="172">
        <f t="shared" si="61"/>
        <v>0.21631430202921889</v>
      </c>
      <c r="AB141" s="311"/>
      <c r="AD141" s="172">
        <f>IFERROR(AD140/AD85,"")</f>
        <v>0.24786383618033528</v>
      </c>
      <c r="AE141" s="311"/>
      <c r="AF141" s="468">
        <f t="shared" ref="AF141" si="62">IF(AND($AA141="",AD141=""),"",$AA141-AD141)</f>
        <v>-3.1549534151116387E-2</v>
      </c>
      <c r="AG141" s="172">
        <f>IFERROR(AG140/AG85,"")</f>
        <v>0.25424361866526562</v>
      </c>
      <c r="AH141" s="311"/>
      <c r="AI141" s="468">
        <f t="shared" si="60"/>
        <v>-3.7929316636046734E-2</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-3.1974423109204508E-14</v>
      </c>
      <c r="P145" s="178">
        <f t="shared" ref="P145:Z145" si="65">IFERROR(P$85/P87,"")-P88</f>
        <v>-4.6185277824406512E-14</v>
      </c>
      <c r="Q145" s="178">
        <f t="shared" si="65"/>
        <v>0</v>
      </c>
      <c r="R145" s="178">
        <f t="shared" si="65"/>
        <v>-3.907985046680551E-14</v>
      </c>
      <c r="S145" s="178">
        <f t="shared" si="65"/>
        <v>0</v>
      </c>
      <c r="T145" s="178">
        <f t="shared" si="65"/>
        <v>3.907985046680551E-14</v>
      </c>
      <c r="U145" s="178">
        <f t="shared" si="65"/>
        <v>0</v>
      </c>
      <c r="V145" s="178">
        <f t="shared" si="65"/>
        <v>-4.6185277824406512E-14</v>
      </c>
      <c r="W145" s="178">
        <f t="shared" si="65"/>
        <v>0</v>
      </c>
      <c r="X145" s="178">
        <f t="shared" si="65"/>
        <v>0</v>
      </c>
      <c r="Y145" s="178">
        <f t="shared" si="65"/>
        <v>4.6185277824406512E-14</v>
      </c>
      <c r="Z145" s="178">
        <f t="shared" si="65"/>
        <v>0</v>
      </c>
      <c r="AA145" s="178">
        <f>IFERROR(AA$85/AA87,"")-AA88</f>
        <v>0</v>
      </c>
      <c r="AB145" s="17"/>
      <c r="AD145" s="178">
        <f>IFERROR(AD$85/AD87,"")-AD88</f>
        <v>0</v>
      </c>
      <c r="AE145" s="17"/>
      <c r="AF145" s="21"/>
      <c r="AG145" s="178">
        <f>IFERROR(AG$85/AG87,"")-AG88</f>
        <v>4.6185277824406512E-14</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31" priority="15">
      <formula>ROUND(O42,2)&lt;&gt;ROUND(O43,2)</formula>
    </cfRule>
  </conditionalFormatting>
  <conditionalFormatting sqref="N43">
    <cfRule type="expression" dxfId="130" priority="14">
      <formula>$G43&lt;&gt;0</formula>
    </cfRule>
  </conditionalFormatting>
  <conditionalFormatting sqref="O53:AA53 AD53 AF53:AG53">
    <cfRule type="expression" dxfId="129" priority="13">
      <formula>ROUND(O52,2)&lt;&gt;ROUND(O53,2)</formula>
    </cfRule>
  </conditionalFormatting>
  <conditionalFormatting sqref="N53">
    <cfRule type="expression" dxfId="128" priority="12">
      <formula>$G53&lt;&gt;0</formula>
    </cfRule>
  </conditionalFormatting>
  <conditionalFormatting sqref="O63:AA63 AD63 AF63:AG63">
    <cfRule type="expression" dxfId="127" priority="11">
      <formula>ROUND(O62,2)&lt;&gt;ROUND(O63,2)</formula>
    </cfRule>
  </conditionalFormatting>
  <conditionalFormatting sqref="N63">
    <cfRule type="expression" dxfId="126" priority="10">
      <formula>$G63&lt;&gt;0</formula>
    </cfRule>
  </conditionalFormatting>
  <conditionalFormatting sqref="O73:AA73 AD73 AF73:AG73">
    <cfRule type="expression" dxfId="125" priority="9">
      <formula>ROUND(O72,2)&lt;&gt;ROUND(O73,2)</formula>
    </cfRule>
  </conditionalFormatting>
  <conditionalFormatting sqref="N73">
    <cfRule type="expression" dxfId="124" priority="8">
      <formula>$G73&lt;&gt;0</formula>
    </cfRule>
  </conditionalFormatting>
  <conditionalFormatting sqref="N82">
    <cfRule type="expression" dxfId="123" priority="7">
      <formula>$G82&lt;&gt;0</formula>
    </cfRule>
  </conditionalFormatting>
  <conditionalFormatting sqref="AD82 AF82:AG82 O82:AA82">
    <cfRule type="expression" dxfId="122" priority="6">
      <formula>ROUND(O81,2)&lt;&gt;ROUND(O82,2)</formula>
    </cfRule>
  </conditionalFormatting>
  <conditionalFormatting sqref="AI43">
    <cfRule type="expression" dxfId="121" priority="5">
      <formula>ROUND(AI42,2)&lt;&gt;ROUND(AI43,2)</formula>
    </cfRule>
  </conditionalFormatting>
  <conditionalFormatting sqref="AI53">
    <cfRule type="expression" dxfId="120" priority="4">
      <formula>ROUND(AI52,2)&lt;&gt;ROUND(AI53,2)</formula>
    </cfRule>
  </conditionalFormatting>
  <conditionalFormatting sqref="AI63">
    <cfRule type="expression" dxfId="119" priority="3">
      <formula>ROUND(AI62,2)&lt;&gt;ROUND(AI63,2)</formula>
    </cfRule>
  </conditionalFormatting>
  <conditionalFormatting sqref="AI73">
    <cfRule type="expression" dxfId="118" priority="2">
      <formula>ROUND(AI72,2)&lt;&gt;ROUND(AI73,2)</formula>
    </cfRule>
  </conditionalFormatting>
  <conditionalFormatting sqref="AI82">
    <cfRule type="expression" dxfId="117" priority="1">
      <formula>ROUND(AI81,2)&lt;&gt;ROUND(AI82,2)</formula>
    </cfRule>
  </conditionalFormatting>
  <dataValidations disablePrompts="1" count="2">
    <dataValidation type="list" allowBlank="1" sqref="B29" xr:uid="{00000000-0002-0000-2800-000000000000}">
      <formula1>"SELF,ALL,BAS,DEP,BASMEMBERS,MEMBERS,NOEXPAND,GDEP"</formula1>
    </dataValidation>
    <dataValidation type="list" allowBlank="1" sqref="B28" xr:uid="{00000000-0002-0000-2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t="str">
        <f>VenueBar!N1</f>
        <v>Minnow Bar</v>
      </c>
      <c r="O1" s="1" t="s">
        <v>731</v>
      </c>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734</v>
      </c>
      <c r="C6" s="1" t="s">
        <v>1437</v>
      </c>
      <c r="E6" s="49" t="s">
        <v>1335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1448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1449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1450</v>
      </c>
      <c r="G19" s="18" t="str">
        <f>$B$6</f>
        <v>D2146</v>
      </c>
      <c r="H19" s="18" t="s">
        <v>273</v>
      </c>
      <c r="I19" s="19"/>
      <c r="J19" s="19"/>
      <c r="K19" s="18"/>
      <c r="L19" s="18"/>
      <c r="M19" s="18"/>
      <c r="N19" s="18" t="s">
        <v>1214</v>
      </c>
      <c r="O19" s="20">
        <v>37396.370000000003</v>
      </c>
      <c r="P19" s="20">
        <v>44877.57</v>
      </c>
      <c r="Q19" s="20">
        <v>39028.800000000003</v>
      </c>
      <c r="R19" s="20">
        <v>30587.31</v>
      </c>
      <c r="S19" s="20">
        <v>34437.5</v>
      </c>
      <c r="T19" s="20">
        <v>37322.75</v>
      </c>
      <c r="U19" s="20">
        <v>31261.91</v>
      </c>
      <c r="V19" s="20">
        <v>23994.91</v>
      </c>
      <c r="W19" s="20">
        <v>37960.5</v>
      </c>
      <c r="X19" s="20">
        <v>29664.32</v>
      </c>
      <c r="Y19" s="20">
        <v>31075.03</v>
      </c>
      <c r="Z19" s="20">
        <v>49749.1</v>
      </c>
      <c r="AA19" s="20">
        <f>SUM(O19:Z19)</f>
        <v>427356.06999999995</v>
      </c>
      <c r="AB19" s="18"/>
      <c r="AC19" s="18"/>
      <c r="AD19" s="20">
        <v>604215.13</v>
      </c>
      <c r="AE19" s="18"/>
      <c r="AF19" s="18"/>
      <c r="AG19" s="20">
        <v>415232.88</v>
      </c>
      <c r="AH19" s="18"/>
      <c r="AI19" s="18"/>
    </row>
    <row r="20" spans="1:35" hidden="1" outlineLevel="1" x14ac:dyDescent="0.25">
      <c r="A20" s="6" t="s">
        <v>5</v>
      </c>
      <c r="B20" s="7"/>
      <c r="G20" s="18" t="str">
        <f>$B$6</f>
        <v>D2146</v>
      </c>
      <c r="H20" s="18">
        <v>946000</v>
      </c>
      <c r="I20" s="19"/>
      <c r="J20" s="19"/>
      <c r="K20" s="18"/>
      <c r="L20" s="18"/>
      <c r="M20" s="18"/>
      <c r="N20" s="18" t="s">
        <v>1196</v>
      </c>
      <c r="O20" s="20">
        <v>1237</v>
      </c>
      <c r="P20" s="20">
        <v>1625</v>
      </c>
      <c r="Q20" s="20">
        <v>1332</v>
      </c>
      <c r="R20" s="20">
        <v>1175</v>
      </c>
      <c r="S20" s="20">
        <v>1295</v>
      </c>
      <c r="T20" s="20">
        <v>1491</v>
      </c>
      <c r="U20" s="20">
        <v>1297</v>
      </c>
      <c r="V20" s="20">
        <v>1068</v>
      </c>
      <c r="W20" s="20">
        <v>1206</v>
      </c>
      <c r="X20" s="20">
        <v>1240</v>
      </c>
      <c r="Y20" s="20">
        <v>1281</v>
      </c>
      <c r="Z20" s="20">
        <v>1582</v>
      </c>
      <c r="AA20" s="20">
        <f>SUM(O20:Z20)</f>
        <v>15829</v>
      </c>
      <c r="AB20" s="18"/>
      <c r="AC20" s="18"/>
      <c r="AD20" s="20">
        <v>17191</v>
      </c>
      <c r="AE20" s="18"/>
      <c r="AF20" s="18"/>
      <c r="AG20" s="20">
        <v>13344</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1451</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1436</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v>617.95000000000005</v>
      </c>
      <c r="U35" s="21"/>
      <c r="V35" s="21"/>
      <c r="W35" s="21"/>
      <c r="X35" s="21"/>
      <c r="Y35" s="21"/>
      <c r="Z35" s="21"/>
      <c r="AA35" s="21">
        <f t="shared" ref="AA35:AA41" si="0">SUM(O35:Z35)</f>
        <v>617.95000000000005</v>
      </c>
      <c r="AB35" s="17">
        <f>IF(AA35=0,"",IFERROR(AA35/AA$19,""))</f>
        <v>1.4459839075176822E-3</v>
      </c>
      <c r="AD35" s="21"/>
      <c r="AE35" s="17" t="str">
        <f>IF(AD35=0,"",IFERROR(AD35/AD$19,""))</f>
        <v/>
      </c>
      <c r="AF35" s="50">
        <f t="shared" ref="AF35:AF42" si="1">IF(AND($AA35="",AD35=""),"",$AA35-AD35)</f>
        <v>617.95000000000005</v>
      </c>
      <c r="AG35" s="21"/>
      <c r="AH35" s="17" t="str">
        <f>IF(AG35=0,"",IFERROR(AG35/AG$19,""))</f>
        <v/>
      </c>
      <c r="AI35" s="50">
        <f t="shared" ref="AI35:AI42" si="2">IF(AND($AA35="",AG35=""),"",$AA35-AG35)</f>
        <v>617.95000000000005</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v>617.95000000000005</v>
      </c>
      <c r="U39" s="164"/>
      <c r="V39" s="164"/>
      <c r="W39" s="164"/>
      <c r="X39" s="164"/>
      <c r="Y39" s="164"/>
      <c r="Z39" s="164"/>
      <c r="AA39" s="164">
        <f t="shared" si="0"/>
        <v>617.95000000000005</v>
      </c>
      <c r="AB39" s="175">
        <f>IF(AA39=0,"",IFERROR(AA39/AA$19,""))</f>
        <v>1.4459839075176822E-3</v>
      </c>
      <c r="AD39" s="164"/>
      <c r="AE39" s="175" t="str">
        <f>IF(AD39=0,"",IFERROR(AD39/AD$19,""))</f>
        <v/>
      </c>
      <c r="AF39" s="165">
        <f t="shared" si="1"/>
        <v>617.95000000000005</v>
      </c>
      <c r="AG39" s="164"/>
      <c r="AH39" s="175" t="str">
        <f>IF(AG39=0,"",IFERROR(AG39/AG$19,""))</f>
        <v/>
      </c>
      <c r="AI39" s="165">
        <f t="shared" si="2"/>
        <v>617.95000000000005</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v>24</v>
      </c>
      <c r="Y47" s="21"/>
      <c r="Z47" s="21"/>
      <c r="AA47" s="21">
        <f t="shared" si="5"/>
        <v>24</v>
      </c>
      <c r="AB47" s="17">
        <f>IF(AA47=0,"",IFERROR(AA47/AA$19,""))</f>
        <v>5.6159258484382833E-5</v>
      </c>
      <c r="AD47" s="21"/>
      <c r="AE47" s="17" t="str">
        <f>IF(AD47=0,"",IFERROR(AD47/AD$19,""))</f>
        <v/>
      </c>
      <c r="AF47" s="50">
        <f t="shared" si="6"/>
        <v>24</v>
      </c>
      <c r="AG47" s="21"/>
      <c r="AH47" s="17" t="str">
        <f>IF(AG47=0,"",IFERROR(AG47/AG$19,""))</f>
        <v/>
      </c>
      <c r="AI47" s="50">
        <f t="shared" si="7"/>
        <v>24</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v>25</v>
      </c>
      <c r="Y48" s="30"/>
      <c r="Z48" s="30"/>
      <c r="AA48" s="30">
        <f t="shared" si="5"/>
        <v>25</v>
      </c>
      <c r="AB48" s="31">
        <f>IF(AA48=0,"",IFERROR(AA48/AA$19,""))</f>
        <v>5.849922758789878E-5</v>
      </c>
      <c r="AD48" s="30"/>
      <c r="AE48" s="31" t="str">
        <f>IF(AD48=0,"",IFERROR(AD48/AD$19,""))</f>
        <v/>
      </c>
      <c r="AF48" s="51">
        <f t="shared" si="6"/>
        <v>25</v>
      </c>
      <c r="AG48" s="30"/>
      <c r="AH48" s="31" t="str">
        <f>IF(AG48=0,"",IFERROR(AG48/AG$19,""))</f>
        <v/>
      </c>
      <c r="AI48" s="51">
        <f t="shared" si="7"/>
        <v>25</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v>49</v>
      </c>
      <c r="Y49" s="164"/>
      <c r="Z49" s="164"/>
      <c r="AA49" s="164">
        <f t="shared" si="5"/>
        <v>49</v>
      </c>
      <c r="AB49" s="175">
        <f>IF(AA49=0,"",IFERROR(AA49/AA$19,""))</f>
        <v>1.1465848607228161E-4</v>
      </c>
      <c r="AD49" s="164"/>
      <c r="AE49" s="175" t="str">
        <f>IF(AD49=0,"",IFERROR(AD49/AD$19,""))</f>
        <v/>
      </c>
      <c r="AF49" s="165">
        <f t="shared" si="6"/>
        <v>49</v>
      </c>
      <c r="AG49" s="164"/>
      <c r="AH49" s="175" t="str">
        <f>IF(AG49=0,"",IFERROR(AG49/AG$19,""))</f>
        <v/>
      </c>
      <c r="AI49" s="165">
        <f t="shared" si="7"/>
        <v>49</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v>9178.5</v>
      </c>
      <c r="P65" s="21">
        <v>13570</v>
      </c>
      <c r="Q65" s="21">
        <v>10503.8</v>
      </c>
      <c r="R65" s="21">
        <v>9350.4</v>
      </c>
      <c r="S65" s="21">
        <v>14245.5</v>
      </c>
      <c r="T65" s="21">
        <v>11915.5</v>
      </c>
      <c r="U65" s="21">
        <v>11762.81</v>
      </c>
      <c r="V65" s="21">
        <v>7958.11</v>
      </c>
      <c r="W65" s="21">
        <v>13464.5</v>
      </c>
      <c r="X65" s="21">
        <v>14619.4</v>
      </c>
      <c r="Y65" s="21">
        <v>9453.2000000000007</v>
      </c>
      <c r="Z65" s="21">
        <v>16635.27</v>
      </c>
      <c r="AA65" s="21">
        <f t="shared" ref="AA65:AA71" si="15">SUM(O65:Z65)</f>
        <v>142656.99</v>
      </c>
      <c r="AB65" s="17">
        <f>IF(AA65=0,"",IFERROR(AA65/AA$19,""))</f>
        <v>0.333812949000584</v>
      </c>
      <c r="AD65" s="21">
        <v>160846.484643</v>
      </c>
      <c r="AE65" s="17">
        <f>IF(AD65=0,"",IFERROR(AD65/AD$19,""))</f>
        <v>0.26620731037139039</v>
      </c>
      <c r="AF65" s="50">
        <f t="shared" ref="AF65:AF72" si="16">IF(AND($AA65="",AD65=""),"",$AA65-AD65)</f>
        <v>-18189.494643000013</v>
      </c>
      <c r="AG65" s="21">
        <v>111349.46</v>
      </c>
      <c r="AH65" s="17">
        <f>IF(AG65=0,"",IFERROR(AG65/AG$19,""))</f>
        <v>0.26816147122067985</v>
      </c>
      <c r="AI65" s="50">
        <f t="shared" ref="AI65:AI72" si="17">IF(AND($AA65="",AG65=""),"",$AA65-AG65)</f>
        <v>31307.529999999984</v>
      </c>
    </row>
    <row r="66" spans="3:35" x14ac:dyDescent="0.25">
      <c r="H66" s="149" t="s">
        <v>308</v>
      </c>
      <c r="I66" s="161" t="s">
        <v>1123</v>
      </c>
      <c r="J66" s="161" t="s">
        <v>78</v>
      </c>
      <c r="K66" s="162"/>
      <c r="L66" s="162">
        <v>464200</v>
      </c>
      <c r="M66" s="162"/>
      <c r="N66" s="162" t="s">
        <v>1280</v>
      </c>
      <c r="O66" s="21">
        <v>19181</v>
      </c>
      <c r="P66" s="21">
        <v>23332</v>
      </c>
      <c r="Q66" s="21">
        <v>21510</v>
      </c>
      <c r="R66" s="21">
        <v>15487.91</v>
      </c>
      <c r="S66" s="21">
        <v>13547</v>
      </c>
      <c r="T66" s="21">
        <v>17682.400000000001</v>
      </c>
      <c r="U66" s="21">
        <v>15298.1</v>
      </c>
      <c r="V66" s="21">
        <v>11900.8</v>
      </c>
      <c r="W66" s="21">
        <v>19621</v>
      </c>
      <c r="X66" s="21">
        <v>10427.200000000001</v>
      </c>
      <c r="Y66" s="21">
        <v>14523.5</v>
      </c>
      <c r="Z66" s="21">
        <v>23854.6</v>
      </c>
      <c r="AA66" s="21">
        <f t="shared" si="15"/>
        <v>206365.51</v>
      </c>
      <c r="AB66" s="17">
        <f>IF(AA66=0,"",IFERROR(AA66/AA$19,""))</f>
        <v>0.48288891743131213</v>
      </c>
      <c r="AD66" s="21">
        <v>320695.60435500002</v>
      </c>
      <c r="AE66" s="17">
        <f>IF(AD66=0,"",IFERROR(AD66/AD$19,""))</f>
        <v>0.53076394223196632</v>
      </c>
      <c r="AF66" s="50">
        <f t="shared" si="16"/>
        <v>-114330.09435500001</v>
      </c>
      <c r="AG66" s="21">
        <v>218812.91</v>
      </c>
      <c r="AH66" s="17">
        <f>IF(AG66=0,"",IFERROR(AG66/AG$19,""))</f>
        <v>0.52696431457932713</v>
      </c>
      <c r="AI66" s="50">
        <f t="shared" si="17"/>
        <v>-12447.399999999994</v>
      </c>
    </row>
    <row r="67" spans="3:35" x14ac:dyDescent="0.25">
      <c r="H67" s="149" t="s">
        <v>310</v>
      </c>
      <c r="I67" s="161" t="s">
        <v>1123</v>
      </c>
      <c r="J67" s="161" t="s">
        <v>78</v>
      </c>
      <c r="K67" s="162"/>
      <c r="L67" s="162">
        <v>464300</v>
      </c>
      <c r="M67" s="162"/>
      <c r="N67" s="162" t="s">
        <v>1281</v>
      </c>
      <c r="O67" s="21">
        <v>3922</v>
      </c>
      <c r="P67" s="21">
        <v>3050</v>
      </c>
      <c r="Q67" s="21">
        <v>3205</v>
      </c>
      <c r="R67" s="21">
        <v>2985</v>
      </c>
      <c r="S67" s="21">
        <v>2280</v>
      </c>
      <c r="T67" s="21">
        <v>3308.9</v>
      </c>
      <c r="U67" s="21">
        <v>1881</v>
      </c>
      <c r="V67" s="21">
        <v>2042</v>
      </c>
      <c r="W67" s="21">
        <v>2245</v>
      </c>
      <c r="X67" s="21">
        <v>2610</v>
      </c>
      <c r="Y67" s="21">
        <v>3308.5</v>
      </c>
      <c r="Z67" s="21">
        <v>3644.8</v>
      </c>
      <c r="AA67" s="21">
        <f t="shared" si="15"/>
        <v>34482.200000000004</v>
      </c>
      <c r="AB67" s="17">
        <f>IF(AA67=0,"",IFERROR(AA67/AA$19,""))</f>
        <v>8.0687282621257739E-2</v>
      </c>
      <c r="AD67" s="21">
        <v>51328.051586000001</v>
      </c>
      <c r="AE67" s="17">
        <f>IF(AD67=0,"",IFERROR(AD67/AD$19,""))</f>
        <v>8.4949960763147397E-2</v>
      </c>
      <c r="AF67" s="50">
        <f t="shared" si="16"/>
        <v>-16845.851585999997</v>
      </c>
      <c r="AG67" s="21">
        <v>37750.5</v>
      </c>
      <c r="AH67" s="17">
        <f>IF(AG67=0,"",IFERROR(AG67/AG$19,""))</f>
        <v>9.0914043223166721E-2</v>
      </c>
      <c r="AI67" s="50">
        <f t="shared" si="17"/>
        <v>-3268.2999999999956</v>
      </c>
    </row>
    <row r="68" spans="3:35" x14ac:dyDescent="0.25">
      <c r="H68" s="149" t="s">
        <v>309</v>
      </c>
      <c r="I68" s="161" t="s">
        <v>1123</v>
      </c>
      <c r="J68" s="161" t="s">
        <v>78</v>
      </c>
      <c r="K68" s="162"/>
      <c r="L68" s="162">
        <v>464400</v>
      </c>
      <c r="M68" s="162"/>
      <c r="N68" s="162" t="s">
        <v>1282</v>
      </c>
      <c r="O68" s="30">
        <v>5205</v>
      </c>
      <c r="P68" s="30">
        <v>5038</v>
      </c>
      <c r="Q68" s="30">
        <v>3810</v>
      </c>
      <c r="R68" s="30">
        <v>2764</v>
      </c>
      <c r="S68" s="30">
        <v>4365</v>
      </c>
      <c r="T68" s="30">
        <v>3798</v>
      </c>
      <c r="U68" s="30">
        <v>2320</v>
      </c>
      <c r="V68" s="30">
        <v>2094</v>
      </c>
      <c r="W68" s="30">
        <v>2630</v>
      </c>
      <c r="X68" s="30">
        <v>2081</v>
      </c>
      <c r="Y68" s="30">
        <v>3838.6</v>
      </c>
      <c r="Z68" s="30">
        <v>5614.43</v>
      </c>
      <c r="AA68" s="30">
        <f t="shared" si="15"/>
        <v>43558.03</v>
      </c>
      <c r="AB68" s="31">
        <f>IF(AA68=0,"",IFERROR(AA68/AA$19,""))</f>
        <v>0.10192444441002091</v>
      </c>
      <c r="AD68" s="30">
        <v>71344.989415999997</v>
      </c>
      <c r="AE68" s="31">
        <f>IF(AD68=0,"",IFERROR(AD68/AD$19,""))</f>
        <v>0.11807878663349591</v>
      </c>
      <c r="AF68" s="51">
        <f t="shared" si="16"/>
        <v>-27786.959415999998</v>
      </c>
      <c r="AG68" s="30">
        <v>47578.9</v>
      </c>
      <c r="AH68" s="31">
        <f>IF(AG68=0,"",IFERROR(AG68/AG$19,""))</f>
        <v>0.11458365243137779</v>
      </c>
      <c r="AI68" s="51">
        <f t="shared" si="17"/>
        <v>-4020.8700000000026</v>
      </c>
    </row>
    <row r="69" spans="3:35" x14ac:dyDescent="0.25">
      <c r="H69" s="149" t="s">
        <v>327</v>
      </c>
      <c r="I69" s="161" t="s">
        <v>1009</v>
      </c>
      <c r="J69" s="161" t="s">
        <v>78</v>
      </c>
      <c r="K69" s="162"/>
      <c r="L69" s="162"/>
      <c r="M69" s="162"/>
      <c r="N69" s="25" t="s">
        <v>1283</v>
      </c>
      <c r="O69" s="164">
        <v>37486.5</v>
      </c>
      <c r="P69" s="164">
        <v>44990</v>
      </c>
      <c r="Q69" s="164">
        <v>39028.800000000003</v>
      </c>
      <c r="R69" s="164">
        <v>30587.31</v>
      </c>
      <c r="S69" s="164">
        <v>34437.5</v>
      </c>
      <c r="T69" s="164">
        <v>36704.800000000003</v>
      </c>
      <c r="U69" s="164">
        <v>31261.91</v>
      </c>
      <c r="V69" s="164">
        <v>23994.91</v>
      </c>
      <c r="W69" s="164">
        <v>37960.5</v>
      </c>
      <c r="X69" s="164">
        <v>29737.599999999999</v>
      </c>
      <c r="Y69" s="164">
        <v>31123.8</v>
      </c>
      <c r="Z69" s="164">
        <v>49749.1</v>
      </c>
      <c r="AA69" s="164">
        <f t="shared" si="15"/>
        <v>427062.73</v>
      </c>
      <c r="AB69" s="175">
        <f>IF(AA69=0,"",IFERROR(AA69/AA$19,""))</f>
        <v>0.99931359346317472</v>
      </c>
      <c r="AD69" s="164">
        <v>604215.13</v>
      </c>
      <c r="AE69" s="175">
        <f>IF(AD69=0,"",IFERROR(AD69/AD$19,""))</f>
        <v>1</v>
      </c>
      <c r="AF69" s="165">
        <f t="shared" si="16"/>
        <v>-177152.40000000002</v>
      </c>
      <c r="AG69" s="164">
        <v>415491.77</v>
      </c>
      <c r="AH69" s="175">
        <f>IF(AG69=0,"",IFERROR(AG69/AG$19,""))</f>
        <v>1.0006234814545516</v>
      </c>
      <c r="AI69" s="165">
        <f t="shared" si="17"/>
        <v>11570.959999999963</v>
      </c>
    </row>
    <row r="70" spans="3:35" x14ac:dyDescent="0.25">
      <c r="H70" s="149" t="s">
        <v>766</v>
      </c>
      <c r="I70" s="161" t="s">
        <v>1009</v>
      </c>
      <c r="J70" s="161" t="s">
        <v>1009</v>
      </c>
      <c r="K70" s="162"/>
      <c r="L70" s="162">
        <v>947400</v>
      </c>
      <c r="M70" s="162">
        <v>999994</v>
      </c>
      <c r="N70" s="162" t="s">
        <v>1354</v>
      </c>
      <c r="O70" s="38">
        <v>31</v>
      </c>
      <c r="P70" s="38">
        <v>28</v>
      </c>
      <c r="Q70" s="38">
        <v>31</v>
      </c>
      <c r="R70" s="38">
        <v>30</v>
      </c>
      <c r="S70" s="38">
        <v>31</v>
      </c>
      <c r="T70" s="38"/>
      <c r="U70" s="38">
        <v>31</v>
      </c>
      <c r="V70" s="38">
        <v>31</v>
      </c>
      <c r="W70" s="38">
        <v>30</v>
      </c>
      <c r="X70" s="38">
        <v>31</v>
      </c>
      <c r="Y70" s="38">
        <v>30</v>
      </c>
      <c r="Z70" s="38">
        <v>31</v>
      </c>
      <c r="AA70" s="38">
        <f t="shared" si="15"/>
        <v>335</v>
      </c>
      <c r="AB70" s="39"/>
      <c r="AD70" s="38">
        <v>365</v>
      </c>
      <c r="AE70" s="39"/>
      <c r="AF70" s="132">
        <f t="shared" si="16"/>
        <v>-30</v>
      </c>
      <c r="AG70" s="38">
        <v>365</v>
      </c>
      <c r="AH70" s="39"/>
      <c r="AI70" s="132">
        <f t="shared" si="17"/>
        <v>-30</v>
      </c>
    </row>
    <row r="71" spans="3:35" x14ac:dyDescent="0.25">
      <c r="H71" s="149" t="s">
        <v>326</v>
      </c>
      <c r="I71" s="161" t="s">
        <v>1009</v>
      </c>
      <c r="J71" s="161" t="s">
        <v>1009</v>
      </c>
      <c r="K71" s="162"/>
      <c r="L71" s="162">
        <v>946500</v>
      </c>
      <c r="M71" s="162">
        <v>991522</v>
      </c>
      <c r="N71" s="162" t="s">
        <v>1284</v>
      </c>
      <c r="O71" s="38">
        <v>1237</v>
      </c>
      <c r="P71" s="38">
        <v>1625</v>
      </c>
      <c r="Q71" s="38">
        <v>1332</v>
      </c>
      <c r="R71" s="38">
        <v>1175</v>
      </c>
      <c r="S71" s="38">
        <v>1295</v>
      </c>
      <c r="T71" s="38">
        <v>1491</v>
      </c>
      <c r="U71" s="38">
        <v>1297</v>
      </c>
      <c r="V71" s="38">
        <v>1068</v>
      </c>
      <c r="W71" s="38">
        <v>1206</v>
      </c>
      <c r="X71" s="38">
        <v>1240</v>
      </c>
      <c r="Y71" s="38">
        <v>1281</v>
      </c>
      <c r="Z71" s="38">
        <v>1582</v>
      </c>
      <c r="AA71" s="38">
        <f t="shared" si="15"/>
        <v>15829</v>
      </c>
      <c r="AB71" s="39">
        <f>IF(AA71=0,"",IFERROR(AA71/AA$87,""))</f>
        <v>1</v>
      </c>
      <c r="AD71" s="38">
        <v>17191</v>
      </c>
      <c r="AE71" s="39">
        <f>IF(AD71=0,"",IFERROR(AD71/AD$87,""))</f>
        <v>1</v>
      </c>
      <c r="AF71" s="132">
        <f t="shared" si="16"/>
        <v>-1362</v>
      </c>
      <c r="AG71" s="38">
        <v>13344</v>
      </c>
      <c r="AH71" s="39">
        <f>IF(AG71=0,"",IFERROR(AG71/AG$87,""))</f>
        <v>1</v>
      </c>
      <c r="AI71" s="132">
        <f t="shared" si="17"/>
        <v>2485</v>
      </c>
    </row>
    <row r="72" spans="3:35" x14ac:dyDescent="0.25">
      <c r="H72" s="149" t="s">
        <v>328</v>
      </c>
      <c r="I72" s="161" t="s">
        <v>1009</v>
      </c>
      <c r="J72" s="161" t="s">
        <v>78</v>
      </c>
      <c r="K72" s="162"/>
      <c r="L72" s="162"/>
      <c r="M72" s="162"/>
      <c r="N72" s="170" t="s">
        <v>1285</v>
      </c>
      <c r="O72" s="176">
        <v>30.3043654001617</v>
      </c>
      <c r="P72" s="176">
        <v>27.6861538461538</v>
      </c>
      <c r="Q72" s="176">
        <v>29.300900900900899</v>
      </c>
      <c r="R72" s="176">
        <v>26.0317531914894</v>
      </c>
      <c r="S72" s="176">
        <v>26.592664092664101</v>
      </c>
      <c r="T72" s="176">
        <v>24.617572099262201</v>
      </c>
      <c r="U72" s="176">
        <v>24.103245952197401</v>
      </c>
      <c r="V72" s="176">
        <v>22.4671441947566</v>
      </c>
      <c r="W72" s="176">
        <v>31.476368159204</v>
      </c>
      <c r="X72" s="176">
        <v>23.981935483870998</v>
      </c>
      <c r="Y72" s="176">
        <v>24.296487119437899</v>
      </c>
      <c r="Z72" s="176">
        <v>31.4469658659924</v>
      </c>
      <c r="AA72" s="176">
        <f>IFERROR(AA69/AA71,"")</f>
        <v>26.979766883568132</v>
      </c>
      <c r="AB72" s="176"/>
      <c r="AD72" s="176">
        <v>35.147177592926496</v>
      </c>
      <c r="AE72" s="176"/>
      <c r="AF72" s="177">
        <f t="shared" si="16"/>
        <v>-8.1674107093583643</v>
      </c>
      <c r="AG72" s="176">
        <v>31.136973171462799</v>
      </c>
      <c r="AH72" s="176"/>
      <c r="AI72" s="177">
        <f t="shared" si="17"/>
        <v>-4.1572062878946667</v>
      </c>
    </row>
    <row r="73" spans="3:35" x14ac:dyDescent="0.25">
      <c r="G73" s="181">
        <f>COUNTIF(O74:AI74,FALSE)</f>
        <v>0</v>
      </c>
      <c r="H73" s="15"/>
      <c r="I73" s="161"/>
      <c r="J73" s="161"/>
      <c r="K73" s="162"/>
      <c r="L73" s="162"/>
      <c r="M73" s="162"/>
      <c r="N73" s="182" t="s">
        <v>345</v>
      </c>
      <c r="O73" s="179">
        <f t="shared" ref="O73:AA73" si="18">ROUND(IFERROR(O69/O71,0),2)</f>
        <v>30.3</v>
      </c>
      <c r="P73" s="184">
        <f t="shared" si="18"/>
        <v>27.69</v>
      </c>
      <c r="Q73" s="184">
        <f t="shared" si="18"/>
        <v>29.3</v>
      </c>
      <c r="R73" s="184">
        <f t="shared" si="18"/>
        <v>26.03</v>
      </c>
      <c r="S73" s="184">
        <f t="shared" si="18"/>
        <v>26.59</v>
      </c>
      <c r="T73" s="184">
        <f t="shared" si="18"/>
        <v>24.62</v>
      </c>
      <c r="U73" s="184">
        <f t="shared" si="18"/>
        <v>24.1</v>
      </c>
      <c r="V73" s="184">
        <f t="shared" si="18"/>
        <v>22.47</v>
      </c>
      <c r="W73" s="184">
        <f t="shared" si="18"/>
        <v>31.48</v>
      </c>
      <c r="X73" s="184">
        <f t="shared" si="18"/>
        <v>23.98</v>
      </c>
      <c r="Y73" s="184">
        <f t="shared" si="18"/>
        <v>24.3</v>
      </c>
      <c r="Z73" s="184">
        <f t="shared" si="18"/>
        <v>31.45</v>
      </c>
      <c r="AA73" s="184">
        <f t="shared" si="18"/>
        <v>26.98</v>
      </c>
      <c r="AB73" s="183"/>
      <c r="AD73" s="179">
        <f>ROUND(IFERROR(AD69/AD71,0),2)</f>
        <v>35.15</v>
      </c>
      <c r="AE73" s="184"/>
      <c r="AF73" s="180"/>
      <c r="AG73" s="179">
        <f>ROUND(IFERROR(AG69/AG71,0),2)</f>
        <v>31.14</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b">
        <f t="shared" si="19"/>
        <v>1</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v>-90.13</v>
      </c>
      <c r="P83" s="21">
        <v>-112.43</v>
      </c>
      <c r="Q83" s="21"/>
      <c r="R83" s="21"/>
      <c r="S83" s="21"/>
      <c r="T83" s="21"/>
      <c r="U83" s="21"/>
      <c r="V83" s="21"/>
      <c r="W83" s="21"/>
      <c r="X83" s="21">
        <v>-122.28</v>
      </c>
      <c r="Y83" s="21">
        <v>-48.77</v>
      </c>
      <c r="Z83" s="21"/>
      <c r="AA83" s="21">
        <f>SUM(O83:Z83)</f>
        <v>-373.61</v>
      </c>
      <c r="AB83" s="17">
        <f>IF(AA83=0,"",IFERROR(AA83/AA$19,""))</f>
        <v>-8.7423585676459461E-4</v>
      </c>
      <c r="AD83" s="21"/>
      <c r="AE83" s="17" t="str">
        <f>IF(AD83=0,"",IFERROR(AD83/AD$19,""))</f>
        <v/>
      </c>
      <c r="AF83" s="50">
        <f>IF(AND($AA83="",AD83=""),"",$AA83-AD83)</f>
        <v>-373.61</v>
      </c>
      <c r="AG83" s="21">
        <v>-258.89</v>
      </c>
      <c r="AH83" s="17">
        <f>IF(AG83=0,"",IFERROR(AG83/AG$19,""))</f>
        <v>-6.2348145455147963E-4</v>
      </c>
      <c r="AI83" s="50">
        <f>IF(AND($AA83="",AG83=""),"",$AA83-AG83)</f>
        <v>-114.72000000000003</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v>37396.370000000003</v>
      </c>
      <c r="P85" s="171">
        <v>44877.57</v>
      </c>
      <c r="Q85" s="171">
        <v>39028.800000000003</v>
      </c>
      <c r="R85" s="171">
        <v>30587.31</v>
      </c>
      <c r="S85" s="171">
        <v>34437.5</v>
      </c>
      <c r="T85" s="171">
        <v>37322.75</v>
      </c>
      <c r="U85" s="171">
        <v>31261.91</v>
      </c>
      <c r="V85" s="171">
        <v>23994.91</v>
      </c>
      <c r="W85" s="171">
        <v>37960.5</v>
      </c>
      <c r="X85" s="171">
        <v>29664.32</v>
      </c>
      <c r="Y85" s="171">
        <v>31075.03</v>
      </c>
      <c r="Z85" s="171">
        <v>49749.1</v>
      </c>
      <c r="AA85" s="171">
        <f>SUM(O85:Z85)</f>
        <v>427356.06999999995</v>
      </c>
      <c r="AB85" s="172">
        <f>IF(AA85=0,"",IFERROR(AA85/AA$19,""))</f>
        <v>1</v>
      </c>
      <c r="AD85" s="171">
        <v>604215.13</v>
      </c>
      <c r="AE85" s="172">
        <f>IF(AD85=0,"",IFERROR(AD85/AD$19,""))</f>
        <v>1</v>
      </c>
      <c r="AF85" s="173">
        <f>IF(AND($AA85="",AD85=""),"",$AA85-AD85)</f>
        <v>-176859.06000000006</v>
      </c>
      <c r="AG85" s="171">
        <v>415232.88</v>
      </c>
      <c r="AH85" s="172">
        <f>IF(AG85=0,"",IFERROR(AG85/AG$19,""))</f>
        <v>1</v>
      </c>
      <c r="AI85" s="173">
        <f>IF(AND($AA85="",AG85=""),"",$AA85-AG85)</f>
        <v>12123.189999999944</v>
      </c>
    </row>
    <row r="86" spans="3:35" x14ac:dyDescent="0.25">
      <c r="C86" s="32"/>
      <c r="H86" s="149" t="s">
        <v>767</v>
      </c>
      <c r="I86" s="161" t="s">
        <v>1009</v>
      </c>
      <c r="J86" s="161" t="s">
        <v>1009</v>
      </c>
      <c r="L86" s="162">
        <v>947500</v>
      </c>
      <c r="M86" s="162">
        <v>991552</v>
      </c>
      <c r="N86" s="162" t="s">
        <v>1308</v>
      </c>
      <c r="O86" s="171">
        <v>55</v>
      </c>
      <c r="P86" s="171">
        <v>55</v>
      </c>
      <c r="Q86" s="171">
        <v>55</v>
      </c>
      <c r="R86" s="171">
        <v>55</v>
      </c>
      <c r="S86" s="171">
        <v>55</v>
      </c>
      <c r="T86" s="171"/>
      <c r="U86" s="171">
        <v>55</v>
      </c>
      <c r="V86" s="171">
        <v>55</v>
      </c>
      <c r="W86" s="171">
        <v>55</v>
      </c>
      <c r="X86" s="171">
        <v>55</v>
      </c>
      <c r="Y86" s="171">
        <v>55</v>
      </c>
      <c r="Z86" s="171">
        <v>55</v>
      </c>
      <c r="AA86" s="171">
        <f>SUM(O86:Z86)</f>
        <v>605</v>
      </c>
      <c r="AB86" s="172"/>
      <c r="AD86" s="171"/>
      <c r="AE86" s="172"/>
      <c r="AF86" s="173">
        <f>IF(AND($AA86="",AD86=""),"",$AA86-AD86)</f>
        <v>605</v>
      </c>
      <c r="AG86" s="171">
        <v>660</v>
      </c>
      <c r="AH86" s="172"/>
      <c r="AI86" s="173">
        <f>IF(AND($AA86="",AG86=""),"",$AA86-AG86)</f>
        <v>-55</v>
      </c>
    </row>
    <row r="87" spans="3:35" x14ac:dyDescent="0.25">
      <c r="C87" s="32"/>
      <c r="H87" s="149" t="s">
        <v>331</v>
      </c>
      <c r="I87" s="161" t="s">
        <v>1010</v>
      </c>
      <c r="J87" s="161" t="s">
        <v>78</v>
      </c>
      <c r="L87" s="162">
        <v>946000</v>
      </c>
      <c r="M87" s="162"/>
      <c r="N87" s="162" t="s">
        <v>1196</v>
      </c>
      <c r="O87" s="171">
        <v>1237</v>
      </c>
      <c r="P87" s="171">
        <v>1625</v>
      </c>
      <c r="Q87" s="171">
        <v>1332</v>
      </c>
      <c r="R87" s="171">
        <v>1175</v>
      </c>
      <c r="S87" s="171">
        <v>1295</v>
      </c>
      <c r="T87" s="171">
        <v>1491</v>
      </c>
      <c r="U87" s="171">
        <v>1297</v>
      </c>
      <c r="V87" s="171">
        <v>1068</v>
      </c>
      <c r="W87" s="171">
        <v>1206</v>
      </c>
      <c r="X87" s="171">
        <v>1240</v>
      </c>
      <c r="Y87" s="171">
        <v>1281</v>
      </c>
      <c r="Z87" s="171">
        <v>1582</v>
      </c>
      <c r="AA87" s="171">
        <f>SUM(O87:Z87)</f>
        <v>15829</v>
      </c>
      <c r="AB87" s="172">
        <f>IF(AA87=0,"",IFERROR(AA87/AA$20,""))</f>
        <v>1</v>
      </c>
      <c r="AD87" s="171">
        <v>17191</v>
      </c>
      <c r="AE87" s="172">
        <f>IF(AD87=0,"",IFERROR(AD87/AD$20,""))</f>
        <v>1</v>
      </c>
      <c r="AF87" s="173">
        <f>IF(AND($AA87="",AD87=""),"",$AA87-AD87)</f>
        <v>-1362</v>
      </c>
      <c r="AG87" s="171">
        <v>13344</v>
      </c>
      <c r="AH87" s="172">
        <f>IF(AG87=0,"",IFERROR(AG87/AG$20,""))</f>
        <v>1</v>
      </c>
      <c r="AI87" s="173">
        <f>IF(AND($AA87="",AG87=""),"",$AA87-AG87)</f>
        <v>2485</v>
      </c>
    </row>
    <row r="88" spans="3:35" x14ac:dyDescent="0.25">
      <c r="C88" s="32"/>
      <c r="H88" s="149" t="s">
        <v>311</v>
      </c>
      <c r="I88" s="161" t="s">
        <v>1009</v>
      </c>
      <c r="J88" s="161" t="s">
        <v>78</v>
      </c>
      <c r="L88" s="162"/>
      <c r="M88" s="162"/>
      <c r="N88" s="162" t="s">
        <v>1355</v>
      </c>
      <c r="O88" s="176">
        <v>30.231503637833502</v>
      </c>
      <c r="P88" s="176">
        <v>27.616966153846199</v>
      </c>
      <c r="Q88" s="176">
        <v>29.300900900900899</v>
      </c>
      <c r="R88" s="176">
        <v>26.0317531914894</v>
      </c>
      <c r="S88" s="176">
        <v>26.592664092664101</v>
      </c>
      <c r="T88" s="176">
        <v>25.032025486250799</v>
      </c>
      <c r="U88" s="176">
        <v>24.103245952197401</v>
      </c>
      <c r="V88" s="176">
        <v>22.4671441947566</v>
      </c>
      <c r="W88" s="176">
        <v>31.476368159204</v>
      </c>
      <c r="X88" s="176">
        <v>23.9228387096774</v>
      </c>
      <c r="Y88" s="176">
        <v>24.2584153005464</v>
      </c>
      <c r="Z88" s="176">
        <v>31.4469658659924</v>
      </c>
      <c r="AA88" s="176">
        <f>IFERROR(AA85/AA87,"")</f>
        <v>26.998298692273671</v>
      </c>
      <c r="AB88" s="176"/>
      <c r="AD88" s="176">
        <v>35.147177592926496</v>
      </c>
      <c r="AE88" s="176"/>
      <c r="AF88" s="177">
        <f>IF(AND($AA88="",AD88=""),"",$AA88-AD88)</f>
        <v>-8.1488789006528251</v>
      </c>
      <c r="AG88" s="176">
        <v>31.117571942445998</v>
      </c>
      <c r="AH88" s="176"/>
      <c r="AI88" s="177">
        <f>IF(AND($AA88="",AG88=""),"",$AA88-AG88)</f>
        <v>-4.119273250172327</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v>6876</v>
      </c>
      <c r="AE92" s="17"/>
      <c r="AF92" s="50">
        <f>IF(AND($AA92="",AD92=""),"",$AA92-AD92)</f>
        <v>-6876</v>
      </c>
      <c r="AG92" s="21">
        <v>251.56</v>
      </c>
      <c r="AH92" s="17"/>
      <c r="AI92" s="50">
        <f>IF(AND($AA92="",AG92=""),"",$AA92-AG92)</f>
        <v>-251.56</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f>IFERROR(AD$87/AD92,"")</f>
        <v>2.5001454333915065</v>
      </c>
      <c r="AE94" s="139"/>
      <c r="AF94" s="140" t="e">
        <f>IF(AND($AA94="",AD94=""),"",$AA94-AD94)</f>
        <v>#VALUE!</v>
      </c>
      <c r="AG94" s="178">
        <f>IFERROR(AG$87/AG92,"")</f>
        <v>53.044999204961044</v>
      </c>
      <c r="AH94" s="139"/>
      <c r="AI94" s="140" t="e">
        <f>IF(AND($AA94="",AG94=""),"",$AA94-AG94)</f>
        <v>#VALUE!</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v>19181</v>
      </c>
      <c r="P101" s="21">
        <v>23332</v>
      </c>
      <c r="Q101" s="21">
        <v>21510</v>
      </c>
      <c r="R101" s="21">
        <v>15487.91</v>
      </c>
      <c r="S101" s="21">
        <v>13547</v>
      </c>
      <c r="T101" s="21">
        <v>17682.400000000001</v>
      </c>
      <c r="U101" s="21">
        <v>15298.1</v>
      </c>
      <c r="V101" s="21">
        <v>11900.8</v>
      </c>
      <c r="W101" s="21">
        <v>19621</v>
      </c>
      <c r="X101" s="21">
        <v>10427.200000000001</v>
      </c>
      <c r="Y101" s="21">
        <v>14523.5</v>
      </c>
      <c r="Z101" s="21">
        <v>23854.6</v>
      </c>
      <c r="AA101" s="21">
        <f t="shared" si="27"/>
        <v>206365.51</v>
      </c>
      <c r="AB101" s="17">
        <f t="shared" si="28"/>
        <v>0.48288891743131213</v>
      </c>
      <c r="AD101" s="21">
        <v>320695.60435500002</v>
      </c>
      <c r="AE101" s="17">
        <f t="shared" si="29"/>
        <v>0.53076394223196632</v>
      </c>
      <c r="AF101" s="50">
        <f t="shared" si="30"/>
        <v>-114330.09435500001</v>
      </c>
      <c r="AG101" s="21">
        <v>218812.91</v>
      </c>
      <c r="AH101" s="17">
        <f t="shared" si="31"/>
        <v>0.52696431457932713</v>
      </c>
      <c r="AI101" s="50">
        <f t="shared" si="32"/>
        <v>-12447.399999999994</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v>19181</v>
      </c>
      <c r="P103" s="164">
        <v>23332</v>
      </c>
      <c r="Q103" s="164">
        <v>21510</v>
      </c>
      <c r="R103" s="164">
        <v>15487.91</v>
      </c>
      <c r="S103" s="164">
        <v>13547</v>
      </c>
      <c r="T103" s="164">
        <v>17682.400000000001</v>
      </c>
      <c r="U103" s="164">
        <v>15298.1</v>
      </c>
      <c r="V103" s="164">
        <v>11900.8</v>
      </c>
      <c r="W103" s="164">
        <v>19621</v>
      </c>
      <c r="X103" s="164">
        <v>10427.200000000001</v>
      </c>
      <c r="Y103" s="164">
        <v>14523.5</v>
      </c>
      <c r="Z103" s="164">
        <v>23854.6</v>
      </c>
      <c r="AA103" s="164">
        <f t="shared" si="27"/>
        <v>206365.51</v>
      </c>
      <c r="AB103" s="175">
        <f t="shared" si="28"/>
        <v>0.48288891743131213</v>
      </c>
      <c r="AD103" s="164">
        <v>320695.60435500002</v>
      </c>
      <c r="AE103" s="175">
        <f t="shared" si="29"/>
        <v>0.53076394223196632</v>
      </c>
      <c r="AF103" s="165">
        <f t="shared" si="30"/>
        <v>-114330.09435500001</v>
      </c>
      <c r="AG103" s="164">
        <v>218812.91</v>
      </c>
      <c r="AH103" s="175">
        <f t="shared" si="31"/>
        <v>0.52696431457932713</v>
      </c>
      <c r="AI103" s="165">
        <f t="shared" si="32"/>
        <v>-12447.399999999994</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v>24</v>
      </c>
      <c r="Y107" s="21"/>
      <c r="Z107" s="21"/>
      <c r="AA107" s="21">
        <f t="shared" si="33"/>
        <v>24</v>
      </c>
      <c r="AB107" s="17">
        <f t="shared" si="34"/>
        <v>5.6159258484382833E-5</v>
      </c>
      <c r="AD107" s="21"/>
      <c r="AE107" s="17" t="str">
        <f t="shared" si="35"/>
        <v/>
      </c>
      <c r="AF107" s="50">
        <f t="shared" si="36"/>
        <v>24</v>
      </c>
      <c r="AG107" s="21"/>
      <c r="AH107" s="17" t="str">
        <f t="shared" si="37"/>
        <v/>
      </c>
      <c r="AI107" s="50">
        <f t="shared" si="38"/>
        <v>24</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v>3922</v>
      </c>
      <c r="P109" s="21">
        <v>3050</v>
      </c>
      <c r="Q109" s="21">
        <v>3205</v>
      </c>
      <c r="R109" s="21">
        <v>2985</v>
      </c>
      <c r="S109" s="21">
        <v>2280</v>
      </c>
      <c r="T109" s="21">
        <v>3308.9</v>
      </c>
      <c r="U109" s="21">
        <v>1881</v>
      </c>
      <c r="V109" s="21">
        <v>2042</v>
      </c>
      <c r="W109" s="21">
        <v>2245</v>
      </c>
      <c r="X109" s="21">
        <v>2610</v>
      </c>
      <c r="Y109" s="21">
        <v>3308.5</v>
      </c>
      <c r="Z109" s="21">
        <v>3644.8</v>
      </c>
      <c r="AA109" s="21">
        <f t="shared" si="33"/>
        <v>34482.200000000004</v>
      </c>
      <c r="AB109" s="17">
        <f t="shared" si="34"/>
        <v>8.0687282621257739E-2</v>
      </c>
      <c r="AD109" s="21">
        <v>51328.051586000001</v>
      </c>
      <c r="AE109" s="17">
        <f t="shared" si="35"/>
        <v>8.4949960763147397E-2</v>
      </c>
      <c r="AF109" s="50">
        <f t="shared" si="36"/>
        <v>-16845.851585999997</v>
      </c>
      <c r="AG109" s="21">
        <v>37750.5</v>
      </c>
      <c r="AH109" s="17">
        <f t="shared" si="37"/>
        <v>9.0914043223166721E-2</v>
      </c>
      <c r="AI109" s="50">
        <f t="shared" si="38"/>
        <v>-3268.2999999999956</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v>3922</v>
      </c>
      <c r="P111" s="164">
        <v>3050</v>
      </c>
      <c r="Q111" s="164">
        <v>3205</v>
      </c>
      <c r="R111" s="164">
        <v>2985</v>
      </c>
      <c r="S111" s="164">
        <v>2280</v>
      </c>
      <c r="T111" s="164">
        <v>3308.9</v>
      </c>
      <c r="U111" s="164">
        <v>1881</v>
      </c>
      <c r="V111" s="164">
        <v>2042</v>
      </c>
      <c r="W111" s="164">
        <v>2245</v>
      </c>
      <c r="X111" s="164">
        <v>2634</v>
      </c>
      <c r="Y111" s="164">
        <v>3308.5</v>
      </c>
      <c r="Z111" s="164">
        <v>3644.8</v>
      </c>
      <c r="AA111" s="164">
        <f t="shared" si="33"/>
        <v>34506.200000000004</v>
      </c>
      <c r="AB111" s="175">
        <f t="shared" si="34"/>
        <v>8.0743441879742125E-2</v>
      </c>
      <c r="AD111" s="164">
        <v>51328.051586000001</v>
      </c>
      <c r="AE111" s="175">
        <f t="shared" si="35"/>
        <v>8.4949960763147397E-2</v>
      </c>
      <c r="AF111" s="165">
        <f t="shared" si="36"/>
        <v>-16821.851585999997</v>
      </c>
      <c r="AG111" s="164">
        <v>37750.5</v>
      </c>
      <c r="AH111" s="175">
        <f t="shared" si="37"/>
        <v>9.0914043223166721E-2</v>
      </c>
      <c r="AI111" s="165">
        <f t="shared" si="38"/>
        <v>-3244.2999999999956</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v>25</v>
      </c>
      <c r="Y115" s="21"/>
      <c r="Z115" s="21"/>
      <c r="AA115" s="21">
        <f t="shared" si="39"/>
        <v>25</v>
      </c>
      <c r="AB115" s="17">
        <f t="shared" si="40"/>
        <v>5.849922758789878E-5</v>
      </c>
      <c r="AD115" s="21"/>
      <c r="AE115" s="17" t="str">
        <f t="shared" si="41"/>
        <v/>
      </c>
      <c r="AF115" s="50">
        <f t="shared" si="42"/>
        <v>25</v>
      </c>
      <c r="AG115" s="21"/>
      <c r="AH115" s="17" t="str">
        <f t="shared" si="43"/>
        <v/>
      </c>
      <c r="AI115" s="50">
        <f t="shared" si="44"/>
        <v>25</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v>5205</v>
      </c>
      <c r="P117" s="21">
        <v>5038</v>
      </c>
      <c r="Q117" s="21">
        <v>3810</v>
      </c>
      <c r="R117" s="21">
        <v>2764</v>
      </c>
      <c r="S117" s="21">
        <v>4365</v>
      </c>
      <c r="T117" s="21">
        <v>3798</v>
      </c>
      <c r="U117" s="21">
        <v>2320</v>
      </c>
      <c r="V117" s="21">
        <v>2094</v>
      </c>
      <c r="W117" s="21">
        <v>2630</v>
      </c>
      <c r="X117" s="21">
        <v>2081</v>
      </c>
      <c r="Y117" s="21">
        <v>3838.6</v>
      </c>
      <c r="Z117" s="21">
        <v>5614.43</v>
      </c>
      <c r="AA117" s="21">
        <f t="shared" si="39"/>
        <v>43558.03</v>
      </c>
      <c r="AB117" s="17">
        <f t="shared" si="40"/>
        <v>0.10192444441002091</v>
      </c>
      <c r="AD117" s="21">
        <v>71344.989415999997</v>
      </c>
      <c r="AE117" s="17">
        <f t="shared" si="41"/>
        <v>0.11807878663349591</v>
      </c>
      <c r="AF117" s="50">
        <f t="shared" si="42"/>
        <v>-27786.959415999998</v>
      </c>
      <c r="AG117" s="21">
        <v>47578.9</v>
      </c>
      <c r="AH117" s="17">
        <f t="shared" si="43"/>
        <v>0.11458365243137779</v>
      </c>
      <c r="AI117" s="50">
        <f t="shared" si="44"/>
        <v>-4020.8700000000026</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v>5205</v>
      </c>
      <c r="P119" s="164">
        <v>5038</v>
      </c>
      <c r="Q119" s="164">
        <v>3810</v>
      </c>
      <c r="R119" s="164">
        <v>2764</v>
      </c>
      <c r="S119" s="164">
        <v>4365</v>
      </c>
      <c r="T119" s="164">
        <v>3798</v>
      </c>
      <c r="U119" s="164">
        <v>2320</v>
      </c>
      <c r="V119" s="164">
        <v>2094</v>
      </c>
      <c r="W119" s="164">
        <v>2630</v>
      </c>
      <c r="X119" s="164">
        <v>2106</v>
      </c>
      <c r="Y119" s="164">
        <v>3838.6</v>
      </c>
      <c r="Z119" s="164">
        <v>5614.43</v>
      </c>
      <c r="AA119" s="164">
        <f t="shared" si="39"/>
        <v>43583.03</v>
      </c>
      <c r="AB119" s="175">
        <f t="shared" si="40"/>
        <v>0.10198294363760881</v>
      </c>
      <c r="AD119" s="164">
        <v>71344.989415999997</v>
      </c>
      <c r="AE119" s="175">
        <f t="shared" si="41"/>
        <v>0.11807878663349591</v>
      </c>
      <c r="AF119" s="165">
        <f t="shared" si="42"/>
        <v>-27761.959415999998</v>
      </c>
      <c r="AG119" s="164">
        <v>47578.9</v>
      </c>
      <c r="AH119" s="175">
        <f t="shared" si="43"/>
        <v>0.11458365243137779</v>
      </c>
      <c r="AI119" s="165">
        <f t="shared" si="44"/>
        <v>-3995.8700000000026</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49</v>
      </c>
      <c r="Y122" s="21">
        <f t="shared" si="52"/>
        <v>0</v>
      </c>
      <c r="Z122" s="21">
        <f t="shared" si="52"/>
        <v>0</v>
      </c>
      <c r="AA122" s="21">
        <f t="shared" si="46"/>
        <v>49</v>
      </c>
      <c r="AB122" s="17">
        <f t="shared" si="47"/>
        <v>1.1465848607228161E-4</v>
      </c>
      <c r="AD122" s="21">
        <f>AD99+AD107+AD115</f>
        <v>0</v>
      </c>
      <c r="AE122" s="17" t="str">
        <f t="shared" si="48"/>
        <v/>
      </c>
      <c r="AF122" s="50">
        <f t="shared" si="49"/>
        <v>49</v>
      </c>
      <c r="AG122" s="21">
        <f>AG99+AG107+AG115</f>
        <v>0</v>
      </c>
      <c r="AH122" s="17" t="str">
        <f t="shared" si="50"/>
        <v/>
      </c>
      <c r="AI122" s="50">
        <f t="shared" si="51"/>
        <v>49</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28308</v>
      </c>
      <c r="P124" s="21">
        <f t="shared" si="54"/>
        <v>31420</v>
      </c>
      <c r="Q124" s="21">
        <f t="shared" si="54"/>
        <v>28525</v>
      </c>
      <c r="R124" s="21">
        <f t="shared" si="54"/>
        <v>21236.91</v>
      </c>
      <c r="S124" s="21">
        <f t="shared" si="54"/>
        <v>20192</v>
      </c>
      <c r="T124" s="21">
        <f t="shared" si="54"/>
        <v>24789.300000000003</v>
      </c>
      <c r="U124" s="21">
        <f t="shared" si="54"/>
        <v>19499.099999999999</v>
      </c>
      <c r="V124" s="21">
        <f t="shared" si="54"/>
        <v>16036.8</v>
      </c>
      <c r="W124" s="21">
        <f t="shared" si="54"/>
        <v>24496</v>
      </c>
      <c r="X124" s="21">
        <f t="shared" si="54"/>
        <v>15118.2</v>
      </c>
      <c r="Y124" s="21">
        <f t="shared" si="54"/>
        <v>21670.6</v>
      </c>
      <c r="Z124" s="21">
        <f t="shared" si="54"/>
        <v>33113.83</v>
      </c>
      <c r="AA124" s="21">
        <f t="shared" si="46"/>
        <v>284405.74000000005</v>
      </c>
      <c r="AB124" s="17">
        <f t="shared" si="47"/>
        <v>0.66550064446259083</v>
      </c>
      <c r="AD124" s="21">
        <f>AD101+AD109+AD117</f>
        <v>443368.64535700006</v>
      </c>
      <c r="AE124" s="17">
        <f t="shared" si="48"/>
        <v>0.73379268962860966</v>
      </c>
      <c r="AF124" s="50">
        <f t="shared" si="49"/>
        <v>-158962.90535700001</v>
      </c>
      <c r="AG124" s="21">
        <f>AG101+AG109+AG117</f>
        <v>304142.31</v>
      </c>
      <c r="AH124" s="17">
        <f t="shared" si="50"/>
        <v>0.73246201023387159</v>
      </c>
      <c r="AI124" s="50">
        <f t="shared" si="51"/>
        <v>-19736.569999999949</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28308</v>
      </c>
      <c r="P126" s="164">
        <f t="shared" si="56"/>
        <v>31420</v>
      </c>
      <c r="Q126" s="164">
        <f t="shared" si="56"/>
        <v>28525</v>
      </c>
      <c r="R126" s="164">
        <f t="shared" si="56"/>
        <v>21236.91</v>
      </c>
      <c r="S126" s="164">
        <f t="shared" si="56"/>
        <v>20192</v>
      </c>
      <c r="T126" s="164">
        <f t="shared" si="56"/>
        <v>24789.300000000003</v>
      </c>
      <c r="U126" s="164">
        <f t="shared" si="56"/>
        <v>19499.099999999999</v>
      </c>
      <c r="V126" s="164">
        <f t="shared" si="56"/>
        <v>16036.8</v>
      </c>
      <c r="W126" s="164">
        <f t="shared" si="56"/>
        <v>24496</v>
      </c>
      <c r="X126" s="164">
        <f t="shared" si="56"/>
        <v>15167.2</v>
      </c>
      <c r="Y126" s="164">
        <f t="shared" si="56"/>
        <v>21670.6</v>
      </c>
      <c r="Z126" s="164">
        <f t="shared" si="56"/>
        <v>33113.83</v>
      </c>
      <c r="AA126" s="164">
        <f t="shared" si="46"/>
        <v>284454.74000000005</v>
      </c>
      <c r="AB126" s="175">
        <f t="shared" si="47"/>
        <v>0.66561530294866311</v>
      </c>
      <c r="AD126" s="164">
        <f>SUM(AD121:AD125)</f>
        <v>443368.64535700006</v>
      </c>
      <c r="AE126" s="175">
        <f t="shared" si="48"/>
        <v>0.73379268962860966</v>
      </c>
      <c r="AF126" s="165">
        <f t="shared" si="49"/>
        <v>-158913.90535700001</v>
      </c>
      <c r="AG126" s="164">
        <f>SUM(AG121:AG125)</f>
        <v>304142.31</v>
      </c>
      <c r="AH126" s="175">
        <f t="shared" si="50"/>
        <v>0.73246201023387159</v>
      </c>
      <c r="AI126" s="165">
        <f t="shared" si="51"/>
        <v>-19687.569999999949</v>
      </c>
    </row>
    <row r="127" spans="3:35" x14ac:dyDescent="0.25">
      <c r="C127" s="32"/>
      <c r="H127" s="149"/>
      <c r="I127" s="161"/>
      <c r="J127" s="161"/>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v>2570.12</v>
      </c>
      <c r="P130" s="21">
        <v>3708.15</v>
      </c>
      <c r="Q130" s="21">
        <v>2555.1999999999998</v>
      </c>
      <c r="R130" s="21">
        <v>2254.9</v>
      </c>
      <c r="S130" s="21">
        <v>3461.9</v>
      </c>
      <c r="T130" s="21">
        <v>2001.14</v>
      </c>
      <c r="U130" s="21">
        <v>2843.35</v>
      </c>
      <c r="V130" s="21">
        <v>1919.32</v>
      </c>
      <c r="W130" s="21">
        <v>3295.36</v>
      </c>
      <c r="X130" s="21">
        <v>3626.23</v>
      </c>
      <c r="Y130" s="21">
        <v>2268.96</v>
      </c>
      <c r="Z130" s="21">
        <v>4083.23</v>
      </c>
      <c r="AA130" s="21">
        <f>SUM(O130:Z130)</f>
        <v>34587.86</v>
      </c>
      <c r="AB130" s="311">
        <v>0.241409000066585</v>
      </c>
      <c r="AD130" s="21">
        <v>46967.19</v>
      </c>
      <c r="AE130" s="311">
        <v>0.292000102484329</v>
      </c>
      <c r="AF130" s="50">
        <f t="shared" ref="AF130:AF141" si="58">IF(AND($AA130="",AD130=""),"",$AA130-AD130)</f>
        <v>-12379.330000000002</v>
      </c>
      <c r="AG130" s="21">
        <v>32610.79</v>
      </c>
      <c r="AH130" s="311">
        <v>0.29286886528232797</v>
      </c>
      <c r="AI130" s="50">
        <f t="shared" ref="AI130:AI141" si="59">IF(AND($AA130="",AG130=""),"",$AA130-AG130)</f>
        <v>1977.0699999999997</v>
      </c>
    </row>
    <row r="131" spans="3:35" x14ac:dyDescent="0.25">
      <c r="C131" s="32"/>
      <c r="H131" s="149" t="s">
        <v>756</v>
      </c>
      <c r="I131" s="161"/>
      <c r="J131" s="161"/>
      <c r="L131" s="162"/>
      <c r="M131" s="162"/>
      <c r="N131" s="467" t="s">
        <v>1321</v>
      </c>
      <c r="O131" s="172">
        <v>0.28001525303698899</v>
      </c>
      <c r="P131" s="172">
        <v>0.273260869565217</v>
      </c>
      <c r="Q131" s="172">
        <v>0.24326434242845399</v>
      </c>
      <c r="R131" s="172">
        <v>0.241155458590007</v>
      </c>
      <c r="S131" s="172">
        <v>0.24301709311712499</v>
      </c>
      <c r="T131" s="172">
        <v>0.159663939298437</v>
      </c>
      <c r="U131" s="172">
        <v>0.24172370377486299</v>
      </c>
      <c r="V131" s="172">
        <v>0.24117786760926899</v>
      </c>
      <c r="W131" s="172">
        <v>0.24474432767648299</v>
      </c>
      <c r="X131" s="172">
        <v>0.24804232731849499</v>
      </c>
      <c r="Y131" s="172">
        <v>0.24002031058265999</v>
      </c>
      <c r="Z131" s="172">
        <v>0.245456190371422</v>
      </c>
      <c r="AA131" s="172">
        <v>0.241409000066585</v>
      </c>
      <c r="AB131" s="311"/>
      <c r="AD131" s="172">
        <v>0.292000102484329</v>
      </c>
      <c r="AE131" s="311"/>
      <c r="AF131" s="468">
        <f t="shared" si="58"/>
        <v>-5.0591102417744005E-2</v>
      </c>
      <c r="AG131" s="172">
        <v>0.29286886528232797</v>
      </c>
      <c r="AH131" s="311"/>
      <c r="AI131" s="468">
        <f t="shared" si="59"/>
        <v>-5.1459865215742973E-2</v>
      </c>
    </row>
    <row r="132" spans="3:35" x14ac:dyDescent="0.25">
      <c r="C132" s="32"/>
      <c r="H132" s="149" t="s">
        <v>636</v>
      </c>
      <c r="I132" s="161"/>
      <c r="J132" s="161"/>
      <c r="L132" s="162"/>
      <c r="M132" s="162"/>
      <c r="N132" s="162" t="s">
        <v>1226</v>
      </c>
      <c r="O132" s="21">
        <v>6568.79</v>
      </c>
      <c r="P132" s="21">
        <v>7367.21</v>
      </c>
      <c r="Q132" s="21">
        <v>5560.71</v>
      </c>
      <c r="R132" s="21">
        <v>4134.5</v>
      </c>
      <c r="S132" s="21">
        <v>4090.3</v>
      </c>
      <c r="T132" s="21">
        <v>4823.75</v>
      </c>
      <c r="U132" s="21">
        <v>3806.28</v>
      </c>
      <c r="V132" s="21">
        <v>3124.21</v>
      </c>
      <c r="W132" s="21">
        <v>4784.8599999999997</v>
      </c>
      <c r="X132" s="21">
        <v>2937.62</v>
      </c>
      <c r="Y132" s="21">
        <v>4209.42</v>
      </c>
      <c r="Z132" s="21">
        <v>6447.72</v>
      </c>
      <c r="AA132" s="21">
        <f>SUM(O132:Z132)</f>
        <v>57855.37</v>
      </c>
      <c r="AB132" s="311">
        <v>0.20339042337631599</v>
      </c>
      <c r="AD132" s="21">
        <v>102795.89</v>
      </c>
      <c r="AE132" s="311">
        <v>0.231851961288848</v>
      </c>
      <c r="AF132" s="50">
        <f t="shared" si="58"/>
        <v>-44940.52</v>
      </c>
      <c r="AG132" s="21">
        <v>72959.520000000004</v>
      </c>
      <c r="AH132" s="311">
        <v>0.239886124360665</v>
      </c>
      <c r="AI132" s="50">
        <f t="shared" si="59"/>
        <v>-15104.150000000001</v>
      </c>
    </row>
    <row r="133" spans="3:35" x14ac:dyDescent="0.25">
      <c r="C133" s="32"/>
      <c r="H133" s="149" t="s">
        <v>757</v>
      </c>
      <c r="I133" s="161"/>
      <c r="J133" s="161"/>
      <c r="L133" s="162"/>
      <c r="M133" s="162"/>
      <c r="N133" s="467" t="s">
        <v>1326</v>
      </c>
      <c r="O133" s="172">
        <v>0.23204712448777701</v>
      </c>
      <c r="P133" s="172">
        <v>0.23447517504773999</v>
      </c>
      <c r="Q133" s="172">
        <v>0.19494163014899199</v>
      </c>
      <c r="R133" s="172">
        <v>0.19468463161542801</v>
      </c>
      <c r="S133" s="172">
        <v>0.20257032488114099</v>
      </c>
      <c r="T133" s="172">
        <v>0.19459000455841799</v>
      </c>
      <c r="U133" s="172">
        <v>0.19520285551640801</v>
      </c>
      <c r="V133" s="172">
        <v>0.19481505038411701</v>
      </c>
      <c r="W133" s="172">
        <v>0.19533229915088199</v>
      </c>
      <c r="X133" s="172">
        <v>0.19368241995885899</v>
      </c>
      <c r="Y133" s="172">
        <v>0.19424566001864299</v>
      </c>
      <c r="Z133" s="172">
        <v>0.19471380990963599</v>
      </c>
      <c r="AA133" s="172">
        <v>0.20339042337631599</v>
      </c>
      <c r="AB133" s="311"/>
      <c r="AD133" s="172">
        <v>0.231851961288848</v>
      </c>
      <c r="AE133" s="311"/>
      <c r="AF133" s="468">
        <f t="shared" si="58"/>
        <v>-2.8461537912532003E-2</v>
      </c>
      <c r="AG133" s="172">
        <v>0.239886124360665</v>
      </c>
      <c r="AH133" s="311"/>
      <c r="AI133" s="468">
        <f t="shared" si="59"/>
        <v>-3.6495700984349011E-2</v>
      </c>
    </row>
    <row r="134" spans="3:35" x14ac:dyDescent="0.25">
      <c r="C134" s="32"/>
      <c r="H134" s="149" t="s">
        <v>755</v>
      </c>
      <c r="I134" s="161"/>
      <c r="J134" s="161"/>
      <c r="L134" s="162">
        <v>561300</v>
      </c>
      <c r="M134" s="162"/>
      <c r="N134" s="162" t="s">
        <v>1327</v>
      </c>
      <c r="O134" s="21">
        <v>4622.62</v>
      </c>
      <c r="P134" s="21">
        <v>5623.01</v>
      </c>
      <c r="Q134" s="21">
        <v>4237.47</v>
      </c>
      <c r="R134" s="21">
        <v>3051.14</v>
      </c>
      <c r="S134" s="21">
        <v>2834.59</v>
      </c>
      <c r="T134" s="21">
        <v>3483.35</v>
      </c>
      <c r="U134" s="21">
        <v>3013.73</v>
      </c>
      <c r="V134" s="21">
        <v>2344.5</v>
      </c>
      <c r="W134" s="21">
        <v>3865.34</v>
      </c>
      <c r="X134" s="21">
        <v>2054.16</v>
      </c>
      <c r="Y134" s="21">
        <v>2861.23</v>
      </c>
      <c r="Z134" s="21">
        <v>4699.4399999999996</v>
      </c>
      <c r="AA134" s="21">
        <f>SUM(O134:Z134)</f>
        <v>42690.580000000009</v>
      </c>
      <c r="AB134" s="311">
        <v>0.20686877375972401</v>
      </c>
      <c r="AD134" s="21">
        <v>77287.63</v>
      </c>
      <c r="AE134" s="311">
        <v>0.24099996679232599</v>
      </c>
      <c r="AF134" s="50">
        <f t="shared" si="58"/>
        <v>-34597.049999999996</v>
      </c>
      <c r="AG134" s="21">
        <v>53994.91</v>
      </c>
      <c r="AH134" s="311">
        <v>0.24676290809349399</v>
      </c>
      <c r="AI134" s="50">
        <f t="shared" si="59"/>
        <v>-11304.329999999994</v>
      </c>
    </row>
    <row r="135" spans="3:35" x14ac:dyDescent="0.25">
      <c r="C135" s="32"/>
      <c r="H135" s="149" t="s">
        <v>758</v>
      </c>
      <c r="I135" s="161"/>
      <c r="J135" s="161"/>
      <c r="L135" s="162"/>
      <c r="M135" s="162"/>
      <c r="N135" s="467" t="s">
        <v>1328</v>
      </c>
      <c r="O135" s="172">
        <v>0.240999947865075</v>
      </c>
      <c r="P135" s="172">
        <v>0.24099991428081599</v>
      </c>
      <c r="Q135" s="172">
        <v>0.19700000000000001</v>
      </c>
      <c r="R135" s="172">
        <v>0.19700140302984701</v>
      </c>
      <c r="S135" s="172">
        <v>0.20924116040451801</v>
      </c>
      <c r="T135" s="172">
        <v>0.19699531737773199</v>
      </c>
      <c r="U135" s="172">
        <v>0.19700028108065701</v>
      </c>
      <c r="V135" s="172">
        <v>0.197003562785695</v>
      </c>
      <c r="W135" s="172">
        <v>0.19700015289740599</v>
      </c>
      <c r="X135" s="172">
        <v>0.19700015344483701</v>
      </c>
      <c r="Y135" s="172">
        <v>0.197006919819603</v>
      </c>
      <c r="Z135" s="172">
        <v>0.197003512949284</v>
      </c>
      <c r="AA135" s="172">
        <v>0.20686877375972401</v>
      </c>
      <c r="AB135" s="311"/>
      <c r="AD135" s="172">
        <v>0.24099996679232599</v>
      </c>
      <c r="AE135" s="311"/>
      <c r="AF135" s="468">
        <f t="shared" si="58"/>
        <v>-3.4131193032601981E-2</v>
      </c>
      <c r="AG135" s="172">
        <v>0.24676290809349399</v>
      </c>
      <c r="AH135" s="311"/>
      <c r="AI135" s="468">
        <f t="shared" si="59"/>
        <v>-3.9894134333769982E-2</v>
      </c>
    </row>
    <row r="136" spans="3:35" x14ac:dyDescent="0.25">
      <c r="C136" s="32"/>
      <c r="H136" s="149">
        <v>561400</v>
      </c>
      <c r="I136" s="161"/>
      <c r="J136" s="161"/>
      <c r="L136" s="162">
        <v>561400</v>
      </c>
      <c r="M136" s="162"/>
      <c r="N136" s="162" t="s">
        <v>1329</v>
      </c>
      <c r="O136" s="21">
        <v>733.41</v>
      </c>
      <c r="P136" s="21">
        <v>570.35</v>
      </c>
      <c r="Q136" s="21">
        <v>599.34</v>
      </c>
      <c r="R136" s="21">
        <v>558.20000000000005</v>
      </c>
      <c r="S136" s="21">
        <v>426.36</v>
      </c>
      <c r="T136" s="21">
        <v>618.78</v>
      </c>
      <c r="U136" s="21">
        <v>351.75</v>
      </c>
      <c r="V136" s="21">
        <v>381.85</v>
      </c>
      <c r="W136" s="21">
        <v>419.82</v>
      </c>
      <c r="X136" s="21">
        <v>488.07</v>
      </c>
      <c r="Y136" s="21">
        <v>618.78</v>
      </c>
      <c r="Z136" s="21">
        <v>681.62</v>
      </c>
      <c r="AA136" s="21">
        <f>SUM(O136:Z136)</f>
        <v>6448.33</v>
      </c>
      <c r="AB136" s="311">
        <v>0.18687453269267601</v>
      </c>
      <c r="AD136" s="21">
        <v>9598.34</v>
      </c>
      <c r="AE136" s="311">
        <v>0.18699988999032999</v>
      </c>
      <c r="AF136" s="50">
        <f t="shared" si="58"/>
        <v>-3150.01</v>
      </c>
      <c r="AG136" s="21">
        <v>7059.35</v>
      </c>
      <c r="AH136" s="311">
        <v>0.18700017218314999</v>
      </c>
      <c r="AI136" s="50">
        <f t="shared" si="59"/>
        <v>-611.02000000000044</v>
      </c>
    </row>
    <row r="137" spans="3:35" x14ac:dyDescent="0.25">
      <c r="C137" s="32"/>
      <c r="H137" s="149" t="s">
        <v>759</v>
      </c>
      <c r="I137" s="161"/>
      <c r="J137" s="161"/>
      <c r="L137" s="162"/>
      <c r="M137" s="162"/>
      <c r="N137" s="467" t="s">
        <v>1330</v>
      </c>
      <c r="O137" s="172">
        <v>0.18699898011218799</v>
      </c>
      <c r="P137" s="172">
        <v>0.187</v>
      </c>
      <c r="Q137" s="172">
        <v>0.18700156006240301</v>
      </c>
      <c r="R137" s="172">
        <v>0.18700167504187601</v>
      </c>
      <c r="S137" s="172">
        <v>0.187</v>
      </c>
      <c r="T137" s="172">
        <v>0.18700474477923201</v>
      </c>
      <c r="U137" s="172">
        <v>0.187001594896332</v>
      </c>
      <c r="V137" s="172">
        <v>0.18699804113614099</v>
      </c>
      <c r="W137" s="172">
        <v>0.18700222717149201</v>
      </c>
      <c r="X137" s="172">
        <v>0.18529612756264199</v>
      </c>
      <c r="Y137" s="172">
        <v>0.18702735378570301</v>
      </c>
      <c r="Z137" s="172">
        <v>0.18701163301141399</v>
      </c>
      <c r="AA137" s="172">
        <v>0.18687453269267501</v>
      </c>
      <c r="AB137" s="311"/>
      <c r="AD137" s="172">
        <v>0.18699988999032999</v>
      </c>
      <c r="AE137" s="311"/>
      <c r="AF137" s="468">
        <f t="shared" si="58"/>
        <v>-1.2535729765497661E-4</v>
      </c>
      <c r="AG137" s="172">
        <v>0.18700017218314999</v>
      </c>
      <c r="AH137" s="311"/>
      <c r="AI137" s="468">
        <f t="shared" si="59"/>
        <v>-1.2563949047497691E-4</v>
      </c>
    </row>
    <row r="138" spans="3:35" x14ac:dyDescent="0.25">
      <c r="H138" s="149">
        <v>561500</v>
      </c>
      <c r="I138" s="161"/>
      <c r="J138" s="161"/>
      <c r="L138" s="162">
        <v>561500</v>
      </c>
      <c r="M138" s="162"/>
      <c r="N138" s="162" t="s">
        <v>1331</v>
      </c>
      <c r="O138" s="21">
        <v>1212.76</v>
      </c>
      <c r="P138" s="21">
        <v>1173.8499999999999</v>
      </c>
      <c r="Q138" s="21">
        <v>723.9</v>
      </c>
      <c r="R138" s="21">
        <v>525.16</v>
      </c>
      <c r="S138" s="21">
        <v>829.35</v>
      </c>
      <c r="T138" s="21">
        <v>721.62</v>
      </c>
      <c r="U138" s="21">
        <v>440.8</v>
      </c>
      <c r="V138" s="21">
        <v>397.86</v>
      </c>
      <c r="W138" s="21">
        <v>499.7</v>
      </c>
      <c r="X138" s="21">
        <v>395.39</v>
      </c>
      <c r="Y138" s="21">
        <v>729.41</v>
      </c>
      <c r="Z138" s="21">
        <v>1066.6600000000001</v>
      </c>
      <c r="AA138" s="21">
        <f>SUM(O138:Z138)</f>
        <v>8716.4599999999991</v>
      </c>
      <c r="AB138" s="311">
        <v>0.19999665007228701</v>
      </c>
      <c r="AD138" s="21">
        <v>15909.92</v>
      </c>
      <c r="AE138" s="311">
        <v>0.22299982283594</v>
      </c>
      <c r="AF138" s="50">
        <f t="shared" si="58"/>
        <v>-7193.4600000000009</v>
      </c>
      <c r="AG138" s="21">
        <v>11905.26</v>
      </c>
      <c r="AH138" s="311">
        <v>0.25022142168061901</v>
      </c>
      <c r="AI138" s="50">
        <f t="shared" si="59"/>
        <v>-3188.8000000000011</v>
      </c>
    </row>
    <row r="139" spans="3:35" x14ac:dyDescent="0.25">
      <c r="C139" s="32"/>
      <c r="H139" s="149" t="s">
        <v>760</v>
      </c>
      <c r="I139" s="161"/>
      <c r="J139" s="161"/>
      <c r="L139" s="162"/>
      <c r="M139" s="162"/>
      <c r="N139" s="467" t="s">
        <v>1332</v>
      </c>
      <c r="O139" s="172">
        <v>0.232999039385207</v>
      </c>
      <c r="P139" s="172">
        <v>0.23299920603414101</v>
      </c>
      <c r="Q139" s="172">
        <v>0.19</v>
      </c>
      <c r="R139" s="172">
        <v>0.19</v>
      </c>
      <c r="S139" s="172">
        <v>0.19</v>
      </c>
      <c r="T139" s="172">
        <v>0.19</v>
      </c>
      <c r="U139" s="172">
        <v>0.19</v>
      </c>
      <c r="V139" s="172">
        <v>0.19</v>
      </c>
      <c r="W139" s="172">
        <v>0.19</v>
      </c>
      <c r="X139" s="172">
        <v>0.187744539411206</v>
      </c>
      <c r="Y139" s="172">
        <v>0.19001979888501</v>
      </c>
      <c r="Z139" s="172">
        <v>0.18998544821112701</v>
      </c>
      <c r="AA139" s="172">
        <v>0.19999665007228701</v>
      </c>
      <c r="AB139" s="311"/>
      <c r="AD139" s="172">
        <v>0.22299982283594</v>
      </c>
      <c r="AE139" s="311"/>
      <c r="AF139" s="468">
        <f t="shared" si="58"/>
        <v>-2.300317276365299E-2</v>
      </c>
      <c r="AG139" s="172">
        <v>0.25022142168061901</v>
      </c>
      <c r="AH139" s="311"/>
      <c r="AI139" s="468">
        <f t="shared" si="59"/>
        <v>-5.0224771608331997E-2</v>
      </c>
    </row>
    <row r="140" spans="3:35" x14ac:dyDescent="0.25">
      <c r="C140" s="32"/>
      <c r="H140" s="149" t="s">
        <v>286</v>
      </c>
      <c r="I140" s="161"/>
      <c r="J140" s="161"/>
      <c r="L140" s="162"/>
      <c r="M140" s="162"/>
      <c r="N140" s="162" t="s">
        <v>1227</v>
      </c>
      <c r="O140" s="21">
        <v>9138.91</v>
      </c>
      <c r="P140" s="21">
        <v>11075.36</v>
      </c>
      <c r="Q140" s="21">
        <v>8115.91</v>
      </c>
      <c r="R140" s="21">
        <v>6389.4</v>
      </c>
      <c r="S140" s="21">
        <v>7552.2</v>
      </c>
      <c r="T140" s="21">
        <v>6824.89</v>
      </c>
      <c r="U140" s="21">
        <v>6649.63</v>
      </c>
      <c r="V140" s="21">
        <v>5043.53</v>
      </c>
      <c r="W140" s="21">
        <v>8080.22</v>
      </c>
      <c r="X140" s="21">
        <v>6563.85</v>
      </c>
      <c r="Y140" s="21">
        <v>6478.38</v>
      </c>
      <c r="Z140" s="21">
        <v>10530.95</v>
      </c>
      <c r="AA140" s="21">
        <f>SUM(O140:Z140)</f>
        <v>92443.23</v>
      </c>
      <c r="AB140" s="311">
        <v>0.216314302029219</v>
      </c>
      <c r="AD140" s="21">
        <v>149763.07999999999</v>
      </c>
      <c r="AE140" s="311">
        <v>0.247863836180335</v>
      </c>
      <c r="AF140" s="50">
        <f t="shared" si="58"/>
        <v>-57319.849999999991</v>
      </c>
      <c r="AG140" s="21">
        <v>105570.31</v>
      </c>
      <c r="AH140" s="311">
        <v>0.25424361866526601</v>
      </c>
      <c r="AI140" s="50">
        <f t="shared" si="59"/>
        <v>-13127.080000000002</v>
      </c>
    </row>
    <row r="141" spans="3:35" x14ac:dyDescent="0.25">
      <c r="C141" s="32"/>
      <c r="H141" s="149"/>
      <c r="I141" s="161"/>
      <c r="J141" s="161"/>
      <c r="L141" s="162"/>
      <c r="M141" s="162"/>
      <c r="N141" s="467" t="s">
        <v>762</v>
      </c>
      <c r="O141" s="172">
        <f t="shared" ref="O141:AA141" si="60">IFERROR(O140/O85,"")</f>
        <v>0.24437960154956215</v>
      </c>
      <c r="P141" s="172">
        <f t="shared" si="60"/>
        <v>0.24679054592305244</v>
      </c>
      <c r="Q141" s="172">
        <f t="shared" si="60"/>
        <v>0.2079466957733776</v>
      </c>
      <c r="R141" s="172">
        <f t="shared" si="60"/>
        <v>0.20889054970835944</v>
      </c>
      <c r="S141" s="172">
        <f t="shared" si="60"/>
        <v>0.21930163339382941</v>
      </c>
      <c r="T141" s="172">
        <f t="shared" si="60"/>
        <v>0.18286139151053982</v>
      </c>
      <c r="U141" s="172">
        <f t="shared" si="60"/>
        <v>0.21270709307268815</v>
      </c>
      <c r="V141" s="172">
        <f t="shared" si="60"/>
        <v>0.2101916614815392</v>
      </c>
      <c r="W141" s="172">
        <f t="shared" si="60"/>
        <v>0.2128586293647344</v>
      </c>
      <c r="X141" s="172">
        <f t="shared" si="60"/>
        <v>0.22127087356123451</v>
      </c>
      <c r="Y141" s="172">
        <f t="shared" si="60"/>
        <v>0.20847542222807189</v>
      </c>
      <c r="Z141" s="172">
        <f t="shared" si="60"/>
        <v>0.21168121634361226</v>
      </c>
      <c r="AA141" s="172">
        <f t="shared" si="60"/>
        <v>0.21631430202921889</v>
      </c>
      <c r="AB141" s="311"/>
      <c r="AD141" s="172">
        <f>IFERROR(AD140/AD85,"")</f>
        <v>0.24786383618033528</v>
      </c>
      <c r="AE141" s="311"/>
      <c r="AF141" s="468">
        <f t="shared" si="58"/>
        <v>-3.1549534151116387E-2</v>
      </c>
      <c r="AG141" s="172">
        <f>IFERROR(AG140/AG85,"")</f>
        <v>0.25424361866526562</v>
      </c>
      <c r="AH141" s="311"/>
      <c r="AI141" s="468">
        <f t="shared" si="59"/>
        <v>-3.7929316636046734E-2</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f t="shared" ref="O145:AA145" si="63">IFERROR(O$85/O87,"")-O88</f>
        <v>-3.1974423109204508E-14</v>
      </c>
      <c r="P145" s="178">
        <f t="shared" si="63"/>
        <v>-4.6185277824406512E-14</v>
      </c>
      <c r="Q145" s="178">
        <f t="shared" si="63"/>
        <v>0</v>
      </c>
      <c r="R145" s="178">
        <f t="shared" si="63"/>
        <v>-3.907985046680551E-14</v>
      </c>
      <c r="S145" s="178">
        <f t="shared" si="63"/>
        <v>0</v>
      </c>
      <c r="T145" s="178">
        <f t="shared" si="63"/>
        <v>3.907985046680551E-14</v>
      </c>
      <c r="U145" s="178">
        <f t="shared" si="63"/>
        <v>0</v>
      </c>
      <c r="V145" s="178">
        <f t="shared" si="63"/>
        <v>-4.6185277824406512E-14</v>
      </c>
      <c r="W145" s="178">
        <f t="shared" si="63"/>
        <v>0</v>
      </c>
      <c r="X145" s="178">
        <f t="shared" si="63"/>
        <v>0</v>
      </c>
      <c r="Y145" s="178">
        <f t="shared" si="63"/>
        <v>4.6185277824406512E-14</v>
      </c>
      <c r="Z145" s="178">
        <f t="shared" si="63"/>
        <v>0</v>
      </c>
      <c r="AA145" s="178">
        <f t="shared" si="63"/>
        <v>0</v>
      </c>
      <c r="AB145" s="17"/>
      <c r="AD145" s="178">
        <f>IFERROR(AD$85/AD87,"")-AD88</f>
        <v>0</v>
      </c>
      <c r="AE145" s="17"/>
      <c r="AF145" s="21"/>
      <c r="AG145" s="178">
        <f>IFERROR(AG$85/AG87,"")-AG88</f>
        <v>4.6185277824406512E-14</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16" priority="15">
      <formula>ROUND(O42,2)&lt;&gt;ROUND(O43,2)</formula>
    </cfRule>
  </conditionalFormatting>
  <conditionalFormatting sqref="N43">
    <cfRule type="expression" dxfId="115" priority="14">
      <formula>$G43&lt;&gt;0</formula>
    </cfRule>
  </conditionalFormatting>
  <conditionalFormatting sqref="O53:AA53 AD53 AF53:AG53">
    <cfRule type="expression" dxfId="114" priority="13">
      <formula>ROUND(O52,2)&lt;&gt;ROUND(O53,2)</formula>
    </cfRule>
  </conditionalFormatting>
  <conditionalFormatting sqref="N53">
    <cfRule type="expression" dxfId="113" priority="12">
      <formula>$G53&lt;&gt;0</formula>
    </cfRule>
  </conditionalFormatting>
  <conditionalFormatting sqref="O63:AA63 AD63 AF63:AG63">
    <cfRule type="expression" dxfId="112" priority="11">
      <formula>ROUND(O62,2)&lt;&gt;ROUND(O63,2)</formula>
    </cfRule>
  </conditionalFormatting>
  <conditionalFormatting sqref="N63">
    <cfRule type="expression" dxfId="111" priority="10">
      <formula>$G63&lt;&gt;0</formula>
    </cfRule>
  </conditionalFormatting>
  <conditionalFormatting sqref="O73:AA73 AD73 AF73:AG73">
    <cfRule type="expression" dxfId="110" priority="9">
      <formula>ROUND(O72,2)&lt;&gt;ROUND(O73,2)</formula>
    </cfRule>
  </conditionalFormatting>
  <conditionalFormatting sqref="N73">
    <cfRule type="expression" dxfId="109" priority="8">
      <formula>$G73&lt;&gt;0</formula>
    </cfRule>
  </conditionalFormatting>
  <conditionalFormatting sqref="N82">
    <cfRule type="expression" dxfId="108" priority="7">
      <formula>$G82&lt;&gt;0</formula>
    </cfRule>
  </conditionalFormatting>
  <conditionalFormatting sqref="AD82 AF82:AG82 O82:AA82">
    <cfRule type="expression" dxfId="107" priority="6">
      <formula>ROUND(O81,2)&lt;&gt;ROUND(O82,2)</formula>
    </cfRule>
  </conditionalFormatting>
  <conditionalFormatting sqref="AI43">
    <cfRule type="expression" dxfId="106" priority="5">
      <formula>ROUND(AI42,2)&lt;&gt;ROUND(AI43,2)</formula>
    </cfRule>
  </conditionalFormatting>
  <conditionalFormatting sqref="AI53">
    <cfRule type="expression" dxfId="105" priority="4">
      <formula>ROUND(AI52,2)&lt;&gt;ROUND(AI53,2)</formula>
    </cfRule>
  </conditionalFormatting>
  <conditionalFormatting sqref="AI63">
    <cfRule type="expression" dxfId="104" priority="3">
      <formula>ROUND(AI62,2)&lt;&gt;ROUND(AI63,2)</formula>
    </cfRule>
  </conditionalFormatting>
  <conditionalFormatting sqref="AI73">
    <cfRule type="expression" dxfId="103" priority="2">
      <formula>ROUND(AI72,2)&lt;&gt;ROUND(AI73,2)</formula>
    </cfRule>
  </conditionalFormatting>
  <conditionalFormatting sqref="AI82">
    <cfRule type="expression" dxfId="102" priority="1">
      <formula>ROUND(AI81,2)&lt;&gt;ROUND(AI82,2)</formula>
    </cfRule>
  </conditionalFormatting>
  <dataValidations count="2">
    <dataValidation type="list" allowBlank="1" sqref="B28" xr:uid="{00000000-0002-0000-2900-000000000000}">
      <formula1>"ACCOUNT,BUSINESSUNIT,CATEGORY,DATASRC,DEPARTMENT,INTCO,MEASURES,RPTCURRENCY,TIME"</formula1>
    </dataValidation>
    <dataValidation type="list" allowBlank="1" sqref="B29" xr:uid="{00000000-0002-0000-2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5123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1234" r:id="rId5" name="FPMExcelClientSheetOptionstb1"/>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346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_xll.EVRNG(H35:H51)</f>
        <v>#NAME?</v>
      </c>
      <c r="G19" s="18" t="str">
        <f>$B$6</f>
        <v>D_RS_CON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D_RS_CON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c r="P35" s="333"/>
      <c r="Q35" s="333"/>
      <c r="R35" s="333"/>
      <c r="S35" s="333"/>
      <c r="T35" s="333"/>
      <c r="U35" s="333"/>
      <c r="V35" s="333"/>
      <c r="W35" s="333"/>
      <c r="X35" s="333"/>
      <c r="Y35" s="333"/>
      <c r="Z35" s="333"/>
      <c r="AA35" s="310" t="e">
        <f t="shared" ref="AA35:AA51" ca="1" si="0">IF($I35="B1","",SUM(O35:Z35))</f>
        <v>#NAME?</v>
      </c>
      <c r="AB35" s="334" t="e">
        <f t="shared" ref="AB35:AB51" ca="1" si="1">IF(AA35=0,"",IFERROR(AA35/AA$19,""))</f>
        <v>#NAME?</v>
      </c>
      <c r="AC35" s="290"/>
      <c r="AD35" s="333"/>
      <c r="AE35" s="334" t="str">
        <f t="shared" ref="AE35:AE51" si="2">IF(AD35=0,"",IFERROR(AD35/AD$19,""))</f>
        <v/>
      </c>
      <c r="AF35" s="335" t="e">
        <f t="shared" ref="AF35:AF51" ca="1" si="3">IF(AND($AA35="",AD35=""),"",$AA35-AD35)</f>
        <v>#NAME?</v>
      </c>
      <c r="AG35" s="333"/>
      <c r="AH35" s="334" t="str">
        <f>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1"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c r="AE36" s="334" t="str">
        <f t="shared" si="2"/>
        <v/>
      </c>
      <c r="AF36" s="335" t="e">
        <f t="shared" ca="1" si="3"/>
        <v>#NAME?</v>
      </c>
      <c r="AG36" s="333"/>
      <c r="AH36" s="334" t="str">
        <f t="shared" ref="AH36:AH51" si="5">IF(AG36=0,"",IFERROR(AG36/AG$19,""))</f>
        <v/>
      </c>
      <c r="AI36" s="336" t="e">
        <f t="shared" ref="AI36:AI51" ca="1" si="6">IF(AND($AA36="",AG36=""),"",$AA36-AG36)</f>
        <v>#NAME?</v>
      </c>
      <c r="AJ36" s="399">
        <f t="shared" ref="AJ36:AJ51" ca="1" si="7">IFERROR(AA36/AA$20,0)</f>
        <v>0</v>
      </c>
      <c r="AK36" s="400">
        <f t="shared" ref="AK36:AK51" ca="1" si="8">IFERROR(AD36/AD$20,0)</f>
        <v>0</v>
      </c>
      <c r="AL36" s="401">
        <f t="shared" ref="AL36:AL51" ca="1" si="9">IFERROR(AG36/AG$20,0)</f>
        <v>0</v>
      </c>
      <c r="AM36" s="402">
        <f t="shared" ref="AM36:AM51" ca="1" si="10">+IFERROR(ROUND(($AB36-AE36)*100,2)&amp;" pts.",0)</f>
        <v>0</v>
      </c>
      <c r="AN36" s="403">
        <f t="shared" ref="AN36:AN51"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23"/>
      <c r="P37" s="324"/>
      <c r="Q37" s="324"/>
      <c r="R37" s="324"/>
      <c r="S37" s="324"/>
      <c r="T37" s="324"/>
      <c r="U37" s="324"/>
      <c r="V37" s="324"/>
      <c r="W37" s="324"/>
      <c r="X37" s="324"/>
      <c r="Y37" s="324"/>
      <c r="Z37" s="324"/>
      <c r="AA37" s="324" t="e">
        <f t="shared" ca="1" si="0"/>
        <v>#NAME?</v>
      </c>
      <c r="AB37" s="325" t="e">
        <f t="shared" ca="1" si="1"/>
        <v>#NAME?</v>
      </c>
      <c r="AC37" s="290"/>
      <c r="AD37" s="324"/>
      <c r="AE37" s="325" t="str">
        <f t="shared" si="2"/>
        <v/>
      </c>
      <c r="AF37" s="326" t="e">
        <f t="shared" ca="1" si="3"/>
        <v>#NAME?</v>
      </c>
      <c r="AG37" s="324"/>
      <c r="AH37" s="325" t="str">
        <f t="shared" si="5"/>
        <v/>
      </c>
      <c r="AI37" s="327" t="e">
        <f t="shared" ca="1" si="6"/>
        <v>#NAME?</v>
      </c>
      <c r="AJ37" s="409">
        <f t="shared" ca="1" si="7"/>
        <v>0</v>
      </c>
      <c r="AK37" s="410">
        <f t="shared" ca="1" si="8"/>
        <v>0</v>
      </c>
      <c r="AL37" s="411">
        <f t="shared" ca="1" si="9"/>
        <v>0</v>
      </c>
      <c r="AM37" s="412">
        <f t="shared" ca="1" si="10"/>
        <v>0</v>
      </c>
      <c r="AN37" s="413">
        <f t="shared" ca="1" si="11"/>
        <v>0</v>
      </c>
    </row>
    <row r="38" spans="1:40" x14ac:dyDescent="0.25">
      <c r="A38" s="1" t="s">
        <v>105</v>
      </c>
      <c r="C38" s="26" t="s">
        <v>101</v>
      </c>
      <c r="D38" s="1" t="s">
        <v>106</v>
      </c>
      <c r="F38" s="1" t="s">
        <v>98</v>
      </c>
      <c r="H38" s="15" t="s">
        <v>265</v>
      </c>
      <c r="I38" s="479" t="e">
        <f ca="1">_xll.EVPRO($B$1,$H38,"STYLE")</f>
        <v>#NAME?</v>
      </c>
      <c r="J38" s="479" t="e">
        <f ca="1">_xll.EVPRO($B$1,$H38,"CALC")</f>
        <v>#NAME?</v>
      </c>
      <c r="K38" s="480" t="e">
        <f t="shared" ca="1" si="4"/>
        <v>#NAME?</v>
      </c>
      <c r="L38" s="170" t="e">
        <f ca="1">_xll.EVPRO($B$1,H38,"JDEID")</f>
        <v>#NAME?</v>
      </c>
      <c r="M38" s="170" t="e">
        <f ca="1">IF(AND(I38="N",J38="N"),_xll.EVPRO($B$1,H38,"PSFTID"),"")</f>
        <v>#NAME?</v>
      </c>
      <c r="N38" s="170" t="e">
        <f ca="1">IF(_xll.EVDES(H38,$B$1)="#NODATA","",_xll.EVDES(H38,$B$1))</f>
        <v>#NAME?</v>
      </c>
      <c r="O38" s="224"/>
      <c r="P38" s="134"/>
      <c r="Q38" s="134"/>
      <c r="R38" s="134"/>
      <c r="S38" s="134"/>
      <c r="T38" s="134"/>
      <c r="U38" s="134"/>
      <c r="V38" s="134"/>
      <c r="W38" s="134"/>
      <c r="X38" s="134"/>
      <c r="Y38" s="134"/>
      <c r="Z38" s="134"/>
      <c r="AA38" s="134" t="e">
        <f t="shared" ca="1" si="0"/>
        <v>#NAME?</v>
      </c>
      <c r="AB38" s="135" t="e">
        <f t="shared" ca="1" si="1"/>
        <v>#NAME?</v>
      </c>
      <c r="AC38" s="137"/>
      <c r="AD38" s="134"/>
      <c r="AE38" s="135" t="str">
        <f t="shared" si="2"/>
        <v/>
      </c>
      <c r="AF38" s="136" t="e">
        <f t="shared" ca="1" si="3"/>
        <v>#NAME?</v>
      </c>
      <c r="AG38" s="134"/>
      <c r="AH38" s="135" t="str">
        <f t="shared" si="5"/>
        <v/>
      </c>
      <c r="AI38" s="291" t="e">
        <f t="shared" ca="1" si="6"/>
        <v>#NAME?</v>
      </c>
      <c r="AJ38" s="360">
        <f t="shared" ca="1" si="7"/>
        <v>0</v>
      </c>
      <c r="AK38" s="361">
        <f t="shared" ca="1" si="8"/>
        <v>0</v>
      </c>
      <c r="AL38" s="363">
        <f t="shared" ca="1" si="9"/>
        <v>0</v>
      </c>
      <c r="AM38" s="405">
        <f t="shared" ca="1" si="10"/>
        <v>0</v>
      </c>
      <c r="AN38" s="406">
        <f t="shared" ca="1" si="11"/>
        <v>0</v>
      </c>
    </row>
    <row r="39" spans="1:40" x14ac:dyDescent="0.25">
      <c r="A39" s="1" t="s">
        <v>104</v>
      </c>
      <c r="C39" s="26" t="s">
        <v>101</v>
      </c>
      <c r="D39" s="1" t="s">
        <v>106</v>
      </c>
      <c r="F39" s="1" t="s">
        <v>98</v>
      </c>
      <c r="H39" s="15" t="s">
        <v>266</v>
      </c>
      <c r="I39" s="479" t="e">
        <f ca="1">_xll.EVPRO($B$1,$H39,"STYLE")</f>
        <v>#NAME?</v>
      </c>
      <c r="J39" s="479" t="e">
        <f ca="1">_xll.EVPRO($B$1,$H39,"CALC")</f>
        <v>#NAME?</v>
      </c>
      <c r="K39" s="480" t="e">
        <f t="shared" ca="1" si="4"/>
        <v>#NAME?</v>
      </c>
      <c r="L39" s="170" t="e">
        <f ca="1">_xll.EVPRO($B$1,H39,"JDEID")</f>
        <v>#NAME?</v>
      </c>
      <c r="M39" s="170" t="e">
        <f ca="1">IF(AND(I39="N",J39="N"),_xll.EVPRO($B$1,H39,"PSFTID"),"")</f>
        <v>#NAME?</v>
      </c>
      <c r="N39" s="170" t="e">
        <f ca="1">IF(_xll.EVDES(H39,$B$1)="#NODATA","",_xll.EVDES(H39,$B$1))</f>
        <v>#NAME?</v>
      </c>
      <c r="O39" s="337"/>
      <c r="P39" s="38"/>
      <c r="Q39" s="38"/>
      <c r="R39" s="38"/>
      <c r="S39" s="38"/>
      <c r="T39" s="38"/>
      <c r="U39" s="38"/>
      <c r="V39" s="38"/>
      <c r="W39" s="38"/>
      <c r="X39" s="38"/>
      <c r="Y39" s="38"/>
      <c r="Z39" s="38"/>
      <c r="AA39" s="315" t="e">
        <f t="shared" ca="1" si="0"/>
        <v>#NAME?</v>
      </c>
      <c r="AB39" s="39" t="e">
        <f t="shared" ca="1" si="1"/>
        <v>#NAME?</v>
      </c>
      <c r="AC39" s="54"/>
      <c r="AD39" s="38"/>
      <c r="AE39" s="39" t="str">
        <f t="shared" si="2"/>
        <v/>
      </c>
      <c r="AF39" s="132" t="e">
        <f t="shared" ca="1" si="3"/>
        <v>#NAME?</v>
      </c>
      <c r="AG39" s="38"/>
      <c r="AH39" s="39" t="str">
        <f t="shared" si="5"/>
        <v/>
      </c>
      <c r="AI39" s="338" t="e">
        <f t="shared" ca="1" si="6"/>
        <v>#NAME?</v>
      </c>
      <c r="AJ39" s="353">
        <f t="shared" ca="1" si="7"/>
        <v>0</v>
      </c>
      <c r="AK39" s="354">
        <f t="shared" ca="1" si="8"/>
        <v>0</v>
      </c>
      <c r="AL39" s="356">
        <f t="shared" ca="1" si="9"/>
        <v>0</v>
      </c>
      <c r="AM39" s="390">
        <f t="shared" ca="1" si="10"/>
        <v>0</v>
      </c>
      <c r="AN39" s="404">
        <f t="shared" ca="1" si="11"/>
        <v>0</v>
      </c>
    </row>
    <row r="40" spans="1:40" x14ac:dyDescent="0.25">
      <c r="A40" s="1" t="s">
        <v>100</v>
      </c>
      <c r="C40" s="8" t="s">
        <v>101</v>
      </c>
      <c r="D40" s="1" t="s">
        <v>106</v>
      </c>
      <c r="F40" s="1" t="s">
        <v>98</v>
      </c>
      <c r="H40" s="15" t="s">
        <v>267</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32"/>
      <c r="P40" s="333"/>
      <c r="Q40" s="333"/>
      <c r="R40" s="333"/>
      <c r="S40" s="333"/>
      <c r="T40" s="333"/>
      <c r="U40" s="333"/>
      <c r="V40" s="333"/>
      <c r="W40" s="333"/>
      <c r="X40" s="333"/>
      <c r="Y40" s="333"/>
      <c r="Z40" s="333"/>
      <c r="AA40" s="310" t="e">
        <f t="shared" ca="1" si="0"/>
        <v>#NAME?</v>
      </c>
      <c r="AB40" s="334" t="e">
        <f t="shared" ca="1" si="1"/>
        <v>#NAME?</v>
      </c>
      <c r="AC40" s="290"/>
      <c r="AD40" s="333"/>
      <c r="AE40" s="334" t="str">
        <f t="shared" si="2"/>
        <v/>
      </c>
      <c r="AF40" s="335" t="e">
        <f t="shared" ca="1" si="3"/>
        <v>#NAME?</v>
      </c>
      <c r="AG40" s="333"/>
      <c r="AH40" s="334" t="str">
        <f t="shared" si="5"/>
        <v/>
      </c>
      <c r="AI40" s="336" t="e">
        <f t="shared" ca="1" si="6"/>
        <v>#NAME?</v>
      </c>
      <c r="AJ40" s="399">
        <f t="shared" ca="1" si="7"/>
        <v>0</v>
      </c>
      <c r="AK40" s="400">
        <f t="shared" ca="1" si="8"/>
        <v>0</v>
      </c>
      <c r="AL40" s="401">
        <f t="shared" ca="1" si="9"/>
        <v>0</v>
      </c>
      <c r="AM40" s="402">
        <f t="shared" ca="1" si="10"/>
        <v>0</v>
      </c>
      <c r="AN40" s="403">
        <f t="shared" ca="1" si="11"/>
        <v>0</v>
      </c>
    </row>
    <row r="41" spans="1:40" x14ac:dyDescent="0.25">
      <c r="A41" s="1" t="s">
        <v>102</v>
      </c>
      <c r="C41" s="25" t="s">
        <v>101</v>
      </c>
      <c r="D41" s="1" t="s">
        <v>106</v>
      </c>
      <c r="F41" s="1" t="s">
        <v>98</v>
      </c>
      <c r="H41" s="15" t="s">
        <v>268</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332"/>
      <c r="P41" s="333"/>
      <c r="Q41" s="333"/>
      <c r="R41" s="333"/>
      <c r="S41" s="333"/>
      <c r="T41" s="333"/>
      <c r="U41" s="333"/>
      <c r="V41" s="333"/>
      <c r="W41" s="333"/>
      <c r="X41" s="333"/>
      <c r="Y41" s="333"/>
      <c r="Z41" s="333"/>
      <c r="AA41" s="310" t="e">
        <f t="shared" ca="1" si="0"/>
        <v>#NAME?</v>
      </c>
      <c r="AB41" s="334" t="e">
        <f t="shared" ca="1" si="1"/>
        <v>#NAME?</v>
      </c>
      <c r="AC41" s="290"/>
      <c r="AD41" s="333"/>
      <c r="AE41" s="334" t="str">
        <f t="shared" si="2"/>
        <v/>
      </c>
      <c r="AF41" s="335" t="e">
        <f t="shared" ca="1" si="3"/>
        <v>#NAME?</v>
      </c>
      <c r="AG41" s="333"/>
      <c r="AH41" s="334" t="str">
        <f t="shared" si="5"/>
        <v/>
      </c>
      <c r="AI41" s="336" t="e">
        <f t="shared" ca="1" si="6"/>
        <v>#NAME?</v>
      </c>
      <c r="AJ41" s="399">
        <f t="shared" ca="1" si="7"/>
        <v>0</v>
      </c>
      <c r="AK41" s="400">
        <f t="shared" ca="1" si="8"/>
        <v>0</v>
      </c>
      <c r="AL41" s="401">
        <f t="shared" ca="1" si="9"/>
        <v>0</v>
      </c>
      <c r="AM41" s="402">
        <f t="shared" ca="1" si="10"/>
        <v>0</v>
      </c>
      <c r="AN41" s="403">
        <f t="shared" ca="1" si="11"/>
        <v>0</v>
      </c>
    </row>
    <row r="42" spans="1:40" x14ac:dyDescent="0.25">
      <c r="A42" s="1" t="s">
        <v>102</v>
      </c>
      <c r="C42" s="151" t="s">
        <v>101</v>
      </c>
      <c r="D42" s="1" t="s">
        <v>107</v>
      </c>
      <c r="F42" s="1" t="s">
        <v>99</v>
      </c>
      <c r="H42" s="15" t="s">
        <v>269</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23"/>
      <c r="P42" s="324"/>
      <c r="Q42" s="324"/>
      <c r="R42" s="324"/>
      <c r="S42" s="324"/>
      <c r="T42" s="324"/>
      <c r="U42" s="324"/>
      <c r="V42" s="324"/>
      <c r="W42" s="324"/>
      <c r="X42" s="324"/>
      <c r="Y42" s="324"/>
      <c r="Z42" s="324"/>
      <c r="AA42" s="324" t="e">
        <f t="shared" ca="1" si="0"/>
        <v>#NAME?</v>
      </c>
      <c r="AB42" s="325" t="e">
        <f t="shared" ca="1" si="1"/>
        <v>#NAME?</v>
      </c>
      <c r="AC42" s="290"/>
      <c r="AD42" s="324"/>
      <c r="AE42" s="325" t="str">
        <f t="shared" si="2"/>
        <v/>
      </c>
      <c r="AF42" s="326" t="e">
        <f t="shared" ca="1" si="3"/>
        <v>#NAME?</v>
      </c>
      <c r="AG42" s="324"/>
      <c r="AH42" s="325" t="str">
        <f t="shared" si="5"/>
        <v/>
      </c>
      <c r="AI42" s="327" t="e">
        <f t="shared" ca="1" si="6"/>
        <v>#NAME?</v>
      </c>
      <c r="AJ42" s="409">
        <f t="shared" ca="1" si="7"/>
        <v>0</v>
      </c>
      <c r="AK42" s="410">
        <f t="shared" ca="1" si="8"/>
        <v>0</v>
      </c>
      <c r="AL42" s="411">
        <f t="shared" ca="1" si="9"/>
        <v>0</v>
      </c>
      <c r="AM42" s="412">
        <f t="shared" ca="1" si="10"/>
        <v>0</v>
      </c>
      <c r="AN42" s="413">
        <f t="shared" ca="1" si="11"/>
        <v>0</v>
      </c>
    </row>
    <row r="43" spans="1:40" x14ac:dyDescent="0.25">
      <c r="A43" s="1" t="s">
        <v>108</v>
      </c>
      <c r="C43" s="25" t="s">
        <v>101</v>
      </c>
      <c r="D43" s="1" t="s">
        <v>106</v>
      </c>
      <c r="F43" s="1" t="s">
        <v>98</v>
      </c>
      <c r="H43" s="15" t="s">
        <v>272</v>
      </c>
      <c r="I43" s="479" t="e">
        <f ca="1">_xll.EVPRO($B$1,$H43,"STYLE")</f>
        <v>#NAME?</v>
      </c>
      <c r="J43" s="479" t="e">
        <f ca="1">_xll.EVPRO($B$1,$H43,"CALC")</f>
        <v>#NAME?</v>
      </c>
      <c r="K43" s="480" t="e">
        <f t="shared" ca="1" si="4"/>
        <v>#NAME?</v>
      </c>
      <c r="L43" s="170" t="e">
        <f ca="1">_xll.EVPRO($B$1,H43,"JDEID")</f>
        <v>#NAME?</v>
      </c>
      <c r="M43" s="170" t="e">
        <f ca="1">IF(AND(I43="N",J43="N"),_xll.EVPRO($B$1,H43,"PSFTID"),"")</f>
        <v>#NAME?</v>
      </c>
      <c r="N43" s="170" t="e">
        <f ca="1">IF(_xll.EVDES(H43,$B$1)="#NODATA","",_xll.EVDES(H43,$B$1))</f>
        <v>#NAME?</v>
      </c>
      <c r="O43" s="224"/>
      <c r="P43" s="134"/>
      <c r="Q43" s="134"/>
      <c r="R43" s="134"/>
      <c r="S43" s="134"/>
      <c r="T43" s="134"/>
      <c r="U43" s="134"/>
      <c r="V43" s="134"/>
      <c r="W43" s="134"/>
      <c r="X43" s="134"/>
      <c r="Y43" s="134"/>
      <c r="Z43" s="134"/>
      <c r="AA43" s="134" t="e">
        <f t="shared" ca="1" si="0"/>
        <v>#NAME?</v>
      </c>
      <c r="AB43" s="135" t="e">
        <f t="shared" ca="1" si="1"/>
        <v>#NAME?</v>
      </c>
      <c r="AC43" s="137"/>
      <c r="AD43" s="134"/>
      <c r="AE43" s="135" t="str">
        <f t="shared" si="2"/>
        <v/>
      </c>
      <c r="AF43" s="136" t="e">
        <f t="shared" ca="1" si="3"/>
        <v>#NAME?</v>
      </c>
      <c r="AG43" s="134"/>
      <c r="AH43" s="135" t="str">
        <f t="shared" si="5"/>
        <v/>
      </c>
      <c r="AI43" s="291" t="e">
        <f t="shared" ca="1" si="6"/>
        <v>#NAME?</v>
      </c>
      <c r="AJ43" s="360">
        <f t="shared" ca="1" si="7"/>
        <v>0</v>
      </c>
      <c r="AK43" s="361">
        <f t="shared" ca="1" si="8"/>
        <v>0</v>
      </c>
      <c r="AL43" s="363">
        <f t="shared" ca="1" si="9"/>
        <v>0</v>
      </c>
      <c r="AM43" s="405">
        <f t="shared" ca="1" si="10"/>
        <v>0</v>
      </c>
      <c r="AN43" s="406">
        <f t="shared" ca="1" si="11"/>
        <v>0</v>
      </c>
    </row>
    <row r="44" spans="1:40" x14ac:dyDescent="0.25">
      <c r="A44" s="1" t="s">
        <v>108</v>
      </c>
      <c r="C44" s="151" t="s">
        <v>101</v>
      </c>
      <c r="D44" s="1" t="s">
        <v>107</v>
      </c>
      <c r="F44" s="1" t="s">
        <v>99</v>
      </c>
      <c r="H44" s="15" t="s">
        <v>486</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0"/>
      <c r="P44" s="47"/>
      <c r="Q44" s="47"/>
      <c r="R44" s="47"/>
      <c r="S44" s="47"/>
      <c r="T44" s="47"/>
      <c r="U44" s="47"/>
      <c r="V44" s="47"/>
      <c r="W44" s="47"/>
      <c r="X44" s="47"/>
      <c r="Y44" s="47"/>
      <c r="Z44" s="47"/>
      <c r="AA44" s="47" t="e">
        <f t="shared" ca="1" si="0"/>
        <v>#NAME?</v>
      </c>
      <c r="AB44" s="48" t="e">
        <f t="shared" ca="1" si="1"/>
        <v>#NAME?</v>
      </c>
      <c r="AC44" s="54"/>
      <c r="AD44" s="47"/>
      <c r="AE44" s="48" t="str">
        <f t="shared" si="2"/>
        <v/>
      </c>
      <c r="AF44" s="150" t="e">
        <f t="shared" ca="1" si="3"/>
        <v>#NAME?</v>
      </c>
      <c r="AG44" s="47"/>
      <c r="AH44" s="48" t="str">
        <f t="shared" si="5"/>
        <v/>
      </c>
      <c r="AI44" s="331" t="e">
        <f t="shared" ca="1" si="6"/>
        <v>#NAME?</v>
      </c>
      <c r="AJ44" s="420">
        <f t="shared" ca="1" si="7"/>
        <v>0</v>
      </c>
      <c r="AK44" s="421">
        <f t="shared" ca="1" si="8"/>
        <v>0</v>
      </c>
      <c r="AL44" s="422">
        <f t="shared" ca="1" si="9"/>
        <v>0</v>
      </c>
      <c r="AM44" s="423">
        <f t="shared" ca="1" si="10"/>
        <v>0</v>
      </c>
      <c r="AN44" s="424">
        <f t="shared" ca="1" si="11"/>
        <v>0</v>
      </c>
    </row>
    <row r="45" spans="1:40" x14ac:dyDescent="0.25">
      <c r="H45" s="15" t="s">
        <v>273</v>
      </c>
      <c r="I45" s="479" t="e">
        <f ca="1">_xll.EVPRO($B$1,$H45,"STYLE")</f>
        <v>#NAME?</v>
      </c>
      <c r="J45" s="479" t="e">
        <f ca="1">_xll.EVPRO($B$1,$H45,"CALC")</f>
        <v>#NAME?</v>
      </c>
      <c r="K45" s="480" t="e">
        <f t="shared" ca="1" si="4"/>
        <v>#NAME?</v>
      </c>
      <c r="L45" s="170" t="e">
        <f ca="1">_xll.EVPRO($B$1,H45,"JDEID")</f>
        <v>#NAME?</v>
      </c>
      <c r="M45" s="170" t="e">
        <f ca="1">IF(AND(I45="N",J45="N"),_xll.EVPRO($B$1,H45,"PSFTID"),"")</f>
        <v>#NAME?</v>
      </c>
      <c r="N45" s="170" t="e">
        <f ca="1">IF(_xll.EVDES(H45,$B$1)="#NODATA","",_xll.EVDES(H45,$B$1))</f>
        <v>#NAME?</v>
      </c>
      <c r="O45" s="224"/>
      <c r="P45" s="134"/>
      <c r="Q45" s="134"/>
      <c r="R45" s="134"/>
      <c r="S45" s="134"/>
      <c r="T45" s="134"/>
      <c r="U45" s="134"/>
      <c r="V45" s="134"/>
      <c r="W45" s="134"/>
      <c r="X45" s="134"/>
      <c r="Y45" s="134"/>
      <c r="Z45" s="134"/>
      <c r="AA45" s="134" t="e">
        <f t="shared" ca="1" si="0"/>
        <v>#NAME?</v>
      </c>
      <c r="AB45" s="135" t="e">
        <f t="shared" ca="1" si="1"/>
        <v>#NAME?</v>
      </c>
      <c r="AC45" s="137"/>
      <c r="AD45" s="134"/>
      <c r="AE45" s="135" t="str">
        <f t="shared" si="2"/>
        <v/>
      </c>
      <c r="AF45" s="136" t="e">
        <f t="shared" ca="1" si="3"/>
        <v>#NAME?</v>
      </c>
      <c r="AG45" s="134"/>
      <c r="AH45" s="135" t="str">
        <f t="shared" si="5"/>
        <v/>
      </c>
      <c r="AI45" s="291" t="e">
        <f t="shared" ca="1" si="6"/>
        <v>#NAME?</v>
      </c>
      <c r="AJ45" s="360">
        <f t="shared" ca="1" si="7"/>
        <v>0</v>
      </c>
      <c r="AK45" s="361">
        <f t="shared" ca="1" si="8"/>
        <v>0</v>
      </c>
      <c r="AL45" s="363">
        <f t="shared" ca="1" si="9"/>
        <v>0</v>
      </c>
      <c r="AM45" s="405">
        <f t="shared" ca="1" si="10"/>
        <v>0</v>
      </c>
      <c r="AN45" s="406">
        <f t="shared" ca="1" si="11"/>
        <v>0</v>
      </c>
    </row>
    <row r="46" spans="1:40" x14ac:dyDescent="0.25">
      <c r="H46" s="15" t="s">
        <v>279</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37"/>
      <c r="P46" s="38"/>
      <c r="Q46" s="38"/>
      <c r="R46" s="38"/>
      <c r="S46" s="38"/>
      <c r="T46" s="38"/>
      <c r="U46" s="38"/>
      <c r="V46" s="38"/>
      <c r="W46" s="38"/>
      <c r="X46" s="38"/>
      <c r="Y46" s="38"/>
      <c r="Z46" s="38"/>
      <c r="AA46" s="315" t="e">
        <f t="shared" ca="1" si="0"/>
        <v>#NAME?</v>
      </c>
      <c r="AB46" s="39" t="e">
        <f t="shared" ca="1" si="1"/>
        <v>#NAME?</v>
      </c>
      <c r="AC46" s="54"/>
      <c r="AD46" s="38"/>
      <c r="AE46" s="39" t="str">
        <f t="shared" si="2"/>
        <v/>
      </c>
      <c r="AF46" s="132" t="e">
        <f t="shared" ca="1" si="3"/>
        <v>#NAME?</v>
      </c>
      <c r="AG46" s="38"/>
      <c r="AH46" s="39" t="str">
        <f t="shared" si="5"/>
        <v/>
      </c>
      <c r="AI46" s="338" t="e">
        <f t="shared" ca="1" si="6"/>
        <v>#NAME?</v>
      </c>
      <c r="AJ46" s="353">
        <f t="shared" ca="1" si="7"/>
        <v>0</v>
      </c>
      <c r="AK46" s="354">
        <f t="shared" ca="1" si="8"/>
        <v>0</v>
      </c>
      <c r="AL46" s="356">
        <f t="shared" ca="1" si="9"/>
        <v>0</v>
      </c>
      <c r="AM46" s="390">
        <f t="shared" ca="1" si="10"/>
        <v>0</v>
      </c>
      <c r="AN46" s="404">
        <f t="shared" ca="1" si="11"/>
        <v>0</v>
      </c>
    </row>
    <row r="47" spans="1:40" x14ac:dyDescent="0.25">
      <c r="A47" s="4" t="e">
        <f ca="1">_xll.EVDRE($B$1,A50:B57,A60:B66)</f>
        <v>#NAME?</v>
      </c>
      <c r="H47" s="15" t="s">
        <v>282</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2"/>
      <c r="P47" s="333"/>
      <c r="Q47" s="333"/>
      <c r="R47" s="333"/>
      <c r="S47" s="333"/>
      <c r="T47" s="333"/>
      <c r="U47" s="333"/>
      <c r="V47" s="333"/>
      <c r="W47" s="333"/>
      <c r="X47" s="333"/>
      <c r="Y47" s="333"/>
      <c r="Z47" s="333"/>
      <c r="AA47" s="310" t="e">
        <f t="shared" ca="1" si="0"/>
        <v>#NAME?</v>
      </c>
      <c r="AB47" s="334" t="e">
        <f t="shared" ca="1" si="1"/>
        <v>#NAME?</v>
      </c>
      <c r="AC47" s="290"/>
      <c r="AD47" s="333"/>
      <c r="AE47" s="334" t="str">
        <f t="shared" si="2"/>
        <v/>
      </c>
      <c r="AF47" s="335" t="e">
        <f t="shared" ca="1" si="3"/>
        <v>#NAME?</v>
      </c>
      <c r="AG47" s="333"/>
      <c r="AH47" s="334" t="str">
        <f t="shared" si="5"/>
        <v/>
      </c>
      <c r="AI47" s="336" t="e">
        <f t="shared" ca="1" si="6"/>
        <v>#NAME?</v>
      </c>
      <c r="AJ47" s="399">
        <f t="shared" ca="1" si="7"/>
        <v>0</v>
      </c>
      <c r="AK47" s="400">
        <f t="shared" ca="1" si="8"/>
        <v>0</v>
      </c>
      <c r="AL47" s="401">
        <f t="shared" ca="1" si="9"/>
        <v>0</v>
      </c>
      <c r="AM47" s="402">
        <f t="shared" ca="1" si="10"/>
        <v>0</v>
      </c>
      <c r="AN47" s="403">
        <f t="shared" ca="1" si="11"/>
        <v>0</v>
      </c>
    </row>
    <row r="48" spans="1:40" x14ac:dyDescent="0.25">
      <c r="H48" s="15" t="s">
        <v>283</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2"/>
      <c r="P48" s="333"/>
      <c r="Q48" s="333"/>
      <c r="R48" s="333"/>
      <c r="S48" s="333"/>
      <c r="T48" s="333"/>
      <c r="U48" s="333"/>
      <c r="V48" s="333"/>
      <c r="W48" s="333"/>
      <c r="X48" s="333"/>
      <c r="Y48" s="333"/>
      <c r="Z48" s="333"/>
      <c r="AA48" s="310" t="e">
        <f t="shared" ca="1" si="0"/>
        <v>#NAME?</v>
      </c>
      <c r="AB48" s="334" t="e">
        <f t="shared" ca="1" si="1"/>
        <v>#NAME?</v>
      </c>
      <c r="AC48" s="290"/>
      <c r="AD48" s="333"/>
      <c r="AE48" s="334" t="str">
        <f t="shared" si="2"/>
        <v/>
      </c>
      <c r="AF48" s="335" t="e">
        <f t="shared" ca="1" si="3"/>
        <v>#NAME?</v>
      </c>
      <c r="AG48" s="333"/>
      <c r="AH48" s="334" t="str">
        <f t="shared" si="5"/>
        <v/>
      </c>
      <c r="AI48" s="336" t="e">
        <f t="shared" ca="1" si="6"/>
        <v>#NAME?</v>
      </c>
      <c r="AJ48" s="399">
        <f t="shared" ca="1" si="7"/>
        <v>0</v>
      </c>
      <c r="AK48" s="400">
        <f t="shared" ca="1" si="8"/>
        <v>0</v>
      </c>
      <c r="AL48" s="401">
        <f t="shared" ca="1" si="9"/>
        <v>0</v>
      </c>
      <c r="AM48" s="402">
        <f t="shared" ca="1" si="10"/>
        <v>0</v>
      </c>
      <c r="AN48" s="403">
        <f t="shared" ca="1" si="11"/>
        <v>0</v>
      </c>
    </row>
    <row r="49" spans="1:40" x14ac:dyDescent="0.25">
      <c r="A49" s="3" t="s">
        <v>0</v>
      </c>
      <c r="B49" s="5" t="s">
        <v>1</v>
      </c>
      <c r="H49" s="15" t="s">
        <v>473</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323"/>
      <c r="P49" s="324"/>
      <c r="Q49" s="324"/>
      <c r="R49" s="324"/>
      <c r="S49" s="324"/>
      <c r="T49" s="324"/>
      <c r="U49" s="324"/>
      <c r="V49" s="324"/>
      <c r="W49" s="324"/>
      <c r="X49" s="324"/>
      <c r="Y49" s="324"/>
      <c r="Z49" s="324"/>
      <c r="AA49" s="324" t="e">
        <f t="shared" ca="1" si="0"/>
        <v>#NAME?</v>
      </c>
      <c r="AB49" s="325" t="e">
        <f t="shared" ca="1" si="1"/>
        <v>#NAME?</v>
      </c>
      <c r="AC49" s="290"/>
      <c r="AD49" s="324"/>
      <c r="AE49" s="325" t="str">
        <f t="shared" si="2"/>
        <v/>
      </c>
      <c r="AF49" s="326" t="e">
        <f t="shared" ca="1" si="3"/>
        <v>#NAME?</v>
      </c>
      <c r="AG49" s="324"/>
      <c r="AH49" s="325" t="str">
        <f t="shared" si="5"/>
        <v/>
      </c>
      <c r="AI49" s="327" t="e">
        <f t="shared" ca="1" si="6"/>
        <v>#NAME?</v>
      </c>
      <c r="AJ49" s="409">
        <f t="shared" ca="1" si="7"/>
        <v>0</v>
      </c>
      <c r="AK49" s="410">
        <f t="shared" ca="1" si="8"/>
        <v>0</v>
      </c>
      <c r="AL49" s="411">
        <f t="shared" ca="1" si="9"/>
        <v>0</v>
      </c>
      <c r="AM49" s="412">
        <f t="shared" ca="1" si="10"/>
        <v>0</v>
      </c>
      <c r="AN49" s="413">
        <f t="shared" ca="1" si="11"/>
        <v>0</v>
      </c>
    </row>
    <row r="50" spans="1:40" x14ac:dyDescent="0.25">
      <c r="A50" s="6" t="s">
        <v>2</v>
      </c>
      <c r="B50" s="7" t="e">
        <f ca="1">_xll.EVRNG($B$2:$B$10)</f>
        <v>#NAME?</v>
      </c>
      <c r="H50" s="15" t="s">
        <v>277</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225"/>
      <c r="P50" s="36"/>
      <c r="Q50" s="36"/>
      <c r="R50" s="36"/>
      <c r="S50" s="36"/>
      <c r="T50" s="36"/>
      <c r="U50" s="36"/>
      <c r="V50" s="36"/>
      <c r="W50" s="36"/>
      <c r="X50" s="36"/>
      <c r="Y50" s="36"/>
      <c r="Z50" s="36"/>
      <c r="AA50" s="36" t="e">
        <f t="shared" ca="1" si="0"/>
        <v>#NAME?</v>
      </c>
      <c r="AB50" s="37" t="e">
        <f t="shared" ca="1" si="1"/>
        <v>#NAME?</v>
      </c>
      <c r="AC50" s="35"/>
      <c r="AD50" s="36"/>
      <c r="AE50" s="37" t="str">
        <f t="shared" si="2"/>
        <v/>
      </c>
      <c r="AF50" s="58" t="e">
        <f t="shared" ca="1" si="3"/>
        <v>#NAME?</v>
      </c>
      <c r="AG50" s="36"/>
      <c r="AH50" s="37" t="str">
        <f t="shared" si="5"/>
        <v/>
      </c>
      <c r="AI50" s="292" t="e">
        <f t="shared" ca="1" si="6"/>
        <v>#NAME?</v>
      </c>
      <c r="AJ50" s="372">
        <f t="shared" ca="1" si="7"/>
        <v>0</v>
      </c>
      <c r="AK50" s="373">
        <f t="shared" ca="1" si="8"/>
        <v>0</v>
      </c>
      <c r="AL50" s="375">
        <f t="shared" ca="1" si="9"/>
        <v>0</v>
      </c>
      <c r="AM50" s="407">
        <f t="shared" ca="1" si="10"/>
        <v>0</v>
      </c>
      <c r="AN50" s="408">
        <f t="shared" ca="1" si="11"/>
        <v>0</v>
      </c>
    </row>
    <row r="51" spans="1:40" x14ac:dyDescent="0.25">
      <c r="A51" s="6" t="s">
        <v>3</v>
      </c>
      <c r="B51" s="7" t="e">
        <f ca="1">_xll.EVRNG($O$16:$AN$18)</f>
        <v>#NAME?</v>
      </c>
      <c r="H51" s="15" t="s">
        <v>280</v>
      </c>
      <c r="I51" s="479" t="e">
        <f ca="1">_xll.EVPRO($B$1,$H51,"STYLE")</f>
        <v>#NAME?</v>
      </c>
      <c r="J51" s="479" t="e">
        <f ca="1">_xll.EVPRO($B$1,$H51,"CALC")</f>
        <v>#NAME?</v>
      </c>
      <c r="K51" s="480" t="e">
        <f t="shared" ca="1" si="4"/>
        <v>#NAME?</v>
      </c>
      <c r="L51" s="170" t="e">
        <f ca="1">_xll.EVPRO($B$1,H51,"JDEID")</f>
        <v>#NAME?</v>
      </c>
      <c r="M51" s="170" t="e">
        <f ca="1">IF(AND(I51="N",J51="N"),_xll.EVPRO($B$1,H51,"PSFTID"),"")</f>
        <v>#NAME?</v>
      </c>
      <c r="N51" s="170" t="e">
        <f ca="1">IF(_xll.EVDES(H51,$B$1)="#NODATA","",_xll.EVDES(H51,$B$1))</f>
        <v>#NAME?</v>
      </c>
      <c r="O51" s="224"/>
      <c r="P51" s="134"/>
      <c r="Q51" s="134"/>
      <c r="R51" s="134"/>
      <c r="S51" s="134"/>
      <c r="T51" s="134"/>
      <c r="U51" s="134"/>
      <c r="V51" s="134"/>
      <c r="W51" s="134"/>
      <c r="X51" s="134"/>
      <c r="Y51" s="134"/>
      <c r="Z51" s="134"/>
      <c r="AA51" s="134" t="e">
        <f t="shared" ca="1" si="0"/>
        <v>#NAME?</v>
      </c>
      <c r="AB51" s="135" t="e">
        <f t="shared" ca="1" si="1"/>
        <v>#NAME?</v>
      </c>
      <c r="AC51" s="137"/>
      <c r="AD51" s="134"/>
      <c r="AE51" s="135" t="str">
        <f t="shared" si="2"/>
        <v/>
      </c>
      <c r="AF51" s="136" t="e">
        <f t="shared" ca="1" si="3"/>
        <v>#NAME?</v>
      </c>
      <c r="AG51" s="134"/>
      <c r="AH51" s="135" t="str">
        <f t="shared" si="5"/>
        <v/>
      </c>
      <c r="AI51" s="291" t="e">
        <f t="shared" ca="1" si="6"/>
        <v>#NAME?</v>
      </c>
      <c r="AJ51" s="360">
        <f t="shared" ca="1" si="7"/>
        <v>0</v>
      </c>
      <c r="AK51" s="361">
        <f t="shared" ca="1" si="8"/>
        <v>0</v>
      </c>
      <c r="AL51" s="363">
        <f t="shared" ca="1" si="9"/>
        <v>0</v>
      </c>
      <c r="AM51" s="405">
        <f t="shared" ca="1" si="10"/>
        <v>0</v>
      </c>
      <c r="AN51" s="406">
        <f t="shared" ca="1" si="11"/>
        <v>0</v>
      </c>
    </row>
    <row r="52" spans="1:40" x14ac:dyDescent="0.25">
      <c r="A52" s="6" t="s">
        <v>4</v>
      </c>
      <c r="B52" s="7" t="e">
        <f ca="1">_xll.EVRNG(H55:H61)</f>
        <v>#NAME?</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5</v>
      </c>
      <c r="B53" s="7"/>
      <c r="F53" s="152"/>
      <c r="H53" s="1" t="s">
        <v>281</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6</v>
      </c>
      <c r="B54" s="7"/>
      <c r="F54" s="152"/>
      <c r="H54" s="1" t="s">
        <v>284</v>
      </c>
      <c r="I54" s="11" t="e">
        <f ca="1">_xll.EVPRO($B$1,$H54,"STYLE")</f>
        <v>#NAME?</v>
      </c>
      <c r="J54" s="11" t="e">
        <f ca="1">_xll.EVPRO($B$1,$H54,"CALC")</f>
        <v>#NAME?</v>
      </c>
      <c r="N54" s="8" t="e">
        <f ca="1">IF(_xll.EVDES(H54,$B$1)="#NODATA","",_xll.EVDES(H54,$B$1))</f>
        <v>#NAME?</v>
      </c>
      <c r="O54" s="53"/>
      <c r="P54" s="54"/>
      <c r="Q54" s="54"/>
      <c r="R54" s="54"/>
      <c r="S54" s="54"/>
      <c r="T54" s="54"/>
      <c r="U54" s="54"/>
      <c r="V54" s="54"/>
      <c r="W54" s="54"/>
      <c r="X54" s="54"/>
      <c r="Y54" s="54"/>
      <c r="Z54" s="54"/>
      <c r="AA54" s="54"/>
      <c r="AB54" s="55"/>
      <c r="AD54" s="53"/>
      <c r="AE54" s="54"/>
      <c r="AF54" s="55"/>
      <c r="AG54" s="54"/>
      <c r="AH54" s="54"/>
      <c r="AI54" s="55"/>
    </row>
    <row r="55" spans="1:40" x14ac:dyDescent="0.25">
      <c r="A55" s="6" t="s">
        <v>7</v>
      </c>
      <c r="B55" s="7" t="e">
        <f ca="1">_xll.EVRNG(A69:F77)</f>
        <v>#NAME?</v>
      </c>
      <c r="F55" s="152"/>
      <c r="H55" s="15" t="s">
        <v>285</v>
      </c>
      <c r="I55" s="161" t="e">
        <f ca="1">_xll.EVPRO($B$1,$H55,"STYLE")</f>
        <v>#NAME?</v>
      </c>
      <c r="J55" s="161" t="e">
        <f ca="1">_xll.EVPRO($B$1,$H55,"CALC")</f>
        <v>#NAME?</v>
      </c>
      <c r="K55" s="68" t="e">
        <f ca="1">IF(AND(I55&gt;="T5"),"&gt;","")</f>
        <v>#NAME?</v>
      </c>
      <c r="L55" s="162" t="e">
        <f ca="1">_xll.EVPRO($B$1,H55,"JDEID")</f>
        <v>#NAME?</v>
      </c>
      <c r="M55" s="162" t="e">
        <f ca="1">IF(AND(I55="N",J55="N"),_xll.EVPRO($B$1,H55,"PSFTID"),"")</f>
        <v>#NAME?</v>
      </c>
      <c r="N55" s="162" t="e">
        <f ca="1">IF(_xll.EVDES(H55,$B$1)="#NODATA","",_xll.EVDES(H55,$B$1))</f>
        <v>#NAME?</v>
      </c>
      <c r="O55" s="332"/>
      <c r="P55" s="333"/>
      <c r="Q55" s="333"/>
      <c r="R55" s="333"/>
      <c r="S55" s="333"/>
      <c r="T55" s="333"/>
      <c r="U55" s="333"/>
      <c r="V55" s="333"/>
      <c r="W55" s="333"/>
      <c r="X55" s="333"/>
      <c r="Y55" s="333"/>
      <c r="Z55" s="333"/>
      <c r="AA55" s="310" t="e">
        <f t="shared" ref="AA55:AA61" ca="1" si="12">IF($I55="B1","",SUM(O55:Z55))</f>
        <v>#NAME?</v>
      </c>
      <c r="AB55" s="334" t="e">
        <f ca="1">IF(AA55=0,"",IFERROR(AA55/_xll.EVGTS($B$1,1,_xll.EVPRO($B$1,$H55,"COSBASIS"),$B$3,$B$5,$B$6,$B$7,$B$9,AA$16,AA$17,AA$11),""))</f>
        <v>#NAME?</v>
      </c>
      <c r="AC55" s="290"/>
      <c r="AD55" s="333"/>
      <c r="AE55" s="334" t="str">
        <f>IF(AD55=0,"",IFERROR(AD55/_xll.EVGTS($B$1,1,_xll.EVPRO($B$1,$H55,"COSBASIS"),$B$3,$B$5,$B$6,$B$7,$B$9,AD$16,AD$17,AD$18),""))</f>
        <v/>
      </c>
      <c r="AF55" s="335" t="e">
        <f t="shared" ref="AF55:AF61" ca="1" si="13">IF(AND($AA55="",AD55=""),"",$AA55-AD55)</f>
        <v>#NAME?</v>
      </c>
      <c r="AG55" s="333">
        <v>0</v>
      </c>
      <c r="AH55" s="334" t="str">
        <f>IF(AG55=0,"",IFERROR(AG55/_xll.EVGTS($B$1,1,_xll.EVPRO($B$1,$H55,"COSBASIS"),$B$3,$B$5,$B$6,$B$7,$B$9,AG$16,AG$17,AG$18),""))</f>
        <v/>
      </c>
      <c r="AI55" s="336"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x14ac:dyDescent="0.25">
      <c r="A56" s="6" t="s">
        <v>47</v>
      </c>
      <c r="B56" s="7" t="e">
        <f ca="1">_xll.EVRNG($A$125:$B$146)</f>
        <v>#NAME?</v>
      </c>
      <c r="H56" s="15" t="s">
        <v>636</v>
      </c>
      <c r="I56" s="161" t="e">
        <f ca="1">_xll.EVPRO($B$1,$H56,"STYLE")</f>
        <v>#NAME?</v>
      </c>
      <c r="J56" s="161" t="e">
        <f ca="1">_xll.EVPRO($B$1,$H56,"CALC")</f>
        <v>#NAME?</v>
      </c>
      <c r="K56" s="68" t="e">
        <f t="shared" ref="K56:K61" ca="1" si="14">IF(AND(I56&gt;="T5"),"&gt;","")</f>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12"/>
        <v>#NAME?</v>
      </c>
      <c r="AB56" s="325" t="e">
        <f ca="1">IF(AA56=0,"",IFERROR(AA56/_xll.EVGTS($B$1,1,_xll.EVPRO($B$1,$H56,"COSBASIS"),$B$3,$B$5,$B$6,$B$7,$B$9,AA$16,AA$17,AA$11),""))</f>
        <v>#NAME?</v>
      </c>
      <c r="AC56" s="290"/>
      <c r="AD56" s="324"/>
      <c r="AE56" s="325" t="str">
        <f>IF(AD56=0,"",IFERROR(AD56/_xll.EVGTS($B$1,1,_xll.EVPRO($B$1,$H56,"COSBASIS"),$B$3,$B$5,$B$6,$B$7,$B$9,AD$16,AD$17,AD$18),""))</f>
        <v/>
      </c>
      <c r="AF56" s="326" t="e">
        <f t="shared" ca="1" si="13"/>
        <v>#NAME?</v>
      </c>
      <c r="AG56" s="324"/>
      <c r="AH56" s="325" t="str">
        <f>IF(AG56=0,"",IFERROR(AG56/_xll.EVGTS($B$1,1,_xll.EVPRO($B$1,$H56,"COSBASIS"),$B$3,$B$5,$B$6,$B$7,$B$9,AG$16,AG$17,AG$18),""))</f>
        <v/>
      </c>
      <c r="AI56" s="327" t="e">
        <f t="shared" ref="AI56:AI61" ca="1" si="15">IF(AND($AA56="",AG56=""),"",$AA56-AG56)</f>
        <v>#NAME?</v>
      </c>
      <c r="AJ56" s="409">
        <f t="shared" ref="AJ56:AJ61" ca="1" si="16">IFERROR(AA56/AA$20,0)</f>
        <v>0</v>
      </c>
      <c r="AK56" s="410">
        <f t="shared" ref="AK56:AK61" ca="1" si="17">IFERROR(AD56/AD$20,0)</f>
        <v>0</v>
      </c>
      <c r="AL56" s="411">
        <f t="shared" ref="AL56:AL61" ca="1" si="18">IFERROR(AG56/AG$20,0)</f>
        <v>0</v>
      </c>
      <c r="AM56" s="412">
        <f t="shared" ref="AM56:AM61" ca="1" si="19">+IFERROR(ROUND(($AB56-AE56)*100,2)&amp;" pts.",0)</f>
        <v>0</v>
      </c>
      <c r="AN56" s="413">
        <f t="shared" ref="AN56:AN61" ca="1" si="20">+IFERROR(ROUND(($AB56-AH56)*100,2)&amp;" pts.",0)</f>
        <v>0</v>
      </c>
    </row>
    <row r="57" spans="1:40" x14ac:dyDescent="0.25">
      <c r="A57" s="6" t="s">
        <v>8</v>
      </c>
      <c r="B57" s="7"/>
      <c r="H57" s="15" t="s">
        <v>286</v>
      </c>
      <c r="I57" s="479" t="e">
        <f ca="1">_xll.EVPRO($B$1,$H57,"STYLE")</f>
        <v>#NAME?</v>
      </c>
      <c r="J57" s="479" t="e">
        <f ca="1">_xll.EVPRO($B$1,$H57,"CALC")</f>
        <v>#NAME?</v>
      </c>
      <c r="K57" s="480" t="e">
        <f t="shared" ca="1" si="14"/>
        <v>#NAME?</v>
      </c>
      <c r="L57" s="170" t="e">
        <f ca="1">_xll.EVPRO($B$1,H57,"JDEID")</f>
        <v>#NAME?</v>
      </c>
      <c r="M57" s="170" t="e">
        <f ca="1">IF(AND(I57="N",J57="N"),_xll.EVPRO($B$1,H57,"PSFTID"),"")</f>
        <v>#NAME?</v>
      </c>
      <c r="N57" s="170" t="e">
        <f ca="1">IF(_xll.EVDES(H57,$B$1)="#NODATA","",_xll.EVDES(H57,$B$1))</f>
        <v>#NAME?</v>
      </c>
      <c r="O57" s="224"/>
      <c r="P57" s="134"/>
      <c r="Q57" s="134"/>
      <c r="R57" s="134"/>
      <c r="S57" s="134"/>
      <c r="T57" s="134"/>
      <c r="U57" s="134"/>
      <c r="V57" s="134"/>
      <c r="W57" s="134"/>
      <c r="X57" s="134"/>
      <c r="Y57" s="134"/>
      <c r="Z57" s="134"/>
      <c r="AA57" s="134" t="e">
        <f t="shared" ca="1" si="12"/>
        <v>#NAME?</v>
      </c>
      <c r="AB57" s="135" t="e">
        <f ca="1">IF(AA57=0,"",IFERROR(AA57/_xll.EVGTS($B$1,1,_xll.EVPRO($B$1,$H57,"COSBASIS"),$B$3,$B$5,$B$6,$B$7,$B$9,AA$16,AA$17,AA$11),""))</f>
        <v>#NAME?</v>
      </c>
      <c r="AC57" s="137"/>
      <c r="AD57" s="134"/>
      <c r="AE57" s="135" t="str">
        <f>IF(AD57=0,"",IFERROR(AD57/_xll.EVGTS($B$1,1,_xll.EVPRO($B$1,$H57,"COSBASIS"),$B$3,$B$5,$B$6,$B$7,$B$9,AD$16,AD$17,AD$18),""))</f>
        <v/>
      </c>
      <c r="AF57" s="136" t="e">
        <f t="shared" ca="1" si="13"/>
        <v>#NAME?</v>
      </c>
      <c r="AG57" s="134">
        <v>0</v>
      </c>
      <c r="AH57" s="135" t="str">
        <f>IF(AG57=0,"",IFERROR(AG57/_xll.EVGTS($B$1,1,_xll.EVPRO($B$1,$H57,"COSBASIS"),$B$3,$B$5,$B$6,$B$7,$B$9,AG$16,AG$17,AG$18),""))</f>
        <v/>
      </c>
      <c r="AI57" s="291" t="e">
        <f t="shared" ca="1" si="15"/>
        <v>#NAME?</v>
      </c>
      <c r="AJ57" s="360">
        <f t="shared" ca="1" si="16"/>
        <v>0</v>
      </c>
      <c r="AK57" s="361">
        <f t="shared" ca="1" si="17"/>
        <v>0</v>
      </c>
      <c r="AL57" s="363">
        <f t="shared" ca="1" si="18"/>
        <v>0</v>
      </c>
      <c r="AM57" s="405">
        <f t="shared" ca="1" si="19"/>
        <v>0</v>
      </c>
      <c r="AN57" s="406">
        <f t="shared" ca="1" si="20"/>
        <v>0</v>
      </c>
    </row>
    <row r="58" spans="1:40" x14ac:dyDescent="0.25">
      <c r="G58" s="14"/>
      <c r="H58" s="15" t="s">
        <v>287</v>
      </c>
      <c r="I58" s="479" t="e">
        <f ca="1">_xll.EVPRO($B$1,$H58,"STYLE")</f>
        <v>#NAME?</v>
      </c>
      <c r="J58" s="479" t="e">
        <f ca="1">_xll.EVPRO($B$1,$H58,"CALC")</f>
        <v>#NAME?</v>
      </c>
      <c r="K58" s="480" t="e">
        <f t="shared" ca="1" si="14"/>
        <v>#NAME?</v>
      </c>
      <c r="L58" s="170" t="e">
        <f ca="1">_xll.EVPRO($B$1,H58,"JDEID")</f>
        <v>#NAME?</v>
      </c>
      <c r="M58" s="170" t="e">
        <f ca="1">IF(AND(I58="N",J58="N"),_xll.EVPRO($B$1,H58,"PSFTID"),"")</f>
        <v>#NAME?</v>
      </c>
      <c r="N58" s="170" t="e">
        <f ca="1">IF(_xll.EVDES(H58,$B$1)="#NODATA","",_xll.EVDES(H58,$B$1))</f>
        <v>#NAME?</v>
      </c>
      <c r="O58" s="337"/>
      <c r="P58" s="38"/>
      <c r="Q58" s="38"/>
      <c r="R58" s="38"/>
      <c r="S58" s="38"/>
      <c r="T58" s="38"/>
      <c r="U58" s="38"/>
      <c r="V58" s="38"/>
      <c r="W58" s="38"/>
      <c r="X58" s="38"/>
      <c r="Y58" s="38"/>
      <c r="Z58" s="38"/>
      <c r="AA58" s="315" t="e">
        <f t="shared" ca="1" si="12"/>
        <v>#NAME?</v>
      </c>
      <c r="AB58" s="39" t="e">
        <f ca="1">IF(AA58=0,"",IFERROR(AA58/_xll.EVGTS($B$1,1,_xll.EVPRO($B$1,$H58,"COSBASIS"),$B$3,$B$5,$B$6,$B$7,$B$9,AA$16,AA$17,AA$11),""))</f>
        <v>#NAME?</v>
      </c>
      <c r="AC58" s="54"/>
      <c r="AD58" s="38"/>
      <c r="AE58" s="39" t="str">
        <f>IF(AD58=0,"",IFERROR(AD58/_xll.EVGTS($B$1,1,_xll.EVPRO($B$1,$H58,"COSBASIS"),$B$3,$B$5,$B$6,$B$7,$B$9,AD$16,AD$17,AD$18),""))</f>
        <v/>
      </c>
      <c r="AF58" s="132" t="e">
        <f t="shared" ca="1" si="13"/>
        <v>#NAME?</v>
      </c>
      <c r="AG58" s="38"/>
      <c r="AH58" s="39" t="str">
        <f>IF(AG58=0,"",IFERROR(AG58/_xll.EVGTS($B$1,1,_xll.EVPRO($B$1,$H58,"COSBASIS"),$B$3,$B$5,$B$6,$B$7,$B$9,AG$16,AG$17,AG$18),""))</f>
        <v/>
      </c>
      <c r="AI58" s="338" t="e">
        <f t="shared" ca="1" si="15"/>
        <v>#NAME?</v>
      </c>
      <c r="AJ58" s="353">
        <f t="shared" ca="1" si="16"/>
        <v>0</v>
      </c>
      <c r="AK58" s="354">
        <f t="shared" ca="1" si="17"/>
        <v>0</v>
      </c>
      <c r="AL58" s="356">
        <f t="shared" ca="1" si="18"/>
        <v>0</v>
      </c>
      <c r="AM58" s="390">
        <f t="shared" ca="1" si="19"/>
        <v>0</v>
      </c>
      <c r="AN58" s="404">
        <f t="shared" ca="1" si="20"/>
        <v>0</v>
      </c>
    </row>
    <row r="59" spans="1:40" x14ac:dyDescent="0.25">
      <c r="A59" s="3" t="s">
        <v>9</v>
      </c>
      <c r="B59" s="5" t="s">
        <v>10</v>
      </c>
      <c r="H59" s="15" t="s">
        <v>639</v>
      </c>
      <c r="I59" s="161" t="e">
        <f ca="1">_xll.EVPRO($B$1,$H59,"STYLE")</f>
        <v>#NAME?</v>
      </c>
      <c r="J59" s="161" t="e">
        <f ca="1">_xll.EVPRO($B$1,$H59,"CALC")</f>
        <v>#NAME?</v>
      </c>
      <c r="K59" s="68" t="e">
        <f t="shared" ca="1" si="14"/>
        <v>#NAME?</v>
      </c>
      <c r="L59" s="162" t="e">
        <f ca="1">_xll.EVPRO($B$1,H59,"JDEID")</f>
        <v>#NAME?</v>
      </c>
      <c r="M59" s="162" t="e">
        <f ca="1">IF(AND(I59="N",J59="N"),_xll.EVPRO($B$1,H59,"PSFTID"),"")</f>
        <v>#NAME?</v>
      </c>
      <c r="N59" s="162" t="e">
        <f ca="1">IF(_xll.EVDES(H59,$B$1)="#NODATA","",_xll.EVDES(H59,$B$1))</f>
        <v>#NAME?</v>
      </c>
      <c r="O59" s="323"/>
      <c r="P59" s="324"/>
      <c r="Q59" s="324"/>
      <c r="R59" s="324"/>
      <c r="S59" s="324"/>
      <c r="T59" s="324"/>
      <c r="U59" s="324"/>
      <c r="V59" s="324"/>
      <c r="W59" s="324"/>
      <c r="X59" s="324"/>
      <c r="Y59" s="324"/>
      <c r="Z59" s="324"/>
      <c r="AA59" s="324" t="e">
        <f t="shared" ca="1" si="12"/>
        <v>#NAME?</v>
      </c>
      <c r="AB59" s="325" t="e">
        <f ca="1">IF(AA59=0,"",IFERROR(AA59/_xll.EVGTS($B$1,1,_xll.EVPRO($B$1,$H59,"COSBASIS"),$B$3,$B$5,$B$6,$B$7,$B$9,AA$16,AA$17,AA$11),""))</f>
        <v>#NAME?</v>
      </c>
      <c r="AC59" s="290"/>
      <c r="AD59" s="324"/>
      <c r="AE59" s="325" t="str">
        <f>IF(AD59=0,"",IFERROR(AD59/_xll.EVGTS($B$1,1,_xll.EVPRO($B$1,$H59,"COSBASIS"),$B$3,$B$5,$B$6,$B$7,$B$9,AD$16,AD$17,AD$18),""))</f>
        <v/>
      </c>
      <c r="AF59" s="326" t="e">
        <f t="shared" ca="1" si="13"/>
        <v>#NAME?</v>
      </c>
      <c r="AG59" s="324"/>
      <c r="AH59" s="325" t="str">
        <f>IF(AG59=0,"",IFERROR(AG59/_xll.EVGTS($B$1,1,_xll.EVPRO($B$1,$H59,"COSBASIS"),$B$3,$B$5,$B$6,$B$7,$B$9,AG$16,AG$17,AG$18),""))</f>
        <v/>
      </c>
      <c r="AI59" s="327" t="e">
        <f t="shared" ca="1" si="15"/>
        <v>#NAME?</v>
      </c>
      <c r="AJ59" s="409">
        <f t="shared" ca="1" si="16"/>
        <v>0</v>
      </c>
      <c r="AK59" s="410">
        <f t="shared" ca="1" si="17"/>
        <v>0</v>
      </c>
      <c r="AL59" s="411">
        <f t="shared" ca="1" si="18"/>
        <v>0</v>
      </c>
      <c r="AM59" s="412">
        <f t="shared" ca="1" si="19"/>
        <v>0</v>
      </c>
      <c r="AN59" s="413">
        <f t="shared" ca="1" si="20"/>
        <v>0</v>
      </c>
    </row>
    <row r="60" spans="1:40" x14ac:dyDescent="0.25">
      <c r="A60" s="6" t="s">
        <v>11</v>
      </c>
      <c r="B60" s="7" t="s">
        <v>21</v>
      </c>
      <c r="H60" s="15" t="s">
        <v>288</v>
      </c>
      <c r="I60" s="479" t="e">
        <f ca="1">_xll.EVPRO($B$1,$H60,"STYLE")</f>
        <v>#NAME?</v>
      </c>
      <c r="J60" s="479" t="e">
        <f ca="1">_xll.EVPRO($B$1,$H60,"CALC")</f>
        <v>#NAME?</v>
      </c>
      <c r="K60" s="480" t="e">
        <f t="shared" ca="1" si="14"/>
        <v>#NAME?</v>
      </c>
      <c r="L60" s="170" t="e">
        <f ca="1">_xll.EVPRO($B$1,H60,"JDEID")</f>
        <v>#NAME?</v>
      </c>
      <c r="M60" s="170" t="e">
        <f ca="1">IF(AND(I60="N",J60="N"),_xll.EVPRO($B$1,H60,"PSFTID"),"")</f>
        <v>#NAME?</v>
      </c>
      <c r="N60" s="170" t="e">
        <f ca="1">IF(_xll.EVDES(H60,$B$1)="#NODATA","",_xll.EVDES(H60,$B$1))</f>
        <v>#NAME?</v>
      </c>
      <c r="O60" s="225"/>
      <c r="P60" s="36"/>
      <c r="Q60" s="36"/>
      <c r="R60" s="36"/>
      <c r="S60" s="36"/>
      <c r="T60" s="36"/>
      <c r="U60" s="36"/>
      <c r="V60" s="36"/>
      <c r="W60" s="36"/>
      <c r="X60" s="36"/>
      <c r="Y60" s="36"/>
      <c r="Z60" s="36"/>
      <c r="AA60" s="36" t="e">
        <f t="shared" ca="1" si="12"/>
        <v>#NAME?</v>
      </c>
      <c r="AB60" s="37" t="e">
        <f ca="1">IF(AA60=0,"",IFERROR(AA60/_xll.EVGTS($B$1,1,_xll.EVPRO($B$1,$H60,"COSBASIS"),$B$3,$B$5,$B$6,$B$7,$B$9,AA$16,AA$17,AA$11),""))</f>
        <v>#NAME?</v>
      </c>
      <c r="AC60" s="35"/>
      <c r="AD60" s="36"/>
      <c r="AE60" s="37" t="str">
        <f>IF(AD60=0,"",IFERROR(AD60/_xll.EVGTS($B$1,1,_xll.EVPRO($B$1,$H60,"COSBASIS"),$B$3,$B$5,$B$6,$B$7,$B$9,AD$16,AD$17,AD$18),""))</f>
        <v/>
      </c>
      <c r="AF60" s="58" t="e">
        <f t="shared" ca="1" si="13"/>
        <v>#NAME?</v>
      </c>
      <c r="AG60" s="36"/>
      <c r="AH60" s="37" t="str">
        <f>IF(AG60=0,"",IFERROR(AG60/_xll.EVGTS($B$1,1,_xll.EVPRO($B$1,$H60,"COSBASIS"),$B$3,$B$5,$B$6,$B$7,$B$9,AG$16,AG$17,AG$18),""))</f>
        <v/>
      </c>
      <c r="AI60" s="292" t="e">
        <f t="shared" ca="1" si="15"/>
        <v>#NAME?</v>
      </c>
      <c r="AJ60" s="372">
        <f t="shared" ca="1" si="16"/>
        <v>0</v>
      </c>
      <c r="AK60" s="373">
        <f t="shared" ca="1" si="17"/>
        <v>0</v>
      </c>
      <c r="AL60" s="375">
        <f t="shared" ca="1" si="18"/>
        <v>0</v>
      </c>
      <c r="AM60" s="407">
        <f t="shared" ca="1" si="19"/>
        <v>0</v>
      </c>
      <c r="AN60" s="408">
        <f t="shared" ca="1" si="20"/>
        <v>0</v>
      </c>
    </row>
    <row r="61" spans="1:40" x14ac:dyDescent="0.25">
      <c r="A61" s="6" t="s">
        <v>12</v>
      </c>
      <c r="B61" s="7" t="s">
        <v>22</v>
      </c>
      <c r="H61" s="15" t="s">
        <v>289</v>
      </c>
      <c r="I61" s="479" t="e">
        <f ca="1">_xll.EVPRO($B$1,$H61,"STYLE")</f>
        <v>#NAME?</v>
      </c>
      <c r="J61" s="479" t="e">
        <f ca="1">_xll.EVPRO($B$1,$H61,"CALC")</f>
        <v>#NAME?</v>
      </c>
      <c r="K61" s="480" t="e">
        <f t="shared" ca="1" si="14"/>
        <v>#NAME?</v>
      </c>
      <c r="L61" s="170" t="e">
        <f ca="1">_xll.EVPRO($B$1,H61,"JDEID")</f>
        <v>#NAME?</v>
      </c>
      <c r="M61" s="170" t="e">
        <f ca="1">IF(AND(I61="N",J61="N"),_xll.EVPRO($B$1,H61,"PSFTID"),"")</f>
        <v>#NAME?</v>
      </c>
      <c r="N61" s="170" t="e">
        <f ca="1">IF(_xll.EVDES(H61,$B$1)="#NODATA","",_xll.EVDES(H61,$B$1))</f>
        <v>#NAME?</v>
      </c>
      <c r="O61" s="224"/>
      <c r="P61" s="134"/>
      <c r="Q61" s="134"/>
      <c r="R61" s="134"/>
      <c r="S61" s="134"/>
      <c r="T61" s="134"/>
      <c r="U61" s="134"/>
      <c r="V61" s="134"/>
      <c r="W61" s="134"/>
      <c r="X61" s="134"/>
      <c r="Y61" s="134"/>
      <c r="Z61" s="134"/>
      <c r="AA61" s="134" t="e">
        <f t="shared" ca="1" si="12"/>
        <v>#NAME?</v>
      </c>
      <c r="AB61" s="135" t="e">
        <f ca="1">IF(AA61=0,"",IFERROR(AA61/_xll.EVGTS($B$1,1,_xll.EVPRO($B$1,$H61,"COSBASIS"),$B$3,$B$5,$B$6,$B$7,$B$9,AA$16,AA$17,AA$11),""))</f>
        <v>#NAME?</v>
      </c>
      <c r="AC61" s="137"/>
      <c r="AD61" s="134"/>
      <c r="AE61" s="135" t="str">
        <f>IF(AD61=0,"",IFERROR(AD61/_xll.EVGTS($B$1,1,_xll.EVPRO($B$1,$H61,"COSBASIS"),$B$3,$B$5,$B$6,$B$7,$B$9,AD$16,AD$17,AD$18),""))</f>
        <v/>
      </c>
      <c r="AF61" s="136" t="e">
        <f t="shared" ca="1" si="13"/>
        <v>#NAME?</v>
      </c>
      <c r="AG61" s="134">
        <v>0</v>
      </c>
      <c r="AH61" s="135" t="str">
        <f>IF(AG61=0,"",IFERROR(AG61/_xll.EVGTS($B$1,1,_xll.EVPRO($B$1,$H61,"COSBASIS"),$B$3,$B$5,$B$6,$B$7,$B$9,AG$16,AG$17,AG$18),""))</f>
        <v/>
      </c>
      <c r="AI61" s="291" t="e">
        <f t="shared" ca="1" si="15"/>
        <v>#NAME?</v>
      </c>
      <c r="AJ61" s="360">
        <f t="shared" ca="1" si="16"/>
        <v>0</v>
      </c>
      <c r="AK61" s="361">
        <f t="shared" ca="1" si="17"/>
        <v>0</v>
      </c>
      <c r="AL61" s="363">
        <f t="shared" ca="1" si="18"/>
        <v>0</v>
      </c>
      <c r="AM61" s="405">
        <f t="shared" ca="1" si="19"/>
        <v>0</v>
      </c>
      <c r="AN61" s="406">
        <f t="shared" ca="1" si="20"/>
        <v>0</v>
      </c>
    </row>
    <row r="62" spans="1:40" x14ac:dyDescent="0.25">
      <c r="A62" s="6" t="s">
        <v>13</v>
      </c>
      <c r="B62" s="7" t="e">
        <f ca="1">"DEP(COS_FB) AND "&amp;$E$6&amp;"=Y,COS_FB,COSOTH,DEP(COS_OTHR) AND "&amp;$E$6&amp;"=Y,COS_OTHR,500001"</f>
        <v>#NAME?</v>
      </c>
      <c r="H62" s="149" t="s">
        <v>175</v>
      </c>
      <c r="I62" s="28" t="e">
        <f ca="1">_xll.EVPRO($B$1,$H62,"STYLE")</f>
        <v>#NAME?</v>
      </c>
      <c r="J62" s="28" t="e">
        <f ca="1">_xll.EVPRO($B$1,$H62,"CALC")</f>
        <v>#NAME?</v>
      </c>
      <c r="K62" s="69" t="e">
        <f ca="1">IF(AND(I62&gt;="T5"),"&gt;","")</f>
        <v>#NAME?</v>
      </c>
      <c r="L62" s="69"/>
      <c r="M62" s="69"/>
      <c r="N62" s="25" t="e">
        <f ca="1">IF(_xll.EVDES(H62,$B$1)="#NODATA","",_xll.EVDES(H62,$B$1))</f>
        <v>#NAME?</v>
      </c>
      <c r="O62" s="47"/>
      <c r="P62" s="47"/>
      <c r="Q62" s="47"/>
      <c r="R62" s="47"/>
      <c r="S62" s="47"/>
      <c r="T62" s="47"/>
      <c r="U62" s="47"/>
      <c r="V62" s="47"/>
      <c r="W62" s="47"/>
      <c r="X62" s="47"/>
      <c r="Y62" s="47"/>
      <c r="Z62" s="47"/>
      <c r="AA62" s="47"/>
      <c r="AB62" s="48" t="str">
        <f>IF(O62=0,"",IFERROR(O62/_xll.EVGTS($B$1,1,INDEX($C$152:$C$175,MATCH($H62,$A$152:$A$175,0)),$B$3,$B$5,$B$6,$B$7,$B$9,O$16,O$17,O$18),""))</f>
        <v/>
      </c>
      <c r="AD62" s="47"/>
      <c r="AE62" s="48" t="str">
        <f>IF(AD62=0,"",IFERROR(AD62/_xll.EVGTS($B$1,1,INDEX($C$152:$C$175,MATCH($H62,$A$152:$A$175,0)),$B$3,$B$5,$B$6,$B$7,$B$9,AD$16,AD$17,AD$18),""))</f>
        <v/>
      </c>
      <c r="AF62" s="150" t="str">
        <f t="shared" ref="AF62:AF63" si="21">IF(AND($AA62="",AD62=""),"",$AA62-AD62)</f>
        <v/>
      </c>
      <c r="AG62" s="47"/>
      <c r="AH62" s="48" t="str">
        <f>IF(AG62=0,"",IFERROR(AG62/_xll.EVGTS($B$1,1,INDEX($C$152:$C$175,MATCH($H62,$A$152:$A$175,0)),$B$3,$B$5,$B$6,$B$7,$B$9,AG$16,AG$17,AG$18),""))</f>
        <v/>
      </c>
      <c r="AI62" s="150" t="str">
        <f>IF(AND($AA62="",AG62=""),"",$AA62-AG62)</f>
        <v/>
      </c>
      <c r="AJ62" s="420">
        <f ca="1">IFERROR(AA62/AA$20,0)</f>
        <v>0</v>
      </c>
      <c r="AK62" s="421">
        <f ca="1">IFERROR(AD62/AD$20,0)</f>
        <v>0</v>
      </c>
      <c r="AL62" s="422">
        <f ca="1">IFERROR(AG62/AG$20,0)</f>
        <v>0</v>
      </c>
      <c r="AM62" s="423">
        <f>+IFERROR(ROUND(($AB62-AE62)*100,2)&amp;" pts.",0)</f>
        <v>0</v>
      </c>
      <c r="AN62" s="424">
        <f>+IFERROR(ROUND(($AB62-AH62)*100,2)&amp;" pts.",0)</f>
        <v>0</v>
      </c>
    </row>
    <row r="63" spans="1:40" x14ac:dyDescent="0.25">
      <c r="A63" s="6" t="s">
        <v>14</v>
      </c>
      <c r="B63" s="7"/>
      <c r="H63" s="149" t="s">
        <v>292</v>
      </c>
      <c r="I63" s="28" t="e">
        <f ca="1">_xll.EVPRO($B$1,$H63,"STYLE")</f>
        <v>#NAME?</v>
      </c>
      <c r="J63" s="28" t="e">
        <f ca="1">_xll.EVPRO($B$1,$H63,"CALC")</f>
        <v>#NAME?</v>
      </c>
      <c r="K63" s="69" t="e">
        <f ca="1">IF(AND(I63&gt;="T5"),"&gt;","")</f>
        <v>#NAME?</v>
      </c>
      <c r="L63" s="69"/>
      <c r="M63" s="69"/>
      <c r="N63" s="25" t="e">
        <f ca="1">IF(_xll.EVDES(H63,$B$1)="#NODATA","",_xll.EVDES(H63,$B$1))</f>
        <v>#NAME?</v>
      </c>
      <c r="O63" s="164">
        <f>SUMIF($H$35:$H$61,"400000",O35:O61)-SUMIF($H$35:$H$61,"500001",O35:O61)</f>
        <v>0</v>
      </c>
      <c r="P63" s="164">
        <f t="shared" ref="P63:Z63" si="22">SUMIF($H$35:$H$61,"400000",P35:P61)-SUMIF($H$35:$H$61,"500001",P35:P61)</f>
        <v>0</v>
      </c>
      <c r="Q63" s="164">
        <f t="shared" si="22"/>
        <v>0</v>
      </c>
      <c r="R63" s="164">
        <f t="shared" si="22"/>
        <v>0</v>
      </c>
      <c r="S63" s="164">
        <f t="shared" si="22"/>
        <v>0</v>
      </c>
      <c r="T63" s="164">
        <f t="shared" si="22"/>
        <v>0</v>
      </c>
      <c r="U63" s="164">
        <f t="shared" si="22"/>
        <v>0</v>
      </c>
      <c r="V63" s="164">
        <f t="shared" si="22"/>
        <v>0</v>
      </c>
      <c r="W63" s="164">
        <f t="shared" si="22"/>
        <v>0</v>
      </c>
      <c r="X63" s="164">
        <f t="shared" si="22"/>
        <v>0</v>
      </c>
      <c r="Y63" s="164">
        <f t="shared" si="22"/>
        <v>0</v>
      </c>
      <c r="Z63" s="164">
        <f t="shared" si="22"/>
        <v>0</v>
      </c>
      <c r="AA63" s="164" t="e">
        <f ca="1">IF($I63="B1","",SUM(O63:Z63))</f>
        <v>#NAME?</v>
      </c>
      <c r="AB63" s="135" t="e">
        <f ca="1">IF(AA63=0,"",IFERROR(AA63/AA$19,""))</f>
        <v>#NAME?</v>
      </c>
      <c r="AD63" s="164">
        <f>SUMIF($H$35:$H$61,"400000",AD35:AD61)-SUMIF($H$35:$H$61,"500001",AD35:AD61)</f>
        <v>0</v>
      </c>
      <c r="AE63" s="135" t="str">
        <f>IF(AD63=0,"",IFERROR(AD63/AD$19,""))</f>
        <v/>
      </c>
      <c r="AF63" s="165" t="e">
        <f t="shared" ca="1" si="21"/>
        <v>#NAME?</v>
      </c>
      <c r="AG63" s="164">
        <f>SUMIF($H$35:$H$61,"400000",AG35:AG61)-SUMIF($H$35:$H$61,"500001",AG35:AG61)</f>
        <v>0</v>
      </c>
      <c r="AH63" s="135" t="str">
        <f>IF(AG63=0,"",IFERROR(AG63/AG$19,""))</f>
        <v/>
      </c>
      <c r="AI63" s="165" t="e">
        <f ca="1">IF(AND($AA63="",AG63=""),"",$AA63-AG63)</f>
        <v>#NAME?</v>
      </c>
      <c r="AJ63" s="392">
        <f ca="1">IFERROR(AA63/AA$20,0)</f>
        <v>0</v>
      </c>
      <c r="AK63" s="393">
        <f ca="1">IFERROR(AD63/AD$20,0)</f>
        <v>0</v>
      </c>
      <c r="AL63" s="394">
        <f ca="1">IFERROR(AG63/AG$20,0)</f>
        <v>0</v>
      </c>
      <c r="AM63" s="395">
        <f ca="1">+IFERROR(ROUND(($AB63-AE63)*100,2)&amp;" pts.",0)</f>
        <v>0</v>
      </c>
      <c r="AN63" s="437">
        <f ca="1">+IFERROR(ROUND(($AB63-AH63)*100,2)&amp;" pts.",0)</f>
        <v>0</v>
      </c>
    </row>
    <row r="64" spans="1:40" x14ac:dyDescent="0.25">
      <c r="A64" s="6" t="s">
        <v>15</v>
      </c>
      <c r="B64" s="7"/>
      <c r="O64" s="163"/>
      <c r="P64" s="287"/>
      <c r="Q64" s="287"/>
      <c r="R64" s="287"/>
      <c r="S64" s="287"/>
      <c r="T64" s="287"/>
      <c r="U64" s="287"/>
      <c r="V64" s="287"/>
      <c r="W64" s="287"/>
      <c r="X64" s="287"/>
      <c r="Y64" s="287"/>
      <c r="Z64" s="287"/>
      <c r="AA64" s="287"/>
      <c r="AB64" s="55"/>
      <c r="AD64" s="53"/>
      <c r="AE64" s="54"/>
      <c r="AF64" s="55"/>
      <c r="AG64" s="54"/>
      <c r="AH64" s="54"/>
      <c r="AI64" s="55"/>
    </row>
    <row r="65" spans="1:40" x14ac:dyDescent="0.25">
      <c r="A65" s="6" t="s">
        <v>16</v>
      </c>
      <c r="B65" s="7"/>
      <c r="H65" s="1" t="s">
        <v>73</v>
      </c>
      <c r="I65" s="11" t="e">
        <f ca="1">_xll.EVPRO($B$1,$H65,"STYLE")</f>
        <v>#NAME?</v>
      </c>
      <c r="J65" s="11" t="e">
        <f ca="1">_xll.EVPRO($B$1,$H65,"CALC")</f>
        <v>#NAME?</v>
      </c>
      <c r="N65" s="40" t="e">
        <f ca="1">IF(_xll.EVDES(H65,$B$1)="#NODATA","",_xll.EVDES(H65,$B$1))</f>
        <v>#NAME?</v>
      </c>
      <c r="O65" s="53"/>
      <c r="P65" s="54"/>
      <c r="Q65" s="54"/>
      <c r="R65" s="54"/>
      <c r="S65" s="54"/>
      <c r="T65" s="54"/>
      <c r="U65" s="54"/>
      <c r="V65" s="54"/>
      <c r="W65" s="54"/>
      <c r="X65" s="54"/>
      <c r="Y65" s="54"/>
      <c r="Z65" s="54"/>
      <c r="AA65" s="54"/>
      <c r="AB65" s="168"/>
      <c r="AD65" s="167"/>
      <c r="AE65" s="169"/>
      <c r="AF65" s="55"/>
      <c r="AG65" s="54"/>
      <c r="AH65" s="169"/>
      <c r="AI65" s="55"/>
    </row>
    <row r="66" spans="1:40" x14ac:dyDescent="0.25">
      <c r="A66" s="6" t="s">
        <v>17</v>
      </c>
      <c r="B66" s="7"/>
      <c r="H66" s="1" t="s">
        <v>74</v>
      </c>
      <c r="I66" s="11" t="e">
        <f ca="1">_xll.EVPRO($B$1,$H66,"STYLE")</f>
        <v>#NAME?</v>
      </c>
      <c r="J66" s="11" t="e">
        <f ca="1">_xll.EVPRO($B$1,$H66,"CALC")</f>
        <v>#NAME?</v>
      </c>
      <c r="N66" s="8" t="e">
        <f ca="1">IF(_xll.EVDES(H66,$B$1)="#NODATA","",_xll.EVDES(H66,$B$1))</f>
        <v>#NAME?</v>
      </c>
      <c r="O66" s="43"/>
      <c r="P66" s="46"/>
      <c r="Q66" s="46"/>
      <c r="R66" s="46"/>
      <c r="S66" s="46"/>
      <c r="T66" s="46"/>
      <c r="U66" s="46"/>
      <c r="V66" s="46"/>
      <c r="W66" s="46"/>
      <c r="X66" s="46"/>
      <c r="Y66" s="46"/>
      <c r="Z66" s="46"/>
      <c r="AA66" s="46"/>
      <c r="AB66" s="44"/>
      <c r="AD66" s="43"/>
      <c r="AE66" s="46"/>
      <c r="AF66" s="44"/>
      <c r="AG66" s="46"/>
      <c r="AH66" s="46"/>
      <c r="AI66" s="44"/>
    </row>
    <row r="67" spans="1:40" hidden="1" x14ac:dyDescent="0.25">
      <c r="A67" s="54"/>
      <c r="B67" s="54"/>
      <c r="H67" s="15" t="s">
        <v>667</v>
      </c>
      <c r="I67" s="161" t="e">
        <f ca="1">_xll.EVPRO($B$1,$H67,"STYLE")</f>
        <v>#NAME?</v>
      </c>
      <c r="J67" s="161" t="e">
        <f ca="1">_xll.EVPRO($B$1,$H67,"CALC")</f>
        <v>#NAME?</v>
      </c>
      <c r="K67" s="68" t="e">
        <f ca="1">IF(AND(I67&gt;="T3"),"&gt;","")</f>
        <v>#NAME?</v>
      </c>
      <c r="L67" s="162" t="e">
        <f ca="1">_xll.EVPRO($B$1,H67,"JDEID")</f>
        <v>#NAME?</v>
      </c>
      <c r="M67" s="162" t="e">
        <f ca="1">IF(AND(I67="N",J67="N"),_xll.EVPRO($B$1,H67,"PSFTID"),"")</f>
        <v>#NAME?</v>
      </c>
      <c r="N67" s="162" t="e">
        <f ca="1">IF(_xll.EVDES(H67,$B$1)="#NODATA","",_xll.EVDES(H67,$B$1))</f>
        <v>#NAME?</v>
      </c>
      <c r="O67" s="30"/>
      <c r="P67" s="30"/>
      <c r="Q67" s="30"/>
      <c r="R67" s="30"/>
      <c r="S67" s="30"/>
      <c r="T67" s="30"/>
      <c r="U67" s="30"/>
      <c r="V67" s="30"/>
      <c r="W67" s="30"/>
      <c r="X67" s="30"/>
      <c r="Y67" s="30"/>
      <c r="Z67" s="30"/>
      <c r="AA67" s="324" t="e">
        <f ca="1">IF($I67="B1","",SUM(O67:Z67))</f>
        <v>#NAME?</v>
      </c>
      <c r="AB67" s="31" t="e">
        <f ca="1">IF(AA67=0,"",IFERROR(AA67/AA$19,""))</f>
        <v>#NAME?</v>
      </c>
      <c r="AD67" s="30"/>
      <c r="AE67" s="31" t="str">
        <f>IF(AD67=0,"",IFERROR(AD67/AD$19,""))</f>
        <v/>
      </c>
      <c r="AF67" s="51" t="e">
        <f ca="1">IF(AND($AA67="",AD67=""),"",$AA67-AD67)</f>
        <v>#NAME?</v>
      </c>
      <c r="AG67" s="30"/>
      <c r="AH67" s="31" t="str">
        <f>IF(AG67=0,"",IFERROR(AG67/AG$19,""))</f>
        <v/>
      </c>
      <c r="AI67" s="51" t="e">
        <f ca="1">IF(AND($AA67="",AG67=""),"",$AA67-AG67)</f>
        <v>#NAME?</v>
      </c>
      <c r="AJ67" s="399">
        <f ca="1">IFERROR(AA67/AA$20,0)</f>
        <v>0</v>
      </c>
      <c r="AK67" s="400">
        <f ca="1">IFERROR(AD67/AD$20,0)</f>
        <v>0</v>
      </c>
      <c r="AL67" s="401">
        <f ca="1">IFERROR(AG67/AG$20,0)</f>
        <v>0</v>
      </c>
      <c r="AM67" s="402">
        <f ca="1">+IFERROR(ROUND(($AB67-AE67)*100,2)&amp;" pts.",0)</f>
        <v>0</v>
      </c>
      <c r="AN67" s="403">
        <f ca="1">+IFERROR(ROUND(($AB67-AH67)*100,2)&amp;" pts.",0)</f>
        <v>0</v>
      </c>
    </row>
    <row r="68" spans="1:40" hidden="1" x14ac:dyDescent="0.25">
      <c r="A68" s="22" t="s">
        <v>92</v>
      </c>
      <c r="B68" s="23" t="s">
        <v>93</v>
      </c>
      <c r="C68" s="23" t="s">
        <v>94</v>
      </c>
      <c r="D68" s="23" t="s">
        <v>95</v>
      </c>
      <c r="E68" s="23" t="s">
        <v>96</v>
      </c>
      <c r="F68" s="24" t="s">
        <v>97</v>
      </c>
      <c r="H68" s="15"/>
      <c r="I68" s="161" t="e">
        <f ca="1">_xll.EVPRO($B$1,$H68,"STYLE")</f>
        <v>#NAME?</v>
      </c>
      <c r="J68" s="161" t="e">
        <f ca="1">_xll.EVPRO($B$1,$H68,"CALC")</f>
        <v>#NAME?</v>
      </c>
      <c r="K68" s="68" t="e">
        <f ca="1">IF(AND(I68&gt;="T3"),"&gt;","")</f>
        <v>#NAME?</v>
      </c>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24" t="e">
        <f ca="1">IF($I68="B1","",SUM(O68:Z68))</f>
        <v>#NAME?</v>
      </c>
      <c r="AB68" s="31" t="e">
        <f ca="1">IF(AA68=0,"",IFERROR(AA68/AA$19,""))</f>
        <v>#NAME?</v>
      </c>
      <c r="AD68" s="30"/>
      <c r="AE68" s="31" t="str">
        <f>IF(AD68=0,"",IFERROR(AD68/AD$19,""))</f>
        <v/>
      </c>
      <c r="AF68" s="51" t="e">
        <f ca="1">IF(AND($AA68="",AD68=""),"",$AA68-AD68)</f>
        <v>#NAME?</v>
      </c>
      <c r="AG68" s="30"/>
      <c r="AH68" s="31" t="str">
        <f>IF(AG68=0,"",IFERROR(AG68/AG$19,""))</f>
        <v/>
      </c>
      <c r="AI68" s="51" t="e">
        <f ca="1">IF(AND($AA68="",AG68=""),"",$AA68-AG68)</f>
        <v>#NAME?</v>
      </c>
      <c r="AJ68" s="399">
        <f ca="1">IFERROR(AA68/AA$20,0)</f>
        <v>0</v>
      </c>
      <c r="AK68" s="400">
        <f ca="1">IFERROR(AD68/AD$20,0)</f>
        <v>0</v>
      </c>
      <c r="AL68" s="401">
        <f ca="1">IFERROR(AG68/AG$20,0)</f>
        <v>0</v>
      </c>
      <c r="AM68" s="402">
        <f ca="1">+IFERROR(ROUND(($AB68-AE68)*100,2)&amp;" pts.",0)</f>
        <v>0</v>
      </c>
      <c r="AN68" s="403">
        <f ca="1">+IFERROR(ROUND(($AB68-AH68)*100,2)&amp;" pts.",0)</f>
        <v>0</v>
      </c>
    </row>
    <row r="69" spans="1:40" x14ac:dyDescent="0.25">
      <c r="H69" s="15" t="s">
        <v>75</v>
      </c>
      <c r="I69" s="28" t="e">
        <f ca="1">_xll.EVPRO($B$1,$H69,"STYLE")</f>
        <v>#NAME?</v>
      </c>
      <c r="J69" s="28" t="e">
        <f ca="1">_xll.EVPRO($B$1,$H69,"CALC")</f>
        <v>#NAME?</v>
      </c>
      <c r="K69" s="69" t="e">
        <f ca="1">IF(AND(I69&gt;="T3"),"&gt;","")</f>
        <v>#NAME?</v>
      </c>
      <c r="L69" s="25" t="e">
        <f ca="1">_xll.EVPRO($B$1,H69,"JDEID")</f>
        <v>#NAME?</v>
      </c>
      <c r="M69" s="162" t="e">
        <f ca="1">IF(AND(I69="N",J69="N"),_xll.EVPRO($B$1,H69,"PSFTID"),"")</f>
        <v>#NAME?</v>
      </c>
      <c r="N69" s="25" t="e">
        <f ca="1">IF(_xll.EVDES(H69,$B$1)="#NODATA","",_xll.EVDES(H69,$B$1))</f>
        <v>#NAME?</v>
      </c>
      <c r="O69" s="21"/>
      <c r="P69" s="21"/>
      <c r="Q69" s="21"/>
      <c r="R69" s="21"/>
      <c r="S69" s="21"/>
      <c r="T69" s="21"/>
      <c r="U69" s="21"/>
      <c r="V69" s="21"/>
      <c r="W69" s="21"/>
      <c r="X69" s="21"/>
      <c r="Y69" s="21"/>
      <c r="Z69" s="21"/>
      <c r="AA69" s="310" t="e">
        <f ca="1">IF($I69="B1","",SUM(O69:Z69))</f>
        <v>#NAME?</v>
      </c>
      <c r="AB69" s="17" t="e">
        <f ca="1">IF(AA69=0,"",IFERROR(AA69/AA$19,""))</f>
        <v>#NAME?</v>
      </c>
      <c r="AD69" s="21"/>
      <c r="AE69" s="17" t="str">
        <f>IF(AD69=0,"",IFERROR(AD69/AD$19,""))</f>
        <v/>
      </c>
      <c r="AF69" s="50" t="e">
        <f ca="1">IF(AND($AA69="",AD69=""),"",$AA69-AD69)</f>
        <v>#NAME?</v>
      </c>
      <c r="AG69" s="21"/>
      <c r="AH69" s="17" t="str">
        <f>IF(AG69=0,"",IFERROR(AG69/AG$19,""))</f>
        <v/>
      </c>
      <c r="AI69" s="50" t="e">
        <f ca="1">IF(AND($AA69="",AG69=""),"",$AA69-AG69)</f>
        <v>#NAME?</v>
      </c>
      <c r="AJ69" s="399">
        <f ca="1">IFERROR(AA69/AA$20,0)</f>
        <v>0</v>
      </c>
      <c r="AK69" s="400">
        <f ca="1">IFERROR(AD69/AD$20,0)</f>
        <v>0</v>
      </c>
      <c r="AL69" s="401">
        <f ca="1">IFERROR(AG69/AG$20,0)</f>
        <v>0</v>
      </c>
      <c r="AM69" s="402">
        <f ca="1">+IFERROR(ROUND(($AB69-AE69)*100,2)&amp;" pts.",0)</f>
        <v>0</v>
      </c>
      <c r="AN69" s="403">
        <f ca="1">+IFERROR(ROUND(($AB69-AH69)*100,2)&amp;" pts.",0)</f>
        <v>0</v>
      </c>
    </row>
    <row r="70" spans="1:40" hidden="1" x14ac:dyDescent="0.25">
      <c r="A70" s="1" t="s">
        <v>209</v>
      </c>
      <c r="B70" s="1" t="s">
        <v>21</v>
      </c>
      <c r="C70" s="74"/>
      <c r="D70" s="1" t="s">
        <v>590</v>
      </c>
      <c r="F70" s="1" t="s">
        <v>99</v>
      </c>
      <c r="H70" s="15" t="s">
        <v>667</v>
      </c>
      <c r="I70" s="161" t="e">
        <f ca="1">_xll.EVPRO($B$1,$H70,"STYLE")</f>
        <v>#NAME?</v>
      </c>
      <c r="J70" s="161" t="e">
        <f ca="1">_xll.EVPRO($B$1,$H70,"CALC")</f>
        <v>#NAME?</v>
      </c>
      <c r="K70" s="68" t="e">
        <f ca="1">IF(AND(I70&gt;="T3"),"&gt;","")</f>
        <v>#NAME?</v>
      </c>
      <c r="L70" s="162" t="e">
        <f ca="1">_xll.EVPRO($B$1,H70,"JDEID")</f>
        <v>#NAME?</v>
      </c>
      <c r="M70" s="162" t="e">
        <f ca="1">IF(AND(I70="N",J70="N"),_xll.EVPRO($B$1,H70,"PSFTID"),"")</f>
        <v>#NAME?</v>
      </c>
      <c r="N70" s="162" t="e">
        <f ca="1">IF(_xll.EVDES(H70,$B$1)="#NODATA","",_xll.EVDES(H70,$B$1))</f>
        <v>#NAME?</v>
      </c>
      <c r="O70" s="30"/>
      <c r="P70" s="30"/>
      <c r="Q70" s="30"/>
      <c r="R70" s="30"/>
      <c r="S70" s="30"/>
      <c r="T70" s="30"/>
      <c r="U70" s="30"/>
      <c r="V70" s="30"/>
      <c r="W70" s="30"/>
      <c r="X70" s="30"/>
      <c r="Y70" s="30"/>
      <c r="Z70" s="30"/>
      <c r="AA70" s="324" t="e">
        <f ca="1">IF($I70="B1","",SUM(O70:Z70))</f>
        <v>#NAME?</v>
      </c>
      <c r="AB70" s="31" t="e">
        <f ca="1">IF(AA70=0,"",IFERROR(AA70/AA$19,""))</f>
        <v>#NAME?</v>
      </c>
      <c r="AD70" s="30"/>
      <c r="AE70" s="31" t="str">
        <f>IF(AD70=0,"",IFERROR(AD70/AD$19,""))</f>
        <v/>
      </c>
      <c r="AF70" s="51" t="e">
        <f ca="1">IF(AND($AA70="",AD70=""),"",$AA70-AD70)</f>
        <v>#NAME?</v>
      </c>
      <c r="AG70" s="30"/>
      <c r="AH70" s="31" t="str">
        <f>IF(AG70=0,"",IFERROR(AG70/AG$19,""))</f>
        <v/>
      </c>
      <c r="AI70" s="51" t="e">
        <f ca="1">IF(AND($AA70="",AG70=""),"",$AA70-AG70)</f>
        <v>#NAME?</v>
      </c>
      <c r="AJ70" s="409">
        <f ca="1">IFERROR(AA70/AA$20,0)</f>
        <v>0</v>
      </c>
      <c r="AK70" s="410">
        <f ca="1">IFERROR(AD70/AD$20,0)</f>
        <v>0</v>
      </c>
      <c r="AL70" s="411">
        <f ca="1">IFERROR(AG70/AG$20,0)</f>
        <v>0</v>
      </c>
      <c r="AM70" s="412">
        <f ca="1">+IFERROR(ROUND(($AB70-AE70)*100,2)&amp;" pts.",0)</f>
        <v>0</v>
      </c>
      <c r="AN70" s="413">
        <f ca="1">+IFERROR(ROUND(($AB70-AH70)*100,2)&amp;" pts.",0)</f>
        <v>0</v>
      </c>
    </row>
    <row r="71" spans="1:40" hidden="1" x14ac:dyDescent="0.25">
      <c r="A71" s="1" t="s">
        <v>105</v>
      </c>
      <c r="C71" s="26" t="s">
        <v>101</v>
      </c>
      <c r="D71" s="1" t="s">
        <v>106</v>
      </c>
      <c r="F71" s="1" t="s">
        <v>98</v>
      </c>
      <c r="H71" s="15"/>
      <c r="I71" s="161" t="e">
        <f ca="1">_xll.EVPRO($B$1,$H71,"STYLE")</f>
        <v>#NAME?</v>
      </c>
      <c r="J71" s="161" t="e">
        <f ca="1">_xll.EVPRO($B$1,$H71,"CALC")</f>
        <v>#NAME?</v>
      </c>
      <c r="K71" s="68" t="e">
        <f ca="1">IF(AND(I71&gt;="T3"),"&gt;","")</f>
        <v>#NAME?</v>
      </c>
      <c r="L71" s="162" t="e">
        <f ca="1">_xll.EVPRO($B$1,H71,"JDEID")</f>
        <v>#NAME?</v>
      </c>
      <c r="M71" s="162" t="e">
        <f ca="1">IF(AND(I71="N",J71="N"),_xll.EVPRO($B$1,H71,"PSFTID"),"")</f>
        <v>#NAME?</v>
      </c>
      <c r="N71" s="162" t="e">
        <f ca="1">IF(_xll.EVDES(H71,$B$1)="#NODATA","",_xll.EVDES(H71,$B$1))</f>
        <v>#NAME?</v>
      </c>
      <c r="O71" s="30"/>
      <c r="P71" s="30"/>
      <c r="Q71" s="30"/>
      <c r="R71" s="30"/>
      <c r="S71" s="30"/>
      <c r="T71" s="30"/>
      <c r="U71" s="30"/>
      <c r="V71" s="30"/>
      <c r="W71" s="30"/>
      <c r="X71" s="30"/>
      <c r="Y71" s="30"/>
      <c r="Z71" s="30"/>
      <c r="AA71" s="324" t="e">
        <f ca="1">IF($I71="B1","",SUM(O71:Z71))</f>
        <v>#NAME?</v>
      </c>
      <c r="AB71" s="31" t="e">
        <f ca="1">IF(AA71=0,"",IFERROR(AA71/AA$19,""))</f>
        <v>#NAME?</v>
      </c>
      <c r="AD71" s="30"/>
      <c r="AE71" s="31" t="str">
        <f>IF(AD71=0,"",IFERROR(AD71/AD$19,""))</f>
        <v/>
      </c>
      <c r="AF71" s="51" t="e">
        <f ca="1">IF(AND($AA71="",AD71=""),"",$AA71-AD71)</f>
        <v>#NAME?</v>
      </c>
      <c r="AG71" s="30"/>
      <c r="AH71" s="31" t="str">
        <f>IF(AG71=0,"",IFERROR(AG71/AG$19,""))</f>
        <v/>
      </c>
      <c r="AI71" s="51" t="e">
        <f ca="1">IF(AND($AA71="",AG71=""),"",$AA71-AG71)</f>
        <v>#NAME?</v>
      </c>
      <c r="AJ71" s="409">
        <f ca="1">IFERROR(AA71/AA$20,0)</f>
        <v>0</v>
      </c>
      <c r="AK71" s="410">
        <f ca="1">IFERROR(AD71/AD$20,0)</f>
        <v>0</v>
      </c>
      <c r="AL71" s="411">
        <f ca="1">IFERROR(AG71/AG$20,0)</f>
        <v>0</v>
      </c>
      <c r="AM71" s="412">
        <f ca="1">+IFERROR(ROUND(($AB71-AE71)*100,2)&amp;" pts.",0)</f>
        <v>0</v>
      </c>
      <c r="AN71" s="413">
        <f ca="1">+IFERROR(ROUND(($AB71-AH71)*100,2)&amp;" pts.",0)</f>
        <v>0</v>
      </c>
    </row>
    <row r="72" spans="1:40" x14ac:dyDescent="0.25">
      <c r="A72" s="1" t="s">
        <v>104</v>
      </c>
      <c r="C72" s="26" t="s">
        <v>101</v>
      </c>
      <c r="D72" s="1" t="s">
        <v>106</v>
      </c>
      <c r="F72" s="1" t="s">
        <v>98</v>
      </c>
      <c r="O72" s="41"/>
      <c r="P72" s="45"/>
      <c r="Q72" s="45"/>
      <c r="R72" s="45"/>
      <c r="S72" s="45"/>
      <c r="T72" s="45"/>
      <c r="U72" s="45"/>
      <c r="V72" s="45"/>
      <c r="W72" s="45"/>
      <c r="X72" s="45"/>
      <c r="Y72" s="45"/>
      <c r="Z72" s="45"/>
      <c r="AA72" s="45"/>
      <c r="AB72" s="42"/>
      <c r="AD72" s="41"/>
      <c r="AE72" s="45"/>
      <c r="AF72" s="42"/>
      <c r="AG72" s="41"/>
      <c r="AH72" s="45"/>
      <c r="AI72" s="42"/>
    </row>
    <row r="73" spans="1:40" x14ac:dyDescent="0.25">
      <c r="A73" s="1" t="s">
        <v>100</v>
      </c>
      <c r="C73" s="8" t="s">
        <v>101</v>
      </c>
      <c r="D73" s="1" t="s">
        <v>106</v>
      </c>
      <c r="F73" s="1" t="s">
        <v>98</v>
      </c>
      <c r="H73" s="1" t="s">
        <v>82</v>
      </c>
      <c r="I73" s="11" t="e">
        <f ca="1">_xll.EVPRO($B$1,$H73,"STYLE")</f>
        <v>#NAME?</v>
      </c>
      <c r="J73" s="11" t="e">
        <f ca="1">_xll.EVPRO($B$1,$H73,"CALC")</f>
        <v>#NAME?</v>
      </c>
      <c r="N73" s="40" t="e">
        <f ca="1">IF(_xll.EVDES(H73,$B$1)="#NODATA","",_xll.EVDES(H73,$B$1))</f>
        <v>#NAME?</v>
      </c>
      <c r="O73" s="43"/>
      <c r="P73" s="46"/>
      <c r="Q73" s="46"/>
      <c r="R73" s="46"/>
      <c r="S73" s="46"/>
      <c r="T73" s="46"/>
      <c r="U73" s="46"/>
      <c r="V73" s="46"/>
      <c r="W73" s="46"/>
      <c r="X73" s="46"/>
      <c r="Y73" s="46"/>
      <c r="Z73" s="46"/>
      <c r="AA73" s="46"/>
      <c r="AB73" s="44"/>
      <c r="AD73" s="43"/>
      <c r="AE73" s="46"/>
      <c r="AF73" s="44"/>
      <c r="AG73" s="43"/>
      <c r="AH73" s="46"/>
      <c r="AI73" s="44"/>
    </row>
    <row r="74" spans="1:40" hidden="1" x14ac:dyDescent="0.25">
      <c r="A74" s="1" t="s">
        <v>102</v>
      </c>
      <c r="C74" s="25" t="s">
        <v>101</v>
      </c>
      <c r="D74" s="1" t="s">
        <v>106</v>
      </c>
      <c r="F74" s="1" t="s">
        <v>98</v>
      </c>
      <c r="H74" s="15" t="s">
        <v>667</v>
      </c>
      <c r="I74" s="161" t="e">
        <f ca="1">_xll.EVPRO($B$1,$H74,"STYLE")</f>
        <v>#NAME?</v>
      </c>
      <c r="J74" s="161" t="e">
        <f ca="1">_xll.EVPRO($B$1,$H74,"CALC")</f>
        <v>#NAME?</v>
      </c>
      <c r="K74" s="68" t="e">
        <f ca="1">IF(AND(I74&lt;&gt;"B1",J74="Y"),"&gt;","")</f>
        <v>#NAME?</v>
      </c>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c r="AA74" s="310" t="e">
        <f ca="1">IF($I74="B1","",SUM(O74:Z74))</f>
        <v>#NAME?</v>
      </c>
      <c r="AB74" s="17" t="e">
        <f ca="1">IF(AA74=0,"",IFERROR(AA74/AA$19,""))</f>
        <v>#NAME?</v>
      </c>
      <c r="AD74" s="21"/>
      <c r="AE74" s="17" t="str">
        <f>IF(AD74=0,"",IFERROR(AD74/AD$19,""))</f>
        <v/>
      </c>
      <c r="AF74" s="50" t="e">
        <f ca="1">IF(AND($AA74="",AD74=""),"",$AA74-AD74)</f>
        <v>#NAME?</v>
      </c>
      <c r="AG74" s="21"/>
      <c r="AH74" s="17" t="str">
        <f>IF(AG74=0,"",IFERROR(AG74/AG$19,""))</f>
        <v/>
      </c>
      <c r="AI74" s="50" t="e">
        <f ca="1">IF(AND($AA74="",AG74=""),"",$AA74-AG74)</f>
        <v>#NAME?</v>
      </c>
      <c r="AJ74" s="399">
        <f ca="1">IFERROR(AA74/AA$20,0)</f>
        <v>0</v>
      </c>
      <c r="AK74" s="400">
        <f ca="1">IFERROR(AD74/AD$20,0)</f>
        <v>0</v>
      </c>
      <c r="AL74" s="401">
        <f ca="1">IFERROR(AG74/AG$20,0)</f>
        <v>0</v>
      </c>
      <c r="AM74" s="402">
        <f ca="1">+IFERROR(ROUND(($AB74-AE74)*100,2)&amp;" pts.",0)</f>
        <v>0</v>
      </c>
      <c r="AN74" s="403">
        <f ca="1">+IFERROR(ROUND(($AB74-AH74)*100,2)&amp;" pts.",0)</f>
        <v>0</v>
      </c>
    </row>
    <row r="75" spans="1:40" hidden="1" x14ac:dyDescent="0.25">
      <c r="A75" s="1" t="s">
        <v>102</v>
      </c>
      <c r="C75" s="151" t="s">
        <v>101</v>
      </c>
      <c r="D75" s="1" t="s">
        <v>107</v>
      </c>
      <c r="F75" s="1" t="s">
        <v>99</v>
      </c>
      <c r="H75" s="15"/>
      <c r="I75" s="161" t="e">
        <f ca="1">_xll.EVPRO($B$1,$H75,"STYLE")</f>
        <v>#NAME?</v>
      </c>
      <c r="J75" s="161" t="e">
        <f ca="1">_xll.EVPRO($B$1,$H75,"CALC")</f>
        <v>#NAME?</v>
      </c>
      <c r="K75" s="68" t="e">
        <f ca="1">IF(AND(I75&lt;&gt;"B1",J75="Y"),"&gt;","")</f>
        <v>#NAME?</v>
      </c>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310" t="e">
        <f ca="1">IF($I75="B1","",SUM(O75:Z75))</f>
        <v>#NAME?</v>
      </c>
      <c r="AB75" s="17" t="e">
        <f ca="1">IF(AA75=0,"",IFERROR(AA75/AA$19,""))</f>
        <v>#NAME?</v>
      </c>
      <c r="AD75" s="21"/>
      <c r="AE75" s="17" t="str">
        <f>IF(AD75=0,"",IFERROR(AD75/AD$19,""))</f>
        <v/>
      </c>
      <c r="AF75" s="50" t="e">
        <f ca="1">IF(AND($AA75="",AD75=""),"",$AA75-AD75)</f>
        <v>#NAME?</v>
      </c>
      <c r="AG75" s="21"/>
      <c r="AH75" s="17" t="str">
        <f>IF(AG75=0,"",IFERROR(AG75/AG$19,""))</f>
        <v/>
      </c>
      <c r="AI75" s="50" t="e">
        <f ca="1">IF(AND($AA75="",AG75=""),"",$AA75-AG75)</f>
        <v>#NAME?</v>
      </c>
      <c r="AJ75" s="399">
        <f ca="1">IFERROR(AA75/AA$20,0)</f>
        <v>0</v>
      </c>
      <c r="AK75" s="400">
        <f ca="1">IFERROR(AD75/AD$20,0)</f>
        <v>0</v>
      </c>
      <c r="AL75" s="401">
        <f ca="1">IFERROR(AG75/AG$20,0)</f>
        <v>0</v>
      </c>
      <c r="AM75" s="402">
        <f ca="1">+IFERROR(ROUND(($AB75-AE75)*100,2)&amp;" pts.",0)</f>
        <v>0</v>
      </c>
      <c r="AN75" s="403">
        <f ca="1">+IFERROR(ROUND(($AB75-AH75)*100,2)&amp;" pts.",0)</f>
        <v>0</v>
      </c>
    </row>
    <row r="76" spans="1:40" x14ac:dyDescent="0.25">
      <c r="A76" s="1" t="s">
        <v>108</v>
      </c>
      <c r="C76" s="25" t="s">
        <v>101</v>
      </c>
      <c r="D76" s="1" t="s">
        <v>106</v>
      </c>
      <c r="F76" s="1" t="s">
        <v>98</v>
      </c>
      <c r="H76" s="15" t="s">
        <v>79</v>
      </c>
      <c r="I76" s="27" t="e">
        <f ca="1">_xll.EVPRO($B$1,$H76,"STYLE")</f>
        <v>#NAME?</v>
      </c>
      <c r="J76" s="27" t="e">
        <f ca="1">_xll.EVPRO($B$1,$H76,"CALC")</f>
        <v>#NAME?</v>
      </c>
      <c r="K76" s="26"/>
      <c r="L76" s="26"/>
      <c r="M76" s="26"/>
      <c r="N76" s="25" t="e">
        <f ca="1">IF(_xll.EVDES(H76,$B$1)="#NODATA","",_xll.EVDES(H76,$B$1))</f>
        <v>#NAME?</v>
      </c>
      <c r="O76" s="33"/>
      <c r="P76" s="33"/>
      <c r="Q76" s="33"/>
      <c r="R76" s="33"/>
      <c r="S76" s="33"/>
      <c r="T76" s="33"/>
      <c r="U76" s="33"/>
      <c r="V76" s="33"/>
      <c r="W76" s="33"/>
      <c r="X76" s="33"/>
      <c r="Y76" s="33"/>
      <c r="Z76" s="33"/>
      <c r="AA76" s="33" t="e">
        <f ca="1">IF($I76="B1","",SUM(O76:Z76))</f>
        <v>#NAME?</v>
      </c>
      <c r="AB76" s="34" t="e">
        <f ca="1">IF(AA76=0,"",IFERROR(AA76/AA$19,""))</f>
        <v>#NAME?</v>
      </c>
      <c r="AD76" s="33"/>
      <c r="AE76" s="34" t="str">
        <f>IF(AD76=0,"",IFERROR(AD76/AD$19,""))</f>
        <v/>
      </c>
      <c r="AF76" s="52" t="e">
        <f ca="1">IF(AND($AA76="",AD76=""),"",$AA76-AD76)</f>
        <v>#NAME?</v>
      </c>
      <c r="AG76" s="33"/>
      <c r="AH76" s="34" t="str">
        <f>IF(AG76=0,"",IFERROR(AG76/AG$19,""))</f>
        <v/>
      </c>
      <c r="AI76" s="52" t="e">
        <f ca="1">IF(AND($AA76="",AG76=""),"",$AA76-AG76)</f>
        <v>#NAME?</v>
      </c>
      <c r="AJ76" s="415">
        <f ca="1">IFERROR(AA76/AA$20,0)</f>
        <v>0</v>
      </c>
      <c r="AK76" s="416">
        <f ca="1">IFERROR(AD76/AD$20,0)</f>
        <v>0</v>
      </c>
      <c r="AL76" s="417">
        <f ca="1">IFERROR(AG76/AG$20,0)</f>
        <v>0</v>
      </c>
      <c r="AM76" s="418">
        <f ca="1">+IFERROR(ROUND(($AB76-AE76)*100,2)&amp;" pts.",0)</f>
        <v>0</v>
      </c>
      <c r="AN76" s="436">
        <f ca="1">+IFERROR(ROUND(($AB76-AH76)*100,2)&amp;" pts.",0)</f>
        <v>0</v>
      </c>
    </row>
    <row r="77" spans="1:40" x14ac:dyDescent="0.25">
      <c r="A77" s="1" t="s">
        <v>108</v>
      </c>
      <c r="C77" s="151" t="s">
        <v>101</v>
      </c>
      <c r="D77" s="1" t="s">
        <v>107</v>
      </c>
      <c r="F77" s="1" t="s">
        <v>99</v>
      </c>
    </row>
    <row r="78" spans="1:40" x14ac:dyDescent="0.25">
      <c r="H78" s="15" t="s">
        <v>80</v>
      </c>
      <c r="I78" s="27" t="e">
        <f ca="1">_xll.EVPRO($B$1,$H78,"STYLE")</f>
        <v>#NAME?</v>
      </c>
      <c r="J78" s="27" t="e">
        <f ca="1">_xll.EVPRO($B$1,$H78,"CALC")</f>
        <v>#NAME?</v>
      </c>
      <c r="K78" s="25"/>
      <c r="L78" s="25"/>
      <c r="M78" s="25"/>
      <c r="N78" s="25" t="e">
        <f ca="1">IF(_xll.EVDES(H78,$B$1)="#NODATA","",_xll.EVDES(H78,$B$1))</f>
        <v>#NAME?</v>
      </c>
      <c r="O78" s="36"/>
      <c r="P78" s="36"/>
      <c r="Q78" s="36"/>
      <c r="R78" s="36"/>
      <c r="S78" s="36"/>
      <c r="T78" s="36"/>
      <c r="U78" s="36"/>
      <c r="V78" s="36"/>
      <c r="W78" s="36"/>
      <c r="X78" s="36"/>
      <c r="Y78" s="36"/>
      <c r="Z78" s="36"/>
      <c r="AA78" s="36" t="e">
        <f ca="1">IF($I78="B1","",SUM(O78:Z78))</f>
        <v>#NAME?</v>
      </c>
      <c r="AB78" s="37" t="e">
        <f ca="1">IF(AA78=0,"",IFERROR(AA78/AA$19,""))</f>
        <v>#NAME?</v>
      </c>
      <c r="AD78" s="36"/>
      <c r="AE78" s="37" t="str">
        <f>IF(AD78=0,"",IFERROR(AD78/AD$19,""))</f>
        <v/>
      </c>
      <c r="AF78" s="59" t="e">
        <f ca="1">IF(AND($AA78="",AD78=""),"",$AA78-AD78)</f>
        <v>#NAME?</v>
      </c>
      <c r="AG78" s="60"/>
      <c r="AH78" s="61" t="str">
        <f>IF(AG78=0,"",IFERROR(AG78/AG$19,""))</f>
        <v/>
      </c>
      <c r="AI78" s="59" t="e">
        <f ca="1">IF(AND($AA78="",AG78=""),"",$AA78-AG78)</f>
        <v>#NAME?</v>
      </c>
      <c r="AJ78" s="392">
        <f ca="1">IFERROR(AA78/AA$20,0)</f>
        <v>0</v>
      </c>
      <c r="AK78" s="393">
        <f ca="1">IFERROR(AD78/AD$20,0)</f>
        <v>0</v>
      </c>
      <c r="AL78" s="394">
        <f ca="1">IFERROR(AG78/AG$20,0)</f>
        <v>0</v>
      </c>
      <c r="AM78" s="395">
        <f ca="1">+IFERROR(ROUND(($AB78-AE78)*100,2)&amp;" pts.",0)</f>
        <v>0</v>
      </c>
      <c r="AN78" s="437">
        <f ca="1">+IFERROR(ROUND(($AB78-AH78)*100,2)&amp;" pts.",0)</f>
        <v>0</v>
      </c>
    </row>
    <row r="79" spans="1:40" ht="15.75" thickBot="1" x14ac:dyDescent="0.3">
      <c r="C79" s="32"/>
      <c r="H79" s="15" t="s">
        <v>81</v>
      </c>
      <c r="I79" s="27" t="e">
        <f ca="1">_xll.EVPRO($B$1,$H79,"STYLE")</f>
        <v>#NAME?</v>
      </c>
      <c r="J79" s="27" t="e">
        <f ca="1">_xll.EVPRO($B$1,$H79,"CALC")</f>
        <v>#NAME?</v>
      </c>
      <c r="K79" s="25"/>
      <c r="L79" s="25"/>
      <c r="M79" s="25"/>
      <c r="N79" s="25" t="e">
        <f ca="1">IF(_xll.EVDES(H79,$B$1)="#NODATA","",_xll.EVDES(H79,$B$1))</f>
        <v>#NAME?</v>
      </c>
      <c r="O79" s="62"/>
      <c r="P79" s="62"/>
      <c r="Q79" s="62"/>
      <c r="R79" s="62"/>
      <c r="S79" s="62"/>
      <c r="T79" s="62"/>
      <c r="U79" s="62"/>
      <c r="V79" s="62"/>
      <c r="W79" s="62"/>
      <c r="X79" s="62"/>
      <c r="Y79" s="62"/>
      <c r="Z79" s="62"/>
      <c r="AA79" s="62" t="e">
        <f ca="1">IF($I79="B1","",SUM(O79:Z79))</f>
        <v>#NAME?</v>
      </c>
      <c r="AB79" s="63" t="e">
        <f ca="1">IF(AA79=0,"",IFERROR(AA79/AA$19,""))</f>
        <v>#NAME?</v>
      </c>
      <c r="AD79" s="62"/>
      <c r="AE79" s="63" t="str">
        <f>IF(AD79=0,"",IFERROR(AD79/AD$19,""))</f>
        <v/>
      </c>
      <c r="AF79" s="64" t="e">
        <f ca="1">IF(AND($AA79="",AD79=""),"",$AA79-AD79)</f>
        <v>#NAME?</v>
      </c>
      <c r="AG79" s="62">
        <v>0</v>
      </c>
      <c r="AH79" s="63" t="str">
        <f>IF(AG79=0,"",IFERROR(AG79/AG$19,""))</f>
        <v/>
      </c>
      <c r="AI79" s="64" t="e">
        <f ca="1">IF(AND($AA79="",AG79=""),"",$AA79-AG79)</f>
        <v>#NAME?</v>
      </c>
      <c r="AJ79" s="430">
        <f ca="1">IFERROR(AA79/AA$20,0)</f>
        <v>0</v>
      </c>
      <c r="AK79" s="431">
        <f ca="1">IFERROR(AD79/AD$20,0)</f>
        <v>0</v>
      </c>
      <c r="AL79" s="432">
        <f ca="1">IFERROR(AG79/AG$20,0)</f>
        <v>0</v>
      </c>
      <c r="AM79" s="433">
        <f ca="1">+IFERROR(ROUND(($AB79-AE79)*100,2)&amp;" pts.",0)</f>
        <v>0</v>
      </c>
      <c r="AN79" s="438">
        <f ca="1">+IFERROR(ROUND(($AB79-AH79)*100,2)&amp;" pts.",0)</f>
        <v>0</v>
      </c>
    </row>
    <row r="80" spans="1:40" ht="15.75" thickTop="1" x14ac:dyDescent="0.25">
      <c r="A80" s="4" t="e">
        <f ca="1">_xll.EVDRE($B$1,A83:B90,A93:B99)</f>
        <v>#NAME?</v>
      </c>
    </row>
    <row r="81" spans="1:35" x14ac:dyDescent="0.25">
      <c r="N81" s="26" t="e">
        <f ca="1">N78&amp;" - Check"</f>
        <v>#NAME?</v>
      </c>
      <c r="O81" s="139">
        <f t="shared" ref="O81:AA81" si="23">SUMIF($H$35:$H$79,"600000",O$35:O$79)+SUMIF($H$35:$H$79,"700000",O$35:O$79)-SUMIF($H$35:$H$79,"TOTDEPTEXP",O$35:O$79)</f>
        <v>0</v>
      </c>
      <c r="P81" s="139">
        <f t="shared" si="23"/>
        <v>0</v>
      </c>
      <c r="Q81" s="139">
        <f t="shared" si="23"/>
        <v>0</v>
      </c>
      <c r="R81" s="139">
        <f t="shared" si="23"/>
        <v>0</v>
      </c>
      <c r="S81" s="139">
        <f t="shared" si="23"/>
        <v>0</v>
      </c>
      <c r="T81" s="139">
        <f t="shared" si="23"/>
        <v>0</v>
      </c>
      <c r="U81" s="139">
        <f t="shared" si="23"/>
        <v>0</v>
      </c>
      <c r="V81" s="139">
        <f t="shared" si="23"/>
        <v>0</v>
      </c>
      <c r="W81" s="139">
        <f t="shared" si="23"/>
        <v>0</v>
      </c>
      <c r="X81" s="139">
        <f t="shared" si="23"/>
        <v>0</v>
      </c>
      <c r="Y81" s="139">
        <f t="shared" si="23"/>
        <v>0</v>
      </c>
      <c r="Z81" s="139">
        <f t="shared" si="23"/>
        <v>0</v>
      </c>
      <c r="AA81" s="139" t="e">
        <f t="shared" ca="1" si="23"/>
        <v>#NAME?</v>
      </c>
      <c r="AB81" s="17"/>
      <c r="AD81" s="139">
        <f>SUMIF($H$35:$H$79,"600000",AD$35:AD$79)+SUMIF($H$35:$H$79,"700000",AD$35:AD$79)-SUMIF($H$35:$H$79,"TOTDEPTEXP",AD$35:AD$79)</f>
        <v>0</v>
      </c>
      <c r="AE81" s="17"/>
      <c r="AF81" s="21"/>
      <c r="AG81" s="139">
        <f>SUMIF($H$35:$H$79,"600000",AG$35:AG$79)+SUMIF($H$35:$H$79,"700000",AG$35:AG$79)-SUMIF($H$35:$H$79,"TOTDEPTEXP",AG$35:AG$79)</f>
        <v>0</v>
      </c>
      <c r="AH81" s="17"/>
      <c r="AI81" s="21"/>
    </row>
    <row r="82" spans="1:35" x14ac:dyDescent="0.25">
      <c r="A82" s="3" t="s">
        <v>0</v>
      </c>
      <c r="B82" s="5" t="s">
        <v>1</v>
      </c>
      <c r="N82" s="26" t="e">
        <f ca="1">N79&amp;" - Check"</f>
        <v>#NAME?</v>
      </c>
      <c r="O82" s="139">
        <f t="shared" ref="O82:AA82" si="24">SUMIF($H$35:$H$79,"KPI_GP",O$35:O$79)-SUMIF($H$35:$H$79,"TOTDEPTEXP",O$35:O$79)-SUMIF($H$35:$H$79,"TOTDEPTPL",O$35:O$79)</f>
        <v>0</v>
      </c>
      <c r="P82" s="139">
        <f t="shared" si="24"/>
        <v>0</v>
      </c>
      <c r="Q82" s="139">
        <f t="shared" si="24"/>
        <v>0</v>
      </c>
      <c r="R82" s="139">
        <f t="shared" si="24"/>
        <v>0</v>
      </c>
      <c r="S82" s="139">
        <f t="shared" si="24"/>
        <v>0</v>
      </c>
      <c r="T82" s="139">
        <f t="shared" si="24"/>
        <v>0</v>
      </c>
      <c r="U82" s="139">
        <f t="shared" si="24"/>
        <v>0</v>
      </c>
      <c r="V82" s="139">
        <f t="shared" si="24"/>
        <v>0</v>
      </c>
      <c r="W82" s="139">
        <f t="shared" si="24"/>
        <v>0</v>
      </c>
      <c r="X82" s="139">
        <f t="shared" si="24"/>
        <v>0</v>
      </c>
      <c r="Y82" s="139">
        <f t="shared" si="24"/>
        <v>0</v>
      </c>
      <c r="Z82" s="139">
        <f t="shared" si="24"/>
        <v>0</v>
      </c>
      <c r="AA82" s="139" t="e">
        <f t="shared" ca="1" si="24"/>
        <v>#NAME?</v>
      </c>
      <c r="AB82" s="17"/>
      <c r="AD82" s="139">
        <f>SUMIF($H$35:$H$79,"KPI_GP",AD$35:AD$79)-SUMIF($H$35:$H$79,"TOTDEPTEXP",AD$35:AD$79)-SUMIF($H$35:$H$79,"TOTDEPTPL",AD$35:AD$79)</f>
        <v>0</v>
      </c>
      <c r="AE82" s="17"/>
      <c r="AF82" s="21"/>
      <c r="AG82" s="139">
        <f>SUMIF($H$35:$H$79,"KPI_GP",AG$35:AG$79)-SUMIF($H$35:$H$79,"TOTDEPTEXP",AG$35:AG$79)-SUMIF($H$35:$H$79,"TOTDEPTPL",AG$35:AG$79)</f>
        <v>0</v>
      </c>
      <c r="AH82" s="17"/>
      <c r="AI82" s="21"/>
    </row>
    <row r="83" spans="1:35" x14ac:dyDescent="0.25">
      <c r="A83" s="6" t="s">
        <v>2</v>
      </c>
      <c r="B83" s="7" t="e">
        <f ca="1">_xll.EVRNG($B$2:$B$10)</f>
        <v>#NAME?</v>
      </c>
    </row>
    <row r="84" spans="1:35" x14ac:dyDescent="0.25">
      <c r="A84" s="6" t="s">
        <v>3</v>
      </c>
      <c r="B84" s="7" t="e">
        <f ca="1">_xll.EVRNG($O$16:$AN$18)</f>
        <v>#NAME?</v>
      </c>
      <c r="O84" s="166"/>
      <c r="P84" s="166"/>
      <c r="Q84" s="166"/>
      <c r="R84" s="166"/>
      <c r="S84" s="166"/>
      <c r="T84" s="166"/>
      <c r="U84" s="166"/>
      <c r="V84" s="166"/>
      <c r="W84" s="166"/>
      <c r="X84" s="166"/>
      <c r="Y84" s="166"/>
      <c r="Z84" s="166"/>
      <c r="AA84" s="166"/>
      <c r="AD84" s="166"/>
      <c r="AG84" s="166"/>
    </row>
    <row r="85" spans="1:35" x14ac:dyDescent="0.25">
      <c r="A85" s="6" t="s">
        <v>4</v>
      </c>
      <c r="B85" s="7" t="e">
        <f ca="1">_xll.EVRNG(H67:H68,H70:H71,H74:H75)</f>
        <v>#NAME?</v>
      </c>
    </row>
    <row r="86" spans="1:35" x14ac:dyDescent="0.25">
      <c r="A86" s="6" t="s">
        <v>5</v>
      </c>
      <c r="B86" s="7"/>
      <c r="O86" s="166"/>
      <c r="P86" s="166"/>
      <c r="Q86" s="166"/>
      <c r="R86" s="166"/>
      <c r="S86" s="166"/>
      <c r="T86" s="166"/>
      <c r="U86" s="166"/>
      <c r="V86" s="166"/>
      <c r="W86" s="166"/>
      <c r="X86" s="166"/>
      <c r="Y86" s="166"/>
      <c r="Z86" s="166"/>
      <c r="AA86" s="166"/>
      <c r="AD86" s="166"/>
      <c r="AG86" s="166"/>
    </row>
    <row r="87" spans="1:35" x14ac:dyDescent="0.25">
      <c r="A87" s="6" t="s">
        <v>6</v>
      </c>
      <c r="B87" s="7"/>
    </row>
    <row r="88" spans="1:35" x14ac:dyDescent="0.25">
      <c r="A88" s="6" t="s">
        <v>7</v>
      </c>
      <c r="B88" s="7" t="e">
        <f ca="1">_xll.EVRNG(A102:F108)</f>
        <v>#NAME?</v>
      </c>
    </row>
    <row r="89" spans="1:35" x14ac:dyDescent="0.25">
      <c r="A89" s="6" t="s">
        <v>47</v>
      </c>
      <c r="B89" s="7" t="e">
        <f ca="1">_xll.EVRNG($A$125:$B$146)</f>
        <v>#NAME?</v>
      </c>
      <c r="H89" s="11"/>
      <c r="J89" s="1"/>
    </row>
    <row r="90" spans="1:35" x14ac:dyDescent="0.25">
      <c r="A90" s="6" t="s">
        <v>8</v>
      </c>
      <c r="B90" s="7"/>
      <c r="H90" s="11"/>
      <c r="J90" s="1"/>
    </row>
    <row r="91" spans="1:35" x14ac:dyDescent="0.25">
      <c r="H91" s="11"/>
      <c r="J91" s="1"/>
    </row>
    <row r="92" spans="1:35" x14ac:dyDescent="0.25">
      <c r="A92" s="3" t="s">
        <v>9</v>
      </c>
      <c r="B92" s="5" t="s">
        <v>10</v>
      </c>
      <c r="H92" s="11"/>
      <c r="J92" s="1"/>
    </row>
    <row r="93" spans="1:35" x14ac:dyDescent="0.25">
      <c r="A93" s="6" t="s">
        <v>11</v>
      </c>
      <c r="B93" s="7" t="s">
        <v>21</v>
      </c>
      <c r="H93" s="11"/>
      <c r="J93" s="1"/>
    </row>
    <row r="94" spans="1:35" x14ac:dyDescent="0.25">
      <c r="A94" s="6" t="s">
        <v>12</v>
      </c>
      <c r="B94" s="7" t="s">
        <v>22</v>
      </c>
      <c r="G94" s="14"/>
      <c r="H94" s="11"/>
      <c r="J94" s="1"/>
    </row>
    <row r="95" spans="1:35" x14ac:dyDescent="0.25">
      <c r="A95" s="6" t="s">
        <v>13</v>
      </c>
      <c r="B95" s="7" t="s">
        <v>737</v>
      </c>
      <c r="H95" s="11"/>
      <c r="J95" s="1"/>
    </row>
    <row r="96" spans="1:35" x14ac:dyDescent="0.25">
      <c r="A96" s="6" t="s">
        <v>14</v>
      </c>
      <c r="B96" s="7"/>
      <c r="H96" s="11"/>
      <c r="J96" s="1"/>
    </row>
    <row r="97" spans="1:10" x14ac:dyDescent="0.25">
      <c r="A97" s="6" t="s">
        <v>15</v>
      </c>
      <c r="B97" s="7"/>
      <c r="H97" s="11"/>
      <c r="J97" s="1"/>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G108" s="14"/>
      <c r="H108" s="11"/>
      <c r="J108" s="1"/>
    </row>
    <row r="109" spans="1:10" x14ac:dyDescent="0.25">
      <c r="C109" s="32"/>
      <c r="G109" s="14"/>
      <c r="H109" s="11"/>
      <c r="J109" s="1"/>
    </row>
    <row r="110" spans="1:10" x14ac:dyDescent="0.25">
      <c r="H110" s="11"/>
      <c r="J110" s="1"/>
    </row>
    <row r="111" spans="1:10" x14ac:dyDescent="0.25">
      <c r="A111" s="4" t="e">
        <f ca="1">_xll.EVDRE($B$1,A114:B121)</f>
        <v>#NAME?</v>
      </c>
      <c r="B111" s="1" t="s">
        <v>736</v>
      </c>
      <c r="H111" s="11"/>
      <c r="J111" s="1"/>
    </row>
    <row r="113" spans="1:2" x14ac:dyDescent="0.25">
      <c r="A113" s="3" t="s">
        <v>0</v>
      </c>
      <c r="B113" s="5" t="s">
        <v>1</v>
      </c>
    </row>
    <row r="114" spans="1:2" x14ac:dyDescent="0.25">
      <c r="A114" s="6" t="s">
        <v>2</v>
      </c>
      <c r="B114" s="7" t="e">
        <f ca="1">_xll.EVRNG($B$2:$B$10)</f>
        <v>#NAME?</v>
      </c>
    </row>
    <row r="115" spans="1:2" x14ac:dyDescent="0.25">
      <c r="A115" s="6" t="s">
        <v>3</v>
      </c>
      <c r="B115" s="7" t="e">
        <f ca="1">_xll.EVRNG($O$16:$AN$18)</f>
        <v>#NAME?</v>
      </c>
    </row>
    <row r="116" spans="1:2" x14ac:dyDescent="0.25">
      <c r="A116" s="6" t="s">
        <v>4</v>
      </c>
      <c r="B116" s="7" t="e">
        <f ca="1">_xll.EVRNG(H76:H79)</f>
        <v>#NAME?</v>
      </c>
    </row>
    <row r="117" spans="1:2" x14ac:dyDescent="0.25">
      <c r="A117" s="6" t="s">
        <v>5</v>
      </c>
      <c r="B117" s="7"/>
    </row>
    <row r="118" spans="1:2" x14ac:dyDescent="0.25">
      <c r="A118" s="6" t="s">
        <v>6</v>
      </c>
      <c r="B118" s="7"/>
    </row>
    <row r="119" spans="1:2" x14ac:dyDescent="0.25">
      <c r="A119" s="6" t="s">
        <v>7</v>
      </c>
      <c r="B119" s="7"/>
    </row>
    <row r="120" spans="1:2" x14ac:dyDescent="0.25">
      <c r="A120" s="6" t="s">
        <v>47</v>
      </c>
      <c r="B120" s="7" t="e">
        <f ca="1">_xll.EVRNG($A$125:$B$146)</f>
        <v>#NAME?</v>
      </c>
    </row>
    <row r="121" spans="1:2" x14ac:dyDescent="0.25">
      <c r="A121" s="6" t="s">
        <v>8</v>
      </c>
      <c r="B121" s="7"/>
    </row>
    <row r="124" spans="1:2" x14ac:dyDescent="0.25">
      <c r="A124" s="3" t="s">
        <v>23</v>
      </c>
      <c r="B124" s="5" t="s">
        <v>24</v>
      </c>
    </row>
    <row r="125" spans="1:2" x14ac:dyDescent="0.25">
      <c r="A125" s="6" t="s">
        <v>25</v>
      </c>
      <c r="B125" s="7"/>
    </row>
    <row r="126" spans="1:2" x14ac:dyDescent="0.25">
      <c r="A126" s="6" t="s">
        <v>26</v>
      </c>
      <c r="B126" s="7"/>
    </row>
    <row r="127" spans="1:2" x14ac:dyDescent="0.25">
      <c r="A127" s="6" t="s">
        <v>27</v>
      </c>
      <c r="B127" s="7"/>
    </row>
    <row r="128" spans="1:2"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34" x14ac:dyDescent="0.25">
      <c r="A145" s="6" t="s">
        <v>45</v>
      </c>
      <c r="B145" s="7"/>
    </row>
    <row r="146" spans="1:34" x14ac:dyDescent="0.25">
      <c r="A146" s="6" t="s">
        <v>46</v>
      </c>
      <c r="B146" s="7"/>
    </row>
    <row r="152" spans="1:34" x14ac:dyDescent="0.25">
      <c r="I152" s="76"/>
      <c r="J152" s="1"/>
      <c r="K152" s="76"/>
      <c r="L152" s="76"/>
      <c r="M152" s="76"/>
      <c r="O152" s="76"/>
      <c r="P152" s="76"/>
      <c r="Q152" s="76"/>
      <c r="R152" s="76"/>
      <c r="S152" s="76"/>
      <c r="T152" s="76"/>
      <c r="U152" s="76"/>
      <c r="V152" s="76"/>
      <c r="W152" s="76"/>
      <c r="X152" s="76"/>
      <c r="Y152" s="76"/>
      <c r="Z152" s="76"/>
      <c r="AA152" s="76"/>
      <c r="AD152" s="76"/>
      <c r="AF152" s="76"/>
      <c r="AH152" s="76"/>
    </row>
    <row r="156" spans="1:34" x14ac:dyDescent="0.25">
      <c r="I156" s="76"/>
      <c r="J156" s="1"/>
      <c r="K156" s="76"/>
      <c r="L156" s="76"/>
      <c r="M156" s="76"/>
      <c r="O156" s="76"/>
      <c r="P156" s="76"/>
      <c r="Q156" s="76"/>
      <c r="R156" s="76"/>
      <c r="S156" s="76"/>
      <c r="T156" s="76"/>
      <c r="U156" s="76"/>
      <c r="V156" s="76"/>
      <c r="W156" s="76"/>
      <c r="X156" s="76"/>
      <c r="Y156" s="76"/>
      <c r="Z156" s="76"/>
      <c r="AA156" s="76"/>
      <c r="AD156" s="76"/>
      <c r="AF156" s="76"/>
      <c r="AH156" s="76"/>
    </row>
    <row r="163" spans="5:7" x14ac:dyDescent="0.25">
      <c r="E163" s="76"/>
    </row>
    <row r="167" spans="5:7" x14ac:dyDescent="0.25">
      <c r="E167" s="76"/>
    </row>
    <row r="170" spans="5:7" x14ac:dyDescent="0.25">
      <c r="G170" s="76"/>
    </row>
    <row r="174" spans="5:7" x14ac:dyDescent="0.25">
      <c r="G174" s="76"/>
    </row>
  </sheetData>
  <mergeCells count="2">
    <mergeCell ref="AD31:AE31"/>
    <mergeCell ref="AG31:AH31"/>
  </mergeCells>
  <dataValidations disablePrompts="1" count="2">
    <dataValidation type="list" allowBlank="1" sqref="B62 B29 B95" xr:uid="{00000000-0002-0000-2A00-000000000000}">
      <formula1>"SELF,ALL,BAS,DEP,BASMEMBERS,MEMBERS,NOEXPAND,GDEP"</formula1>
    </dataValidation>
    <dataValidation type="list" allowBlank="1" sqref="B61 B28 B94" xr:uid="{00000000-0002-0000-2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434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14344" r:id="rId7" name="FPMExcelClientSheetOptionstb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1">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346</v>
      </c>
      <c r="C6" s="1" t="s">
        <v>1453</v>
      </c>
      <c r="E6" s="49" t="s">
        <v>1452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1454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1455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1456</v>
      </c>
      <c r="G19" s="18" t="str">
        <f>$B$6</f>
        <v>D_RS_CON</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tr">
        <f>$B$6</f>
        <v>D_RS_CON</v>
      </c>
      <c r="H20" s="18">
        <v>946000</v>
      </c>
      <c r="I20" s="19"/>
      <c r="J20" s="19"/>
      <c r="K20" s="18"/>
      <c r="L20" s="19"/>
      <c r="M20" s="19"/>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I21" s="1"/>
      <c r="J21" s="1"/>
    </row>
    <row r="22" spans="1:40" hidden="1" outlineLevel="1" x14ac:dyDescent="0.25">
      <c r="A22" s="6" t="s">
        <v>7</v>
      </c>
      <c r="B22" s="16" t="s">
        <v>1457</v>
      </c>
      <c r="I22" s="1"/>
      <c r="J22" s="1"/>
    </row>
    <row r="23" spans="1:40" hidden="1" outlineLevel="1" x14ac:dyDescent="0.25">
      <c r="A23" s="6" t="s">
        <v>47</v>
      </c>
      <c r="B23" s="16" t="s">
        <v>1458</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1459</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D2147=Y,REV_F,BEV,DEP(REV_BEV) AND D2147=Y,REV_BEV,ALLOW_FB,REV_FB,OTHR_REV,DEP(REV_OTHR) AND D2147=Y,REV_OTHR,400000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1" si="0">IF(AND(I35&gt;="T5"),"&gt;","")</f>
        <v>&gt;</v>
      </c>
      <c r="L35" s="162">
        <v>461100</v>
      </c>
      <c r="M35" s="162"/>
      <c r="N35" s="162" t="s">
        <v>1258</v>
      </c>
      <c r="O35" s="332"/>
      <c r="P35" s="333"/>
      <c r="Q35" s="333"/>
      <c r="R35" s="333"/>
      <c r="S35" s="333"/>
      <c r="T35" s="333"/>
      <c r="U35" s="333"/>
      <c r="V35" s="333"/>
      <c r="W35" s="333"/>
      <c r="X35" s="333"/>
      <c r="Y35" s="333"/>
      <c r="Z35" s="333"/>
      <c r="AA35" s="310">
        <f t="shared" ref="AA35:AA51" si="1">IF($I35="B1","",SUM(O35:Z35))</f>
        <v>0</v>
      </c>
      <c r="AB35" s="334" t="str">
        <f t="shared" ref="AB35:AB51" si="2">IF(AA35=0,"",IFERROR(AA35/AA$19,""))</f>
        <v/>
      </c>
      <c r="AC35" s="290"/>
      <c r="AD35" s="333"/>
      <c r="AE35" s="334" t="str">
        <f t="shared" ref="AE35:AE51" si="3">IF(AD35=0,"",IFERROR(AD35/AD$19,""))</f>
        <v/>
      </c>
      <c r="AF35" s="335">
        <f t="shared" ref="AF35:AF51" si="4">IF(AND($AA35="",AD35=""),"",$AA35-AD35)</f>
        <v>0</v>
      </c>
      <c r="AG35" s="333"/>
      <c r="AH35" s="334" t="str">
        <f t="shared" ref="AH35:AH51" si="5">IF(AG35=0,"",IFERROR(AG35/AG$19,""))</f>
        <v/>
      </c>
      <c r="AI35" s="336">
        <f t="shared" ref="AI35:AI51" si="6">IF(AND($AA35="",AG35=""),"",$AA35-AG35)</f>
        <v>0</v>
      </c>
      <c r="AJ35" s="399">
        <f t="shared" ref="AJ35:AJ51" si="7">IFERROR(AA35/AA$20,0)</f>
        <v>0</v>
      </c>
      <c r="AK35" s="400">
        <f t="shared" ref="AK35:AK51" si="8">IFERROR(AD35/AD$20,0)</f>
        <v>0</v>
      </c>
      <c r="AL35" s="401">
        <f t="shared" ref="AL35:AL51" si="9">IFERROR(AG35/AG$20,0)</f>
        <v>0</v>
      </c>
      <c r="AM35" s="402">
        <f t="shared" ref="AM35:AM51" si="10">+IFERROR(ROUND(($AB35-AE35)*100,2)&amp;" pts.",0)</f>
        <v>0</v>
      </c>
      <c r="AN35" s="403">
        <f t="shared" ref="AN35:AN51" si="11">+IFERROR(ROUND(($AB35-AH35)*100,2)&amp;" pts.",0)</f>
        <v>0</v>
      </c>
    </row>
    <row r="36" spans="1:40" x14ac:dyDescent="0.25">
      <c r="H36" s="15" t="s">
        <v>261</v>
      </c>
      <c r="I36" s="161" t="s">
        <v>1058</v>
      </c>
      <c r="J36" s="161" t="s">
        <v>78</v>
      </c>
      <c r="K36" s="68" t="str">
        <f t="shared" si="0"/>
        <v>&gt;</v>
      </c>
      <c r="L36" s="162">
        <v>462100</v>
      </c>
      <c r="M36" s="162"/>
      <c r="N36" s="162" t="s">
        <v>1265</v>
      </c>
      <c r="O36" s="332"/>
      <c r="P36" s="333"/>
      <c r="Q36" s="333"/>
      <c r="R36" s="333"/>
      <c r="S36" s="333"/>
      <c r="T36" s="333"/>
      <c r="U36" s="333"/>
      <c r="V36" s="333"/>
      <c r="W36" s="333"/>
      <c r="X36" s="333"/>
      <c r="Y36" s="333"/>
      <c r="Z36" s="333"/>
      <c r="AA36" s="310">
        <f t="shared" si="1"/>
        <v>0</v>
      </c>
      <c r="AB36" s="334" t="str">
        <f t="shared" si="2"/>
        <v/>
      </c>
      <c r="AC36" s="290"/>
      <c r="AD36" s="333"/>
      <c r="AE36" s="334" t="str">
        <f t="shared" si="3"/>
        <v/>
      </c>
      <c r="AF36" s="335">
        <f t="shared" si="4"/>
        <v>0</v>
      </c>
      <c r="AG36" s="333"/>
      <c r="AH36" s="334" t="str">
        <f t="shared" si="5"/>
        <v/>
      </c>
      <c r="AI36" s="336">
        <f t="shared" si="6"/>
        <v>0</v>
      </c>
      <c r="AJ36" s="399">
        <f t="shared" si="7"/>
        <v>0</v>
      </c>
      <c r="AK36" s="400">
        <f t="shared" si="8"/>
        <v>0</v>
      </c>
      <c r="AL36" s="401">
        <f t="shared" si="9"/>
        <v>0</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23"/>
      <c r="P37" s="324"/>
      <c r="Q37" s="324"/>
      <c r="R37" s="324"/>
      <c r="S37" s="324"/>
      <c r="T37" s="324"/>
      <c r="U37" s="324"/>
      <c r="V37" s="324"/>
      <c r="W37" s="324"/>
      <c r="X37" s="324"/>
      <c r="Y37" s="324"/>
      <c r="Z37" s="324"/>
      <c r="AA37" s="324">
        <f t="shared" si="1"/>
        <v>0</v>
      </c>
      <c r="AB37" s="325" t="str">
        <f t="shared" si="2"/>
        <v/>
      </c>
      <c r="AC37" s="290"/>
      <c r="AD37" s="324"/>
      <c r="AE37" s="325" t="str">
        <f t="shared" si="3"/>
        <v/>
      </c>
      <c r="AF37" s="326">
        <f t="shared" si="4"/>
        <v>0</v>
      </c>
      <c r="AG37" s="324"/>
      <c r="AH37" s="325" t="str">
        <f t="shared" si="5"/>
        <v/>
      </c>
      <c r="AI37" s="327">
        <f t="shared" si="6"/>
        <v>0</v>
      </c>
      <c r="AJ37" s="409">
        <f t="shared" si="7"/>
        <v>0</v>
      </c>
      <c r="AK37" s="410">
        <f t="shared" si="8"/>
        <v>0</v>
      </c>
      <c r="AL37" s="411">
        <f t="shared" si="9"/>
        <v>0</v>
      </c>
      <c r="AM37" s="412">
        <f t="shared" si="10"/>
        <v>0</v>
      </c>
      <c r="AN37" s="413">
        <f t="shared" si="11"/>
        <v>0</v>
      </c>
    </row>
    <row r="38" spans="1:40" x14ac:dyDescent="0.25">
      <c r="A38" s="1" t="s">
        <v>105</v>
      </c>
      <c r="C38" s="26" t="s">
        <v>101</v>
      </c>
      <c r="D38" s="1" t="s">
        <v>106</v>
      </c>
      <c r="F38" s="1" t="s">
        <v>98</v>
      </c>
      <c r="H38" s="15" t="s">
        <v>265</v>
      </c>
      <c r="I38" s="479" t="s">
        <v>1064</v>
      </c>
      <c r="J38" s="479" t="s">
        <v>78</v>
      </c>
      <c r="K38" s="480" t="str">
        <f t="shared" si="0"/>
        <v/>
      </c>
      <c r="L38" s="170"/>
      <c r="M38" s="170"/>
      <c r="N38" s="170" t="s">
        <v>1206</v>
      </c>
      <c r="O38" s="224"/>
      <c r="P38" s="134"/>
      <c r="Q38" s="134"/>
      <c r="R38" s="134"/>
      <c r="S38" s="134"/>
      <c r="T38" s="134"/>
      <c r="U38" s="134"/>
      <c r="V38" s="134"/>
      <c r="W38" s="134"/>
      <c r="X38" s="134"/>
      <c r="Y38" s="134"/>
      <c r="Z38" s="134"/>
      <c r="AA38" s="134">
        <f t="shared" si="1"/>
        <v>0</v>
      </c>
      <c r="AB38" s="135" t="str">
        <f t="shared" si="2"/>
        <v/>
      </c>
      <c r="AC38" s="137"/>
      <c r="AD38" s="134"/>
      <c r="AE38" s="135" t="str">
        <f t="shared" si="3"/>
        <v/>
      </c>
      <c r="AF38" s="136">
        <f t="shared" si="4"/>
        <v>0</v>
      </c>
      <c r="AG38" s="134"/>
      <c r="AH38" s="135" t="str">
        <f t="shared" si="5"/>
        <v/>
      </c>
      <c r="AI38" s="291">
        <f t="shared" si="6"/>
        <v>0</v>
      </c>
      <c r="AJ38" s="360">
        <f t="shared" si="7"/>
        <v>0</v>
      </c>
      <c r="AK38" s="361">
        <f t="shared" si="8"/>
        <v>0</v>
      </c>
      <c r="AL38" s="363">
        <f t="shared" si="9"/>
        <v>0</v>
      </c>
      <c r="AM38" s="405">
        <f t="shared" si="10"/>
        <v>0</v>
      </c>
      <c r="AN38" s="406">
        <f t="shared" si="11"/>
        <v>0</v>
      </c>
    </row>
    <row r="39" spans="1:40" x14ac:dyDescent="0.25">
      <c r="A39" s="1" t="s">
        <v>104</v>
      </c>
      <c r="C39" s="26" t="s">
        <v>101</v>
      </c>
      <c r="D39" s="1" t="s">
        <v>106</v>
      </c>
      <c r="F39" s="1" t="s">
        <v>98</v>
      </c>
      <c r="H39" s="15" t="s">
        <v>266</v>
      </c>
      <c r="I39" s="479" t="s">
        <v>1011</v>
      </c>
      <c r="J39" s="479" t="s">
        <v>78</v>
      </c>
      <c r="K39" s="480" t="str">
        <f t="shared" si="0"/>
        <v/>
      </c>
      <c r="L39" s="170"/>
      <c r="M39" s="170"/>
      <c r="N39" s="170" t="s">
        <v>1207</v>
      </c>
      <c r="O39" s="337"/>
      <c r="P39" s="38"/>
      <c r="Q39" s="38"/>
      <c r="R39" s="38"/>
      <c r="S39" s="38"/>
      <c r="T39" s="38"/>
      <c r="U39" s="38"/>
      <c r="V39" s="38"/>
      <c r="W39" s="38"/>
      <c r="X39" s="38"/>
      <c r="Y39" s="38"/>
      <c r="Z39" s="38"/>
      <c r="AA39" s="315" t="str">
        <f t="shared" si="1"/>
        <v/>
      </c>
      <c r="AB39" s="39" t="str">
        <f t="shared" si="2"/>
        <v/>
      </c>
      <c r="AC39" s="54"/>
      <c r="AD39" s="38"/>
      <c r="AE39" s="39" t="str">
        <f t="shared" si="3"/>
        <v/>
      </c>
      <c r="AF39" s="132" t="str">
        <f t="shared" si="4"/>
        <v/>
      </c>
      <c r="AG39" s="38"/>
      <c r="AH39" s="39" t="str">
        <f t="shared" si="5"/>
        <v/>
      </c>
      <c r="AI39" s="338" t="str">
        <f t="shared" si="6"/>
        <v/>
      </c>
      <c r="AJ39" s="353">
        <f t="shared" si="7"/>
        <v>0</v>
      </c>
      <c r="AK39" s="354">
        <f t="shared" si="8"/>
        <v>0</v>
      </c>
      <c r="AL39" s="356">
        <f t="shared" si="9"/>
        <v>0</v>
      </c>
      <c r="AM39" s="390">
        <f t="shared" si="10"/>
        <v>0</v>
      </c>
      <c r="AN39" s="404">
        <f t="shared" si="11"/>
        <v>0</v>
      </c>
    </row>
    <row r="40" spans="1:40" x14ac:dyDescent="0.25">
      <c r="A40" s="1" t="s">
        <v>100</v>
      </c>
      <c r="C40" s="8" t="s">
        <v>101</v>
      </c>
      <c r="D40" s="1" t="s">
        <v>106</v>
      </c>
      <c r="F40" s="1" t="s">
        <v>98</v>
      </c>
      <c r="H40" s="15" t="s">
        <v>267</v>
      </c>
      <c r="I40" s="161" t="s">
        <v>1058</v>
      </c>
      <c r="J40" s="161" t="s">
        <v>78</v>
      </c>
      <c r="K40" s="68" t="str">
        <f t="shared" si="0"/>
        <v>&gt;</v>
      </c>
      <c r="L40" s="162"/>
      <c r="M40" s="162"/>
      <c r="N40" s="162" t="s">
        <v>1316</v>
      </c>
      <c r="O40" s="332"/>
      <c r="P40" s="333"/>
      <c r="Q40" s="333"/>
      <c r="R40" s="333"/>
      <c r="S40" s="333"/>
      <c r="T40" s="333"/>
      <c r="U40" s="333"/>
      <c r="V40" s="333"/>
      <c r="W40" s="333"/>
      <c r="X40" s="333"/>
      <c r="Y40" s="333"/>
      <c r="Z40" s="333"/>
      <c r="AA40" s="310">
        <f t="shared" si="1"/>
        <v>0</v>
      </c>
      <c r="AB40" s="334" t="str">
        <f t="shared" si="2"/>
        <v/>
      </c>
      <c r="AC40" s="290"/>
      <c r="AD40" s="333"/>
      <c r="AE40" s="334" t="str">
        <f t="shared" si="3"/>
        <v/>
      </c>
      <c r="AF40" s="335">
        <f t="shared" si="4"/>
        <v>0</v>
      </c>
      <c r="AG40" s="333"/>
      <c r="AH40" s="334" t="str">
        <f t="shared" si="5"/>
        <v/>
      </c>
      <c r="AI40" s="336">
        <f t="shared" si="6"/>
        <v>0</v>
      </c>
      <c r="AJ40" s="399">
        <f t="shared" si="7"/>
        <v>0</v>
      </c>
      <c r="AK40" s="400">
        <f t="shared" si="8"/>
        <v>0</v>
      </c>
      <c r="AL40" s="401">
        <f t="shared" si="9"/>
        <v>0</v>
      </c>
      <c r="AM40" s="402">
        <f t="shared" si="10"/>
        <v>0</v>
      </c>
      <c r="AN40" s="403">
        <f t="shared" si="11"/>
        <v>0</v>
      </c>
    </row>
    <row r="41" spans="1:40" x14ac:dyDescent="0.25">
      <c r="A41" s="1" t="s">
        <v>102</v>
      </c>
      <c r="C41" s="25" t="s">
        <v>101</v>
      </c>
      <c r="D41" s="1" t="s">
        <v>106</v>
      </c>
      <c r="F41" s="1" t="s">
        <v>98</v>
      </c>
      <c r="H41" s="15" t="s">
        <v>268</v>
      </c>
      <c r="I41" s="161" t="s">
        <v>1058</v>
      </c>
      <c r="J41" s="161" t="s">
        <v>78</v>
      </c>
      <c r="K41" s="68" t="str">
        <f t="shared" si="0"/>
        <v>&gt;</v>
      </c>
      <c r="L41" s="162"/>
      <c r="M41" s="162"/>
      <c r="N41" s="162" t="s">
        <v>1317</v>
      </c>
      <c r="O41" s="332"/>
      <c r="P41" s="333"/>
      <c r="Q41" s="333"/>
      <c r="R41" s="333"/>
      <c r="S41" s="333"/>
      <c r="T41" s="333"/>
      <c r="U41" s="333"/>
      <c r="V41" s="333"/>
      <c r="W41" s="333"/>
      <c r="X41" s="333"/>
      <c r="Y41" s="333"/>
      <c r="Z41" s="333"/>
      <c r="AA41" s="310">
        <f t="shared" si="1"/>
        <v>0</v>
      </c>
      <c r="AB41" s="334" t="str">
        <f t="shared" si="2"/>
        <v/>
      </c>
      <c r="AC41" s="290"/>
      <c r="AD41" s="333"/>
      <c r="AE41" s="334" t="str">
        <f t="shared" si="3"/>
        <v/>
      </c>
      <c r="AF41" s="335">
        <f t="shared" si="4"/>
        <v>0</v>
      </c>
      <c r="AG41" s="333"/>
      <c r="AH41" s="334" t="str">
        <f t="shared" si="5"/>
        <v/>
      </c>
      <c r="AI41" s="336">
        <f t="shared" si="6"/>
        <v>0</v>
      </c>
      <c r="AJ41" s="399">
        <f t="shared" si="7"/>
        <v>0</v>
      </c>
      <c r="AK41" s="400">
        <f t="shared" si="8"/>
        <v>0</v>
      </c>
      <c r="AL41" s="401">
        <f t="shared" si="9"/>
        <v>0</v>
      </c>
      <c r="AM41" s="402">
        <f t="shared" si="10"/>
        <v>0</v>
      </c>
      <c r="AN41" s="403">
        <f t="shared" si="11"/>
        <v>0</v>
      </c>
    </row>
    <row r="42" spans="1:40" x14ac:dyDescent="0.25">
      <c r="A42" s="1" t="s">
        <v>102</v>
      </c>
      <c r="C42" s="151" t="s">
        <v>101</v>
      </c>
      <c r="D42" s="1" t="s">
        <v>107</v>
      </c>
      <c r="F42" s="1" t="s">
        <v>99</v>
      </c>
      <c r="H42" s="15" t="s">
        <v>269</v>
      </c>
      <c r="I42" s="161" t="s">
        <v>1058</v>
      </c>
      <c r="J42" s="161" t="s">
        <v>78</v>
      </c>
      <c r="K42" s="68" t="str">
        <f t="shared" si="0"/>
        <v>&gt;</v>
      </c>
      <c r="L42" s="162"/>
      <c r="M42" s="162"/>
      <c r="N42" s="162" t="s">
        <v>1318</v>
      </c>
      <c r="O42" s="323"/>
      <c r="P42" s="324"/>
      <c r="Q42" s="324"/>
      <c r="R42" s="324"/>
      <c r="S42" s="324"/>
      <c r="T42" s="324"/>
      <c r="U42" s="324"/>
      <c r="V42" s="324"/>
      <c r="W42" s="324"/>
      <c r="X42" s="324"/>
      <c r="Y42" s="324"/>
      <c r="Z42" s="324"/>
      <c r="AA42" s="324">
        <f t="shared" si="1"/>
        <v>0</v>
      </c>
      <c r="AB42" s="325" t="str">
        <f t="shared" si="2"/>
        <v/>
      </c>
      <c r="AC42" s="290"/>
      <c r="AD42" s="324"/>
      <c r="AE42" s="325" t="str">
        <f t="shared" si="3"/>
        <v/>
      </c>
      <c r="AF42" s="326">
        <f t="shared" si="4"/>
        <v>0</v>
      </c>
      <c r="AG42" s="324"/>
      <c r="AH42" s="325" t="str">
        <f t="shared" si="5"/>
        <v/>
      </c>
      <c r="AI42" s="327">
        <f t="shared" si="6"/>
        <v>0</v>
      </c>
      <c r="AJ42" s="409">
        <f t="shared" si="7"/>
        <v>0</v>
      </c>
      <c r="AK42" s="410">
        <f t="shared" si="8"/>
        <v>0</v>
      </c>
      <c r="AL42" s="411">
        <f t="shared" si="9"/>
        <v>0</v>
      </c>
      <c r="AM42" s="412">
        <f t="shared" si="10"/>
        <v>0</v>
      </c>
      <c r="AN42" s="413">
        <f t="shared" si="11"/>
        <v>0</v>
      </c>
    </row>
    <row r="43" spans="1:40" x14ac:dyDescent="0.25">
      <c r="A43" s="1" t="s">
        <v>108</v>
      </c>
      <c r="C43" s="25" t="s">
        <v>101</v>
      </c>
      <c r="D43" s="1" t="s">
        <v>106</v>
      </c>
      <c r="F43" s="1" t="s">
        <v>98</v>
      </c>
      <c r="H43" s="15" t="s">
        <v>272</v>
      </c>
      <c r="I43" s="479" t="s">
        <v>1064</v>
      </c>
      <c r="J43" s="479" t="s">
        <v>78</v>
      </c>
      <c r="K43" s="480" t="str">
        <f t="shared" si="0"/>
        <v/>
      </c>
      <c r="L43" s="170"/>
      <c r="M43" s="170"/>
      <c r="N43" s="170" t="s">
        <v>1212</v>
      </c>
      <c r="O43" s="224"/>
      <c r="P43" s="134"/>
      <c r="Q43" s="134"/>
      <c r="R43" s="134"/>
      <c r="S43" s="134"/>
      <c r="T43" s="134"/>
      <c r="U43" s="134"/>
      <c r="V43" s="134"/>
      <c r="W43" s="134"/>
      <c r="X43" s="134"/>
      <c r="Y43" s="134"/>
      <c r="Z43" s="134"/>
      <c r="AA43" s="134">
        <f t="shared" si="1"/>
        <v>0</v>
      </c>
      <c r="AB43" s="135" t="str">
        <f t="shared" si="2"/>
        <v/>
      </c>
      <c r="AC43" s="137"/>
      <c r="AD43" s="134"/>
      <c r="AE43" s="135" t="str">
        <f t="shared" si="3"/>
        <v/>
      </c>
      <c r="AF43" s="136">
        <f t="shared" si="4"/>
        <v>0</v>
      </c>
      <c r="AG43" s="134"/>
      <c r="AH43" s="135" t="str">
        <f t="shared" si="5"/>
        <v/>
      </c>
      <c r="AI43" s="291">
        <f t="shared" si="6"/>
        <v>0</v>
      </c>
      <c r="AJ43" s="360">
        <f t="shared" si="7"/>
        <v>0</v>
      </c>
      <c r="AK43" s="361">
        <f t="shared" si="8"/>
        <v>0</v>
      </c>
      <c r="AL43" s="363">
        <f t="shared" si="9"/>
        <v>0</v>
      </c>
      <c r="AM43" s="405">
        <f t="shared" si="10"/>
        <v>0</v>
      </c>
      <c r="AN43" s="406">
        <f t="shared" si="11"/>
        <v>0</v>
      </c>
    </row>
    <row r="44" spans="1:40" x14ac:dyDescent="0.25">
      <c r="A44" s="1" t="s">
        <v>108</v>
      </c>
      <c r="C44" s="151" t="s">
        <v>101</v>
      </c>
      <c r="D44" s="1" t="s">
        <v>107</v>
      </c>
      <c r="F44" s="1" t="s">
        <v>99</v>
      </c>
      <c r="H44" s="15" t="s">
        <v>486</v>
      </c>
      <c r="I44" s="161" t="s">
        <v>1058</v>
      </c>
      <c r="J44" s="161" t="s">
        <v>78</v>
      </c>
      <c r="K44" s="68" t="str">
        <f t="shared" si="0"/>
        <v>&gt;</v>
      </c>
      <c r="L44" s="162"/>
      <c r="M44" s="162"/>
      <c r="N44" s="162" t="s">
        <v>1213</v>
      </c>
      <c r="O44" s="330"/>
      <c r="P44" s="47"/>
      <c r="Q44" s="47"/>
      <c r="R44" s="47"/>
      <c r="S44" s="47"/>
      <c r="T44" s="47"/>
      <c r="U44" s="47"/>
      <c r="V44" s="47"/>
      <c r="W44" s="47"/>
      <c r="X44" s="47"/>
      <c r="Y44" s="47"/>
      <c r="Z44" s="47"/>
      <c r="AA44" s="47">
        <f t="shared" si="1"/>
        <v>0</v>
      </c>
      <c r="AB44" s="48" t="str">
        <f t="shared" si="2"/>
        <v/>
      </c>
      <c r="AC44" s="54"/>
      <c r="AD44" s="47"/>
      <c r="AE44" s="48" t="str">
        <f t="shared" si="3"/>
        <v/>
      </c>
      <c r="AF44" s="150">
        <f t="shared" si="4"/>
        <v>0</v>
      </c>
      <c r="AG44" s="47"/>
      <c r="AH44" s="48" t="str">
        <f t="shared" si="5"/>
        <v/>
      </c>
      <c r="AI44" s="331">
        <f t="shared" si="6"/>
        <v>0</v>
      </c>
      <c r="AJ44" s="420">
        <f t="shared" si="7"/>
        <v>0</v>
      </c>
      <c r="AK44" s="421">
        <f t="shared" si="8"/>
        <v>0</v>
      </c>
      <c r="AL44" s="422">
        <f t="shared" si="9"/>
        <v>0</v>
      </c>
      <c r="AM44" s="423">
        <f t="shared" si="10"/>
        <v>0</v>
      </c>
      <c r="AN44" s="424">
        <f t="shared" si="11"/>
        <v>0</v>
      </c>
    </row>
    <row r="45" spans="1:40" x14ac:dyDescent="0.25">
      <c r="H45" s="15" t="s">
        <v>273</v>
      </c>
      <c r="I45" s="479" t="s">
        <v>1064</v>
      </c>
      <c r="J45" s="479" t="s">
        <v>78</v>
      </c>
      <c r="K45" s="480" t="str">
        <f t="shared" si="0"/>
        <v/>
      </c>
      <c r="L45" s="170"/>
      <c r="M45" s="170"/>
      <c r="N45" s="170" t="s">
        <v>1214</v>
      </c>
      <c r="O45" s="224"/>
      <c r="P45" s="134"/>
      <c r="Q45" s="134"/>
      <c r="R45" s="134"/>
      <c r="S45" s="134"/>
      <c r="T45" s="134"/>
      <c r="U45" s="134"/>
      <c r="V45" s="134"/>
      <c r="W45" s="134"/>
      <c r="X45" s="134"/>
      <c r="Y45" s="134"/>
      <c r="Z45" s="134"/>
      <c r="AA45" s="134">
        <f t="shared" si="1"/>
        <v>0</v>
      </c>
      <c r="AB45" s="135" t="str">
        <f t="shared" si="2"/>
        <v/>
      </c>
      <c r="AC45" s="137"/>
      <c r="AD45" s="134"/>
      <c r="AE45" s="135" t="str">
        <f t="shared" si="3"/>
        <v/>
      </c>
      <c r="AF45" s="136">
        <f t="shared" si="4"/>
        <v>0</v>
      </c>
      <c r="AG45" s="134"/>
      <c r="AH45" s="135" t="str">
        <f t="shared" si="5"/>
        <v/>
      </c>
      <c r="AI45" s="291">
        <f t="shared" si="6"/>
        <v>0</v>
      </c>
      <c r="AJ45" s="360">
        <f t="shared" si="7"/>
        <v>0</v>
      </c>
      <c r="AK45" s="361">
        <f t="shared" si="8"/>
        <v>0</v>
      </c>
      <c r="AL45" s="363">
        <f t="shared" si="9"/>
        <v>0</v>
      </c>
      <c r="AM45" s="405">
        <f t="shared" si="10"/>
        <v>0</v>
      </c>
      <c r="AN45" s="406">
        <f t="shared" si="11"/>
        <v>0</v>
      </c>
    </row>
    <row r="46" spans="1:40" x14ac:dyDescent="0.25">
      <c r="H46" s="15" t="s">
        <v>279</v>
      </c>
      <c r="I46" s="479" t="s">
        <v>1011</v>
      </c>
      <c r="J46" s="479" t="s">
        <v>78</v>
      </c>
      <c r="K46" s="480" t="str">
        <f t="shared" si="0"/>
        <v/>
      </c>
      <c r="L46" s="170"/>
      <c r="M46" s="170"/>
      <c r="N46" s="170" t="s">
        <v>1215</v>
      </c>
      <c r="O46" s="337"/>
      <c r="P46" s="38"/>
      <c r="Q46" s="38"/>
      <c r="R46" s="38"/>
      <c r="S46" s="38"/>
      <c r="T46" s="38"/>
      <c r="U46" s="38"/>
      <c r="V46" s="38"/>
      <c r="W46" s="38"/>
      <c r="X46" s="38"/>
      <c r="Y46" s="38"/>
      <c r="Z46" s="38"/>
      <c r="AA46" s="315" t="str">
        <f t="shared" si="1"/>
        <v/>
      </c>
      <c r="AB46" s="39" t="str">
        <f t="shared" si="2"/>
        <v/>
      </c>
      <c r="AC46" s="54"/>
      <c r="AD46" s="38"/>
      <c r="AE46" s="39" t="str">
        <f t="shared" si="3"/>
        <v/>
      </c>
      <c r="AF46" s="132" t="str">
        <f t="shared" si="4"/>
        <v/>
      </c>
      <c r="AG46" s="38"/>
      <c r="AH46" s="39" t="str">
        <f t="shared" si="5"/>
        <v/>
      </c>
      <c r="AI46" s="338" t="str">
        <f t="shared" si="6"/>
        <v/>
      </c>
      <c r="AJ46" s="353">
        <f t="shared" si="7"/>
        <v>0</v>
      </c>
      <c r="AK46" s="354">
        <f t="shared" si="8"/>
        <v>0</v>
      </c>
      <c r="AL46" s="356">
        <f t="shared" si="9"/>
        <v>0</v>
      </c>
      <c r="AM46" s="390">
        <f t="shared" si="10"/>
        <v>0</v>
      </c>
      <c r="AN46" s="404">
        <f t="shared" si="11"/>
        <v>0</v>
      </c>
    </row>
    <row r="47" spans="1:40" x14ac:dyDescent="0.25">
      <c r="A47" s="4" t="s">
        <v>988</v>
      </c>
      <c r="H47" s="15" t="s">
        <v>282</v>
      </c>
      <c r="I47" s="161" t="s">
        <v>1058</v>
      </c>
      <c r="J47" s="161" t="s">
        <v>78</v>
      </c>
      <c r="K47" s="68" t="str">
        <f t="shared" si="0"/>
        <v>&gt;</v>
      </c>
      <c r="L47" s="162"/>
      <c r="M47" s="162"/>
      <c r="N47" s="162" t="s">
        <v>1219</v>
      </c>
      <c r="O47" s="332"/>
      <c r="P47" s="333"/>
      <c r="Q47" s="333"/>
      <c r="R47" s="333"/>
      <c r="S47" s="333"/>
      <c r="T47" s="333"/>
      <c r="U47" s="333"/>
      <c r="V47" s="333"/>
      <c r="W47" s="333"/>
      <c r="X47" s="333"/>
      <c r="Y47" s="333"/>
      <c r="Z47" s="333"/>
      <c r="AA47" s="310">
        <f t="shared" si="1"/>
        <v>0</v>
      </c>
      <c r="AB47" s="334" t="str">
        <f t="shared" si="2"/>
        <v/>
      </c>
      <c r="AC47" s="290"/>
      <c r="AD47" s="333"/>
      <c r="AE47" s="334" t="str">
        <f t="shared" si="3"/>
        <v/>
      </c>
      <c r="AF47" s="335">
        <f t="shared" si="4"/>
        <v>0</v>
      </c>
      <c r="AG47" s="333"/>
      <c r="AH47" s="334" t="str">
        <f t="shared" si="5"/>
        <v/>
      </c>
      <c r="AI47" s="336">
        <f t="shared" si="6"/>
        <v>0</v>
      </c>
      <c r="AJ47" s="399">
        <f t="shared" si="7"/>
        <v>0</v>
      </c>
      <c r="AK47" s="400">
        <f t="shared" si="8"/>
        <v>0</v>
      </c>
      <c r="AL47" s="401">
        <f t="shared" si="9"/>
        <v>0</v>
      </c>
      <c r="AM47" s="402">
        <f t="shared" si="10"/>
        <v>0</v>
      </c>
      <c r="AN47" s="403">
        <f t="shared" si="11"/>
        <v>0</v>
      </c>
    </row>
    <row r="48" spans="1:40" x14ac:dyDescent="0.25">
      <c r="H48" s="15" t="s">
        <v>283</v>
      </c>
      <c r="I48" s="161" t="s">
        <v>1058</v>
      </c>
      <c r="J48" s="161" t="s">
        <v>78</v>
      </c>
      <c r="K48" s="68" t="str">
        <f t="shared" si="0"/>
        <v>&gt;</v>
      </c>
      <c r="L48" s="162"/>
      <c r="M48" s="162"/>
      <c r="N48" s="162" t="s">
        <v>1220</v>
      </c>
      <c r="O48" s="332"/>
      <c r="P48" s="333"/>
      <c r="Q48" s="333"/>
      <c r="R48" s="333"/>
      <c r="S48" s="333"/>
      <c r="T48" s="333"/>
      <c r="U48" s="333"/>
      <c r="V48" s="333"/>
      <c r="W48" s="333"/>
      <c r="X48" s="333"/>
      <c r="Y48" s="333"/>
      <c r="Z48" s="333"/>
      <c r="AA48" s="310">
        <f t="shared" si="1"/>
        <v>0</v>
      </c>
      <c r="AB48" s="334" t="str">
        <f t="shared" si="2"/>
        <v/>
      </c>
      <c r="AC48" s="290"/>
      <c r="AD48" s="333"/>
      <c r="AE48" s="334" t="str">
        <f t="shared" si="3"/>
        <v/>
      </c>
      <c r="AF48" s="335">
        <f t="shared" si="4"/>
        <v>0</v>
      </c>
      <c r="AG48" s="333"/>
      <c r="AH48" s="334" t="str">
        <f t="shared" si="5"/>
        <v/>
      </c>
      <c r="AI48" s="336">
        <f t="shared" si="6"/>
        <v>0</v>
      </c>
      <c r="AJ48" s="399">
        <f t="shared" si="7"/>
        <v>0</v>
      </c>
      <c r="AK48" s="400">
        <f t="shared" si="8"/>
        <v>0</v>
      </c>
      <c r="AL48" s="401">
        <f t="shared" si="9"/>
        <v>0</v>
      </c>
      <c r="AM48" s="402">
        <f t="shared" si="10"/>
        <v>0</v>
      </c>
      <c r="AN48" s="403">
        <f t="shared" si="11"/>
        <v>0</v>
      </c>
    </row>
    <row r="49" spans="1:40" x14ac:dyDescent="0.25">
      <c r="A49" s="3" t="s">
        <v>0</v>
      </c>
      <c r="B49" s="5" t="s">
        <v>1</v>
      </c>
      <c r="H49" s="15" t="s">
        <v>473</v>
      </c>
      <c r="I49" s="161" t="s">
        <v>1009</v>
      </c>
      <c r="J49" s="161" t="s">
        <v>1009</v>
      </c>
      <c r="K49" s="68" t="str">
        <f t="shared" si="0"/>
        <v/>
      </c>
      <c r="L49" s="162">
        <v>468990</v>
      </c>
      <c r="M49" s="162">
        <v>206022</v>
      </c>
      <c r="N49" s="162" t="s">
        <v>1222</v>
      </c>
      <c r="O49" s="323"/>
      <c r="P49" s="324"/>
      <c r="Q49" s="324"/>
      <c r="R49" s="324"/>
      <c r="S49" s="324"/>
      <c r="T49" s="324"/>
      <c r="U49" s="324"/>
      <c r="V49" s="324"/>
      <c r="W49" s="324"/>
      <c r="X49" s="324"/>
      <c r="Y49" s="324"/>
      <c r="Z49" s="324"/>
      <c r="AA49" s="324">
        <f t="shared" si="1"/>
        <v>0</v>
      </c>
      <c r="AB49" s="325" t="str">
        <f t="shared" si="2"/>
        <v/>
      </c>
      <c r="AC49" s="290"/>
      <c r="AD49" s="324"/>
      <c r="AE49" s="325" t="str">
        <f t="shared" si="3"/>
        <v/>
      </c>
      <c r="AF49" s="326">
        <f t="shared" si="4"/>
        <v>0</v>
      </c>
      <c r="AG49" s="324"/>
      <c r="AH49" s="325" t="str">
        <f t="shared" si="5"/>
        <v/>
      </c>
      <c r="AI49" s="327">
        <f t="shared" si="6"/>
        <v>0</v>
      </c>
      <c r="AJ49" s="409">
        <f t="shared" si="7"/>
        <v>0</v>
      </c>
      <c r="AK49" s="410">
        <f t="shared" si="8"/>
        <v>0</v>
      </c>
      <c r="AL49" s="411">
        <f t="shared" si="9"/>
        <v>0</v>
      </c>
      <c r="AM49" s="412">
        <f t="shared" si="10"/>
        <v>0</v>
      </c>
      <c r="AN49" s="413">
        <f t="shared" si="11"/>
        <v>0</v>
      </c>
    </row>
    <row r="50" spans="1:40" x14ac:dyDescent="0.25">
      <c r="A50" s="6" t="s">
        <v>2</v>
      </c>
      <c r="B50" s="16" t="s">
        <v>1454</v>
      </c>
      <c r="H50" s="15" t="s">
        <v>277</v>
      </c>
      <c r="I50" s="479" t="s">
        <v>1064</v>
      </c>
      <c r="J50" s="479" t="s">
        <v>78</v>
      </c>
      <c r="K50" s="480" t="str">
        <f t="shared" si="0"/>
        <v/>
      </c>
      <c r="L50" s="170"/>
      <c r="M50" s="170"/>
      <c r="N50" s="170" t="s">
        <v>1221</v>
      </c>
      <c r="O50" s="225"/>
      <c r="P50" s="36"/>
      <c r="Q50" s="36"/>
      <c r="R50" s="36"/>
      <c r="S50" s="36"/>
      <c r="T50" s="36"/>
      <c r="U50" s="36"/>
      <c r="V50" s="36"/>
      <c r="W50" s="36"/>
      <c r="X50" s="36"/>
      <c r="Y50" s="36"/>
      <c r="Z50" s="36"/>
      <c r="AA50" s="36">
        <f t="shared" si="1"/>
        <v>0</v>
      </c>
      <c r="AB50" s="37" t="str">
        <f t="shared" si="2"/>
        <v/>
      </c>
      <c r="AC50" s="35"/>
      <c r="AD50" s="36"/>
      <c r="AE50" s="37" t="str">
        <f t="shared" si="3"/>
        <v/>
      </c>
      <c r="AF50" s="58">
        <f t="shared" si="4"/>
        <v>0</v>
      </c>
      <c r="AG50" s="36"/>
      <c r="AH50" s="37" t="str">
        <f t="shared" si="5"/>
        <v/>
      </c>
      <c r="AI50" s="292">
        <f t="shared" si="6"/>
        <v>0</v>
      </c>
      <c r="AJ50" s="372">
        <f t="shared" si="7"/>
        <v>0</v>
      </c>
      <c r="AK50" s="373">
        <f t="shared" si="8"/>
        <v>0</v>
      </c>
      <c r="AL50" s="375">
        <f t="shared" si="9"/>
        <v>0</v>
      </c>
      <c r="AM50" s="407">
        <f t="shared" si="10"/>
        <v>0</v>
      </c>
      <c r="AN50" s="408">
        <f t="shared" si="11"/>
        <v>0</v>
      </c>
    </row>
    <row r="51" spans="1:40" x14ac:dyDescent="0.25">
      <c r="A51" s="6" t="s">
        <v>3</v>
      </c>
      <c r="B51" s="16" t="s">
        <v>1455</v>
      </c>
      <c r="H51" s="15" t="s">
        <v>280</v>
      </c>
      <c r="I51" s="479" t="s">
        <v>1012</v>
      </c>
      <c r="J51" s="479" t="s">
        <v>78</v>
      </c>
      <c r="K51" s="480" t="str">
        <f t="shared" si="0"/>
        <v/>
      </c>
      <c r="L51" s="170">
        <v>400000</v>
      </c>
      <c r="M51" s="170"/>
      <c r="N51" s="170" t="s">
        <v>1003</v>
      </c>
      <c r="O51" s="224"/>
      <c r="P51" s="134"/>
      <c r="Q51" s="134"/>
      <c r="R51" s="134"/>
      <c r="S51" s="134"/>
      <c r="T51" s="134"/>
      <c r="U51" s="134"/>
      <c r="V51" s="134"/>
      <c r="W51" s="134"/>
      <c r="X51" s="134"/>
      <c r="Y51" s="134"/>
      <c r="Z51" s="134"/>
      <c r="AA51" s="134">
        <f t="shared" si="1"/>
        <v>0</v>
      </c>
      <c r="AB51" s="135" t="str">
        <f t="shared" si="2"/>
        <v/>
      </c>
      <c r="AC51" s="137"/>
      <c r="AD51" s="134"/>
      <c r="AE51" s="135" t="str">
        <f t="shared" si="3"/>
        <v/>
      </c>
      <c r="AF51" s="136">
        <f t="shared" si="4"/>
        <v>0</v>
      </c>
      <c r="AG51" s="134"/>
      <c r="AH51" s="135" t="str">
        <f t="shared" si="5"/>
        <v/>
      </c>
      <c r="AI51" s="291">
        <f t="shared" si="6"/>
        <v>0</v>
      </c>
      <c r="AJ51" s="360">
        <f t="shared" si="7"/>
        <v>0</v>
      </c>
      <c r="AK51" s="361">
        <f t="shared" si="8"/>
        <v>0</v>
      </c>
      <c r="AL51" s="363">
        <f t="shared" si="9"/>
        <v>0</v>
      </c>
      <c r="AM51" s="405">
        <f t="shared" si="10"/>
        <v>0</v>
      </c>
      <c r="AN51" s="406">
        <f t="shared" si="11"/>
        <v>0</v>
      </c>
    </row>
    <row r="52" spans="1:40" x14ac:dyDescent="0.25">
      <c r="A52" s="6" t="s">
        <v>4</v>
      </c>
      <c r="B52" s="16" t="s">
        <v>1460</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5</v>
      </c>
      <c r="B53" s="7"/>
      <c r="F53" s="152"/>
      <c r="H53" s="1" t="s">
        <v>281</v>
      </c>
      <c r="I53" s="11" t="s">
        <v>1011</v>
      </c>
      <c r="J53" s="11" t="s">
        <v>78</v>
      </c>
      <c r="N53" s="40" t="s">
        <v>1223</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6</v>
      </c>
      <c r="B54" s="7"/>
      <c r="F54" s="152"/>
      <c r="H54" s="1" t="s">
        <v>284</v>
      </c>
      <c r="I54" s="11" t="s">
        <v>1011</v>
      </c>
      <c r="J54" s="11" t="s">
        <v>78</v>
      </c>
      <c r="N54" s="8" t="s">
        <v>1224</v>
      </c>
      <c r="O54" s="53"/>
      <c r="P54" s="54"/>
      <c r="Q54" s="54"/>
      <c r="R54" s="54"/>
      <c r="S54" s="54"/>
      <c r="T54" s="54"/>
      <c r="U54" s="54"/>
      <c r="V54" s="54"/>
      <c r="W54" s="54"/>
      <c r="X54" s="54"/>
      <c r="Y54" s="54"/>
      <c r="Z54" s="54"/>
      <c r="AA54" s="54"/>
      <c r="AB54" s="55"/>
      <c r="AD54" s="53"/>
      <c r="AE54" s="54"/>
      <c r="AF54" s="55"/>
      <c r="AG54" s="54"/>
      <c r="AH54" s="54"/>
      <c r="AI54" s="55"/>
    </row>
    <row r="55" spans="1:40" x14ac:dyDescent="0.25">
      <c r="A55" s="6" t="s">
        <v>7</v>
      </c>
      <c r="B55" s="16" t="s">
        <v>1461</v>
      </c>
      <c r="F55" s="152"/>
      <c r="H55" s="15" t="s">
        <v>285</v>
      </c>
      <c r="I55" s="161" t="s">
        <v>1058</v>
      </c>
      <c r="J55" s="161" t="s">
        <v>78</v>
      </c>
      <c r="K55" s="68" t="str">
        <f t="shared" ref="K55:K63" si="12">IF(AND(I55&gt;="T5"),"&gt;","")</f>
        <v>&gt;</v>
      </c>
      <c r="L55" s="162">
        <v>561100</v>
      </c>
      <c r="M55" s="162"/>
      <c r="N55" s="162" t="s">
        <v>1225</v>
      </c>
      <c r="O55" s="332"/>
      <c r="P55" s="333"/>
      <c r="Q55" s="333"/>
      <c r="R55" s="333"/>
      <c r="S55" s="333"/>
      <c r="T55" s="333"/>
      <c r="U55" s="333"/>
      <c r="V55" s="333"/>
      <c r="W55" s="333"/>
      <c r="X55" s="333"/>
      <c r="Y55" s="333"/>
      <c r="Z55" s="333"/>
      <c r="AA55" s="310">
        <f t="shared" ref="AA55:AA61" si="13">IF($I55="B1","",SUM(O55:Z55))</f>
        <v>0</v>
      </c>
      <c r="AB55" s="334"/>
      <c r="AC55" s="290"/>
      <c r="AD55" s="333"/>
      <c r="AE55" s="334"/>
      <c r="AF55" s="335">
        <f t="shared" ref="AF55:AF63" si="14">IF(AND($AA55="",AD55=""),"",$AA55-AD55)</f>
        <v>0</v>
      </c>
      <c r="AG55" s="333">
        <v>0</v>
      </c>
      <c r="AH55" s="334"/>
      <c r="AI55" s="336">
        <f t="shared" ref="AI55:AI63" si="15">IF(AND($AA55="",AG55=""),"",$AA55-AG55)</f>
        <v>0</v>
      </c>
      <c r="AJ55" s="399">
        <f t="shared" ref="AJ55:AJ63" si="16">IFERROR(AA55/AA$20,0)</f>
        <v>0</v>
      </c>
      <c r="AK55" s="400">
        <f t="shared" ref="AK55:AK63" si="17">IFERROR(AD55/AD$20,0)</f>
        <v>0</v>
      </c>
      <c r="AL55" s="401">
        <f t="shared" ref="AL55:AL63" si="18">IFERROR(AG55/AG$20,0)</f>
        <v>0</v>
      </c>
      <c r="AM55" s="402" t="str">
        <f t="shared" ref="AM55:AM63" si="19">+IFERROR(ROUND(($AB55-AE55)*100,2)&amp;" pts.",0)</f>
        <v>0 pts.</v>
      </c>
      <c r="AN55" s="403" t="str">
        <f t="shared" ref="AN55:AN63" si="20">+IFERROR(ROUND(($AB55-AH55)*100,2)&amp;" pts.",0)</f>
        <v>0 pts.</v>
      </c>
    </row>
    <row r="56" spans="1:40" x14ac:dyDescent="0.25">
      <c r="A56" s="6" t="s">
        <v>47</v>
      </c>
      <c r="B56" s="16" t="s">
        <v>1458</v>
      </c>
      <c r="H56" s="15" t="s">
        <v>636</v>
      </c>
      <c r="I56" s="161" t="s">
        <v>1058</v>
      </c>
      <c r="J56" s="161" t="s">
        <v>78</v>
      </c>
      <c r="K56" s="68" t="str">
        <f t="shared" si="12"/>
        <v>&gt;</v>
      </c>
      <c r="L56" s="162"/>
      <c r="M56" s="162"/>
      <c r="N56" s="162" t="s">
        <v>1226</v>
      </c>
      <c r="O56" s="323"/>
      <c r="P56" s="324"/>
      <c r="Q56" s="324"/>
      <c r="R56" s="324"/>
      <c r="S56" s="324"/>
      <c r="T56" s="324"/>
      <c r="U56" s="324"/>
      <c r="V56" s="324"/>
      <c r="W56" s="324"/>
      <c r="X56" s="324"/>
      <c r="Y56" s="324"/>
      <c r="Z56" s="324"/>
      <c r="AA56" s="324">
        <f t="shared" si="13"/>
        <v>0</v>
      </c>
      <c r="AB56" s="325"/>
      <c r="AC56" s="290"/>
      <c r="AD56" s="324"/>
      <c r="AE56" s="325"/>
      <c r="AF56" s="326">
        <f t="shared" si="14"/>
        <v>0</v>
      </c>
      <c r="AG56" s="324"/>
      <c r="AH56" s="325"/>
      <c r="AI56" s="327">
        <f t="shared" si="15"/>
        <v>0</v>
      </c>
      <c r="AJ56" s="409">
        <f t="shared" si="16"/>
        <v>0</v>
      </c>
      <c r="AK56" s="410">
        <f t="shared" si="17"/>
        <v>0</v>
      </c>
      <c r="AL56" s="411">
        <f t="shared" si="18"/>
        <v>0</v>
      </c>
      <c r="AM56" s="412" t="str">
        <f t="shared" si="19"/>
        <v>0 pts.</v>
      </c>
      <c r="AN56" s="413" t="str">
        <f t="shared" si="20"/>
        <v>0 pts.</v>
      </c>
    </row>
    <row r="57" spans="1:40" x14ac:dyDescent="0.25">
      <c r="A57" s="6" t="s">
        <v>8</v>
      </c>
      <c r="B57" s="7"/>
      <c r="H57" s="15" t="s">
        <v>286</v>
      </c>
      <c r="I57" s="479" t="s">
        <v>1064</v>
      </c>
      <c r="J57" s="479" t="s">
        <v>78</v>
      </c>
      <c r="K57" s="480" t="str">
        <f t="shared" si="12"/>
        <v/>
      </c>
      <c r="L57" s="170"/>
      <c r="M57" s="170"/>
      <c r="N57" s="170" t="s">
        <v>1227</v>
      </c>
      <c r="O57" s="224"/>
      <c r="P57" s="134"/>
      <c r="Q57" s="134"/>
      <c r="R57" s="134"/>
      <c r="S57" s="134"/>
      <c r="T57" s="134"/>
      <c r="U57" s="134"/>
      <c r="V57" s="134"/>
      <c r="W57" s="134"/>
      <c r="X57" s="134"/>
      <c r="Y57" s="134"/>
      <c r="Z57" s="134"/>
      <c r="AA57" s="134">
        <f t="shared" si="13"/>
        <v>0</v>
      </c>
      <c r="AB57" s="135"/>
      <c r="AC57" s="137"/>
      <c r="AD57" s="134"/>
      <c r="AE57" s="135"/>
      <c r="AF57" s="136">
        <f t="shared" si="14"/>
        <v>0</v>
      </c>
      <c r="AG57" s="134">
        <v>0</v>
      </c>
      <c r="AH57" s="135"/>
      <c r="AI57" s="291">
        <f t="shared" si="15"/>
        <v>0</v>
      </c>
      <c r="AJ57" s="360">
        <f t="shared" si="16"/>
        <v>0</v>
      </c>
      <c r="AK57" s="361">
        <f t="shared" si="17"/>
        <v>0</v>
      </c>
      <c r="AL57" s="363">
        <f t="shared" si="18"/>
        <v>0</v>
      </c>
      <c r="AM57" s="405" t="str">
        <f t="shared" si="19"/>
        <v>0 pts.</v>
      </c>
      <c r="AN57" s="406" t="str">
        <f t="shared" si="20"/>
        <v>0 pts.</v>
      </c>
    </row>
    <row r="58" spans="1:40" x14ac:dyDescent="0.25">
      <c r="G58" s="14"/>
      <c r="H58" s="15" t="s">
        <v>287</v>
      </c>
      <c r="I58" s="479" t="s">
        <v>1011</v>
      </c>
      <c r="J58" s="479" t="s">
        <v>78</v>
      </c>
      <c r="K58" s="480" t="str">
        <f t="shared" si="12"/>
        <v/>
      </c>
      <c r="L58" s="170"/>
      <c r="M58" s="170"/>
      <c r="N58" s="170" t="s">
        <v>1228</v>
      </c>
      <c r="O58" s="337"/>
      <c r="P58" s="38"/>
      <c r="Q58" s="38"/>
      <c r="R58" s="38"/>
      <c r="S58" s="38"/>
      <c r="T58" s="38"/>
      <c r="U58" s="38"/>
      <c r="V58" s="38"/>
      <c r="W58" s="38"/>
      <c r="X58" s="38"/>
      <c r="Y58" s="38"/>
      <c r="Z58" s="38"/>
      <c r="AA58" s="315" t="str">
        <f t="shared" si="13"/>
        <v/>
      </c>
      <c r="AB58" s="39"/>
      <c r="AC58" s="54"/>
      <c r="AD58" s="38"/>
      <c r="AE58" s="39"/>
      <c r="AF58" s="132" t="str">
        <f t="shared" si="14"/>
        <v/>
      </c>
      <c r="AG58" s="38"/>
      <c r="AH58" s="39"/>
      <c r="AI58" s="338" t="str">
        <f t="shared" si="15"/>
        <v/>
      </c>
      <c r="AJ58" s="353">
        <f t="shared" si="16"/>
        <v>0</v>
      </c>
      <c r="AK58" s="354">
        <f t="shared" si="17"/>
        <v>0</v>
      </c>
      <c r="AL58" s="356">
        <f t="shared" si="18"/>
        <v>0</v>
      </c>
      <c r="AM58" s="390" t="str">
        <f t="shared" si="19"/>
        <v>0 pts.</v>
      </c>
      <c r="AN58" s="404" t="str">
        <f t="shared" si="20"/>
        <v>0 pts.</v>
      </c>
    </row>
    <row r="59" spans="1:40" x14ac:dyDescent="0.25">
      <c r="A59" s="3" t="s">
        <v>9</v>
      </c>
      <c r="B59" s="5" t="s">
        <v>10</v>
      </c>
      <c r="H59" s="15" t="s">
        <v>639</v>
      </c>
      <c r="I59" s="161" t="s">
        <v>1058</v>
      </c>
      <c r="J59" s="161" t="s">
        <v>78</v>
      </c>
      <c r="K59" s="68" t="str">
        <f t="shared" si="12"/>
        <v>&gt;</v>
      </c>
      <c r="L59" s="162"/>
      <c r="M59" s="162"/>
      <c r="N59" s="162" t="s">
        <v>1230</v>
      </c>
      <c r="O59" s="323"/>
      <c r="P59" s="324"/>
      <c r="Q59" s="324"/>
      <c r="R59" s="324"/>
      <c r="S59" s="324"/>
      <c r="T59" s="324"/>
      <c r="U59" s="324"/>
      <c r="V59" s="324"/>
      <c r="W59" s="324"/>
      <c r="X59" s="324"/>
      <c r="Y59" s="324"/>
      <c r="Z59" s="324"/>
      <c r="AA59" s="324">
        <f t="shared" si="13"/>
        <v>0</v>
      </c>
      <c r="AB59" s="325"/>
      <c r="AC59" s="290"/>
      <c r="AD59" s="324"/>
      <c r="AE59" s="325"/>
      <c r="AF59" s="326">
        <f t="shared" si="14"/>
        <v>0</v>
      </c>
      <c r="AG59" s="324"/>
      <c r="AH59" s="325"/>
      <c r="AI59" s="327">
        <f t="shared" si="15"/>
        <v>0</v>
      </c>
      <c r="AJ59" s="409">
        <f t="shared" si="16"/>
        <v>0</v>
      </c>
      <c r="AK59" s="410">
        <f t="shared" si="17"/>
        <v>0</v>
      </c>
      <c r="AL59" s="411">
        <f t="shared" si="18"/>
        <v>0</v>
      </c>
      <c r="AM59" s="412" t="str">
        <f t="shared" si="19"/>
        <v>0 pts.</v>
      </c>
      <c r="AN59" s="413" t="str">
        <f t="shared" si="20"/>
        <v>0 pts.</v>
      </c>
    </row>
    <row r="60" spans="1:40" x14ac:dyDescent="0.25">
      <c r="A60" s="6" t="s">
        <v>11</v>
      </c>
      <c r="B60" s="7" t="s">
        <v>21</v>
      </c>
      <c r="H60" s="15" t="s">
        <v>288</v>
      </c>
      <c r="I60" s="479" t="s">
        <v>1064</v>
      </c>
      <c r="J60" s="479" t="s">
        <v>78</v>
      </c>
      <c r="K60" s="480" t="str">
        <f t="shared" si="12"/>
        <v/>
      </c>
      <c r="L60" s="170"/>
      <c r="M60" s="170"/>
      <c r="N60" s="170" t="s">
        <v>1231</v>
      </c>
      <c r="O60" s="225"/>
      <c r="P60" s="36"/>
      <c r="Q60" s="36"/>
      <c r="R60" s="36"/>
      <c r="S60" s="36"/>
      <c r="T60" s="36"/>
      <c r="U60" s="36"/>
      <c r="V60" s="36"/>
      <c r="W60" s="36"/>
      <c r="X60" s="36"/>
      <c r="Y60" s="36"/>
      <c r="Z60" s="36"/>
      <c r="AA60" s="36">
        <f t="shared" si="13"/>
        <v>0</v>
      </c>
      <c r="AB60" s="37"/>
      <c r="AC60" s="35"/>
      <c r="AD60" s="36"/>
      <c r="AE60" s="37"/>
      <c r="AF60" s="58">
        <f t="shared" si="14"/>
        <v>0</v>
      </c>
      <c r="AG60" s="36"/>
      <c r="AH60" s="37"/>
      <c r="AI60" s="292">
        <f t="shared" si="15"/>
        <v>0</v>
      </c>
      <c r="AJ60" s="372">
        <f t="shared" si="16"/>
        <v>0</v>
      </c>
      <c r="AK60" s="373">
        <f t="shared" si="17"/>
        <v>0</v>
      </c>
      <c r="AL60" s="375">
        <f t="shared" si="18"/>
        <v>0</v>
      </c>
      <c r="AM60" s="407" t="str">
        <f t="shared" si="19"/>
        <v>0 pts.</v>
      </c>
      <c r="AN60" s="408" t="str">
        <f t="shared" si="20"/>
        <v>0 pts.</v>
      </c>
    </row>
    <row r="61" spans="1:40" x14ac:dyDescent="0.25">
      <c r="A61" s="6" t="s">
        <v>12</v>
      </c>
      <c r="B61" s="7" t="s">
        <v>22</v>
      </c>
      <c r="H61" s="15" t="s">
        <v>289</v>
      </c>
      <c r="I61" s="479" t="s">
        <v>1012</v>
      </c>
      <c r="J61" s="479" t="s">
        <v>78</v>
      </c>
      <c r="K61" s="480" t="str">
        <f t="shared" si="12"/>
        <v/>
      </c>
      <c r="L61" s="170">
        <v>500001</v>
      </c>
      <c r="M61" s="170"/>
      <c r="N61" s="170" t="s">
        <v>1232</v>
      </c>
      <c r="O61" s="224"/>
      <c r="P61" s="134"/>
      <c r="Q61" s="134"/>
      <c r="R61" s="134"/>
      <c r="S61" s="134"/>
      <c r="T61" s="134"/>
      <c r="U61" s="134"/>
      <c r="V61" s="134"/>
      <c r="W61" s="134"/>
      <c r="X61" s="134"/>
      <c r="Y61" s="134"/>
      <c r="Z61" s="134"/>
      <c r="AA61" s="134">
        <f t="shared" si="13"/>
        <v>0</v>
      </c>
      <c r="AB61" s="135"/>
      <c r="AC61" s="137"/>
      <c r="AD61" s="134"/>
      <c r="AE61" s="135"/>
      <c r="AF61" s="136">
        <f t="shared" si="14"/>
        <v>0</v>
      </c>
      <c r="AG61" s="134">
        <v>0</v>
      </c>
      <c r="AH61" s="135"/>
      <c r="AI61" s="291">
        <f t="shared" si="15"/>
        <v>0</v>
      </c>
      <c r="AJ61" s="360">
        <f t="shared" si="16"/>
        <v>0</v>
      </c>
      <c r="AK61" s="361">
        <f t="shared" si="17"/>
        <v>0</v>
      </c>
      <c r="AL61" s="363">
        <f t="shared" si="18"/>
        <v>0</v>
      </c>
      <c r="AM61" s="405" t="str">
        <f t="shared" si="19"/>
        <v>0 pts.</v>
      </c>
      <c r="AN61" s="406" t="str">
        <f t="shared" si="20"/>
        <v>0 pts.</v>
      </c>
    </row>
    <row r="62" spans="1:40" x14ac:dyDescent="0.25">
      <c r="A62" s="6" t="s">
        <v>13</v>
      </c>
      <c r="B62" s="7" t="str">
        <f>"DEP(COS_FB) AND "&amp;$E$6&amp;"=Y,COS_FB,COSOTH,DEP(COS_OTHR) AND "&amp;$E$6&amp;"=Y,COS_OTHR,500001"</f>
        <v>DEP(COS_FB) AND D2147=Y,COS_FB,COSOTH,DEP(COS_OTHR) AND D2147=Y,COS_OTHR,500001</v>
      </c>
      <c r="H62" s="149" t="s">
        <v>175</v>
      </c>
      <c r="I62" s="28" t="s">
        <v>1011</v>
      </c>
      <c r="J62" s="28" t="s">
        <v>78</v>
      </c>
      <c r="K62" s="69" t="str">
        <f t="shared" si="12"/>
        <v/>
      </c>
      <c r="L62" s="69"/>
      <c r="M62" s="69"/>
      <c r="N62" s="25" t="s">
        <v>175</v>
      </c>
      <c r="O62" s="47"/>
      <c r="P62" s="47"/>
      <c r="Q62" s="47"/>
      <c r="R62" s="47"/>
      <c r="S62" s="47"/>
      <c r="T62" s="47"/>
      <c r="U62" s="47"/>
      <c r="V62" s="47"/>
      <c r="W62" s="47"/>
      <c r="X62" s="47"/>
      <c r="Y62" s="47"/>
      <c r="Z62" s="47"/>
      <c r="AA62" s="47"/>
      <c r="AB62" s="48"/>
      <c r="AD62" s="47"/>
      <c r="AE62" s="48"/>
      <c r="AF62" s="150" t="str">
        <f t="shared" si="14"/>
        <v/>
      </c>
      <c r="AG62" s="47"/>
      <c r="AH62" s="48"/>
      <c r="AI62" s="150" t="str">
        <f t="shared" si="15"/>
        <v/>
      </c>
      <c r="AJ62" s="420">
        <f t="shared" si="16"/>
        <v>0</v>
      </c>
      <c r="AK62" s="421">
        <f t="shared" si="17"/>
        <v>0</v>
      </c>
      <c r="AL62" s="422">
        <f t="shared" si="18"/>
        <v>0</v>
      </c>
      <c r="AM62" s="423" t="str">
        <f t="shared" si="19"/>
        <v>0 pts.</v>
      </c>
      <c r="AN62" s="424" t="str">
        <f t="shared" si="20"/>
        <v>0 pts.</v>
      </c>
    </row>
    <row r="63" spans="1:40" x14ac:dyDescent="0.25">
      <c r="A63" s="6" t="s">
        <v>14</v>
      </c>
      <c r="B63" s="7"/>
      <c r="H63" s="149" t="s">
        <v>292</v>
      </c>
      <c r="I63" s="28" t="s">
        <v>1012</v>
      </c>
      <c r="J63" s="28" t="s">
        <v>78</v>
      </c>
      <c r="K63" s="69" t="str">
        <f t="shared" si="12"/>
        <v/>
      </c>
      <c r="L63" s="69"/>
      <c r="M63" s="69"/>
      <c r="N63" s="25" t="s">
        <v>1233</v>
      </c>
      <c r="O63" s="164">
        <f t="shared" ref="O63:Z63" si="21">SUMIF($H$35:$H$61,"400000",O35:O61)-SUMIF($H$35:$H$61,"500001",O35:O61)</f>
        <v>0</v>
      </c>
      <c r="P63" s="164">
        <f t="shared" si="21"/>
        <v>0</v>
      </c>
      <c r="Q63" s="164">
        <f t="shared" si="21"/>
        <v>0</v>
      </c>
      <c r="R63" s="164">
        <f t="shared" si="21"/>
        <v>0</v>
      </c>
      <c r="S63" s="164">
        <f t="shared" si="21"/>
        <v>0</v>
      </c>
      <c r="T63" s="164">
        <f t="shared" si="21"/>
        <v>0</v>
      </c>
      <c r="U63" s="164">
        <f t="shared" si="21"/>
        <v>0</v>
      </c>
      <c r="V63" s="164">
        <f t="shared" si="21"/>
        <v>0</v>
      </c>
      <c r="W63" s="164">
        <f t="shared" si="21"/>
        <v>0</v>
      </c>
      <c r="X63" s="164">
        <f t="shared" si="21"/>
        <v>0</v>
      </c>
      <c r="Y63" s="164">
        <f t="shared" si="21"/>
        <v>0</v>
      </c>
      <c r="Z63" s="164">
        <f t="shared" si="21"/>
        <v>0</v>
      </c>
      <c r="AA63" s="164">
        <f>IF($I63="B1","",SUM(O63:Z63))</f>
        <v>0</v>
      </c>
      <c r="AB63" s="135" t="str">
        <f>IF(AA63=0,"",IFERROR(AA63/AA$19,""))</f>
        <v/>
      </c>
      <c r="AD63" s="164">
        <f>SUMIF($H$35:$H$61,"400000",AD35:AD61)-SUMIF($H$35:$H$61,"500001",AD35:AD61)</f>
        <v>0</v>
      </c>
      <c r="AE63" s="135" t="str">
        <f>IF(AD63=0,"",IFERROR(AD63/AD$19,""))</f>
        <v/>
      </c>
      <c r="AF63" s="165">
        <f t="shared" si="14"/>
        <v>0</v>
      </c>
      <c r="AG63" s="164">
        <f>SUMIF($H$35:$H$61,"400000",AG35:AG61)-SUMIF($H$35:$H$61,"500001",AG35:AG61)</f>
        <v>0</v>
      </c>
      <c r="AH63" s="135" t="str">
        <f>IF(AG63=0,"",IFERROR(AG63/AG$19,""))</f>
        <v/>
      </c>
      <c r="AI63" s="165">
        <f t="shared" si="15"/>
        <v>0</v>
      </c>
      <c r="AJ63" s="392">
        <f t="shared" si="16"/>
        <v>0</v>
      </c>
      <c r="AK63" s="393">
        <f t="shared" si="17"/>
        <v>0</v>
      </c>
      <c r="AL63" s="394">
        <f t="shared" si="18"/>
        <v>0</v>
      </c>
      <c r="AM63" s="395">
        <f t="shared" si="19"/>
        <v>0</v>
      </c>
      <c r="AN63" s="437">
        <f t="shared" si="20"/>
        <v>0</v>
      </c>
    </row>
    <row r="64" spans="1:40" x14ac:dyDescent="0.25">
      <c r="A64" s="6" t="s">
        <v>15</v>
      </c>
      <c r="B64" s="7"/>
      <c r="O64" s="163"/>
      <c r="P64" s="287"/>
      <c r="Q64" s="287"/>
      <c r="R64" s="287"/>
      <c r="S64" s="287"/>
      <c r="T64" s="287"/>
      <c r="U64" s="287"/>
      <c r="V64" s="287"/>
      <c r="W64" s="287"/>
      <c r="X64" s="287"/>
      <c r="Y64" s="287"/>
      <c r="Z64" s="287"/>
      <c r="AA64" s="287"/>
      <c r="AB64" s="55"/>
      <c r="AD64" s="53"/>
      <c r="AE64" s="54"/>
      <c r="AF64" s="55"/>
      <c r="AG64" s="54"/>
      <c r="AH64" s="54"/>
      <c r="AI64" s="55"/>
    </row>
    <row r="65" spans="1:40" x14ac:dyDescent="0.25">
      <c r="A65" s="6" t="s">
        <v>16</v>
      </c>
      <c r="B65" s="7"/>
      <c r="H65" s="1" t="s">
        <v>73</v>
      </c>
      <c r="I65" s="11" t="s">
        <v>1011</v>
      </c>
      <c r="J65" s="11" t="s">
        <v>78</v>
      </c>
      <c r="N65" s="40" t="s">
        <v>1079</v>
      </c>
      <c r="O65" s="53"/>
      <c r="P65" s="54"/>
      <c r="Q65" s="54"/>
      <c r="R65" s="54"/>
      <c r="S65" s="54"/>
      <c r="T65" s="54"/>
      <c r="U65" s="54"/>
      <c r="V65" s="54"/>
      <c r="W65" s="54"/>
      <c r="X65" s="54"/>
      <c r="Y65" s="54"/>
      <c r="Z65" s="54"/>
      <c r="AA65" s="54"/>
      <c r="AB65" s="168"/>
      <c r="AD65" s="167"/>
      <c r="AE65" s="169"/>
      <c r="AF65" s="55"/>
      <c r="AG65" s="54"/>
      <c r="AH65" s="169"/>
      <c r="AI65" s="55"/>
    </row>
    <row r="66" spans="1:40" x14ac:dyDescent="0.25">
      <c r="A66" s="6" t="s">
        <v>17</v>
      </c>
      <c r="B66" s="7"/>
      <c r="H66" s="1" t="s">
        <v>74</v>
      </c>
      <c r="I66" s="11" t="s">
        <v>1011</v>
      </c>
      <c r="J66" s="11" t="s">
        <v>78</v>
      </c>
      <c r="N66" s="8" t="s">
        <v>1080</v>
      </c>
      <c r="O66" s="43"/>
      <c r="P66" s="46"/>
      <c r="Q66" s="46"/>
      <c r="R66" s="46"/>
      <c r="S66" s="46"/>
      <c r="T66" s="46"/>
      <c r="U66" s="46"/>
      <c r="V66" s="46"/>
      <c r="W66" s="46"/>
      <c r="X66" s="46"/>
      <c r="Y66" s="46"/>
      <c r="Z66" s="46"/>
      <c r="AA66" s="46"/>
      <c r="AB66" s="44"/>
      <c r="AD66" s="43"/>
      <c r="AE66" s="46"/>
      <c r="AF66" s="44"/>
      <c r="AG66" s="46"/>
      <c r="AH66" s="46"/>
      <c r="AI66" s="44"/>
    </row>
    <row r="67" spans="1:40" hidden="1" x14ac:dyDescent="0.25">
      <c r="A67" s="54"/>
      <c r="B67" s="54"/>
      <c r="H67" s="15" t="s">
        <v>667</v>
      </c>
      <c r="I67" s="161"/>
      <c r="J67" s="161"/>
      <c r="K67" s="68" t="str">
        <f>IF(AND(I67&gt;="T3"),"&gt;","")</f>
        <v/>
      </c>
      <c r="L67" s="162"/>
      <c r="M67" s="162"/>
      <c r="N67" s="162"/>
      <c r="O67" s="30"/>
      <c r="P67" s="30"/>
      <c r="Q67" s="30"/>
      <c r="R67" s="30"/>
      <c r="S67" s="30"/>
      <c r="T67" s="30"/>
      <c r="U67" s="30"/>
      <c r="V67" s="30"/>
      <c r="W67" s="30"/>
      <c r="X67" s="30"/>
      <c r="Y67" s="30"/>
      <c r="Z67" s="30"/>
      <c r="AA67" s="324">
        <f>IF($I67="B1","",SUM(O67:Z67))</f>
        <v>0</v>
      </c>
      <c r="AB67" s="31" t="str">
        <f>IF(AA67=0,"",IFERROR(AA67/AA$19,""))</f>
        <v/>
      </c>
      <c r="AD67" s="30"/>
      <c r="AE67" s="31" t="str">
        <f>IF(AD67=0,"",IFERROR(AD67/AD$19,""))</f>
        <v/>
      </c>
      <c r="AF67" s="51">
        <f>IF(AND($AA67="",AD67=""),"",$AA67-AD67)</f>
        <v>0</v>
      </c>
      <c r="AG67" s="30"/>
      <c r="AH67" s="31" t="str">
        <f>IF(AG67=0,"",IFERROR(AG67/AG$19,""))</f>
        <v/>
      </c>
      <c r="AI67" s="51">
        <f>IF(AND($AA67="",AG67=""),"",$AA67-AG67)</f>
        <v>0</v>
      </c>
      <c r="AJ67" s="399">
        <f>IFERROR(AA67/AA$20,0)</f>
        <v>0</v>
      </c>
      <c r="AK67" s="400">
        <f>IFERROR(AD67/AD$20,0)</f>
        <v>0</v>
      </c>
      <c r="AL67" s="401">
        <f>IFERROR(AG67/AG$20,0)</f>
        <v>0</v>
      </c>
      <c r="AM67" s="402">
        <f>+IFERROR(ROUND(($AB67-AE67)*100,2)&amp;" pts.",0)</f>
        <v>0</v>
      </c>
      <c r="AN67" s="403">
        <f>+IFERROR(ROUND(($AB67-AH67)*100,2)&amp;" pts.",0)</f>
        <v>0</v>
      </c>
    </row>
    <row r="68" spans="1:40" hidden="1" x14ac:dyDescent="0.25">
      <c r="A68" s="22" t="s">
        <v>92</v>
      </c>
      <c r="B68" s="23" t="s">
        <v>93</v>
      </c>
      <c r="C68" s="23" t="s">
        <v>94</v>
      </c>
      <c r="D68" s="23" t="s">
        <v>95</v>
      </c>
      <c r="E68" s="23" t="s">
        <v>96</v>
      </c>
      <c r="F68" s="24" t="s">
        <v>97</v>
      </c>
      <c r="H68" s="15"/>
      <c r="I68" s="161"/>
      <c r="J68" s="161"/>
      <c r="K68" s="68" t="str">
        <f>IF(AND(I68&gt;="T3"),"&gt;","")</f>
        <v/>
      </c>
      <c r="L68" s="162"/>
      <c r="M68" s="162"/>
      <c r="N68" s="162"/>
      <c r="O68" s="30"/>
      <c r="P68" s="30"/>
      <c r="Q68" s="30"/>
      <c r="R68" s="30"/>
      <c r="S68" s="30"/>
      <c r="T68" s="30"/>
      <c r="U68" s="30"/>
      <c r="V68" s="30"/>
      <c r="W68" s="30"/>
      <c r="X68" s="30"/>
      <c r="Y68" s="30"/>
      <c r="Z68" s="30"/>
      <c r="AA68" s="324">
        <f>IF($I68="B1","",SUM(O68:Z68))</f>
        <v>0</v>
      </c>
      <c r="AB68" s="31" t="str">
        <f>IF(AA68=0,"",IFERROR(AA68/AA$19,""))</f>
        <v/>
      </c>
      <c r="AD68" s="30"/>
      <c r="AE68" s="31" t="str">
        <f>IF(AD68=0,"",IFERROR(AD68/AD$19,""))</f>
        <v/>
      </c>
      <c r="AF68" s="51">
        <f>IF(AND($AA68="",AD68=""),"",$AA68-AD68)</f>
        <v>0</v>
      </c>
      <c r="AG68" s="30"/>
      <c r="AH68" s="31" t="str">
        <f>IF(AG68=0,"",IFERROR(AG68/AG$19,""))</f>
        <v/>
      </c>
      <c r="AI68" s="51">
        <f>IF(AND($AA68="",AG68=""),"",$AA68-AG68)</f>
        <v>0</v>
      </c>
      <c r="AJ68" s="399">
        <f>IFERROR(AA68/AA$20,0)</f>
        <v>0</v>
      </c>
      <c r="AK68" s="400">
        <f>IFERROR(AD68/AD$20,0)</f>
        <v>0</v>
      </c>
      <c r="AL68" s="401">
        <f>IFERROR(AG68/AG$20,0)</f>
        <v>0</v>
      </c>
      <c r="AM68" s="402">
        <f>+IFERROR(ROUND(($AB68-AE68)*100,2)&amp;" pts.",0)</f>
        <v>0</v>
      </c>
      <c r="AN68" s="403">
        <f>+IFERROR(ROUND(($AB68-AH68)*100,2)&amp;" pts.",0)</f>
        <v>0</v>
      </c>
    </row>
    <row r="69" spans="1:40" x14ac:dyDescent="0.25">
      <c r="H69" s="15" t="s">
        <v>75</v>
      </c>
      <c r="I69" s="28" t="s">
        <v>1011</v>
      </c>
      <c r="J69" s="28" t="s">
        <v>78</v>
      </c>
      <c r="K69" s="69" t="str">
        <f>IF(AND(I69&gt;="T3"),"&gt;","")</f>
        <v/>
      </c>
      <c r="L69" s="25"/>
      <c r="M69" s="162"/>
      <c r="N69" s="25" t="s">
        <v>1082</v>
      </c>
      <c r="O69" s="21"/>
      <c r="P69" s="21"/>
      <c r="Q69" s="21"/>
      <c r="R69" s="21"/>
      <c r="S69" s="21"/>
      <c r="T69" s="21"/>
      <c r="U69" s="21"/>
      <c r="V69" s="21"/>
      <c r="W69" s="21"/>
      <c r="X69" s="21"/>
      <c r="Y69" s="21"/>
      <c r="Z69" s="21"/>
      <c r="AA69" s="310" t="str">
        <f>IF($I69="B1","",SUM(O69:Z69))</f>
        <v/>
      </c>
      <c r="AB69" s="17" t="str">
        <f>IF(AA69=0,"",IFERROR(AA69/AA$19,""))</f>
        <v/>
      </c>
      <c r="AD69" s="21"/>
      <c r="AE69" s="17" t="str">
        <f>IF(AD69=0,"",IFERROR(AD69/AD$19,""))</f>
        <v/>
      </c>
      <c r="AF69" s="50" t="str">
        <f>IF(AND($AA69="",AD69=""),"",$AA69-AD69)</f>
        <v/>
      </c>
      <c r="AG69" s="21"/>
      <c r="AH69" s="17" t="str">
        <f>IF(AG69=0,"",IFERROR(AG69/AG$19,""))</f>
        <v/>
      </c>
      <c r="AI69" s="50" t="str">
        <f>IF(AND($AA69="",AG69=""),"",$AA69-AG69)</f>
        <v/>
      </c>
      <c r="AJ69" s="399">
        <f>IFERROR(AA69/AA$20,0)</f>
        <v>0</v>
      </c>
      <c r="AK69" s="400">
        <f>IFERROR(AD69/AD$20,0)</f>
        <v>0</v>
      </c>
      <c r="AL69" s="401">
        <f>IFERROR(AG69/AG$20,0)</f>
        <v>0</v>
      </c>
      <c r="AM69" s="402">
        <f>+IFERROR(ROUND(($AB69-AE69)*100,2)&amp;" pts.",0)</f>
        <v>0</v>
      </c>
      <c r="AN69" s="403">
        <f>+IFERROR(ROUND(($AB69-AH69)*100,2)&amp;" pts.",0)</f>
        <v>0</v>
      </c>
    </row>
    <row r="70" spans="1:40" hidden="1" x14ac:dyDescent="0.25">
      <c r="A70" s="1" t="s">
        <v>209</v>
      </c>
      <c r="B70" s="1" t="s">
        <v>21</v>
      </c>
      <c r="C70" s="74"/>
      <c r="D70" s="1" t="s">
        <v>590</v>
      </c>
      <c r="F70" s="1" t="s">
        <v>99</v>
      </c>
      <c r="H70" s="15" t="s">
        <v>667</v>
      </c>
      <c r="I70" s="161"/>
      <c r="J70" s="161"/>
      <c r="K70" s="68" t="str">
        <f>IF(AND(I70&gt;="T3"),"&gt;","")</f>
        <v/>
      </c>
      <c r="L70" s="162"/>
      <c r="M70" s="162"/>
      <c r="N70" s="162"/>
      <c r="O70" s="30"/>
      <c r="P70" s="30"/>
      <c r="Q70" s="30"/>
      <c r="R70" s="30"/>
      <c r="S70" s="30"/>
      <c r="T70" s="30"/>
      <c r="U70" s="30"/>
      <c r="V70" s="30"/>
      <c r="W70" s="30"/>
      <c r="X70" s="30"/>
      <c r="Y70" s="30"/>
      <c r="Z70" s="30"/>
      <c r="AA70" s="324">
        <f>IF($I70="B1","",SUM(O70:Z70))</f>
        <v>0</v>
      </c>
      <c r="AB70" s="31" t="str">
        <f>IF(AA70=0,"",IFERROR(AA70/AA$19,""))</f>
        <v/>
      </c>
      <c r="AD70" s="30"/>
      <c r="AE70" s="31" t="str">
        <f>IF(AD70=0,"",IFERROR(AD70/AD$19,""))</f>
        <v/>
      </c>
      <c r="AF70" s="51">
        <f>IF(AND($AA70="",AD70=""),"",$AA70-AD70)</f>
        <v>0</v>
      </c>
      <c r="AG70" s="30"/>
      <c r="AH70" s="31" t="str">
        <f>IF(AG70=0,"",IFERROR(AG70/AG$19,""))</f>
        <v/>
      </c>
      <c r="AI70" s="51">
        <f>IF(AND($AA70="",AG70=""),"",$AA70-AG70)</f>
        <v>0</v>
      </c>
      <c r="AJ70" s="409">
        <f>IFERROR(AA70/AA$20,0)</f>
        <v>0</v>
      </c>
      <c r="AK70" s="410">
        <f>IFERROR(AD70/AD$20,0)</f>
        <v>0</v>
      </c>
      <c r="AL70" s="411">
        <f>IFERROR(AG70/AG$20,0)</f>
        <v>0</v>
      </c>
      <c r="AM70" s="412">
        <f>+IFERROR(ROUND(($AB70-AE70)*100,2)&amp;" pts.",0)</f>
        <v>0</v>
      </c>
      <c r="AN70" s="413">
        <f>+IFERROR(ROUND(($AB70-AH70)*100,2)&amp;" pts.",0)</f>
        <v>0</v>
      </c>
    </row>
    <row r="71" spans="1:40" hidden="1" x14ac:dyDescent="0.25">
      <c r="A71" s="1" t="s">
        <v>105</v>
      </c>
      <c r="C71" s="26" t="s">
        <v>101</v>
      </c>
      <c r="D71" s="1" t="s">
        <v>106</v>
      </c>
      <c r="F71" s="1" t="s">
        <v>98</v>
      </c>
      <c r="H71" s="15"/>
      <c r="I71" s="161"/>
      <c r="J71" s="161"/>
      <c r="K71" s="68" t="str">
        <f>IF(AND(I71&gt;="T3"),"&gt;","")</f>
        <v/>
      </c>
      <c r="L71" s="162"/>
      <c r="M71" s="162"/>
      <c r="N71" s="162"/>
      <c r="O71" s="30"/>
      <c r="P71" s="30"/>
      <c r="Q71" s="30"/>
      <c r="R71" s="30"/>
      <c r="S71" s="30"/>
      <c r="T71" s="30"/>
      <c r="U71" s="30"/>
      <c r="V71" s="30"/>
      <c r="W71" s="30"/>
      <c r="X71" s="30"/>
      <c r="Y71" s="30"/>
      <c r="Z71" s="30"/>
      <c r="AA71" s="324">
        <f>IF($I71="B1","",SUM(O71:Z71))</f>
        <v>0</v>
      </c>
      <c r="AB71" s="31" t="str">
        <f>IF(AA71=0,"",IFERROR(AA71/AA$19,""))</f>
        <v/>
      </c>
      <c r="AD71" s="30"/>
      <c r="AE71" s="31" t="str">
        <f>IF(AD71=0,"",IFERROR(AD71/AD$19,""))</f>
        <v/>
      </c>
      <c r="AF71" s="51">
        <f>IF(AND($AA71="",AD71=""),"",$AA71-AD71)</f>
        <v>0</v>
      </c>
      <c r="AG71" s="30"/>
      <c r="AH71" s="31" t="str">
        <f>IF(AG71=0,"",IFERROR(AG71/AG$19,""))</f>
        <v/>
      </c>
      <c r="AI71" s="51">
        <f>IF(AND($AA71="",AG71=""),"",$AA71-AG71)</f>
        <v>0</v>
      </c>
      <c r="AJ71" s="409">
        <f>IFERROR(AA71/AA$20,0)</f>
        <v>0</v>
      </c>
      <c r="AK71" s="410">
        <f>IFERROR(AD71/AD$20,0)</f>
        <v>0</v>
      </c>
      <c r="AL71" s="411">
        <f>IFERROR(AG71/AG$20,0)</f>
        <v>0</v>
      </c>
      <c r="AM71" s="412">
        <f>+IFERROR(ROUND(($AB71-AE71)*100,2)&amp;" pts.",0)</f>
        <v>0</v>
      </c>
      <c r="AN71" s="413">
        <f>+IFERROR(ROUND(($AB71-AH71)*100,2)&amp;" pts.",0)</f>
        <v>0</v>
      </c>
    </row>
    <row r="72" spans="1:40" x14ac:dyDescent="0.25">
      <c r="A72" s="1" t="s">
        <v>104</v>
      </c>
      <c r="C72" s="26" t="s">
        <v>101</v>
      </c>
      <c r="D72" s="1" t="s">
        <v>106</v>
      </c>
      <c r="F72" s="1" t="s">
        <v>98</v>
      </c>
      <c r="O72" s="41"/>
      <c r="P72" s="45"/>
      <c r="Q72" s="45"/>
      <c r="R72" s="45"/>
      <c r="S72" s="45"/>
      <c r="T72" s="45"/>
      <c r="U72" s="45"/>
      <c r="V72" s="45"/>
      <c r="W72" s="45"/>
      <c r="X72" s="45"/>
      <c r="Y72" s="45"/>
      <c r="Z72" s="45"/>
      <c r="AA72" s="45"/>
      <c r="AB72" s="42"/>
      <c r="AD72" s="41"/>
      <c r="AE72" s="45"/>
      <c r="AF72" s="42"/>
      <c r="AG72" s="41"/>
      <c r="AH72" s="45"/>
      <c r="AI72" s="42"/>
    </row>
    <row r="73" spans="1:40" x14ac:dyDescent="0.25">
      <c r="A73" s="1" t="s">
        <v>100</v>
      </c>
      <c r="C73" s="8" t="s">
        <v>101</v>
      </c>
      <c r="D73" s="1" t="s">
        <v>106</v>
      </c>
      <c r="F73" s="1" t="s">
        <v>98</v>
      </c>
      <c r="H73" s="1" t="s">
        <v>82</v>
      </c>
      <c r="I73" s="11" t="s">
        <v>1011</v>
      </c>
      <c r="J73" s="11" t="s">
        <v>78</v>
      </c>
      <c r="N73" s="40" t="s">
        <v>1092</v>
      </c>
      <c r="O73" s="43"/>
      <c r="P73" s="46"/>
      <c r="Q73" s="46"/>
      <c r="R73" s="46"/>
      <c r="S73" s="46"/>
      <c r="T73" s="46"/>
      <c r="U73" s="46"/>
      <c r="V73" s="46"/>
      <c r="W73" s="46"/>
      <c r="X73" s="46"/>
      <c r="Y73" s="46"/>
      <c r="Z73" s="46"/>
      <c r="AA73" s="46"/>
      <c r="AB73" s="44"/>
      <c r="AD73" s="43"/>
      <c r="AE73" s="46"/>
      <c r="AF73" s="44"/>
      <c r="AG73" s="43"/>
      <c r="AH73" s="46"/>
      <c r="AI73" s="44"/>
    </row>
    <row r="74" spans="1:40" hidden="1" x14ac:dyDescent="0.25">
      <c r="A74" s="1" t="s">
        <v>102</v>
      </c>
      <c r="C74" s="25" t="s">
        <v>101</v>
      </c>
      <c r="D74" s="1" t="s">
        <v>106</v>
      </c>
      <c r="F74" s="1" t="s">
        <v>98</v>
      </c>
      <c r="H74" s="15" t="s">
        <v>667</v>
      </c>
      <c r="I74" s="161"/>
      <c r="J74" s="161"/>
      <c r="K74" s="68" t="str">
        <f>IF(AND(I74&lt;&gt;"B1",J74="Y"),"&gt;","")</f>
        <v/>
      </c>
      <c r="L74" s="162"/>
      <c r="M74" s="162"/>
      <c r="N74" s="162"/>
      <c r="O74" s="21"/>
      <c r="P74" s="21"/>
      <c r="Q74" s="21"/>
      <c r="R74" s="21"/>
      <c r="S74" s="21"/>
      <c r="T74" s="21"/>
      <c r="U74" s="21"/>
      <c r="V74" s="21"/>
      <c r="W74" s="21"/>
      <c r="X74" s="21"/>
      <c r="Y74" s="21"/>
      <c r="Z74" s="21"/>
      <c r="AA74" s="310">
        <f>IF($I74="B1","",SUM(O74:Z74))</f>
        <v>0</v>
      </c>
      <c r="AB74" s="17" t="str">
        <f>IF(AA74=0,"",IFERROR(AA74/AA$19,""))</f>
        <v/>
      </c>
      <c r="AD74" s="21"/>
      <c r="AE74" s="17" t="str">
        <f>IF(AD74=0,"",IFERROR(AD74/AD$19,""))</f>
        <v/>
      </c>
      <c r="AF74" s="50">
        <f>IF(AND($AA74="",AD74=""),"",$AA74-AD74)</f>
        <v>0</v>
      </c>
      <c r="AG74" s="21"/>
      <c r="AH74" s="17" t="str">
        <f>IF(AG74=0,"",IFERROR(AG74/AG$19,""))</f>
        <v/>
      </c>
      <c r="AI74" s="50">
        <f>IF(AND($AA74="",AG74=""),"",$AA74-AG74)</f>
        <v>0</v>
      </c>
      <c r="AJ74" s="399">
        <f>IFERROR(AA74/AA$20,0)</f>
        <v>0</v>
      </c>
      <c r="AK74" s="400">
        <f>IFERROR(AD74/AD$20,0)</f>
        <v>0</v>
      </c>
      <c r="AL74" s="401">
        <f>IFERROR(AG74/AG$20,0)</f>
        <v>0</v>
      </c>
      <c r="AM74" s="402">
        <f>+IFERROR(ROUND(($AB74-AE74)*100,2)&amp;" pts.",0)</f>
        <v>0</v>
      </c>
      <c r="AN74" s="403">
        <f>+IFERROR(ROUND(($AB74-AH74)*100,2)&amp;" pts.",0)</f>
        <v>0</v>
      </c>
    </row>
    <row r="75" spans="1:40" hidden="1" x14ac:dyDescent="0.25">
      <c r="A75" s="1" t="s">
        <v>102</v>
      </c>
      <c r="C75" s="151" t="s">
        <v>101</v>
      </c>
      <c r="D75" s="1" t="s">
        <v>107</v>
      </c>
      <c r="F75" s="1" t="s">
        <v>99</v>
      </c>
      <c r="H75" s="15"/>
      <c r="I75" s="161"/>
      <c r="J75" s="161"/>
      <c r="K75" s="68" t="str">
        <f>IF(AND(I75&lt;&gt;"B1",J75="Y"),"&gt;","")</f>
        <v/>
      </c>
      <c r="L75" s="162"/>
      <c r="M75" s="162"/>
      <c r="N75" s="162"/>
      <c r="O75" s="21"/>
      <c r="P75" s="21"/>
      <c r="Q75" s="21"/>
      <c r="R75" s="21"/>
      <c r="S75" s="21"/>
      <c r="T75" s="21"/>
      <c r="U75" s="21"/>
      <c r="V75" s="21"/>
      <c r="W75" s="21"/>
      <c r="X75" s="21"/>
      <c r="Y75" s="21"/>
      <c r="Z75" s="21"/>
      <c r="AA75" s="310">
        <f>IF($I75="B1","",SUM(O75:Z75))</f>
        <v>0</v>
      </c>
      <c r="AB75" s="17" t="str">
        <f>IF(AA75=0,"",IFERROR(AA75/AA$19,""))</f>
        <v/>
      </c>
      <c r="AD75" s="21"/>
      <c r="AE75" s="17" t="str">
        <f>IF(AD75=0,"",IFERROR(AD75/AD$19,""))</f>
        <v/>
      </c>
      <c r="AF75" s="50">
        <f>IF(AND($AA75="",AD75=""),"",$AA75-AD75)</f>
        <v>0</v>
      </c>
      <c r="AG75" s="21"/>
      <c r="AH75" s="17" t="str">
        <f>IF(AG75=0,"",IFERROR(AG75/AG$19,""))</f>
        <v/>
      </c>
      <c r="AI75" s="50">
        <f>IF(AND($AA75="",AG75=""),"",$AA75-AG75)</f>
        <v>0</v>
      </c>
      <c r="AJ75" s="399">
        <f>IFERROR(AA75/AA$20,0)</f>
        <v>0</v>
      </c>
      <c r="AK75" s="400">
        <f>IFERROR(AD75/AD$20,0)</f>
        <v>0</v>
      </c>
      <c r="AL75" s="401">
        <f>IFERROR(AG75/AG$20,0)</f>
        <v>0</v>
      </c>
      <c r="AM75" s="402">
        <f>+IFERROR(ROUND(($AB75-AE75)*100,2)&amp;" pts.",0)</f>
        <v>0</v>
      </c>
      <c r="AN75" s="403">
        <f>+IFERROR(ROUND(($AB75-AH75)*100,2)&amp;" pts.",0)</f>
        <v>0</v>
      </c>
    </row>
    <row r="76" spans="1:40" x14ac:dyDescent="0.25">
      <c r="A76" s="1" t="s">
        <v>108</v>
      </c>
      <c r="C76" s="25" t="s">
        <v>101</v>
      </c>
      <c r="D76" s="1" t="s">
        <v>106</v>
      </c>
      <c r="F76" s="1" t="s">
        <v>98</v>
      </c>
      <c r="H76" s="15" t="s">
        <v>79</v>
      </c>
      <c r="I76" s="27" t="s">
        <v>1012</v>
      </c>
      <c r="J76" s="27" t="s">
        <v>78</v>
      </c>
      <c r="K76" s="26"/>
      <c r="L76" s="26"/>
      <c r="M76" s="26"/>
      <c r="N76" s="25" t="s">
        <v>1116</v>
      </c>
      <c r="O76" s="33"/>
      <c r="P76" s="33"/>
      <c r="Q76" s="33"/>
      <c r="R76" s="33"/>
      <c r="S76" s="33"/>
      <c r="T76" s="33"/>
      <c r="U76" s="33"/>
      <c r="V76" s="33"/>
      <c r="W76" s="33"/>
      <c r="X76" s="33"/>
      <c r="Y76" s="33"/>
      <c r="Z76" s="33"/>
      <c r="AA76" s="33">
        <f>IF($I76="B1","",SUM(O76:Z76))</f>
        <v>0</v>
      </c>
      <c r="AB76" s="34" t="str">
        <f>IF(AA76=0,"",IFERROR(AA76/AA$19,""))</f>
        <v/>
      </c>
      <c r="AD76" s="33"/>
      <c r="AE76" s="34" t="str">
        <f>IF(AD76=0,"",IFERROR(AD76/AD$19,""))</f>
        <v/>
      </c>
      <c r="AF76" s="52">
        <f>IF(AND($AA76="",AD76=""),"",$AA76-AD76)</f>
        <v>0</v>
      </c>
      <c r="AG76" s="33"/>
      <c r="AH76" s="34" t="str">
        <f>IF(AG76=0,"",IFERROR(AG76/AG$19,""))</f>
        <v/>
      </c>
      <c r="AI76" s="52">
        <f>IF(AND($AA76="",AG76=""),"",$AA76-AG76)</f>
        <v>0</v>
      </c>
      <c r="AJ76" s="415">
        <f>IFERROR(AA76/AA$20,0)</f>
        <v>0</v>
      </c>
      <c r="AK76" s="416">
        <f>IFERROR(AD76/AD$20,0)</f>
        <v>0</v>
      </c>
      <c r="AL76" s="417">
        <f>IFERROR(AG76/AG$20,0)</f>
        <v>0</v>
      </c>
      <c r="AM76" s="418">
        <f>+IFERROR(ROUND(($AB76-AE76)*100,2)&amp;" pts.",0)</f>
        <v>0</v>
      </c>
      <c r="AN76" s="436">
        <f>+IFERROR(ROUND(($AB76-AH76)*100,2)&amp;" pts.",0)</f>
        <v>0</v>
      </c>
    </row>
    <row r="77" spans="1:40" x14ac:dyDescent="0.25">
      <c r="A77" s="1" t="s">
        <v>108</v>
      </c>
      <c r="C77" s="151" t="s">
        <v>101</v>
      </c>
      <c r="D77" s="1" t="s">
        <v>107</v>
      </c>
      <c r="F77" s="1" t="s">
        <v>99</v>
      </c>
    </row>
    <row r="78" spans="1:40" x14ac:dyDescent="0.25">
      <c r="H78" s="15" t="s">
        <v>80</v>
      </c>
      <c r="I78" s="27" t="s">
        <v>1012</v>
      </c>
      <c r="J78" s="27" t="s">
        <v>78</v>
      </c>
      <c r="K78" s="25"/>
      <c r="L78" s="25"/>
      <c r="M78" s="25"/>
      <c r="N78" s="25" t="s">
        <v>1117</v>
      </c>
      <c r="O78" s="36"/>
      <c r="P78" s="36"/>
      <c r="Q78" s="36"/>
      <c r="R78" s="36"/>
      <c r="S78" s="36"/>
      <c r="T78" s="36"/>
      <c r="U78" s="36"/>
      <c r="V78" s="36"/>
      <c r="W78" s="36"/>
      <c r="X78" s="36"/>
      <c r="Y78" s="36"/>
      <c r="Z78" s="36"/>
      <c r="AA78" s="36">
        <f>IF($I78="B1","",SUM(O78:Z78))</f>
        <v>0</v>
      </c>
      <c r="AB78" s="37" t="str">
        <f>IF(AA78=0,"",IFERROR(AA78/AA$19,""))</f>
        <v/>
      </c>
      <c r="AD78" s="36"/>
      <c r="AE78" s="37" t="str">
        <f>IF(AD78=0,"",IFERROR(AD78/AD$19,""))</f>
        <v/>
      </c>
      <c r="AF78" s="59">
        <f>IF(AND($AA78="",AD78=""),"",$AA78-AD78)</f>
        <v>0</v>
      </c>
      <c r="AG78" s="60"/>
      <c r="AH78" s="61" t="str">
        <f>IF(AG78=0,"",IFERROR(AG78/AG$19,""))</f>
        <v/>
      </c>
      <c r="AI78" s="59">
        <f>IF(AND($AA78="",AG78=""),"",$AA78-AG78)</f>
        <v>0</v>
      </c>
      <c r="AJ78" s="392">
        <f>IFERROR(AA78/AA$20,0)</f>
        <v>0</v>
      </c>
      <c r="AK78" s="393">
        <f>IFERROR(AD78/AD$20,0)</f>
        <v>0</v>
      </c>
      <c r="AL78" s="394">
        <f>IFERROR(AG78/AG$20,0)</f>
        <v>0</v>
      </c>
      <c r="AM78" s="395">
        <f>+IFERROR(ROUND(($AB78-AE78)*100,2)&amp;" pts.",0)</f>
        <v>0</v>
      </c>
      <c r="AN78" s="437">
        <f>+IFERROR(ROUND(($AB78-AH78)*100,2)&amp;" pts.",0)</f>
        <v>0</v>
      </c>
    </row>
    <row r="79" spans="1:40" ht="15.75" thickBot="1" x14ac:dyDescent="0.3">
      <c r="C79" s="32"/>
      <c r="H79" s="15" t="s">
        <v>81</v>
      </c>
      <c r="I79" s="27" t="s">
        <v>1012</v>
      </c>
      <c r="J79" s="27" t="s">
        <v>78</v>
      </c>
      <c r="K79" s="25"/>
      <c r="L79" s="25"/>
      <c r="M79" s="25"/>
      <c r="N79" s="25" t="s">
        <v>1118</v>
      </c>
      <c r="O79" s="62"/>
      <c r="P79" s="62"/>
      <c r="Q79" s="62"/>
      <c r="R79" s="62"/>
      <c r="S79" s="62"/>
      <c r="T79" s="62"/>
      <c r="U79" s="62"/>
      <c r="V79" s="62"/>
      <c r="W79" s="62"/>
      <c r="X79" s="62"/>
      <c r="Y79" s="62"/>
      <c r="Z79" s="62"/>
      <c r="AA79" s="62">
        <f>IF($I79="B1","",SUM(O79:Z79))</f>
        <v>0</v>
      </c>
      <c r="AB79" s="63" t="str">
        <f>IF(AA79=0,"",IFERROR(AA79/AA$19,""))</f>
        <v/>
      </c>
      <c r="AD79" s="62"/>
      <c r="AE79" s="63" t="str">
        <f>IF(AD79=0,"",IFERROR(AD79/AD$19,""))</f>
        <v/>
      </c>
      <c r="AF79" s="64">
        <f>IF(AND($AA79="",AD79=""),"",$AA79-AD79)</f>
        <v>0</v>
      </c>
      <c r="AG79" s="62">
        <v>0</v>
      </c>
      <c r="AH79" s="63" t="str">
        <f>IF(AG79=0,"",IFERROR(AG79/AG$19,""))</f>
        <v/>
      </c>
      <c r="AI79" s="64">
        <f>IF(AND($AA79="",AG79=""),"",$AA79-AG79)</f>
        <v>0</v>
      </c>
      <c r="AJ79" s="430">
        <f>IFERROR(AA79/AA$20,0)</f>
        <v>0</v>
      </c>
      <c r="AK79" s="431">
        <f>IFERROR(AD79/AD$20,0)</f>
        <v>0</v>
      </c>
      <c r="AL79" s="432">
        <f>IFERROR(AG79/AG$20,0)</f>
        <v>0</v>
      </c>
      <c r="AM79" s="433">
        <f>+IFERROR(ROUND(($AB79-AE79)*100,2)&amp;" pts.",0)</f>
        <v>0</v>
      </c>
      <c r="AN79" s="438">
        <f>+IFERROR(ROUND(($AB79-AH79)*100,2)&amp;" pts.",0)</f>
        <v>0</v>
      </c>
    </row>
    <row r="80" spans="1:40" ht="15.75" thickTop="1" x14ac:dyDescent="0.25">
      <c r="A80" s="4" t="s">
        <v>988</v>
      </c>
    </row>
    <row r="81" spans="1:35" x14ac:dyDescent="0.25">
      <c r="N81" s="26" t="str">
        <f>N78&amp;" - Check"</f>
        <v>Total Expenses - Check</v>
      </c>
      <c r="O81" s="139">
        <f t="shared" ref="O81:AA81" si="22">SUMIF($H$35:$H$79,"600000",O$35:O$79)+SUMIF($H$35:$H$79,"700000",O$35:O$79)-SUMIF($H$35:$H$79,"TOTDEPTEXP",O$35:O$79)</f>
        <v>0</v>
      </c>
      <c r="P81" s="139">
        <f t="shared" si="22"/>
        <v>0</v>
      </c>
      <c r="Q81" s="139">
        <f t="shared" si="22"/>
        <v>0</v>
      </c>
      <c r="R81" s="139">
        <f t="shared" si="22"/>
        <v>0</v>
      </c>
      <c r="S81" s="139">
        <f t="shared" si="22"/>
        <v>0</v>
      </c>
      <c r="T81" s="139">
        <f t="shared" si="22"/>
        <v>0</v>
      </c>
      <c r="U81" s="139">
        <f t="shared" si="22"/>
        <v>0</v>
      </c>
      <c r="V81" s="139">
        <f t="shared" si="22"/>
        <v>0</v>
      </c>
      <c r="W81" s="139">
        <f t="shared" si="22"/>
        <v>0</v>
      </c>
      <c r="X81" s="139">
        <f t="shared" si="22"/>
        <v>0</v>
      </c>
      <c r="Y81" s="139">
        <f t="shared" si="22"/>
        <v>0</v>
      </c>
      <c r="Z81" s="139">
        <f t="shared" si="22"/>
        <v>0</v>
      </c>
      <c r="AA81" s="139">
        <f t="shared" si="22"/>
        <v>0</v>
      </c>
      <c r="AB81" s="17"/>
      <c r="AD81" s="139">
        <f>SUMIF($H$35:$H$79,"600000",AD$35:AD$79)+SUMIF($H$35:$H$79,"700000",AD$35:AD$79)-SUMIF($H$35:$H$79,"TOTDEPTEXP",AD$35:AD$79)</f>
        <v>0</v>
      </c>
      <c r="AE81" s="17"/>
      <c r="AF81" s="21"/>
      <c r="AG81" s="139">
        <f>SUMIF($H$35:$H$79,"600000",AG$35:AG$79)+SUMIF($H$35:$H$79,"700000",AG$35:AG$79)-SUMIF($H$35:$H$79,"TOTDEPTEXP",AG$35:AG$79)</f>
        <v>0</v>
      </c>
      <c r="AH81" s="17"/>
      <c r="AI81" s="21"/>
    </row>
    <row r="82" spans="1:35" x14ac:dyDescent="0.25">
      <c r="A82" s="3" t="s">
        <v>0</v>
      </c>
      <c r="B82" s="5" t="s">
        <v>1</v>
      </c>
      <c r="N82" s="26" t="str">
        <f>N79&amp;" - Check"</f>
        <v>Department Profit (Loss) - Check</v>
      </c>
      <c r="O82" s="139">
        <f t="shared" ref="O82:AA82" si="23">SUMIF($H$35:$H$79,"KPI_GP",O$35:O$79)-SUMIF($H$35:$H$79,"TOTDEPTEXP",O$35:O$79)-SUMIF($H$35:$H$79,"TOTDEPTPL",O$35:O$79)</f>
        <v>0</v>
      </c>
      <c r="P82" s="139">
        <f t="shared" si="23"/>
        <v>0</v>
      </c>
      <c r="Q82" s="139">
        <f t="shared" si="23"/>
        <v>0</v>
      </c>
      <c r="R82" s="139">
        <f t="shared" si="23"/>
        <v>0</v>
      </c>
      <c r="S82" s="139">
        <f t="shared" si="23"/>
        <v>0</v>
      </c>
      <c r="T82" s="139">
        <f t="shared" si="23"/>
        <v>0</v>
      </c>
      <c r="U82" s="139">
        <f t="shared" si="23"/>
        <v>0</v>
      </c>
      <c r="V82" s="139">
        <f t="shared" si="23"/>
        <v>0</v>
      </c>
      <c r="W82" s="139">
        <f t="shared" si="23"/>
        <v>0</v>
      </c>
      <c r="X82" s="139">
        <f t="shared" si="23"/>
        <v>0</v>
      </c>
      <c r="Y82" s="139">
        <f t="shared" si="23"/>
        <v>0</v>
      </c>
      <c r="Z82" s="139">
        <f t="shared" si="23"/>
        <v>0</v>
      </c>
      <c r="AA82" s="139">
        <f t="shared" si="23"/>
        <v>0</v>
      </c>
      <c r="AB82" s="17"/>
      <c r="AD82" s="139">
        <f>SUMIF($H$35:$H$79,"KPI_GP",AD$35:AD$79)-SUMIF($H$35:$H$79,"TOTDEPTEXP",AD$35:AD$79)-SUMIF($H$35:$H$79,"TOTDEPTPL",AD$35:AD$79)</f>
        <v>0</v>
      </c>
      <c r="AE82" s="17"/>
      <c r="AF82" s="21"/>
      <c r="AG82" s="139">
        <f>SUMIF($H$35:$H$79,"KPI_GP",AG$35:AG$79)-SUMIF($H$35:$H$79,"TOTDEPTEXP",AG$35:AG$79)-SUMIF($H$35:$H$79,"TOTDEPTPL",AG$35:AG$79)</f>
        <v>0</v>
      </c>
      <c r="AH82" s="17"/>
      <c r="AI82" s="21"/>
    </row>
    <row r="83" spans="1:35" x14ac:dyDescent="0.25">
      <c r="A83" s="6" t="s">
        <v>2</v>
      </c>
      <c r="B83" s="16" t="s">
        <v>1454</v>
      </c>
    </row>
    <row r="84" spans="1:35" x14ac:dyDescent="0.25">
      <c r="A84" s="6" t="s">
        <v>3</v>
      </c>
      <c r="B84" s="16" t="s">
        <v>1455</v>
      </c>
      <c r="O84" s="166"/>
      <c r="P84" s="166"/>
      <c r="Q84" s="166"/>
      <c r="R84" s="166"/>
      <c r="S84" s="166"/>
      <c r="T84" s="166"/>
      <c r="U84" s="166"/>
      <c r="V84" s="166"/>
      <c r="W84" s="166"/>
      <c r="X84" s="166"/>
      <c r="Y84" s="166"/>
      <c r="Z84" s="166"/>
      <c r="AA84" s="166"/>
      <c r="AD84" s="166"/>
      <c r="AG84" s="166"/>
    </row>
    <row r="85" spans="1:35" x14ac:dyDescent="0.25">
      <c r="A85" s="6" t="s">
        <v>4</v>
      </c>
      <c r="B85" s="16" t="s">
        <v>1462</v>
      </c>
    </row>
    <row r="86" spans="1:35" x14ac:dyDescent="0.25">
      <c r="A86" s="6" t="s">
        <v>5</v>
      </c>
      <c r="B86" s="7"/>
      <c r="O86" s="166"/>
      <c r="P86" s="166"/>
      <c r="Q86" s="166"/>
      <c r="R86" s="166"/>
      <c r="S86" s="166"/>
      <c r="T86" s="166"/>
      <c r="U86" s="166"/>
      <c r="V86" s="166"/>
      <c r="W86" s="166"/>
      <c r="X86" s="166"/>
      <c r="Y86" s="166"/>
      <c r="Z86" s="166"/>
      <c r="AA86" s="166"/>
      <c r="AD86" s="166"/>
      <c r="AG86" s="166"/>
    </row>
    <row r="87" spans="1:35" x14ac:dyDescent="0.25">
      <c r="A87" s="6" t="s">
        <v>6</v>
      </c>
      <c r="B87" s="7"/>
    </row>
    <row r="88" spans="1:35" x14ac:dyDescent="0.25">
      <c r="A88" s="6" t="s">
        <v>7</v>
      </c>
      <c r="B88" s="16" t="s">
        <v>1463</v>
      </c>
    </row>
    <row r="89" spans="1:35" x14ac:dyDescent="0.25">
      <c r="A89" s="6" t="s">
        <v>47</v>
      </c>
      <c r="B89" s="16" t="s">
        <v>1458</v>
      </c>
      <c r="H89" s="11"/>
      <c r="J89" s="1"/>
    </row>
    <row r="90" spans="1:35" x14ac:dyDescent="0.25">
      <c r="A90" s="6" t="s">
        <v>8</v>
      </c>
      <c r="B90" s="7"/>
      <c r="H90" s="11"/>
      <c r="J90" s="1"/>
    </row>
    <row r="91" spans="1:35" x14ac:dyDescent="0.25">
      <c r="H91" s="11"/>
      <c r="J91" s="1"/>
    </row>
    <row r="92" spans="1:35" x14ac:dyDescent="0.25">
      <c r="A92" s="3" t="s">
        <v>9</v>
      </c>
      <c r="B92" s="5" t="s">
        <v>10</v>
      </c>
      <c r="H92" s="11"/>
      <c r="J92" s="1"/>
    </row>
    <row r="93" spans="1:35" x14ac:dyDescent="0.25">
      <c r="A93" s="6" t="s">
        <v>11</v>
      </c>
      <c r="B93" s="7" t="s">
        <v>21</v>
      </c>
      <c r="H93" s="11"/>
      <c r="J93" s="1"/>
    </row>
    <row r="94" spans="1:35" x14ac:dyDescent="0.25">
      <c r="A94" s="6" t="s">
        <v>12</v>
      </c>
      <c r="B94" s="7" t="s">
        <v>22</v>
      </c>
      <c r="G94" s="14"/>
      <c r="H94" s="11"/>
      <c r="J94" s="1"/>
    </row>
    <row r="95" spans="1:35" x14ac:dyDescent="0.25">
      <c r="A95" s="6" t="s">
        <v>13</v>
      </c>
      <c r="B95" s="7" t="s">
        <v>737</v>
      </c>
      <c r="H95" s="11"/>
      <c r="J95" s="1"/>
    </row>
    <row r="96" spans="1:35" x14ac:dyDescent="0.25">
      <c r="A96" s="6" t="s">
        <v>14</v>
      </c>
      <c r="B96" s="7"/>
      <c r="H96" s="11"/>
      <c r="J96" s="1"/>
    </row>
    <row r="97" spans="1:10" x14ac:dyDescent="0.25">
      <c r="A97" s="6" t="s">
        <v>15</v>
      </c>
      <c r="B97" s="7"/>
      <c r="H97" s="11"/>
      <c r="J97" s="1"/>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G108" s="14"/>
      <c r="H108" s="11"/>
      <c r="J108" s="1"/>
    </row>
    <row r="109" spans="1:10" x14ac:dyDescent="0.25">
      <c r="C109" s="32"/>
      <c r="G109" s="14"/>
      <c r="H109" s="11"/>
      <c r="J109" s="1"/>
    </row>
    <row r="110" spans="1:10" x14ac:dyDescent="0.25">
      <c r="H110" s="11"/>
      <c r="J110" s="1"/>
    </row>
    <row r="111" spans="1:10" x14ac:dyDescent="0.25">
      <c r="A111" s="4" t="s">
        <v>988</v>
      </c>
      <c r="B111" s="1" t="s">
        <v>736</v>
      </c>
      <c r="H111" s="11"/>
      <c r="J111" s="1"/>
    </row>
    <row r="113" spans="1:2" x14ac:dyDescent="0.25">
      <c r="A113" s="3" t="s">
        <v>0</v>
      </c>
      <c r="B113" s="5" t="s">
        <v>1</v>
      </c>
    </row>
    <row r="114" spans="1:2" x14ac:dyDescent="0.25">
      <c r="A114" s="6" t="s">
        <v>2</v>
      </c>
      <c r="B114" s="16" t="s">
        <v>1454</v>
      </c>
    </row>
    <row r="115" spans="1:2" x14ac:dyDescent="0.25">
      <c r="A115" s="6" t="s">
        <v>3</v>
      </c>
      <c r="B115" s="16" t="s">
        <v>1455</v>
      </c>
    </row>
    <row r="116" spans="1:2" x14ac:dyDescent="0.25">
      <c r="A116" s="6" t="s">
        <v>4</v>
      </c>
      <c r="B116" s="16" t="s">
        <v>1464</v>
      </c>
    </row>
    <row r="117" spans="1:2" x14ac:dyDescent="0.25">
      <c r="A117" s="6" t="s">
        <v>5</v>
      </c>
      <c r="B117" s="7"/>
    </row>
    <row r="118" spans="1:2" x14ac:dyDescent="0.25">
      <c r="A118" s="6" t="s">
        <v>6</v>
      </c>
      <c r="B118" s="7"/>
    </row>
    <row r="119" spans="1:2" x14ac:dyDescent="0.25">
      <c r="A119" s="6" t="s">
        <v>7</v>
      </c>
      <c r="B119" s="7"/>
    </row>
    <row r="120" spans="1:2" x14ac:dyDescent="0.25">
      <c r="A120" s="6" t="s">
        <v>47</v>
      </c>
      <c r="B120" s="16" t="s">
        <v>1458</v>
      </c>
    </row>
    <row r="121" spans="1:2" x14ac:dyDescent="0.25">
      <c r="A121" s="6" t="s">
        <v>8</v>
      </c>
      <c r="B121" s="7"/>
    </row>
    <row r="124" spans="1:2" x14ac:dyDescent="0.25">
      <c r="A124" s="3" t="s">
        <v>23</v>
      </c>
      <c r="B124" s="5" t="s">
        <v>24</v>
      </c>
    </row>
    <row r="125" spans="1:2" x14ac:dyDescent="0.25">
      <c r="A125" s="6" t="s">
        <v>25</v>
      </c>
      <c r="B125" s="7"/>
    </row>
    <row r="126" spans="1:2" x14ac:dyDescent="0.25">
      <c r="A126" s="6" t="s">
        <v>26</v>
      </c>
      <c r="B126" s="7"/>
    </row>
    <row r="127" spans="1:2" x14ac:dyDescent="0.25">
      <c r="A127" s="6" t="s">
        <v>27</v>
      </c>
      <c r="B127" s="7"/>
    </row>
    <row r="128" spans="1:2"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34" x14ac:dyDescent="0.25">
      <c r="A145" s="6" t="s">
        <v>45</v>
      </c>
      <c r="B145" s="7"/>
    </row>
    <row r="146" spans="1:34" x14ac:dyDescent="0.25">
      <c r="A146" s="6" t="s">
        <v>46</v>
      </c>
      <c r="B146" s="7"/>
    </row>
    <row r="152" spans="1:34" x14ac:dyDescent="0.25">
      <c r="I152" s="76"/>
      <c r="J152" s="1"/>
      <c r="K152" s="76"/>
      <c r="L152" s="76"/>
      <c r="M152" s="76"/>
      <c r="O152" s="76"/>
      <c r="P152" s="76"/>
      <c r="Q152" s="76"/>
      <c r="R152" s="76"/>
      <c r="S152" s="76"/>
      <c r="T152" s="76"/>
      <c r="U152" s="76"/>
      <c r="V152" s="76"/>
      <c r="W152" s="76"/>
      <c r="X152" s="76"/>
      <c r="Y152" s="76"/>
      <c r="Z152" s="76"/>
      <c r="AA152" s="76"/>
      <c r="AD152" s="76"/>
      <c r="AF152" s="76"/>
      <c r="AH152" s="76"/>
    </row>
    <row r="156" spans="1:34" x14ac:dyDescent="0.25">
      <c r="I156" s="76"/>
      <c r="J156" s="1"/>
      <c r="K156" s="76"/>
      <c r="L156" s="76"/>
      <c r="M156" s="76"/>
      <c r="O156" s="76"/>
      <c r="P156" s="76"/>
      <c r="Q156" s="76"/>
      <c r="R156" s="76"/>
      <c r="S156" s="76"/>
      <c r="T156" s="76"/>
      <c r="U156" s="76"/>
      <c r="V156" s="76"/>
      <c r="W156" s="76"/>
      <c r="X156" s="76"/>
      <c r="Y156" s="76"/>
      <c r="Z156" s="76"/>
      <c r="AA156" s="76"/>
      <c r="AD156" s="76"/>
      <c r="AF156" s="76"/>
      <c r="AH156" s="76"/>
    </row>
    <row r="163" spans="5:7" x14ac:dyDescent="0.25">
      <c r="E163" s="76"/>
    </row>
    <row r="167" spans="5:7" x14ac:dyDescent="0.25">
      <c r="E167" s="76"/>
    </row>
    <row r="170" spans="5:7" x14ac:dyDescent="0.25">
      <c r="G170" s="76"/>
    </row>
    <row r="174" spans="5:7" x14ac:dyDescent="0.25">
      <c r="G174" s="76"/>
    </row>
  </sheetData>
  <mergeCells count="2">
    <mergeCell ref="AD31:AE31"/>
    <mergeCell ref="AG31:AH31"/>
  </mergeCells>
  <dataValidations count="2">
    <dataValidation type="list" allowBlank="1" sqref="B61 B28 B94" xr:uid="{00000000-0002-0000-2B00-000000000000}">
      <formula1>"ACCOUNT,BUSINESSUNIT,CATEGORY,DATASRC,DEPARTMENT,INTCO,MEASURES,RPTCURRENCY,TIME"</formula1>
    </dataValidation>
    <dataValidation type="list" allowBlank="1" sqref="B62 B29 B95" xr:uid="{00000000-0002-0000-2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52262"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2262" r:id="rId5" name="FPMExcelClientSheetOptionstb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346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_xll.EVRNG(H35:H146)</f>
        <v>#NAME?</v>
      </c>
      <c r="G19" s="18" t="str">
        <f>$B$6</f>
        <v>D_RS_CON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D_RS_CON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t="e">
        <f ca="1">IF(AND(I88="N",J88="N"),_xll.EVPRO($B$1,H88,"PSFTID"),"")</f>
        <v>#NAME?</v>
      </c>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M127" s="162"/>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v>0</v>
      </c>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v>0</v>
      </c>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01" priority="15">
      <formula>ROUND(O42,2)&lt;&gt;ROUND(O43,2)</formula>
    </cfRule>
  </conditionalFormatting>
  <conditionalFormatting sqref="N43">
    <cfRule type="expression" dxfId="100" priority="14">
      <formula>$G43&lt;&gt;0</formula>
    </cfRule>
  </conditionalFormatting>
  <conditionalFormatting sqref="O53:AA53 AD53 AF53:AG53">
    <cfRule type="expression" dxfId="99" priority="13">
      <formula>ROUND(O52,2)&lt;&gt;ROUND(O53,2)</formula>
    </cfRule>
  </conditionalFormatting>
  <conditionalFormatting sqref="N53">
    <cfRule type="expression" dxfId="98" priority="12">
      <formula>$G53&lt;&gt;0</formula>
    </cfRule>
  </conditionalFormatting>
  <conditionalFormatting sqref="O63:AA63 AD63 AF63:AG63">
    <cfRule type="expression" dxfId="97" priority="11">
      <formula>ROUND(O62,2)&lt;&gt;ROUND(O63,2)</formula>
    </cfRule>
  </conditionalFormatting>
  <conditionalFormatting sqref="N63">
    <cfRule type="expression" dxfId="96" priority="10">
      <formula>$G63&lt;&gt;0</formula>
    </cfRule>
  </conditionalFormatting>
  <conditionalFormatting sqref="O73:AA73 AD73 AF73:AG73">
    <cfRule type="expression" dxfId="95" priority="9">
      <formula>ROUND(O72,2)&lt;&gt;ROUND(O73,2)</formula>
    </cfRule>
  </conditionalFormatting>
  <conditionalFormatting sqref="N73">
    <cfRule type="expression" dxfId="94" priority="8">
      <formula>$G73&lt;&gt;0</formula>
    </cfRule>
  </conditionalFormatting>
  <conditionalFormatting sqref="N82">
    <cfRule type="expression" dxfId="93" priority="7">
      <formula>$G82&lt;&gt;0</formula>
    </cfRule>
  </conditionalFormatting>
  <conditionalFormatting sqref="AD82 AF82:AG82 O82:AA82">
    <cfRule type="expression" dxfId="92" priority="6">
      <formula>ROUND(O81,2)&lt;&gt;ROUND(O82,2)</formula>
    </cfRule>
  </conditionalFormatting>
  <conditionalFormatting sqref="AI43">
    <cfRule type="expression" dxfId="91" priority="5">
      <formula>ROUND(AI42,2)&lt;&gt;ROUND(AI43,2)</formula>
    </cfRule>
  </conditionalFormatting>
  <conditionalFormatting sqref="AI53">
    <cfRule type="expression" dxfId="90" priority="4">
      <formula>ROUND(AI52,2)&lt;&gt;ROUND(AI53,2)</formula>
    </cfRule>
  </conditionalFormatting>
  <conditionalFormatting sqref="AI63">
    <cfRule type="expression" dxfId="89" priority="3">
      <formula>ROUND(AI62,2)&lt;&gt;ROUND(AI63,2)</formula>
    </cfRule>
  </conditionalFormatting>
  <conditionalFormatting sqref="AI73">
    <cfRule type="expression" dxfId="88" priority="2">
      <formula>ROUND(AI72,2)&lt;&gt;ROUND(AI73,2)</formula>
    </cfRule>
  </conditionalFormatting>
  <conditionalFormatting sqref="AI82">
    <cfRule type="expression" dxfId="87" priority="1">
      <formula>ROUND(AI81,2)&lt;&gt;ROUND(AI82,2)</formula>
    </cfRule>
  </conditionalFormatting>
  <dataValidations disablePrompts="1" count="2">
    <dataValidation type="list" allowBlank="1" sqref="B28" xr:uid="{00000000-0002-0000-2C00-000000000000}">
      <formula1>"ACCOUNT,BUSINESSUNIT,CATEGORY,DATASRC,DEPARTMENT,INTCO,MEASURES,RPTCURRENCY,TIME"</formula1>
    </dataValidation>
    <dataValidation type="list" allowBlank="1" sqref="B29" xr:uid="{00000000-0002-0000-2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275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02754" r:id="rId7" name="FPMExcelClientSheetOptionstb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2">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346</v>
      </c>
      <c r="C6" s="1" t="s">
        <v>1453</v>
      </c>
      <c r="E6" s="49" t="s">
        <v>1452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1465</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1466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1467</v>
      </c>
      <c r="G19" s="18" t="str">
        <f>$B$6</f>
        <v>D_RS_CON</v>
      </c>
      <c r="H19" s="18" t="s">
        <v>273</v>
      </c>
      <c r="I19" s="19"/>
      <c r="J19" s="19"/>
      <c r="K19" s="18"/>
      <c r="L19" s="18"/>
      <c r="M19" s="18"/>
      <c r="N19" s="18" t="s">
        <v>1214</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G20" s="18" t="str">
        <f>$B$6</f>
        <v>D_RS_CON</v>
      </c>
      <c r="H20" s="18">
        <v>946000</v>
      </c>
      <c r="I20" s="19"/>
      <c r="J20" s="19"/>
      <c r="K20" s="18"/>
      <c r="L20" s="18"/>
      <c r="M20" s="18"/>
      <c r="N20" s="18" t="s">
        <v>1196</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1468</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1459</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IF(AG39=0,"",IFERROR(AG39/AG$19,""))</f>
        <v/>
      </c>
      <c r="AI39" s="165">
        <f t="shared" si="2"/>
        <v>0</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0</v>
      </c>
      <c r="W43" s="184">
        <f t="shared" si="3"/>
        <v>0</v>
      </c>
      <c r="X43" s="184">
        <f t="shared" si="3"/>
        <v>0</v>
      </c>
      <c r="Y43" s="184">
        <f t="shared" si="3"/>
        <v>0</v>
      </c>
      <c r="Z43" s="184">
        <f t="shared" si="3"/>
        <v>0</v>
      </c>
      <c r="AA43" s="184">
        <f t="shared" si="3"/>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e">
        <f t="shared" si="4"/>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c r="AE45" s="17" t="str">
        <f>IF(AD45=0,"",IFERROR(AD45/AD$19,""))</f>
        <v/>
      </c>
      <c r="AF45" s="50">
        <f t="shared" ref="AF45:AF52" si="6">IF(AND($AA45="",AD45=""),"",$AA45-AD45)</f>
        <v>0</v>
      </c>
      <c r="AG45" s="21"/>
      <c r="AH45" s="17" t="str">
        <f>IF(AG45=0,"",IFERROR(AG45/AG$19,""))</f>
        <v/>
      </c>
      <c r="AI45" s="50">
        <f t="shared" ref="AI45:AI52" si="7">IF(AND($AA45="",AG45=""),"",$AA45-AG45)</f>
        <v>0</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c r="AE49" s="175" t="str">
        <f>IF(AD49=0,"",IFERROR(AD49/AD$19,""))</f>
        <v/>
      </c>
      <c r="AF49" s="165">
        <f t="shared" si="6"/>
        <v>0</v>
      </c>
      <c r="AG49" s="164"/>
      <c r="AH49" s="175" t="str">
        <f>IF(AG49=0,"",IFERROR(AG49/AG$19,""))</f>
        <v/>
      </c>
      <c r="AI49" s="165">
        <f t="shared" si="7"/>
        <v>0</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IF(AA51=0,"",IFERROR(AA51/AA$87,""))</f>
        <v/>
      </c>
      <c r="AD51" s="38"/>
      <c r="AE51" s="39" t="str">
        <f>IF(AD51=0,"",IFERROR(AD51/AD$87,""))</f>
        <v/>
      </c>
      <c r="AF51" s="132">
        <f t="shared" si="6"/>
        <v>0</v>
      </c>
      <c r="AG51" s="38"/>
      <c r="AH51" s="39" t="str">
        <f>IF(AG51=0,"",IFERROR(AG51/AG$87,""))</f>
        <v/>
      </c>
      <c r="AI51" s="132">
        <f t="shared" si="7"/>
        <v>0</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c r="AE52" s="176"/>
      <c r="AF52" s="177" t="str">
        <f t="shared" si="6"/>
        <v/>
      </c>
      <c r="AG52" s="176"/>
      <c r="AH52" s="176"/>
      <c r="AI52" s="177" t="str">
        <f t="shared" si="7"/>
        <v/>
      </c>
    </row>
    <row r="53" spans="1:35" x14ac:dyDescent="0.25">
      <c r="A53" s="6" t="s">
        <v>41</v>
      </c>
      <c r="B53" s="7"/>
      <c r="G53" s="181">
        <f>COUNTIF(O54:AI54,FALSE)</f>
        <v>0</v>
      </c>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c r="T55" s="21"/>
      <c r="U55" s="21"/>
      <c r="V55" s="21"/>
      <c r="W55" s="21"/>
      <c r="X55" s="21"/>
      <c r="Y55" s="21"/>
      <c r="Z55" s="21"/>
      <c r="AA55" s="21">
        <f t="shared" ref="AA55:AA61" si="10">SUM(O55:Z55)</f>
        <v>0</v>
      </c>
      <c r="AB55" s="17" t="str">
        <f>IF(AA55=0,"",IFERROR(AA55/AA$19,""))</f>
        <v/>
      </c>
      <c r="AD55" s="21"/>
      <c r="AE55" s="17" t="str">
        <f>IF(AD55=0,"",IFERROR(AD55/AD$19,""))</f>
        <v/>
      </c>
      <c r="AF55" s="50">
        <f t="shared" ref="AF55:AF62" si="11">IF(AND($AA55="",AD55=""),"",$AA55-AD55)</f>
        <v>0</v>
      </c>
      <c r="AG55" s="21"/>
      <c r="AH55" s="17" t="str">
        <f>IF(AG55=0,"",IFERROR(AG55/AG$19,""))</f>
        <v/>
      </c>
      <c r="AI55" s="50">
        <f t="shared" ref="AI55:AI62" si="12">IF(AND($AA55="",AG55=""),"",$AA55-AG55)</f>
        <v>0</v>
      </c>
    </row>
    <row r="56" spans="1:35" x14ac:dyDescent="0.25">
      <c r="A56" s="6" t="s">
        <v>44</v>
      </c>
      <c r="B56" s="7"/>
      <c r="H56" s="15" t="s">
        <v>302</v>
      </c>
      <c r="I56" s="161" t="s">
        <v>1123</v>
      </c>
      <c r="J56" s="161" t="s">
        <v>78</v>
      </c>
      <c r="K56" s="162"/>
      <c r="L56" s="162">
        <v>463200</v>
      </c>
      <c r="M56" s="162"/>
      <c r="N56" s="162" t="s">
        <v>1273</v>
      </c>
      <c r="O56" s="21"/>
      <c r="P56" s="21"/>
      <c r="Q56" s="21"/>
      <c r="R56" s="21"/>
      <c r="S56" s="21"/>
      <c r="T56" s="21"/>
      <c r="U56" s="21"/>
      <c r="V56" s="21"/>
      <c r="W56" s="21"/>
      <c r="X56" s="21"/>
      <c r="Y56" s="21"/>
      <c r="Z56" s="21"/>
      <c r="AA56" s="21">
        <f t="shared" si="10"/>
        <v>0</v>
      </c>
      <c r="AB56" s="17" t="str">
        <f>IF(AA56=0,"",IFERROR(AA56/AA$19,""))</f>
        <v/>
      </c>
      <c r="AD56" s="21"/>
      <c r="AE56" s="17" t="str">
        <f>IF(AD56=0,"",IFERROR(AD56/AD$19,""))</f>
        <v/>
      </c>
      <c r="AF56" s="50">
        <f t="shared" si="11"/>
        <v>0</v>
      </c>
      <c r="AG56" s="21"/>
      <c r="AH56" s="17" t="str">
        <f>IF(AG56=0,"",IFERROR(AG56/AG$19,""))</f>
        <v/>
      </c>
      <c r="AI56" s="50">
        <f t="shared" si="12"/>
        <v>0</v>
      </c>
    </row>
    <row r="57" spans="1:35" x14ac:dyDescent="0.25">
      <c r="A57" s="6" t="s">
        <v>45</v>
      </c>
      <c r="B57" s="7"/>
      <c r="H57" s="15" t="s">
        <v>306</v>
      </c>
      <c r="I57" s="161" t="s">
        <v>1123</v>
      </c>
      <c r="J57" s="161" t="s">
        <v>78</v>
      </c>
      <c r="K57" s="162"/>
      <c r="L57" s="162">
        <v>463300</v>
      </c>
      <c r="M57" s="162"/>
      <c r="N57" s="162" t="s">
        <v>1274</v>
      </c>
      <c r="O57" s="21"/>
      <c r="P57" s="21"/>
      <c r="Q57" s="21"/>
      <c r="R57" s="21"/>
      <c r="S57" s="21"/>
      <c r="T57" s="21"/>
      <c r="U57" s="21"/>
      <c r="V57" s="21"/>
      <c r="W57" s="21"/>
      <c r="X57" s="21"/>
      <c r="Y57" s="21"/>
      <c r="Z57" s="21"/>
      <c r="AA57" s="21">
        <f t="shared" si="10"/>
        <v>0</v>
      </c>
      <c r="AB57" s="17" t="str">
        <f>IF(AA57=0,"",IFERROR(AA57/AA$19,""))</f>
        <v/>
      </c>
      <c r="AD57" s="21"/>
      <c r="AE57" s="17" t="str">
        <f>IF(AD57=0,"",IFERROR(AD57/AD$19,""))</f>
        <v/>
      </c>
      <c r="AF57" s="50">
        <f t="shared" si="11"/>
        <v>0</v>
      </c>
      <c r="AG57" s="21"/>
      <c r="AH57" s="17" t="str">
        <f>IF(AG57=0,"",IFERROR(AG57/AG$19,""))</f>
        <v/>
      </c>
      <c r="AI57" s="50">
        <f t="shared" si="12"/>
        <v>0</v>
      </c>
    </row>
    <row r="58" spans="1:35" x14ac:dyDescent="0.25">
      <c r="A58" s="6" t="s">
        <v>46</v>
      </c>
      <c r="B58" s="7"/>
      <c r="H58" s="15" t="s">
        <v>304</v>
      </c>
      <c r="I58" s="161" t="s">
        <v>1123</v>
      </c>
      <c r="J58" s="161" t="s">
        <v>78</v>
      </c>
      <c r="K58" s="162"/>
      <c r="L58" s="162">
        <v>463400</v>
      </c>
      <c r="M58" s="162"/>
      <c r="N58" s="162" t="s">
        <v>1275</v>
      </c>
      <c r="O58" s="30"/>
      <c r="P58" s="30"/>
      <c r="Q58" s="30"/>
      <c r="R58" s="30"/>
      <c r="S58" s="30"/>
      <c r="T58" s="30"/>
      <c r="U58" s="30"/>
      <c r="V58" s="30"/>
      <c r="W58" s="30"/>
      <c r="X58" s="30"/>
      <c r="Y58" s="30"/>
      <c r="Z58" s="30"/>
      <c r="AA58" s="30">
        <f t="shared" si="10"/>
        <v>0</v>
      </c>
      <c r="AB58" s="31" t="str">
        <f>IF(AA58=0,"",IFERROR(AA58/AA$19,""))</f>
        <v/>
      </c>
      <c r="AD58" s="30"/>
      <c r="AE58" s="31" t="str">
        <f>IF(AD58=0,"",IFERROR(AD58/AD$19,""))</f>
        <v/>
      </c>
      <c r="AF58" s="51">
        <f t="shared" si="11"/>
        <v>0</v>
      </c>
      <c r="AG58" s="30"/>
      <c r="AH58" s="31" t="str">
        <f>IF(AG58=0,"",IFERROR(AG58/AG$19,""))</f>
        <v/>
      </c>
      <c r="AI58" s="51">
        <f t="shared" si="12"/>
        <v>0</v>
      </c>
    </row>
    <row r="59" spans="1:35" x14ac:dyDescent="0.25">
      <c r="H59" s="15" t="s">
        <v>320</v>
      </c>
      <c r="I59" s="161" t="s">
        <v>1009</v>
      </c>
      <c r="J59" s="161" t="s">
        <v>78</v>
      </c>
      <c r="K59" s="162"/>
      <c r="L59" s="162"/>
      <c r="M59" s="162"/>
      <c r="N59" s="25" t="s">
        <v>1276</v>
      </c>
      <c r="O59" s="164"/>
      <c r="P59" s="164"/>
      <c r="Q59" s="164"/>
      <c r="R59" s="164"/>
      <c r="S59" s="164"/>
      <c r="T59" s="164"/>
      <c r="U59" s="164"/>
      <c r="V59" s="164"/>
      <c r="W59" s="164"/>
      <c r="X59" s="164"/>
      <c r="Y59" s="164"/>
      <c r="Z59" s="164"/>
      <c r="AA59" s="164">
        <f t="shared" si="10"/>
        <v>0</v>
      </c>
      <c r="AB59" s="175" t="str">
        <f>IF(AA59=0,"",IFERROR(AA59/AA$19,""))</f>
        <v/>
      </c>
      <c r="AD59" s="164"/>
      <c r="AE59" s="175" t="str">
        <f>IF(AD59=0,"",IFERROR(AD59/AD$19,""))</f>
        <v/>
      </c>
      <c r="AF59" s="165">
        <f t="shared" si="11"/>
        <v>0</v>
      </c>
      <c r="AG59" s="164"/>
      <c r="AH59" s="175" t="str">
        <f>IF(AG59=0,"",IFERROR(AG59/AG$19,""))</f>
        <v/>
      </c>
      <c r="AI59" s="165">
        <f t="shared" si="12"/>
        <v>0</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c r="T61" s="38"/>
      <c r="U61" s="38"/>
      <c r="V61" s="38"/>
      <c r="W61" s="38"/>
      <c r="X61" s="38"/>
      <c r="Y61" s="38"/>
      <c r="Z61" s="38"/>
      <c r="AA61" s="38">
        <f t="shared" si="10"/>
        <v>0</v>
      </c>
      <c r="AB61" s="39" t="str">
        <f>IF(AA61=0,"",IFERROR(AA61/AA$87,""))</f>
        <v/>
      </c>
      <c r="AD61" s="38"/>
      <c r="AE61" s="39" t="str">
        <f>IF(AD61=0,"",IFERROR(AD61/AD$87,""))</f>
        <v/>
      </c>
      <c r="AF61" s="132">
        <f t="shared" si="11"/>
        <v>0</v>
      </c>
      <c r="AG61" s="38"/>
      <c r="AH61" s="39" t="str">
        <f>IF(AG61=0,"",IFERROR(AG61/AG$87,""))</f>
        <v/>
      </c>
      <c r="AI61" s="132">
        <f t="shared" si="12"/>
        <v>0</v>
      </c>
    </row>
    <row r="62" spans="1:35" x14ac:dyDescent="0.25">
      <c r="H62" s="149" t="s">
        <v>317</v>
      </c>
      <c r="I62" s="161" t="s">
        <v>1009</v>
      </c>
      <c r="J62" s="161" t="s">
        <v>78</v>
      </c>
      <c r="K62" s="162"/>
      <c r="L62" s="162"/>
      <c r="M62" s="162"/>
      <c r="N62" s="170" t="s">
        <v>1278</v>
      </c>
      <c r="O62" s="176"/>
      <c r="P62" s="176"/>
      <c r="Q62" s="176"/>
      <c r="R62" s="176"/>
      <c r="S62" s="176"/>
      <c r="T62" s="176"/>
      <c r="U62" s="176"/>
      <c r="V62" s="176"/>
      <c r="W62" s="176"/>
      <c r="X62" s="176"/>
      <c r="Y62" s="176"/>
      <c r="Z62" s="176"/>
      <c r="AA62" s="176" t="str">
        <f>IFERROR(AA59/AA61,"")</f>
        <v/>
      </c>
      <c r="AB62" s="176"/>
      <c r="AD62" s="176"/>
      <c r="AE62" s="176"/>
      <c r="AF62" s="177" t="str">
        <f t="shared" si="11"/>
        <v/>
      </c>
      <c r="AG62" s="176"/>
      <c r="AH62" s="176"/>
      <c r="AI62" s="177" t="str">
        <f t="shared" si="12"/>
        <v/>
      </c>
    </row>
    <row r="63" spans="1:35" x14ac:dyDescent="0.25">
      <c r="G63" s="181">
        <f>COUNTIF(O64:AI64,FALSE)</f>
        <v>0</v>
      </c>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0</v>
      </c>
      <c r="T63" s="184">
        <f t="shared" si="13"/>
        <v>0</v>
      </c>
      <c r="U63" s="184">
        <f t="shared" si="13"/>
        <v>0</v>
      </c>
      <c r="V63" s="184">
        <f t="shared" si="13"/>
        <v>0</v>
      </c>
      <c r="W63" s="184">
        <f t="shared" si="13"/>
        <v>0</v>
      </c>
      <c r="X63" s="184">
        <f t="shared" si="13"/>
        <v>0</v>
      </c>
      <c r="Y63" s="184">
        <f t="shared" si="13"/>
        <v>0</v>
      </c>
      <c r="Z63" s="184">
        <f t="shared" si="13"/>
        <v>0</v>
      </c>
      <c r="AA63" s="184">
        <f t="shared" si="13"/>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e">
        <f t="shared" si="14"/>
        <v>#VALUE!</v>
      </c>
      <c r="AB64" s="321"/>
      <c r="AC64" s="322"/>
      <c r="AD64" s="319"/>
      <c r="AE64" s="320" t="b">
        <f>ROUND(AD62,2)=ROUND(AD63,2)</f>
        <v>1</v>
      </c>
      <c r="AF64" s="321"/>
      <c r="AG64" s="319"/>
      <c r="AH64" s="320" t="b">
        <f>ROUND(AG62,2)=ROUND(AG63,2)</f>
        <v>1</v>
      </c>
      <c r="AI64" s="321"/>
    </row>
    <row r="65" spans="3:35" x14ac:dyDescent="0.25">
      <c r="H65" s="149" t="s">
        <v>263</v>
      </c>
      <c r="I65" s="161" t="s">
        <v>1058</v>
      </c>
      <c r="J65" s="161" t="s">
        <v>78</v>
      </c>
      <c r="K65" s="162"/>
      <c r="L65" s="162">
        <v>464100</v>
      </c>
      <c r="M65" s="162"/>
      <c r="N65" s="162" t="s">
        <v>1279</v>
      </c>
      <c r="O65" s="21"/>
      <c r="P65" s="21"/>
      <c r="Q65" s="21"/>
      <c r="R65" s="21"/>
      <c r="S65" s="21"/>
      <c r="T65" s="21"/>
      <c r="U65" s="21"/>
      <c r="V65" s="21"/>
      <c r="W65" s="21"/>
      <c r="X65" s="21"/>
      <c r="Y65" s="21"/>
      <c r="Z65" s="21"/>
      <c r="AA65" s="21">
        <f t="shared" ref="AA65:AA71" si="15">SUM(O65:Z65)</f>
        <v>0</v>
      </c>
      <c r="AB65" s="17" t="str">
        <f>IF(AA65=0,"",IFERROR(AA65/AA$19,""))</f>
        <v/>
      </c>
      <c r="AD65" s="21"/>
      <c r="AE65" s="17" t="str">
        <f>IF(AD65=0,"",IFERROR(AD65/AD$19,""))</f>
        <v/>
      </c>
      <c r="AF65" s="50">
        <f t="shared" ref="AF65:AF72" si="16">IF(AND($AA65="",AD65=""),"",$AA65-AD65)</f>
        <v>0</v>
      </c>
      <c r="AG65" s="21"/>
      <c r="AH65" s="17" t="str">
        <f>IF(AG65=0,"",IFERROR(AG65/AG$19,""))</f>
        <v/>
      </c>
      <c r="AI65" s="50">
        <f t="shared" ref="AI65:AI72" si="17">IF(AND($AA65="",AG65=""),"",$AA65-AG65)</f>
        <v>0</v>
      </c>
    </row>
    <row r="66" spans="3:35" x14ac:dyDescent="0.25">
      <c r="H66" s="149" t="s">
        <v>308</v>
      </c>
      <c r="I66" s="161" t="s">
        <v>1123</v>
      </c>
      <c r="J66" s="161" t="s">
        <v>78</v>
      </c>
      <c r="K66" s="162"/>
      <c r="L66" s="162">
        <v>464200</v>
      </c>
      <c r="M66" s="162"/>
      <c r="N66" s="162" t="s">
        <v>1280</v>
      </c>
      <c r="O66" s="21"/>
      <c r="P66" s="21"/>
      <c r="Q66" s="21"/>
      <c r="R66" s="21"/>
      <c r="S66" s="21"/>
      <c r="T66" s="21"/>
      <c r="U66" s="21"/>
      <c r="V66" s="21"/>
      <c r="W66" s="21"/>
      <c r="X66" s="21"/>
      <c r="Y66" s="21"/>
      <c r="Z66" s="21"/>
      <c r="AA66" s="21">
        <f t="shared" si="15"/>
        <v>0</v>
      </c>
      <c r="AB66" s="17" t="str">
        <f>IF(AA66=0,"",IFERROR(AA66/AA$19,""))</f>
        <v/>
      </c>
      <c r="AD66" s="21"/>
      <c r="AE66" s="17" t="str">
        <f>IF(AD66=0,"",IFERROR(AD66/AD$19,""))</f>
        <v/>
      </c>
      <c r="AF66" s="50">
        <f t="shared" si="16"/>
        <v>0</v>
      </c>
      <c r="AG66" s="21"/>
      <c r="AH66" s="17" t="str">
        <f>IF(AG66=0,"",IFERROR(AG66/AG$19,""))</f>
        <v/>
      </c>
      <c r="AI66" s="50">
        <f t="shared" si="17"/>
        <v>0</v>
      </c>
    </row>
    <row r="67" spans="3:35" x14ac:dyDescent="0.25">
      <c r="H67" s="149" t="s">
        <v>310</v>
      </c>
      <c r="I67" s="161" t="s">
        <v>1123</v>
      </c>
      <c r="J67" s="161" t="s">
        <v>78</v>
      </c>
      <c r="K67" s="162"/>
      <c r="L67" s="162">
        <v>464300</v>
      </c>
      <c r="M67" s="162"/>
      <c r="N67" s="162" t="s">
        <v>1281</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309</v>
      </c>
      <c r="I68" s="161" t="s">
        <v>1123</v>
      </c>
      <c r="J68" s="161" t="s">
        <v>78</v>
      </c>
      <c r="K68" s="162"/>
      <c r="L68" s="162">
        <v>464400</v>
      </c>
      <c r="M68" s="162"/>
      <c r="N68" s="162" t="s">
        <v>1282</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327</v>
      </c>
      <c r="I69" s="161" t="s">
        <v>1009</v>
      </c>
      <c r="J69" s="161" t="s">
        <v>78</v>
      </c>
      <c r="K69" s="162"/>
      <c r="L69" s="162"/>
      <c r="M69" s="162"/>
      <c r="N69" s="25" t="s">
        <v>1283</v>
      </c>
      <c r="O69" s="164"/>
      <c r="P69" s="164"/>
      <c r="Q69" s="164"/>
      <c r="R69" s="164"/>
      <c r="S69" s="164"/>
      <c r="T69" s="164"/>
      <c r="U69" s="164"/>
      <c r="V69" s="164"/>
      <c r="W69" s="164"/>
      <c r="X69" s="164"/>
      <c r="Y69" s="164"/>
      <c r="Z69" s="164"/>
      <c r="AA69" s="164">
        <f t="shared" si="15"/>
        <v>0</v>
      </c>
      <c r="AB69" s="175" t="str">
        <f>IF(AA69=0,"",IFERROR(AA69/AA$19,""))</f>
        <v/>
      </c>
      <c r="AD69" s="164"/>
      <c r="AE69" s="175" t="str">
        <f>IF(AD69=0,"",IFERROR(AD69/AD$19,""))</f>
        <v/>
      </c>
      <c r="AF69" s="165">
        <f t="shared" si="16"/>
        <v>0</v>
      </c>
      <c r="AG69" s="164"/>
      <c r="AH69" s="175" t="str">
        <f>IF(AG69=0,"",IFERROR(AG69/AG$19,""))</f>
        <v/>
      </c>
      <c r="AI69" s="165">
        <f t="shared" si="17"/>
        <v>0</v>
      </c>
    </row>
    <row r="70" spans="3:35" x14ac:dyDescent="0.25">
      <c r="H70" s="149" t="s">
        <v>766</v>
      </c>
      <c r="I70" s="161" t="s">
        <v>1009</v>
      </c>
      <c r="J70" s="161" t="s">
        <v>1009</v>
      </c>
      <c r="K70" s="162"/>
      <c r="L70" s="162">
        <v>947400</v>
      </c>
      <c r="M70" s="162">
        <v>999994</v>
      </c>
      <c r="N70" s="162" t="s">
        <v>1354</v>
      </c>
      <c r="O70" s="38"/>
      <c r="P70" s="38"/>
      <c r="Q70" s="38"/>
      <c r="R70" s="38"/>
      <c r="S70" s="38"/>
      <c r="T70" s="38"/>
      <c r="U70" s="38"/>
      <c r="V70" s="38"/>
      <c r="W70" s="38"/>
      <c r="X70" s="38"/>
      <c r="Y70" s="38"/>
      <c r="Z70" s="38"/>
      <c r="AA70" s="38">
        <f t="shared" si="15"/>
        <v>0</v>
      </c>
      <c r="AB70" s="39"/>
      <c r="AD70" s="38"/>
      <c r="AE70" s="39"/>
      <c r="AF70" s="132">
        <f t="shared" si="16"/>
        <v>0</v>
      </c>
      <c r="AG70" s="38"/>
      <c r="AH70" s="39"/>
      <c r="AI70" s="132">
        <f t="shared" si="17"/>
        <v>0</v>
      </c>
    </row>
    <row r="71" spans="3:35" x14ac:dyDescent="0.25">
      <c r="H71" s="149" t="s">
        <v>326</v>
      </c>
      <c r="I71" s="161" t="s">
        <v>1009</v>
      </c>
      <c r="J71" s="161" t="s">
        <v>1009</v>
      </c>
      <c r="K71" s="162"/>
      <c r="L71" s="162">
        <v>946500</v>
      </c>
      <c r="M71" s="162">
        <v>991522</v>
      </c>
      <c r="N71" s="162" t="s">
        <v>1284</v>
      </c>
      <c r="O71" s="38"/>
      <c r="P71" s="38"/>
      <c r="Q71" s="38"/>
      <c r="R71" s="38"/>
      <c r="S71" s="38"/>
      <c r="T71" s="38"/>
      <c r="U71" s="38"/>
      <c r="V71" s="38"/>
      <c r="W71" s="38"/>
      <c r="X71" s="38"/>
      <c r="Y71" s="38"/>
      <c r="Z71" s="38"/>
      <c r="AA71" s="38">
        <f t="shared" si="15"/>
        <v>0</v>
      </c>
      <c r="AB71" s="39" t="str">
        <f>IF(AA71=0,"",IFERROR(AA71/AA$87,""))</f>
        <v/>
      </c>
      <c r="AD71" s="38"/>
      <c r="AE71" s="39" t="str">
        <f>IF(AD71=0,"",IFERROR(AD71/AD$87,""))</f>
        <v/>
      </c>
      <c r="AF71" s="132">
        <f t="shared" si="16"/>
        <v>0</v>
      </c>
      <c r="AG71" s="38"/>
      <c r="AH71" s="39" t="str">
        <f>IF(AG71=0,"",IFERROR(AG71/AG$87,""))</f>
        <v/>
      </c>
      <c r="AI71" s="132">
        <f t="shared" si="17"/>
        <v>0</v>
      </c>
    </row>
    <row r="72" spans="3:35" x14ac:dyDescent="0.25">
      <c r="H72" s="149" t="s">
        <v>328</v>
      </c>
      <c r="I72" s="161" t="s">
        <v>1009</v>
      </c>
      <c r="J72" s="161" t="s">
        <v>78</v>
      </c>
      <c r="K72" s="162"/>
      <c r="L72" s="162"/>
      <c r="M72" s="162"/>
      <c r="N72" s="170" t="s">
        <v>1285</v>
      </c>
      <c r="O72" s="176"/>
      <c r="P72" s="176"/>
      <c r="Q72" s="176"/>
      <c r="R72" s="176"/>
      <c r="S72" s="176"/>
      <c r="T72" s="176"/>
      <c r="U72" s="176"/>
      <c r="V72" s="176"/>
      <c r="W72" s="176"/>
      <c r="X72" s="176"/>
      <c r="Y72" s="176"/>
      <c r="Z72" s="176"/>
      <c r="AA72" s="176" t="str">
        <f>IFERROR(AA69/AA71,"")</f>
        <v/>
      </c>
      <c r="AB72" s="176"/>
      <c r="AD72" s="176"/>
      <c r="AE72" s="176"/>
      <c r="AF72" s="177" t="str">
        <f t="shared" si="16"/>
        <v/>
      </c>
      <c r="AG72" s="176"/>
      <c r="AH72" s="176"/>
      <c r="AI72" s="177" t="str">
        <f t="shared" si="17"/>
        <v/>
      </c>
    </row>
    <row r="73" spans="3:35" x14ac:dyDescent="0.25">
      <c r="G73" s="181">
        <f>COUNTIF(O74:AI74,FALSE)</f>
        <v>0</v>
      </c>
      <c r="H73" s="15"/>
      <c r="I73" s="161"/>
      <c r="J73" s="161"/>
      <c r="K73" s="162"/>
      <c r="L73" s="162"/>
      <c r="M73" s="162"/>
      <c r="N73" s="182" t="s">
        <v>345</v>
      </c>
      <c r="O73" s="179">
        <f t="shared" ref="O73:AA73" si="18">ROUND(IFERROR(O69/O71,0),2)</f>
        <v>0</v>
      </c>
      <c r="P73" s="184">
        <f t="shared" si="18"/>
        <v>0</v>
      </c>
      <c r="Q73" s="184">
        <f t="shared" si="18"/>
        <v>0</v>
      </c>
      <c r="R73" s="184">
        <f t="shared" si="18"/>
        <v>0</v>
      </c>
      <c r="S73" s="184">
        <f t="shared" si="18"/>
        <v>0</v>
      </c>
      <c r="T73" s="184">
        <f t="shared" si="18"/>
        <v>0</v>
      </c>
      <c r="U73" s="184">
        <f t="shared" si="18"/>
        <v>0</v>
      </c>
      <c r="V73" s="184">
        <f t="shared" si="18"/>
        <v>0</v>
      </c>
      <c r="W73" s="184">
        <f t="shared" si="18"/>
        <v>0</v>
      </c>
      <c r="X73" s="184">
        <f t="shared" si="18"/>
        <v>0</v>
      </c>
      <c r="Y73" s="184">
        <f t="shared" si="18"/>
        <v>0</v>
      </c>
      <c r="Z73" s="184">
        <f t="shared" si="18"/>
        <v>0</v>
      </c>
      <c r="AA73" s="184">
        <f t="shared" si="18"/>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19">ROUND(O72,2)=ROUND(O73,2)</f>
        <v>1</v>
      </c>
      <c r="P74" s="320" t="b">
        <f t="shared" si="19"/>
        <v>1</v>
      </c>
      <c r="Q74" s="320" t="b">
        <f t="shared" si="19"/>
        <v>1</v>
      </c>
      <c r="R74" s="320" t="b">
        <f t="shared" si="19"/>
        <v>1</v>
      </c>
      <c r="S74" s="320" t="b">
        <f t="shared" si="19"/>
        <v>1</v>
      </c>
      <c r="T74" s="320" t="b">
        <f t="shared" si="19"/>
        <v>1</v>
      </c>
      <c r="U74" s="320" t="b">
        <f t="shared" si="19"/>
        <v>1</v>
      </c>
      <c r="V74" s="320" t="b">
        <f t="shared" si="19"/>
        <v>1</v>
      </c>
      <c r="W74" s="320" t="b">
        <f t="shared" si="19"/>
        <v>1</v>
      </c>
      <c r="X74" s="320" t="b">
        <f t="shared" si="19"/>
        <v>1</v>
      </c>
      <c r="Y74" s="320" t="b">
        <f t="shared" si="19"/>
        <v>1</v>
      </c>
      <c r="Z74" s="320" t="b">
        <f t="shared" si="19"/>
        <v>1</v>
      </c>
      <c r="AA74" s="320" t="e">
        <f t="shared" si="19"/>
        <v>#VALUE!</v>
      </c>
      <c r="AB74" s="321"/>
      <c r="AC74" s="322"/>
      <c r="AD74" s="319"/>
      <c r="AE74" s="320" t="b">
        <f>ROUND(AD72,2)=ROUND(AD73,2)</f>
        <v>1</v>
      </c>
      <c r="AF74" s="321"/>
      <c r="AG74" s="319"/>
      <c r="AH74" s="320" t="b">
        <f>ROUND(AG72,2)=ROUND(AG73,2)</f>
        <v>1</v>
      </c>
      <c r="AI74" s="321"/>
    </row>
    <row r="75" spans="3:35" x14ac:dyDescent="0.25">
      <c r="H75" s="149" t="s">
        <v>264</v>
      </c>
      <c r="I75" s="161" t="s">
        <v>1058</v>
      </c>
      <c r="J75" s="161" t="s">
        <v>78</v>
      </c>
      <c r="K75" s="162"/>
      <c r="L75" s="162">
        <v>465100</v>
      </c>
      <c r="M75" s="162"/>
      <c r="N75" s="162" t="s">
        <v>1286</v>
      </c>
      <c r="O75" s="21"/>
      <c r="P75" s="21"/>
      <c r="Q75" s="21"/>
      <c r="R75" s="21"/>
      <c r="S75" s="21"/>
      <c r="T75" s="21"/>
      <c r="U75" s="21"/>
      <c r="V75" s="21"/>
      <c r="W75" s="21"/>
      <c r="X75" s="21"/>
      <c r="Y75" s="21"/>
      <c r="Z75" s="21"/>
      <c r="AA75" s="21">
        <f t="shared" ref="AA75:AA80" si="20">SUM(O75:Z75)</f>
        <v>0</v>
      </c>
      <c r="AB75" s="17" t="str">
        <f>IF(AA75=0,"",IFERROR(AA75/AA$19,""))</f>
        <v/>
      </c>
      <c r="AD75" s="21"/>
      <c r="AE75" s="17" t="str">
        <f>IF(AD75=0,"",IFERROR(AD75/AD$19,""))</f>
        <v/>
      </c>
      <c r="AF75" s="50">
        <f t="shared" ref="AF75:AF81" si="21">IF(AND($AA75="",AD75=""),"",$AA75-AD75)</f>
        <v>0</v>
      </c>
      <c r="AG75" s="21"/>
      <c r="AH75" s="17" t="str">
        <f>IF(AG75=0,"",IFERROR(AG75/AG$19,""))</f>
        <v/>
      </c>
      <c r="AI75" s="50">
        <f t="shared" ref="AI75:AI81" si="22">IF(AND($AA75="",AG75=""),"",$AA75-AG75)</f>
        <v>0</v>
      </c>
    </row>
    <row r="76" spans="3:35" x14ac:dyDescent="0.25">
      <c r="H76" s="149" t="s">
        <v>321</v>
      </c>
      <c r="I76" s="161" t="s">
        <v>1123</v>
      </c>
      <c r="J76" s="161" t="s">
        <v>78</v>
      </c>
      <c r="K76" s="162"/>
      <c r="L76" s="162">
        <v>465200</v>
      </c>
      <c r="M76" s="162"/>
      <c r="N76" s="162" t="s">
        <v>1287</v>
      </c>
      <c r="O76" s="21"/>
      <c r="P76" s="21"/>
      <c r="Q76" s="21"/>
      <c r="R76" s="21"/>
      <c r="S76" s="21"/>
      <c r="T76" s="21"/>
      <c r="U76" s="21"/>
      <c r="V76" s="21"/>
      <c r="W76" s="21"/>
      <c r="X76" s="21"/>
      <c r="Y76" s="21"/>
      <c r="Z76" s="21"/>
      <c r="AA76" s="21">
        <f t="shared" si="20"/>
        <v>0</v>
      </c>
      <c r="AB76" s="17" t="str">
        <f>IF(AA76=0,"",IFERROR(AA76/AA$19,""))</f>
        <v/>
      </c>
      <c r="AD76" s="21"/>
      <c r="AE76" s="17" t="str">
        <f>IF(AD76=0,"",IFERROR(AD76/AD$19,""))</f>
        <v/>
      </c>
      <c r="AF76" s="50">
        <f t="shared" si="21"/>
        <v>0</v>
      </c>
      <c r="AG76" s="21"/>
      <c r="AH76" s="17" t="str">
        <f>IF(AG76=0,"",IFERROR(AG76/AG$19,""))</f>
        <v/>
      </c>
      <c r="AI76" s="50">
        <f t="shared" si="22"/>
        <v>0</v>
      </c>
    </row>
    <row r="77" spans="3:35" x14ac:dyDescent="0.25">
      <c r="H77" s="149" t="s">
        <v>323</v>
      </c>
      <c r="I77" s="161" t="s">
        <v>1123</v>
      </c>
      <c r="J77" s="161" t="s">
        <v>78</v>
      </c>
      <c r="K77" s="162"/>
      <c r="L77" s="162">
        <v>465300</v>
      </c>
      <c r="M77" s="162"/>
      <c r="N77" s="162" t="s">
        <v>1288</v>
      </c>
      <c r="O77" s="21"/>
      <c r="P77" s="21"/>
      <c r="Q77" s="21"/>
      <c r="R77" s="21"/>
      <c r="S77" s="21"/>
      <c r="T77" s="21"/>
      <c r="U77" s="21"/>
      <c r="V77" s="21"/>
      <c r="W77" s="21"/>
      <c r="X77" s="21"/>
      <c r="Y77" s="21"/>
      <c r="Z77" s="21"/>
      <c r="AA77" s="21">
        <f t="shared" si="20"/>
        <v>0</v>
      </c>
      <c r="AB77" s="17" t="str">
        <f>IF(AA77=0,"",IFERROR(AA77/AA$19,""))</f>
        <v/>
      </c>
      <c r="AD77" s="21"/>
      <c r="AE77" s="17" t="str">
        <f>IF(AD77=0,"",IFERROR(AD77/AD$19,""))</f>
        <v/>
      </c>
      <c r="AF77" s="50">
        <f t="shared" si="21"/>
        <v>0</v>
      </c>
      <c r="AG77" s="21"/>
      <c r="AH77" s="17" t="str">
        <f>IF(AG77=0,"",IFERROR(AG77/AG$19,""))</f>
        <v/>
      </c>
      <c r="AI77" s="50">
        <f t="shared" si="22"/>
        <v>0</v>
      </c>
    </row>
    <row r="78" spans="3:35" x14ac:dyDescent="0.25">
      <c r="C78" s="32"/>
      <c r="H78" s="149" t="s">
        <v>322</v>
      </c>
      <c r="I78" s="161" t="s">
        <v>1123</v>
      </c>
      <c r="J78" s="161" t="s">
        <v>78</v>
      </c>
      <c r="K78" s="162"/>
      <c r="L78" s="162">
        <v>465400</v>
      </c>
      <c r="M78" s="162"/>
      <c r="N78" s="162" t="s">
        <v>1289</v>
      </c>
      <c r="O78" s="30"/>
      <c r="P78" s="30"/>
      <c r="Q78" s="30"/>
      <c r="R78" s="30"/>
      <c r="S78" s="30"/>
      <c r="T78" s="30"/>
      <c r="U78" s="30"/>
      <c r="V78" s="30"/>
      <c r="W78" s="30"/>
      <c r="X78" s="30"/>
      <c r="Y78" s="30"/>
      <c r="Z78" s="30"/>
      <c r="AA78" s="30">
        <f t="shared" si="20"/>
        <v>0</v>
      </c>
      <c r="AB78" s="31" t="str">
        <f>IF(AA78=0,"",IFERROR(AA78/AA$19,""))</f>
        <v/>
      </c>
      <c r="AD78" s="30"/>
      <c r="AE78" s="31" t="str">
        <f>IF(AD78=0,"",IFERROR(AD78/AD$19,""))</f>
        <v/>
      </c>
      <c r="AF78" s="51">
        <f t="shared" si="21"/>
        <v>0</v>
      </c>
      <c r="AG78" s="30"/>
      <c r="AH78" s="31" t="str">
        <f>IF(AG78=0,"",IFERROR(AG78/AG$19,""))</f>
        <v/>
      </c>
      <c r="AI78" s="51">
        <f t="shared" si="22"/>
        <v>0</v>
      </c>
    </row>
    <row r="79" spans="3:35" x14ac:dyDescent="0.25">
      <c r="C79" s="32"/>
      <c r="H79" s="149" t="s">
        <v>329</v>
      </c>
      <c r="I79" s="161" t="s">
        <v>1009</v>
      </c>
      <c r="J79" s="161" t="s">
        <v>78</v>
      </c>
      <c r="K79" s="162"/>
      <c r="L79" s="162"/>
      <c r="M79" s="162"/>
      <c r="N79" s="25" t="s">
        <v>1290</v>
      </c>
      <c r="O79" s="164"/>
      <c r="P79" s="164"/>
      <c r="Q79" s="164"/>
      <c r="R79" s="164"/>
      <c r="S79" s="164"/>
      <c r="T79" s="164"/>
      <c r="U79" s="164"/>
      <c r="V79" s="164"/>
      <c r="W79" s="164"/>
      <c r="X79" s="164"/>
      <c r="Y79" s="164"/>
      <c r="Z79" s="164"/>
      <c r="AA79" s="164">
        <f t="shared" si="20"/>
        <v>0</v>
      </c>
      <c r="AB79" s="175" t="str">
        <f>IF(AA79=0,"",IFERROR(AA79/AA$19,""))</f>
        <v/>
      </c>
      <c r="AD79" s="164"/>
      <c r="AE79" s="175" t="str">
        <f>IF(AD79=0,"",IFERROR(AD79/AD$19,""))</f>
        <v/>
      </c>
      <c r="AF79" s="165">
        <f t="shared" si="21"/>
        <v>0</v>
      </c>
      <c r="AG79" s="164"/>
      <c r="AH79" s="175" t="str">
        <f>IF(AG79=0,"",IFERROR(AG79/AG$19,""))</f>
        <v/>
      </c>
      <c r="AI79" s="165">
        <f t="shared" si="22"/>
        <v>0</v>
      </c>
    </row>
    <row r="80" spans="3:35" x14ac:dyDescent="0.25">
      <c r="C80" s="32"/>
      <c r="H80" s="149" t="s">
        <v>300</v>
      </c>
      <c r="I80" s="161" t="s">
        <v>1009</v>
      </c>
      <c r="J80" s="161" t="s">
        <v>1009</v>
      </c>
      <c r="K80" s="162"/>
      <c r="L80" s="162">
        <v>946400</v>
      </c>
      <c r="M80" s="162">
        <v>991510</v>
      </c>
      <c r="N80" s="162" t="s">
        <v>1291</v>
      </c>
      <c r="O80" s="38"/>
      <c r="P80" s="38"/>
      <c r="Q80" s="38"/>
      <c r="R80" s="38"/>
      <c r="S80" s="38"/>
      <c r="T80" s="38"/>
      <c r="U80" s="38"/>
      <c r="V80" s="38"/>
      <c r="W80" s="38"/>
      <c r="X80" s="38"/>
      <c r="Y80" s="38"/>
      <c r="Z80" s="38"/>
      <c r="AA80" s="38">
        <f t="shared" si="20"/>
        <v>0</v>
      </c>
      <c r="AB80" s="39" t="str">
        <f>IF(AA80=0,"",IFERROR(AA80/AA$87,""))</f>
        <v/>
      </c>
      <c r="AD80" s="38"/>
      <c r="AE80" s="39" t="str">
        <f>IF(AD80=0,"",IFERROR(AD80/AD$87,""))</f>
        <v/>
      </c>
      <c r="AF80" s="132">
        <f t="shared" si="21"/>
        <v>0</v>
      </c>
      <c r="AG80" s="38"/>
      <c r="AH80" s="39" t="str">
        <f>IF(AG80=0,"",IFERROR(AG80/AG$87,""))</f>
        <v/>
      </c>
      <c r="AI80" s="132">
        <f t="shared" si="22"/>
        <v>0</v>
      </c>
    </row>
    <row r="81" spans="3:35" x14ac:dyDescent="0.25">
      <c r="C81" s="32"/>
      <c r="H81" s="149" t="s">
        <v>325</v>
      </c>
      <c r="I81" s="161" t="s">
        <v>1009</v>
      </c>
      <c r="J81" s="161" t="s">
        <v>78</v>
      </c>
      <c r="K81" s="162"/>
      <c r="L81" s="162"/>
      <c r="M81" s="162"/>
      <c r="N81" s="170" t="s">
        <v>1292</v>
      </c>
      <c r="O81" s="176"/>
      <c r="P81" s="176"/>
      <c r="Q81" s="176"/>
      <c r="R81" s="176"/>
      <c r="S81" s="176"/>
      <c r="T81" s="176"/>
      <c r="U81" s="176"/>
      <c r="V81" s="176"/>
      <c r="W81" s="176"/>
      <c r="X81" s="176"/>
      <c r="Y81" s="176"/>
      <c r="Z81" s="176"/>
      <c r="AA81" s="176" t="str">
        <f>IFERROR(AA79/AA80,"")</f>
        <v/>
      </c>
      <c r="AB81" s="176"/>
      <c r="AD81" s="176"/>
      <c r="AE81" s="176"/>
      <c r="AF81" s="177" t="str">
        <f t="shared" si="21"/>
        <v/>
      </c>
      <c r="AG81" s="176"/>
      <c r="AH81" s="176"/>
      <c r="AI81" s="177" t="str">
        <f t="shared" si="22"/>
        <v/>
      </c>
    </row>
    <row r="82" spans="3:35" x14ac:dyDescent="0.25">
      <c r="C82" s="32"/>
      <c r="G82" s="181">
        <f>COUNTIF(O84:AI84,FALSE)</f>
        <v>0</v>
      </c>
      <c r="H82" s="15"/>
      <c r="I82" s="161"/>
      <c r="J82" s="161"/>
      <c r="K82" s="162"/>
      <c r="L82" s="162"/>
      <c r="M82" s="162"/>
      <c r="N82" s="182" t="s">
        <v>345</v>
      </c>
      <c r="O82" s="179">
        <f t="shared" ref="O82:AA82" si="23">ROUND(IFERROR(O79/O80,0),2)</f>
        <v>0</v>
      </c>
      <c r="P82" s="184">
        <f t="shared" si="23"/>
        <v>0</v>
      </c>
      <c r="Q82" s="184">
        <f t="shared" si="23"/>
        <v>0</v>
      </c>
      <c r="R82" s="184">
        <f t="shared" si="23"/>
        <v>0</v>
      </c>
      <c r="S82" s="184">
        <f t="shared" si="23"/>
        <v>0</v>
      </c>
      <c r="T82" s="184">
        <f t="shared" si="23"/>
        <v>0</v>
      </c>
      <c r="U82" s="184">
        <f t="shared" si="23"/>
        <v>0</v>
      </c>
      <c r="V82" s="184">
        <f t="shared" si="23"/>
        <v>0</v>
      </c>
      <c r="W82" s="184">
        <f t="shared" si="23"/>
        <v>0</v>
      </c>
      <c r="X82" s="184">
        <f t="shared" si="23"/>
        <v>0</v>
      </c>
      <c r="Y82" s="184">
        <f t="shared" si="23"/>
        <v>0</v>
      </c>
      <c r="Z82" s="184">
        <f t="shared" si="23"/>
        <v>0</v>
      </c>
      <c r="AA82" s="184">
        <f t="shared" si="23"/>
        <v>0</v>
      </c>
      <c r="AB82" s="183"/>
      <c r="AD82" s="179">
        <f>ROUND(IFERROR(AD79/AD80,0),2)</f>
        <v>0</v>
      </c>
      <c r="AE82" s="184"/>
      <c r="AF82" s="180"/>
      <c r="AG82" s="179">
        <f>ROUND(IFERROR(AG79/AG80,0),2)</f>
        <v>0</v>
      </c>
      <c r="AH82" s="184"/>
      <c r="AI82" s="180"/>
    </row>
    <row r="83" spans="3:35" x14ac:dyDescent="0.25">
      <c r="C83" s="32"/>
      <c r="H83" s="15" t="s">
        <v>486</v>
      </c>
      <c r="I83" s="161" t="s">
        <v>1058</v>
      </c>
      <c r="J83" s="161" t="s">
        <v>78</v>
      </c>
      <c r="K83" s="162"/>
      <c r="L83" s="162"/>
      <c r="M83" s="162"/>
      <c r="N83" s="162" t="s">
        <v>1213</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4">ROUND(O81,2)=ROUND(O82,2)</f>
        <v>1</v>
      </c>
      <c r="P84" s="320" t="b">
        <f t="shared" si="24"/>
        <v>1</v>
      </c>
      <c r="Q84" s="320" t="b">
        <f t="shared" si="24"/>
        <v>1</v>
      </c>
      <c r="R84" s="320" t="b">
        <f t="shared" si="24"/>
        <v>1</v>
      </c>
      <c r="S84" s="320" t="b">
        <f t="shared" si="24"/>
        <v>1</v>
      </c>
      <c r="T84" s="320" t="b">
        <f t="shared" si="24"/>
        <v>1</v>
      </c>
      <c r="U84" s="320" t="b">
        <f t="shared" si="24"/>
        <v>1</v>
      </c>
      <c r="V84" s="320" t="b">
        <f t="shared" si="24"/>
        <v>1</v>
      </c>
      <c r="W84" s="320" t="b">
        <f t="shared" si="24"/>
        <v>1</v>
      </c>
      <c r="X84" s="320" t="b">
        <f t="shared" si="24"/>
        <v>1</v>
      </c>
      <c r="Y84" s="320" t="b">
        <f t="shared" si="24"/>
        <v>1</v>
      </c>
      <c r="Z84" s="320" t="b">
        <f t="shared" si="24"/>
        <v>1</v>
      </c>
      <c r="AA84" s="320" t="e">
        <f t="shared" si="24"/>
        <v>#VALUE!</v>
      </c>
      <c r="AB84" s="321"/>
      <c r="AC84" s="322"/>
      <c r="AD84" s="319"/>
      <c r="AE84" s="320" t="b">
        <f>ROUND(AD81,2)=ROUND(AD82,2)</f>
        <v>1</v>
      </c>
      <c r="AF84" s="321"/>
      <c r="AG84" s="319"/>
      <c r="AH84" s="320" t="b">
        <f>ROUND(AG81,2)=ROUND(AG82,2)</f>
        <v>1</v>
      </c>
      <c r="AI84" s="321"/>
    </row>
    <row r="85" spans="3:35" x14ac:dyDescent="0.25">
      <c r="C85" s="32"/>
      <c r="H85" s="149" t="s">
        <v>273</v>
      </c>
      <c r="I85" s="161" t="s">
        <v>1064</v>
      </c>
      <c r="J85" s="161" t="s">
        <v>78</v>
      </c>
      <c r="L85" s="162"/>
      <c r="M85" s="162"/>
      <c r="N85" s="162" t="s">
        <v>1214</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s">
        <v>1009</v>
      </c>
      <c r="J86" s="161" t="s">
        <v>1009</v>
      </c>
      <c r="L86" s="162">
        <v>947500</v>
      </c>
      <c r="M86" s="162">
        <v>991552</v>
      </c>
      <c r="N86" s="162" t="s">
        <v>1308</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s">
        <v>1010</v>
      </c>
      <c r="J87" s="161" t="s">
        <v>78</v>
      </c>
      <c r="L87" s="162">
        <v>946000</v>
      </c>
      <c r="M87" s="162"/>
      <c r="N87" s="162" t="s">
        <v>1196</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s">
        <v>1009</v>
      </c>
      <c r="J88" s="161" t="s">
        <v>78</v>
      </c>
      <c r="L88" s="162"/>
      <c r="M88" s="162"/>
      <c r="N88" s="162" t="s">
        <v>1355</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s">
        <v>1064</v>
      </c>
      <c r="J91" s="161" t="s">
        <v>78</v>
      </c>
      <c r="L91" s="162"/>
      <c r="M91" s="162"/>
      <c r="N91" s="162" t="s">
        <v>1311</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s">
        <v>1064</v>
      </c>
      <c r="J92" s="161" t="s">
        <v>78</v>
      </c>
      <c r="L92" s="162"/>
      <c r="M92" s="162"/>
      <c r="N92" s="162" t="s">
        <v>1312</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5">IFERROR(O$87/O91,"")</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6">IFERROR(O$87/O92,"")</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c r="W98" s="21"/>
      <c r="X98" s="21"/>
      <c r="Y98" s="21"/>
      <c r="Z98" s="21"/>
      <c r="AA98" s="21">
        <f t="shared" ref="AA98:AA103" si="27">SUM(O98:Z98)</f>
        <v>0</v>
      </c>
      <c r="AB98" s="17" t="str">
        <f t="shared" ref="AB98:AB103" si="28">IF(AA98=0,"",IFERROR(AA98/AA$19,""))</f>
        <v/>
      </c>
      <c r="AD98" s="21"/>
      <c r="AE98" s="17" t="str">
        <f t="shared" ref="AE98:AE103" si="29">IF(AD98=0,"",IFERROR(AD98/AD$19,""))</f>
        <v/>
      </c>
      <c r="AF98" s="50">
        <f t="shared" ref="AF98:AF103" si="30">IF(AND($AA98="",AD98=""),"",$AA98-AD98)</f>
        <v>0</v>
      </c>
      <c r="AG98" s="21"/>
      <c r="AH98" s="17" t="str">
        <f t="shared" ref="AH98:AH103" si="31">IF(AG98=0,"",IFERROR(AG98/AG$19,""))</f>
        <v/>
      </c>
      <c r="AI98" s="50">
        <f t="shared" ref="AI98:AI103" si="32">IF(AND($AA98="",AG98=""),"",$AA98-AG98)</f>
        <v>0</v>
      </c>
    </row>
    <row r="99" spans="3:35" x14ac:dyDescent="0.25">
      <c r="C99" s="32"/>
      <c r="H99" s="149" t="s">
        <v>301</v>
      </c>
      <c r="I99" s="161"/>
      <c r="J99" s="161"/>
      <c r="L99" s="162">
        <v>462200</v>
      </c>
      <c r="M99" s="162"/>
      <c r="N99" s="162" t="s">
        <v>1266</v>
      </c>
      <c r="O99" s="21"/>
      <c r="P99" s="21"/>
      <c r="Q99" s="21"/>
      <c r="R99" s="21"/>
      <c r="S99" s="21"/>
      <c r="T99" s="21"/>
      <c r="U99" s="21"/>
      <c r="V99" s="21"/>
      <c r="W99" s="21"/>
      <c r="X99" s="21"/>
      <c r="Y99" s="21"/>
      <c r="Z99" s="21"/>
      <c r="AA99" s="21">
        <f t="shared" si="27"/>
        <v>0</v>
      </c>
      <c r="AB99" s="17" t="str">
        <f t="shared" si="28"/>
        <v/>
      </c>
      <c r="AD99" s="21"/>
      <c r="AE99" s="17" t="str">
        <f t="shared" si="29"/>
        <v/>
      </c>
      <c r="AF99" s="50">
        <f t="shared" si="30"/>
        <v>0</v>
      </c>
      <c r="AG99" s="21"/>
      <c r="AH99" s="17" t="str">
        <f t="shared" si="31"/>
        <v/>
      </c>
      <c r="AI99" s="50">
        <f t="shared" si="32"/>
        <v>0</v>
      </c>
    </row>
    <row r="100" spans="3:35" x14ac:dyDescent="0.25">
      <c r="C100" s="32"/>
      <c r="H100" s="149" t="s">
        <v>302</v>
      </c>
      <c r="I100" s="161"/>
      <c r="J100" s="161"/>
      <c r="L100" s="162">
        <v>463200</v>
      </c>
      <c r="M100" s="162"/>
      <c r="N100" s="162" t="s">
        <v>1273</v>
      </c>
      <c r="O100" s="21"/>
      <c r="P100" s="21"/>
      <c r="Q100" s="21"/>
      <c r="R100" s="21"/>
      <c r="S100" s="21"/>
      <c r="T100" s="21"/>
      <c r="U100" s="21"/>
      <c r="V100" s="21"/>
      <c r="W100" s="21"/>
      <c r="X100" s="21"/>
      <c r="Y100" s="21"/>
      <c r="Z100" s="21"/>
      <c r="AA100" s="21">
        <f t="shared" si="27"/>
        <v>0</v>
      </c>
      <c r="AB100" s="17" t="str">
        <f t="shared" si="28"/>
        <v/>
      </c>
      <c r="AD100" s="21"/>
      <c r="AE100" s="17" t="str">
        <f t="shared" si="29"/>
        <v/>
      </c>
      <c r="AF100" s="50">
        <f t="shared" si="30"/>
        <v>0</v>
      </c>
      <c r="AG100" s="21"/>
      <c r="AH100" s="17" t="str">
        <f t="shared" si="31"/>
        <v/>
      </c>
      <c r="AI100" s="50">
        <f t="shared" si="32"/>
        <v>0</v>
      </c>
    </row>
    <row r="101" spans="3:35" x14ac:dyDescent="0.25">
      <c r="C101" s="32"/>
      <c r="H101" s="149" t="s">
        <v>308</v>
      </c>
      <c r="I101" s="161"/>
      <c r="J101" s="161"/>
      <c r="L101" s="162">
        <v>464200</v>
      </c>
      <c r="M101" s="162"/>
      <c r="N101" s="162" t="s">
        <v>1280</v>
      </c>
      <c r="O101" s="21"/>
      <c r="P101" s="21"/>
      <c r="Q101" s="21"/>
      <c r="R101" s="21"/>
      <c r="S101" s="21"/>
      <c r="T101" s="21"/>
      <c r="U101" s="21"/>
      <c r="V101" s="21"/>
      <c r="W101" s="21"/>
      <c r="X101" s="21"/>
      <c r="Y101" s="21"/>
      <c r="Z101" s="21"/>
      <c r="AA101" s="21">
        <f t="shared" si="27"/>
        <v>0</v>
      </c>
      <c r="AB101" s="17" t="str">
        <f t="shared" si="28"/>
        <v/>
      </c>
      <c r="AD101" s="21"/>
      <c r="AE101" s="17" t="str">
        <f t="shared" si="29"/>
        <v/>
      </c>
      <c r="AF101" s="50">
        <f t="shared" si="30"/>
        <v>0</v>
      </c>
      <c r="AG101" s="21"/>
      <c r="AH101" s="17" t="str">
        <f t="shared" si="31"/>
        <v/>
      </c>
      <c r="AI101" s="50">
        <f t="shared" si="32"/>
        <v>0</v>
      </c>
    </row>
    <row r="102" spans="3:35" x14ac:dyDescent="0.25">
      <c r="C102" s="32"/>
      <c r="H102" s="149" t="s">
        <v>321</v>
      </c>
      <c r="I102" s="161"/>
      <c r="J102" s="161"/>
      <c r="L102" s="162">
        <v>465200</v>
      </c>
      <c r="M102" s="162"/>
      <c r="N102" s="162" t="s">
        <v>1287</v>
      </c>
      <c r="O102" s="21"/>
      <c r="P102" s="21"/>
      <c r="Q102" s="21"/>
      <c r="R102" s="21"/>
      <c r="S102" s="21"/>
      <c r="T102" s="21"/>
      <c r="U102" s="21"/>
      <c r="V102" s="21"/>
      <c r="W102" s="21"/>
      <c r="X102" s="21"/>
      <c r="Y102" s="21"/>
      <c r="Z102" s="21"/>
      <c r="AA102" s="21">
        <f t="shared" si="27"/>
        <v>0</v>
      </c>
      <c r="AB102" s="17" t="str">
        <f t="shared" si="28"/>
        <v/>
      </c>
      <c r="AD102" s="21"/>
      <c r="AE102" s="17" t="str">
        <f t="shared" si="29"/>
        <v/>
      </c>
      <c r="AF102" s="50">
        <f t="shared" si="30"/>
        <v>0</v>
      </c>
      <c r="AG102" s="21"/>
      <c r="AH102" s="17" t="str">
        <f t="shared" si="31"/>
        <v/>
      </c>
      <c r="AI102" s="50">
        <f t="shared" si="32"/>
        <v>0</v>
      </c>
    </row>
    <row r="103" spans="3:35" x14ac:dyDescent="0.25">
      <c r="C103" s="32"/>
      <c r="H103" s="149" t="s">
        <v>340</v>
      </c>
      <c r="I103" s="161"/>
      <c r="J103" s="161"/>
      <c r="L103" s="162"/>
      <c r="M103" s="162"/>
      <c r="N103" s="25" t="s">
        <v>1313</v>
      </c>
      <c r="O103" s="164"/>
      <c r="P103" s="164"/>
      <c r="Q103" s="164"/>
      <c r="R103" s="164"/>
      <c r="S103" s="164"/>
      <c r="T103" s="164"/>
      <c r="U103" s="164"/>
      <c r="V103" s="164"/>
      <c r="W103" s="164"/>
      <c r="X103" s="164"/>
      <c r="Y103" s="164"/>
      <c r="Z103" s="164"/>
      <c r="AA103" s="164">
        <f t="shared" si="27"/>
        <v>0</v>
      </c>
      <c r="AB103" s="175" t="str">
        <f t="shared" si="28"/>
        <v/>
      </c>
      <c r="AD103" s="164"/>
      <c r="AE103" s="175" t="str">
        <f t="shared" si="29"/>
        <v/>
      </c>
      <c r="AF103" s="165">
        <f t="shared" si="30"/>
        <v>0</v>
      </c>
      <c r="AG103" s="164"/>
      <c r="AH103" s="175" t="str">
        <f t="shared" si="31"/>
        <v/>
      </c>
      <c r="AI103" s="165">
        <f t="shared" si="32"/>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v>461300</v>
      </c>
      <c r="M106" s="162"/>
      <c r="N106" s="162" t="s">
        <v>1260</v>
      </c>
      <c r="O106" s="21"/>
      <c r="P106" s="21"/>
      <c r="Q106" s="21"/>
      <c r="R106" s="21"/>
      <c r="S106" s="21"/>
      <c r="T106" s="21"/>
      <c r="U106" s="21"/>
      <c r="V106" s="21"/>
      <c r="W106" s="21"/>
      <c r="X106" s="21"/>
      <c r="Y106" s="21"/>
      <c r="Z106" s="21"/>
      <c r="AA106" s="21">
        <f t="shared" ref="AA106:AA111" si="33">SUM(O106:Z106)</f>
        <v>0</v>
      </c>
      <c r="AB106" s="17" t="str">
        <f t="shared" ref="AB106:AB111" si="34">IF(AA106=0,"",IFERROR(AA106/AA$19,""))</f>
        <v/>
      </c>
      <c r="AD106" s="21"/>
      <c r="AE106" s="17" t="str">
        <f t="shared" ref="AE106:AE111" si="35">IF(AD106=0,"",IFERROR(AD106/AD$19,""))</f>
        <v/>
      </c>
      <c r="AF106" s="50">
        <f t="shared" ref="AF106:AF111" si="36">IF(AND($AA106="",AD106=""),"",$AA106-AD106)</f>
        <v>0</v>
      </c>
      <c r="AG106" s="21"/>
      <c r="AH106" s="17" t="str">
        <f t="shared" ref="AH106:AH111" si="37">IF(AG106=0,"",IFERROR(AG106/AG$19,""))</f>
        <v/>
      </c>
      <c r="AI106" s="50">
        <f t="shared" ref="AI106:AI111" si="38">IF(AND($AA106="",AG106=""),"",$AA106-AG106)</f>
        <v>0</v>
      </c>
    </row>
    <row r="107" spans="3:35" x14ac:dyDescent="0.25">
      <c r="C107" s="32"/>
      <c r="H107" s="149" t="s">
        <v>305</v>
      </c>
      <c r="I107" s="161"/>
      <c r="J107" s="161"/>
      <c r="L107" s="162">
        <v>462300</v>
      </c>
      <c r="M107" s="162"/>
      <c r="N107" s="162" t="s">
        <v>1267</v>
      </c>
      <c r="O107" s="21"/>
      <c r="P107" s="21"/>
      <c r="Q107" s="21"/>
      <c r="R107" s="21"/>
      <c r="S107" s="21"/>
      <c r="T107" s="21"/>
      <c r="U107" s="21"/>
      <c r="V107" s="21"/>
      <c r="W107" s="21"/>
      <c r="X107" s="21"/>
      <c r="Y107" s="21"/>
      <c r="Z107" s="21"/>
      <c r="AA107" s="21">
        <f t="shared" si="33"/>
        <v>0</v>
      </c>
      <c r="AB107" s="17" t="str">
        <f t="shared" si="34"/>
        <v/>
      </c>
      <c r="AD107" s="21"/>
      <c r="AE107" s="17" t="str">
        <f t="shared" si="35"/>
        <v/>
      </c>
      <c r="AF107" s="50">
        <f t="shared" si="36"/>
        <v>0</v>
      </c>
      <c r="AG107" s="21"/>
      <c r="AH107" s="17" t="str">
        <f t="shared" si="37"/>
        <v/>
      </c>
      <c r="AI107" s="50">
        <f t="shared" si="38"/>
        <v>0</v>
      </c>
    </row>
    <row r="108" spans="3:35" x14ac:dyDescent="0.25">
      <c r="C108" s="32"/>
      <c r="H108" s="149" t="s">
        <v>306</v>
      </c>
      <c r="I108" s="161"/>
      <c r="J108" s="161"/>
      <c r="L108" s="162">
        <v>463300</v>
      </c>
      <c r="M108" s="162"/>
      <c r="N108" s="162" t="s">
        <v>1274</v>
      </c>
      <c r="O108" s="21"/>
      <c r="P108" s="21"/>
      <c r="Q108" s="21"/>
      <c r="R108" s="21"/>
      <c r="S108" s="21"/>
      <c r="T108" s="21"/>
      <c r="U108" s="21"/>
      <c r="V108" s="21"/>
      <c r="W108" s="21"/>
      <c r="X108" s="21"/>
      <c r="Y108" s="21"/>
      <c r="Z108" s="21"/>
      <c r="AA108" s="21">
        <f t="shared" si="33"/>
        <v>0</v>
      </c>
      <c r="AB108" s="17" t="str">
        <f t="shared" si="34"/>
        <v/>
      </c>
      <c r="AD108" s="21"/>
      <c r="AE108" s="17" t="str">
        <f t="shared" si="35"/>
        <v/>
      </c>
      <c r="AF108" s="50">
        <f t="shared" si="36"/>
        <v>0</v>
      </c>
      <c r="AG108" s="21"/>
      <c r="AH108" s="17" t="str">
        <f t="shared" si="37"/>
        <v/>
      </c>
      <c r="AI108" s="50">
        <f t="shared" si="38"/>
        <v>0</v>
      </c>
    </row>
    <row r="109" spans="3:35" x14ac:dyDescent="0.25">
      <c r="C109" s="32"/>
      <c r="H109" s="149" t="s">
        <v>310</v>
      </c>
      <c r="I109" s="161"/>
      <c r="J109" s="161"/>
      <c r="L109" s="162">
        <v>464300</v>
      </c>
      <c r="M109" s="162"/>
      <c r="N109" s="162" t="s">
        <v>1281</v>
      </c>
      <c r="O109" s="21"/>
      <c r="P109" s="21"/>
      <c r="Q109" s="21"/>
      <c r="R109" s="21"/>
      <c r="S109" s="21"/>
      <c r="T109" s="21"/>
      <c r="U109" s="21"/>
      <c r="V109" s="21"/>
      <c r="W109" s="21"/>
      <c r="X109" s="21"/>
      <c r="Y109" s="21"/>
      <c r="Z109" s="21"/>
      <c r="AA109" s="21">
        <f t="shared" si="33"/>
        <v>0</v>
      </c>
      <c r="AB109" s="17" t="str">
        <f t="shared" si="34"/>
        <v/>
      </c>
      <c r="AD109" s="21"/>
      <c r="AE109" s="17" t="str">
        <f t="shared" si="35"/>
        <v/>
      </c>
      <c r="AF109" s="50">
        <f t="shared" si="36"/>
        <v>0</v>
      </c>
      <c r="AG109" s="21"/>
      <c r="AH109" s="17" t="str">
        <f t="shared" si="37"/>
        <v/>
      </c>
      <c r="AI109" s="50">
        <f t="shared" si="38"/>
        <v>0</v>
      </c>
    </row>
    <row r="110" spans="3:35" x14ac:dyDescent="0.25">
      <c r="C110" s="32"/>
      <c r="H110" s="149" t="s">
        <v>323</v>
      </c>
      <c r="I110" s="161"/>
      <c r="J110" s="161"/>
      <c r="L110" s="162">
        <v>465300</v>
      </c>
      <c r="M110" s="162"/>
      <c r="N110" s="162" t="s">
        <v>1288</v>
      </c>
      <c r="O110" s="21"/>
      <c r="P110" s="21"/>
      <c r="Q110" s="21"/>
      <c r="R110" s="21"/>
      <c r="S110" s="21"/>
      <c r="T110" s="21"/>
      <c r="U110" s="21"/>
      <c r="V110" s="21"/>
      <c r="W110" s="21"/>
      <c r="X110" s="21"/>
      <c r="Y110" s="21"/>
      <c r="Z110" s="21"/>
      <c r="AA110" s="21">
        <f t="shared" si="33"/>
        <v>0</v>
      </c>
      <c r="AB110" s="17" t="str">
        <f t="shared" si="34"/>
        <v/>
      </c>
      <c r="AD110" s="21"/>
      <c r="AE110" s="17" t="str">
        <f t="shared" si="35"/>
        <v/>
      </c>
      <c r="AF110" s="50">
        <f t="shared" si="36"/>
        <v>0</v>
      </c>
      <c r="AG110" s="21"/>
      <c r="AH110" s="17" t="str">
        <f t="shared" si="37"/>
        <v/>
      </c>
      <c r="AI110" s="50">
        <f t="shared" si="38"/>
        <v>0</v>
      </c>
    </row>
    <row r="111" spans="3:35" x14ac:dyDescent="0.25">
      <c r="C111" s="32"/>
      <c r="H111" s="149" t="s">
        <v>342</v>
      </c>
      <c r="I111" s="161"/>
      <c r="J111" s="161"/>
      <c r="L111" s="162"/>
      <c r="M111" s="162"/>
      <c r="N111" s="25" t="s">
        <v>1314</v>
      </c>
      <c r="O111" s="164"/>
      <c r="P111" s="164"/>
      <c r="Q111" s="164"/>
      <c r="R111" s="164"/>
      <c r="S111" s="164"/>
      <c r="T111" s="164"/>
      <c r="U111" s="164"/>
      <c r="V111" s="164"/>
      <c r="W111" s="164"/>
      <c r="X111" s="164"/>
      <c r="Y111" s="164"/>
      <c r="Z111" s="164"/>
      <c r="AA111" s="164">
        <f t="shared" si="33"/>
        <v>0</v>
      </c>
      <c r="AB111" s="175" t="str">
        <f t="shared" si="34"/>
        <v/>
      </c>
      <c r="AD111" s="164"/>
      <c r="AE111" s="175" t="str">
        <f t="shared" si="35"/>
        <v/>
      </c>
      <c r="AF111" s="165">
        <f t="shared" si="36"/>
        <v>0</v>
      </c>
      <c r="AG111" s="164"/>
      <c r="AH111" s="175" t="str">
        <f t="shared" si="37"/>
        <v/>
      </c>
      <c r="AI111" s="165">
        <f t="shared" si="38"/>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v>461400</v>
      </c>
      <c r="M114" s="162"/>
      <c r="N114" s="162" t="s">
        <v>1261</v>
      </c>
      <c r="O114" s="21"/>
      <c r="P114" s="21"/>
      <c r="Q114" s="21"/>
      <c r="R114" s="21"/>
      <c r="S114" s="21"/>
      <c r="T114" s="21"/>
      <c r="U114" s="21"/>
      <c r="V114" s="21"/>
      <c r="W114" s="21"/>
      <c r="X114" s="21"/>
      <c r="Y114" s="21"/>
      <c r="Z114" s="21"/>
      <c r="AA114" s="21">
        <f t="shared" ref="AA114:AA119" si="39">SUM(O114:Z114)</f>
        <v>0</v>
      </c>
      <c r="AB114" s="17" t="str">
        <f t="shared" ref="AB114:AB119" si="40">IF(AA114=0,"",IFERROR(AA114/AA$19,""))</f>
        <v/>
      </c>
      <c r="AD114" s="21"/>
      <c r="AE114" s="17" t="str">
        <f t="shared" ref="AE114:AE119" si="41">IF(AD114=0,"",IFERROR(AD114/AD$19,""))</f>
        <v/>
      </c>
      <c r="AF114" s="50">
        <f t="shared" ref="AF114:AF119" si="42">IF(AND($AA114="",AD114=""),"",$AA114-AD114)</f>
        <v>0</v>
      </c>
      <c r="AG114" s="21"/>
      <c r="AH114" s="17" t="str">
        <f t="shared" ref="AH114:AH119" si="43">IF(AG114=0,"",IFERROR(AG114/AG$19,""))</f>
        <v/>
      </c>
      <c r="AI114" s="50">
        <f t="shared" ref="AI114:AI119" si="44">IF(AND($AA114="",AG114=""),"",$AA114-AG114)</f>
        <v>0</v>
      </c>
    </row>
    <row r="115" spans="3:35" x14ac:dyDescent="0.25">
      <c r="C115" s="32"/>
      <c r="H115" s="149" t="s">
        <v>303</v>
      </c>
      <c r="I115" s="161"/>
      <c r="J115" s="161"/>
      <c r="L115" s="162">
        <v>462400</v>
      </c>
      <c r="M115" s="162"/>
      <c r="N115" s="162" t="s">
        <v>1268</v>
      </c>
      <c r="O115" s="21"/>
      <c r="P115" s="21"/>
      <c r="Q115" s="21"/>
      <c r="R115" s="21"/>
      <c r="S115" s="21"/>
      <c r="T115" s="21"/>
      <c r="U115" s="21"/>
      <c r="V115" s="21"/>
      <c r="W115" s="21"/>
      <c r="X115" s="21"/>
      <c r="Y115" s="21"/>
      <c r="Z115" s="21"/>
      <c r="AA115" s="21">
        <f t="shared" si="39"/>
        <v>0</v>
      </c>
      <c r="AB115" s="17" t="str">
        <f t="shared" si="40"/>
        <v/>
      </c>
      <c r="AD115" s="21"/>
      <c r="AE115" s="17" t="str">
        <f t="shared" si="41"/>
        <v/>
      </c>
      <c r="AF115" s="50">
        <f t="shared" si="42"/>
        <v>0</v>
      </c>
      <c r="AG115" s="21"/>
      <c r="AH115" s="17" t="str">
        <f t="shared" si="43"/>
        <v/>
      </c>
      <c r="AI115" s="50">
        <f t="shared" si="44"/>
        <v>0</v>
      </c>
    </row>
    <row r="116" spans="3:35" x14ac:dyDescent="0.25">
      <c r="C116" s="32"/>
      <c r="H116" s="149" t="s">
        <v>304</v>
      </c>
      <c r="I116" s="161"/>
      <c r="J116" s="161"/>
      <c r="L116" s="162">
        <v>463400</v>
      </c>
      <c r="M116" s="162"/>
      <c r="N116" s="162" t="s">
        <v>1275</v>
      </c>
      <c r="O116" s="21"/>
      <c r="P116" s="21"/>
      <c r="Q116" s="21"/>
      <c r="R116" s="21"/>
      <c r="S116" s="21"/>
      <c r="T116" s="21"/>
      <c r="U116" s="21"/>
      <c r="V116" s="21"/>
      <c r="W116" s="21"/>
      <c r="X116" s="21"/>
      <c r="Y116" s="21"/>
      <c r="Z116" s="21"/>
      <c r="AA116" s="21">
        <f t="shared" si="39"/>
        <v>0</v>
      </c>
      <c r="AB116" s="17" t="str">
        <f t="shared" si="40"/>
        <v/>
      </c>
      <c r="AD116" s="21"/>
      <c r="AE116" s="17" t="str">
        <f t="shared" si="41"/>
        <v/>
      </c>
      <c r="AF116" s="50">
        <f t="shared" si="42"/>
        <v>0</v>
      </c>
      <c r="AG116" s="21"/>
      <c r="AH116" s="17" t="str">
        <f t="shared" si="43"/>
        <v/>
      </c>
      <c r="AI116" s="50">
        <f t="shared" si="44"/>
        <v>0</v>
      </c>
    </row>
    <row r="117" spans="3:35" x14ac:dyDescent="0.25">
      <c r="C117" s="32"/>
      <c r="H117" s="149" t="s">
        <v>309</v>
      </c>
      <c r="I117" s="161"/>
      <c r="J117" s="161"/>
      <c r="L117" s="162">
        <v>464400</v>
      </c>
      <c r="M117" s="162"/>
      <c r="N117" s="162" t="s">
        <v>1282</v>
      </c>
      <c r="O117" s="21"/>
      <c r="P117" s="21"/>
      <c r="Q117" s="21"/>
      <c r="R117" s="21"/>
      <c r="S117" s="21"/>
      <c r="T117" s="21"/>
      <c r="U117" s="21"/>
      <c r="V117" s="21"/>
      <c r="W117" s="21"/>
      <c r="X117" s="21"/>
      <c r="Y117" s="21"/>
      <c r="Z117" s="21"/>
      <c r="AA117" s="21">
        <f t="shared" si="39"/>
        <v>0</v>
      </c>
      <c r="AB117" s="17" t="str">
        <f t="shared" si="40"/>
        <v/>
      </c>
      <c r="AD117" s="21"/>
      <c r="AE117" s="17" t="str">
        <f t="shared" si="41"/>
        <v/>
      </c>
      <c r="AF117" s="50">
        <f t="shared" si="42"/>
        <v>0</v>
      </c>
      <c r="AG117" s="21"/>
      <c r="AH117" s="17" t="str">
        <f t="shared" si="43"/>
        <v/>
      </c>
      <c r="AI117" s="50">
        <f t="shared" si="44"/>
        <v>0</v>
      </c>
    </row>
    <row r="118" spans="3:35" x14ac:dyDescent="0.25">
      <c r="C118" s="32"/>
      <c r="H118" s="149" t="s">
        <v>322</v>
      </c>
      <c r="I118" s="161"/>
      <c r="J118" s="161"/>
      <c r="L118" s="162">
        <v>465400</v>
      </c>
      <c r="M118" s="162"/>
      <c r="N118" s="162" t="s">
        <v>1289</v>
      </c>
      <c r="O118" s="21"/>
      <c r="P118" s="21"/>
      <c r="Q118" s="21"/>
      <c r="R118" s="21"/>
      <c r="S118" s="21"/>
      <c r="T118" s="21"/>
      <c r="U118" s="21"/>
      <c r="V118" s="21"/>
      <c r="W118" s="21"/>
      <c r="X118" s="21"/>
      <c r="Y118" s="21"/>
      <c r="Z118" s="21"/>
      <c r="AA118" s="21">
        <f t="shared" si="39"/>
        <v>0</v>
      </c>
      <c r="AB118" s="17" t="str">
        <f t="shared" si="40"/>
        <v/>
      </c>
      <c r="AD118" s="21"/>
      <c r="AE118" s="17" t="str">
        <f t="shared" si="41"/>
        <v/>
      </c>
      <c r="AF118" s="50">
        <f t="shared" si="42"/>
        <v>0</v>
      </c>
      <c r="AG118" s="21"/>
      <c r="AH118" s="17" t="str">
        <f t="shared" si="43"/>
        <v/>
      </c>
      <c r="AI118" s="50">
        <f t="shared" si="44"/>
        <v>0</v>
      </c>
    </row>
    <row r="119" spans="3:35" x14ac:dyDescent="0.25">
      <c r="C119" s="32"/>
      <c r="H119" s="149" t="s">
        <v>341</v>
      </c>
      <c r="I119" s="161"/>
      <c r="J119" s="161"/>
      <c r="L119" s="162"/>
      <c r="M119" s="162"/>
      <c r="N119" s="25" t="s">
        <v>1315</v>
      </c>
      <c r="O119" s="164"/>
      <c r="P119" s="164"/>
      <c r="Q119" s="164"/>
      <c r="R119" s="164"/>
      <c r="S119" s="164"/>
      <c r="T119" s="164"/>
      <c r="U119" s="164"/>
      <c r="V119" s="164"/>
      <c r="W119" s="164"/>
      <c r="X119" s="164"/>
      <c r="Y119" s="164"/>
      <c r="Z119" s="164"/>
      <c r="AA119" s="164">
        <f t="shared" si="39"/>
        <v>0</v>
      </c>
      <c r="AB119" s="175" t="str">
        <f t="shared" si="40"/>
        <v/>
      </c>
      <c r="AD119" s="164"/>
      <c r="AE119" s="175" t="str">
        <f t="shared" si="41"/>
        <v/>
      </c>
      <c r="AF119" s="165">
        <f t="shared" si="42"/>
        <v>0</v>
      </c>
      <c r="AG119" s="164"/>
      <c r="AH119" s="175" t="str">
        <f t="shared" si="43"/>
        <v/>
      </c>
      <c r="AI119" s="165">
        <f t="shared" si="44"/>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c r="M121" s="162"/>
      <c r="N121" s="162" t="s">
        <v>1316</v>
      </c>
      <c r="O121" s="21">
        <f t="shared" ref="O121:Z121" si="45">O98+O106+O114</f>
        <v>0</v>
      </c>
      <c r="P121" s="21">
        <f t="shared" si="45"/>
        <v>0</v>
      </c>
      <c r="Q121" s="21">
        <f t="shared" si="45"/>
        <v>0</v>
      </c>
      <c r="R121" s="21">
        <f t="shared" si="45"/>
        <v>0</v>
      </c>
      <c r="S121" s="21">
        <f t="shared" si="45"/>
        <v>0</v>
      </c>
      <c r="T121" s="21">
        <f t="shared" si="45"/>
        <v>0</v>
      </c>
      <c r="U121" s="21">
        <f t="shared" si="45"/>
        <v>0</v>
      </c>
      <c r="V121" s="21">
        <f t="shared" si="45"/>
        <v>0</v>
      </c>
      <c r="W121" s="21">
        <f t="shared" si="45"/>
        <v>0</v>
      </c>
      <c r="X121" s="21">
        <f t="shared" si="45"/>
        <v>0</v>
      </c>
      <c r="Y121" s="21">
        <f t="shared" si="45"/>
        <v>0</v>
      </c>
      <c r="Z121" s="21">
        <f t="shared" si="45"/>
        <v>0</v>
      </c>
      <c r="AA121" s="21">
        <f t="shared" ref="AA121:AA126" si="46">SUM(O121:Z121)</f>
        <v>0</v>
      </c>
      <c r="AB121" s="17" t="str">
        <f t="shared" ref="AB121:AB126" si="47">IF(AA121=0,"",IFERROR(AA121/AA$19,""))</f>
        <v/>
      </c>
      <c r="AD121" s="21">
        <f>AD98+AD106+AD114</f>
        <v>0</v>
      </c>
      <c r="AE121" s="17" t="str">
        <f t="shared" ref="AE121:AE126" si="48">IF(AD121=0,"",IFERROR(AD121/AD$19,""))</f>
        <v/>
      </c>
      <c r="AF121" s="50">
        <f t="shared" ref="AF121:AF126" si="49">IF(AND($AA121="",AD121=""),"",$AA121-AD121)</f>
        <v>0</v>
      </c>
      <c r="AG121" s="21">
        <f>AG98+AG106+AG114</f>
        <v>0</v>
      </c>
      <c r="AH121" s="17" t="str">
        <f t="shared" ref="AH121:AH126" si="50">IF(AG121=0,"",IFERROR(AG121/AG$19,""))</f>
        <v/>
      </c>
      <c r="AI121" s="50">
        <f t="shared" ref="AI121:AI126" si="51">IF(AND($AA121="",AG121=""),"",$AA121-AG121)</f>
        <v>0</v>
      </c>
    </row>
    <row r="122" spans="3:35" x14ac:dyDescent="0.25">
      <c r="C122" s="32"/>
      <c r="H122" s="15" t="s">
        <v>268</v>
      </c>
      <c r="I122" s="161"/>
      <c r="J122" s="161"/>
      <c r="L122" s="162"/>
      <c r="M122" s="162"/>
      <c r="N122" s="162" t="s">
        <v>1317</v>
      </c>
      <c r="O122" s="21">
        <f t="shared" ref="O122:Z122" si="52">O99+O107+O115</f>
        <v>0</v>
      </c>
      <c r="P122" s="21">
        <f t="shared" si="52"/>
        <v>0</v>
      </c>
      <c r="Q122" s="21">
        <f t="shared" si="52"/>
        <v>0</v>
      </c>
      <c r="R122" s="21">
        <f t="shared" si="52"/>
        <v>0</v>
      </c>
      <c r="S122" s="21">
        <f t="shared" si="52"/>
        <v>0</v>
      </c>
      <c r="T122" s="21">
        <f t="shared" si="52"/>
        <v>0</v>
      </c>
      <c r="U122" s="21">
        <f t="shared" si="52"/>
        <v>0</v>
      </c>
      <c r="V122" s="21">
        <f t="shared" si="52"/>
        <v>0</v>
      </c>
      <c r="W122" s="21">
        <f t="shared" si="52"/>
        <v>0</v>
      </c>
      <c r="X122" s="21">
        <f t="shared" si="52"/>
        <v>0</v>
      </c>
      <c r="Y122" s="21">
        <f t="shared" si="52"/>
        <v>0</v>
      </c>
      <c r="Z122" s="21">
        <f t="shared" si="52"/>
        <v>0</v>
      </c>
      <c r="AA122" s="21">
        <f t="shared" si="46"/>
        <v>0</v>
      </c>
      <c r="AB122" s="17" t="str">
        <f t="shared" si="47"/>
        <v/>
      </c>
      <c r="AD122" s="21">
        <f>AD99+AD107+AD115</f>
        <v>0</v>
      </c>
      <c r="AE122" s="17" t="str">
        <f t="shared" si="48"/>
        <v/>
      </c>
      <c r="AF122" s="50">
        <f t="shared" si="49"/>
        <v>0</v>
      </c>
      <c r="AG122" s="21">
        <f>AG99+AG107+AG115</f>
        <v>0</v>
      </c>
      <c r="AH122" s="17" t="str">
        <f t="shared" si="50"/>
        <v/>
      </c>
      <c r="AI122" s="50">
        <f t="shared" si="51"/>
        <v>0</v>
      </c>
    </row>
    <row r="123" spans="3:35" x14ac:dyDescent="0.25">
      <c r="C123" s="32"/>
      <c r="H123" s="149" t="s">
        <v>269</v>
      </c>
      <c r="I123" s="161"/>
      <c r="J123" s="161"/>
      <c r="L123" s="162"/>
      <c r="M123" s="162"/>
      <c r="N123" s="162" t="s">
        <v>1318</v>
      </c>
      <c r="O123" s="21">
        <f t="shared" ref="O123:Z123" si="53">O100+O108+O116</f>
        <v>0</v>
      </c>
      <c r="P123" s="21">
        <f t="shared" si="53"/>
        <v>0</v>
      </c>
      <c r="Q123" s="21">
        <f t="shared" si="53"/>
        <v>0</v>
      </c>
      <c r="R123" s="21">
        <f t="shared" si="53"/>
        <v>0</v>
      </c>
      <c r="S123" s="21">
        <f t="shared" si="53"/>
        <v>0</v>
      </c>
      <c r="T123" s="21">
        <f t="shared" si="53"/>
        <v>0</v>
      </c>
      <c r="U123" s="21">
        <f t="shared" si="53"/>
        <v>0</v>
      </c>
      <c r="V123" s="21">
        <f t="shared" si="53"/>
        <v>0</v>
      </c>
      <c r="W123" s="21">
        <f t="shared" si="53"/>
        <v>0</v>
      </c>
      <c r="X123" s="21">
        <f t="shared" si="53"/>
        <v>0</v>
      </c>
      <c r="Y123" s="21">
        <f t="shared" si="53"/>
        <v>0</v>
      </c>
      <c r="Z123" s="21">
        <f t="shared" si="53"/>
        <v>0</v>
      </c>
      <c r="AA123" s="21">
        <f t="shared" si="46"/>
        <v>0</v>
      </c>
      <c r="AB123" s="17" t="str">
        <f t="shared" si="47"/>
        <v/>
      </c>
      <c r="AD123" s="21">
        <f>AD100+AD108+AD116</f>
        <v>0</v>
      </c>
      <c r="AE123" s="17" t="str">
        <f t="shared" si="48"/>
        <v/>
      </c>
      <c r="AF123" s="50">
        <f t="shared" si="49"/>
        <v>0</v>
      </c>
      <c r="AG123" s="21">
        <f>AG100+AG108+AG116</f>
        <v>0</v>
      </c>
      <c r="AH123" s="17" t="str">
        <f t="shared" si="50"/>
        <v/>
      </c>
      <c r="AI123" s="50">
        <f t="shared" si="51"/>
        <v>0</v>
      </c>
    </row>
    <row r="124" spans="3:35" x14ac:dyDescent="0.25">
      <c r="C124" s="32"/>
      <c r="H124" s="149" t="s">
        <v>270</v>
      </c>
      <c r="I124" s="161"/>
      <c r="J124" s="161"/>
      <c r="L124" s="162"/>
      <c r="M124" s="162"/>
      <c r="N124" s="162" t="s">
        <v>1319</v>
      </c>
      <c r="O124" s="21">
        <f t="shared" ref="O124:Z124" si="54">O101+O109+O117</f>
        <v>0</v>
      </c>
      <c r="P124" s="21">
        <f t="shared" si="54"/>
        <v>0</v>
      </c>
      <c r="Q124" s="21">
        <f t="shared" si="54"/>
        <v>0</v>
      </c>
      <c r="R124" s="21">
        <f t="shared" si="54"/>
        <v>0</v>
      </c>
      <c r="S124" s="21">
        <f t="shared" si="54"/>
        <v>0</v>
      </c>
      <c r="T124" s="21">
        <f t="shared" si="54"/>
        <v>0</v>
      </c>
      <c r="U124" s="21">
        <f t="shared" si="54"/>
        <v>0</v>
      </c>
      <c r="V124" s="21">
        <f t="shared" si="54"/>
        <v>0</v>
      </c>
      <c r="W124" s="21">
        <f t="shared" si="54"/>
        <v>0</v>
      </c>
      <c r="X124" s="21">
        <f t="shared" si="54"/>
        <v>0</v>
      </c>
      <c r="Y124" s="21">
        <f t="shared" si="54"/>
        <v>0</v>
      </c>
      <c r="Z124" s="21">
        <f t="shared" si="54"/>
        <v>0</v>
      </c>
      <c r="AA124" s="21">
        <f t="shared" si="46"/>
        <v>0</v>
      </c>
      <c r="AB124" s="17" t="str">
        <f t="shared" si="47"/>
        <v/>
      </c>
      <c r="AD124" s="21">
        <f>AD101+AD109+AD117</f>
        <v>0</v>
      </c>
      <c r="AE124" s="17" t="str">
        <f t="shared" si="48"/>
        <v/>
      </c>
      <c r="AF124" s="50">
        <f t="shared" si="49"/>
        <v>0</v>
      </c>
      <c r="AG124" s="21">
        <f>AG101+AG109+AG117</f>
        <v>0</v>
      </c>
      <c r="AH124" s="17" t="str">
        <f t="shared" si="50"/>
        <v/>
      </c>
      <c r="AI124" s="50">
        <f t="shared" si="51"/>
        <v>0</v>
      </c>
    </row>
    <row r="125" spans="3:35" x14ac:dyDescent="0.25">
      <c r="C125" s="32"/>
      <c r="H125" s="149" t="s">
        <v>271</v>
      </c>
      <c r="I125" s="161"/>
      <c r="J125" s="161"/>
      <c r="L125" s="162"/>
      <c r="M125" s="162"/>
      <c r="N125" s="162" t="s">
        <v>1320</v>
      </c>
      <c r="O125" s="21">
        <f t="shared" ref="O125:Z125" si="55">O102+O110+O118</f>
        <v>0</v>
      </c>
      <c r="P125" s="21">
        <f t="shared" si="55"/>
        <v>0</v>
      </c>
      <c r="Q125" s="21">
        <f t="shared" si="55"/>
        <v>0</v>
      </c>
      <c r="R125" s="21">
        <f t="shared" si="55"/>
        <v>0</v>
      </c>
      <c r="S125" s="21">
        <f t="shared" si="55"/>
        <v>0</v>
      </c>
      <c r="T125" s="21">
        <f t="shared" si="55"/>
        <v>0</v>
      </c>
      <c r="U125" s="21">
        <f t="shared" si="55"/>
        <v>0</v>
      </c>
      <c r="V125" s="21">
        <f t="shared" si="55"/>
        <v>0</v>
      </c>
      <c r="W125" s="21">
        <f t="shared" si="55"/>
        <v>0</v>
      </c>
      <c r="X125" s="21">
        <f t="shared" si="55"/>
        <v>0</v>
      </c>
      <c r="Y125" s="21">
        <f t="shared" si="55"/>
        <v>0</v>
      </c>
      <c r="Z125" s="21">
        <f t="shared" si="55"/>
        <v>0</v>
      </c>
      <c r="AA125" s="21">
        <f t="shared" si="46"/>
        <v>0</v>
      </c>
      <c r="AB125" s="17" t="str">
        <f t="shared" si="47"/>
        <v/>
      </c>
      <c r="AD125" s="21">
        <f>AD102+AD110+AD118</f>
        <v>0</v>
      </c>
      <c r="AE125" s="17" t="str">
        <f t="shared" si="48"/>
        <v/>
      </c>
      <c r="AF125" s="50">
        <f t="shared" si="49"/>
        <v>0</v>
      </c>
      <c r="AG125" s="21">
        <f>AG102+AG110+AG118</f>
        <v>0</v>
      </c>
      <c r="AH125" s="17" t="str">
        <f t="shared" si="50"/>
        <v/>
      </c>
      <c r="AI125" s="50">
        <f t="shared" si="51"/>
        <v>0</v>
      </c>
    </row>
    <row r="126" spans="3:35" x14ac:dyDescent="0.25">
      <c r="C126" s="32"/>
      <c r="H126" s="15" t="s">
        <v>272</v>
      </c>
      <c r="I126" s="161"/>
      <c r="J126" s="161"/>
      <c r="L126" s="162"/>
      <c r="M126" s="162"/>
      <c r="N126" s="25" t="s">
        <v>1212</v>
      </c>
      <c r="O126" s="164">
        <f t="shared" ref="O126:Z126" si="56">SUM(O121:O125)</f>
        <v>0</v>
      </c>
      <c r="P126" s="164">
        <f t="shared" si="56"/>
        <v>0</v>
      </c>
      <c r="Q126" s="164">
        <f t="shared" si="56"/>
        <v>0</v>
      </c>
      <c r="R126" s="164">
        <f t="shared" si="56"/>
        <v>0</v>
      </c>
      <c r="S126" s="164">
        <f t="shared" si="56"/>
        <v>0</v>
      </c>
      <c r="T126" s="164">
        <f t="shared" si="56"/>
        <v>0</v>
      </c>
      <c r="U126" s="164">
        <f t="shared" si="56"/>
        <v>0</v>
      </c>
      <c r="V126" s="164">
        <f t="shared" si="56"/>
        <v>0</v>
      </c>
      <c r="W126" s="164">
        <f t="shared" si="56"/>
        <v>0</v>
      </c>
      <c r="X126" s="164">
        <f t="shared" si="56"/>
        <v>0</v>
      </c>
      <c r="Y126" s="164">
        <f t="shared" si="56"/>
        <v>0</v>
      </c>
      <c r="Z126" s="164">
        <f t="shared" si="56"/>
        <v>0</v>
      </c>
      <c r="AA126" s="164">
        <f t="shared" si="46"/>
        <v>0</v>
      </c>
      <c r="AB126" s="175" t="str">
        <f t="shared" si="47"/>
        <v/>
      </c>
      <c r="AD126" s="164">
        <f>SUM(AD121:AD125)</f>
        <v>0</v>
      </c>
      <c r="AE126" s="175" t="str">
        <f t="shared" si="48"/>
        <v/>
      </c>
      <c r="AF126" s="165">
        <f t="shared" si="49"/>
        <v>0</v>
      </c>
      <c r="AG126" s="164">
        <f>SUM(AG121:AG125)</f>
        <v>0</v>
      </c>
      <c r="AH126" s="175" t="str">
        <f t="shared" si="50"/>
        <v/>
      </c>
      <c r="AI126" s="165">
        <f t="shared" si="51"/>
        <v>0</v>
      </c>
    </row>
    <row r="127" spans="3:35" x14ac:dyDescent="0.25">
      <c r="C127" s="32"/>
      <c r="H127" s="149"/>
      <c r="I127" s="161"/>
      <c r="J127" s="161"/>
      <c r="M127" s="162"/>
      <c r="O127" s="139">
        <f t="shared" ref="O127:AA127" si="57">O103+O111+O119-O126</f>
        <v>0</v>
      </c>
      <c r="P127" s="139">
        <f t="shared" si="57"/>
        <v>0</v>
      </c>
      <c r="Q127" s="139">
        <f t="shared" si="57"/>
        <v>0</v>
      </c>
      <c r="R127" s="139">
        <f t="shared" si="57"/>
        <v>0</v>
      </c>
      <c r="S127" s="139">
        <f t="shared" si="57"/>
        <v>0</v>
      </c>
      <c r="T127" s="139">
        <f t="shared" si="57"/>
        <v>0</v>
      </c>
      <c r="U127" s="139">
        <f t="shared" si="57"/>
        <v>0</v>
      </c>
      <c r="V127" s="139">
        <f t="shared" si="57"/>
        <v>0</v>
      </c>
      <c r="W127" s="139">
        <f t="shared" si="57"/>
        <v>0</v>
      </c>
      <c r="X127" s="139">
        <f t="shared" si="57"/>
        <v>0</v>
      </c>
      <c r="Y127" s="139">
        <f t="shared" si="57"/>
        <v>0</v>
      </c>
      <c r="Z127" s="139">
        <f t="shared" si="57"/>
        <v>0</v>
      </c>
      <c r="AA127" s="139">
        <f t="shared" si="57"/>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s">
        <v>1223</v>
      </c>
      <c r="O129" s="510"/>
      <c r="P129" s="466"/>
      <c r="Q129" s="466"/>
      <c r="R129" s="466"/>
      <c r="S129" s="466"/>
      <c r="T129" s="466"/>
      <c r="U129" s="466"/>
      <c r="V129" s="466"/>
      <c r="W129" s="466"/>
      <c r="X129" s="466"/>
      <c r="Y129" s="466"/>
      <c r="Z129" s="466"/>
      <c r="AA129" s="466"/>
      <c r="AB129" s="511"/>
      <c r="AD129" s="510"/>
      <c r="AE129" s="466"/>
      <c r="AF129" s="466"/>
      <c r="AG129" s="466"/>
      <c r="AH129" s="466"/>
      <c r="AI129" s="511"/>
    </row>
    <row r="130" spans="3:35" x14ac:dyDescent="0.25">
      <c r="C130" s="32"/>
      <c r="H130" s="149">
        <v>561100</v>
      </c>
      <c r="I130" s="161"/>
      <c r="J130" s="161"/>
      <c r="L130" s="162">
        <v>561100</v>
      </c>
      <c r="M130" s="162"/>
      <c r="N130" s="162" t="s">
        <v>1225</v>
      </c>
      <c r="O130" s="21"/>
      <c r="P130" s="21"/>
      <c r="Q130" s="21"/>
      <c r="R130" s="21"/>
      <c r="S130" s="21"/>
      <c r="T130" s="21"/>
      <c r="U130" s="21"/>
      <c r="V130" s="21"/>
      <c r="W130" s="21"/>
      <c r="X130" s="21"/>
      <c r="Y130" s="21"/>
      <c r="Z130" s="21"/>
      <c r="AA130" s="21">
        <f>SUM(O130:Z130)</f>
        <v>0</v>
      </c>
      <c r="AB130" s="311"/>
      <c r="AD130" s="21"/>
      <c r="AE130" s="311"/>
      <c r="AF130" s="50">
        <f t="shared" ref="AF130:AF141" si="58">IF(AND($AA130="",AD130=""),"",$AA130-AD130)</f>
        <v>0</v>
      </c>
      <c r="AG130" s="21">
        <v>0</v>
      </c>
      <c r="AH130" s="311"/>
      <c r="AI130" s="50">
        <f t="shared" ref="AI130:AI141" si="59">IF(AND($AA130="",AG130=""),"",$AA130-AG130)</f>
        <v>0</v>
      </c>
    </row>
    <row r="131" spans="3:35" x14ac:dyDescent="0.25">
      <c r="C131" s="32"/>
      <c r="H131" s="149" t="s">
        <v>756</v>
      </c>
      <c r="I131" s="161"/>
      <c r="J131" s="161"/>
      <c r="L131" s="162"/>
      <c r="M131" s="162"/>
      <c r="N131" s="467" t="s">
        <v>1321</v>
      </c>
      <c r="O131" s="172"/>
      <c r="P131" s="172"/>
      <c r="Q131" s="172"/>
      <c r="R131" s="172"/>
      <c r="S131" s="172"/>
      <c r="T131" s="172"/>
      <c r="U131" s="172"/>
      <c r="V131" s="172"/>
      <c r="W131" s="172"/>
      <c r="X131" s="172"/>
      <c r="Y131" s="172"/>
      <c r="Z131" s="172"/>
      <c r="AA131" s="172"/>
      <c r="AB131" s="311"/>
      <c r="AD131" s="172"/>
      <c r="AE131" s="311"/>
      <c r="AF131" s="468" t="str">
        <f t="shared" si="58"/>
        <v/>
      </c>
      <c r="AG131" s="172"/>
      <c r="AH131" s="311"/>
      <c r="AI131" s="468" t="str">
        <f t="shared" si="59"/>
        <v/>
      </c>
    </row>
    <row r="132" spans="3:35" x14ac:dyDescent="0.25">
      <c r="C132" s="32"/>
      <c r="H132" s="149" t="s">
        <v>636</v>
      </c>
      <c r="I132" s="161"/>
      <c r="J132" s="161"/>
      <c r="L132" s="162"/>
      <c r="M132" s="162"/>
      <c r="N132" s="162" t="s">
        <v>1226</v>
      </c>
      <c r="O132" s="21"/>
      <c r="P132" s="21"/>
      <c r="Q132" s="21"/>
      <c r="R132" s="21"/>
      <c r="S132" s="21"/>
      <c r="T132" s="21"/>
      <c r="U132" s="21"/>
      <c r="V132" s="21"/>
      <c r="W132" s="21"/>
      <c r="X132" s="21"/>
      <c r="Y132" s="21"/>
      <c r="Z132" s="21"/>
      <c r="AA132" s="21">
        <f>SUM(O132:Z132)</f>
        <v>0</v>
      </c>
      <c r="AB132" s="311"/>
      <c r="AD132" s="21"/>
      <c r="AE132" s="311"/>
      <c r="AF132" s="50">
        <f t="shared" si="58"/>
        <v>0</v>
      </c>
      <c r="AG132" s="21"/>
      <c r="AH132" s="311"/>
      <c r="AI132" s="50">
        <f t="shared" si="59"/>
        <v>0</v>
      </c>
    </row>
    <row r="133" spans="3:35" x14ac:dyDescent="0.25">
      <c r="C133" s="32"/>
      <c r="H133" s="149" t="s">
        <v>757</v>
      </c>
      <c r="I133" s="161"/>
      <c r="J133" s="161"/>
      <c r="L133" s="162"/>
      <c r="M133" s="162"/>
      <c r="N133" s="467" t="s">
        <v>1326</v>
      </c>
      <c r="O133" s="172"/>
      <c r="P133" s="172"/>
      <c r="Q133" s="172"/>
      <c r="R133" s="172"/>
      <c r="S133" s="172"/>
      <c r="T133" s="172"/>
      <c r="U133" s="172"/>
      <c r="V133" s="172"/>
      <c r="W133" s="172"/>
      <c r="X133" s="172"/>
      <c r="Y133" s="172"/>
      <c r="Z133" s="172"/>
      <c r="AA133" s="172"/>
      <c r="AB133" s="311"/>
      <c r="AD133" s="172"/>
      <c r="AE133" s="311"/>
      <c r="AF133" s="468" t="str">
        <f t="shared" si="58"/>
        <v/>
      </c>
      <c r="AG133" s="172"/>
      <c r="AH133" s="311"/>
      <c r="AI133" s="468" t="str">
        <f t="shared" si="59"/>
        <v/>
      </c>
    </row>
    <row r="134" spans="3:35" x14ac:dyDescent="0.25">
      <c r="C134" s="32"/>
      <c r="H134" s="149" t="s">
        <v>755</v>
      </c>
      <c r="I134" s="161"/>
      <c r="J134" s="161"/>
      <c r="L134" s="162">
        <v>561300</v>
      </c>
      <c r="M134" s="162"/>
      <c r="N134" s="162" t="s">
        <v>1327</v>
      </c>
      <c r="O134" s="21"/>
      <c r="P134" s="21"/>
      <c r="Q134" s="21"/>
      <c r="R134" s="21"/>
      <c r="S134" s="21"/>
      <c r="T134" s="21"/>
      <c r="U134" s="21"/>
      <c r="V134" s="21"/>
      <c r="W134" s="21"/>
      <c r="X134" s="21"/>
      <c r="Y134" s="21"/>
      <c r="Z134" s="21"/>
      <c r="AA134" s="21">
        <f>SUM(O134:Z134)</f>
        <v>0</v>
      </c>
      <c r="AB134" s="311"/>
      <c r="AD134" s="21"/>
      <c r="AE134" s="311"/>
      <c r="AF134" s="50">
        <f t="shared" si="58"/>
        <v>0</v>
      </c>
      <c r="AG134" s="21"/>
      <c r="AH134" s="311"/>
      <c r="AI134" s="50">
        <f t="shared" si="59"/>
        <v>0</v>
      </c>
    </row>
    <row r="135" spans="3:35" x14ac:dyDescent="0.25">
      <c r="C135" s="32"/>
      <c r="H135" s="149" t="s">
        <v>758</v>
      </c>
      <c r="I135" s="161"/>
      <c r="J135" s="161"/>
      <c r="L135" s="162"/>
      <c r="M135" s="162"/>
      <c r="N135" s="467" t="s">
        <v>1328</v>
      </c>
      <c r="O135" s="172"/>
      <c r="P135" s="172"/>
      <c r="Q135" s="172"/>
      <c r="R135" s="172"/>
      <c r="S135" s="172"/>
      <c r="T135" s="172"/>
      <c r="U135" s="172"/>
      <c r="V135" s="172"/>
      <c r="W135" s="172"/>
      <c r="X135" s="172"/>
      <c r="Y135" s="172"/>
      <c r="Z135" s="172"/>
      <c r="AA135" s="172"/>
      <c r="AB135" s="311"/>
      <c r="AD135" s="172"/>
      <c r="AE135" s="311"/>
      <c r="AF135" s="468" t="str">
        <f t="shared" si="58"/>
        <v/>
      </c>
      <c r="AG135" s="172"/>
      <c r="AH135" s="311"/>
      <c r="AI135" s="468" t="str">
        <f t="shared" si="59"/>
        <v/>
      </c>
    </row>
    <row r="136" spans="3:35" x14ac:dyDescent="0.25">
      <c r="C136" s="32"/>
      <c r="H136" s="149">
        <v>561400</v>
      </c>
      <c r="I136" s="161"/>
      <c r="J136" s="161"/>
      <c r="L136" s="162">
        <v>561400</v>
      </c>
      <c r="M136" s="162"/>
      <c r="N136" s="162" t="s">
        <v>1329</v>
      </c>
      <c r="O136" s="21"/>
      <c r="P136" s="21"/>
      <c r="Q136" s="21"/>
      <c r="R136" s="21"/>
      <c r="S136" s="21"/>
      <c r="T136" s="21"/>
      <c r="U136" s="21"/>
      <c r="V136" s="21"/>
      <c r="W136" s="21"/>
      <c r="X136" s="21"/>
      <c r="Y136" s="21"/>
      <c r="Z136" s="21"/>
      <c r="AA136" s="21">
        <f>SUM(O136:Z136)</f>
        <v>0</v>
      </c>
      <c r="AB136" s="311"/>
      <c r="AD136" s="21"/>
      <c r="AE136" s="311"/>
      <c r="AF136" s="50">
        <f t="shared" si="58"/>
        <v>0</v>
      </c>
      <c r="AG136" s="21"/>
      <c r="AH136" s="311"/>
      <c r="AI136" s="50">
        <f t="shared" si="59"/>
        <v>0</v>
      </c>
    </row>
    <row r="137" spans="3:35" x14ac:dyDescent="0.25">
      <c r="C137" s="32"/>
      <c r="H137" s="149" t="s">
        <v>759</v>
      </c>
      <c r="I137" s="161"/>
      <c r="J137" s="161"/>
      <c r="L137" s="162"/>
      <c r="M137" s="162"/>
      <c r="N137" s="467" t="s">
        <v>1330</v>
      </c>
      <c r="O137" s="172"/>
      <c r="P137" s="172"/>
      <c r="Q137" s="172"/>
      <c r="R137" s="172"/>
      <c r="S137" s="172"/>
      <c r="T137" s="172"/>
      <c r="U137" s="172"/>
      <c r="V137" s="172"/>
      <c r="W137" s="172"/>
      <c r="X137" s="172"/>
      <c r="Y137" s="172"/>
      <c r="Z137" s="172"/>
      <c r="AA137" s="172"/>
      <c r="AB137" s="311"/>
      <c r="AD137" s="172"/>
      <c r="AE137" s="311"/>
      <c r="AF137" s="468" t="str">
        <f t="shared" si="58"/>
        <v/>
      </c>
      <c r="AG137" s="172"/>
      <c r="AH137" s="311"/>
      <c r="AI137" s="468" t="str">
        <f t="shared" si="59"/>
        <v/>
      </c>
    </row>
    <row r="138" spans="3:35" x14ac:dyDescent="0.25">
      <c r="H138" s="149">
        <v>561500</v>
      </c>
      <c r="I138" s="161"/>
      <c r="J138" s="161"/>
      <c r="L138" s="162">
        <v>561500</v>
      </c>
      <c r="M138" s="162"/>
      <c r="N138" s="162" t="s">
        <v>1331</v>
      </c>
      <c r="O138" s="21"/>
      <c r="P138" s="21"/>
      <c r="Q138" s="21"/>
      <c r="R138" s="21"/>
      <c r="S138" s="21"/>
      <c r="T138" s="21"/>
      <c r="U138" s="21"/>
      <c r="V138" s="21"/>
      <c r="W138" s="21"/>
      <c r="X138" s="21"/>
      <c r="Y138" s="21"/>
      <c r="Z138" s="21"/>
      <c r="AA138" s="21">
        <f>SUM(O138:Z138)</f>
        <v>0</v>
      </c>
      <c r="AB138" s="311"/>
      <c r="AD138" s="21"/>
      <c r="AE138" s="311"/>
      <c r="AF138" s="50">
        <f t="shared" si="58"/>
        <v>0</v>
      </c>
      <c r="AG138" s="21"/>
      <c r="AH138" s="311"/>
      <c r="AI138" s="50">
        <f t="shared" si="59"/>
        <v>0</v>
      </c>
    </row>
    <row r="139" spans="3:35" x14ac:dyDescent="0.25">
      <c r="C139" s="32"/>
      <c r="H139" s="149" t="s">
        <v>760</v>
      </c>
      <c r="I139" s="161"/>
      <c r="J139" s="161"/>
      <c r="L139" s="162"/>
      <c r="M139" s="162"/>
      <c r="N139" s="467" t="s">
        <v>1332</v>
      </c>
      <c r="O139" s="172"/>
      <c r="P139" s="172"/>
      <c r="Q139" s="172"/>
      <c r="R139" s="172"/>
      <c r="S139" s="172"/>
      <c r="T139" s="172"/>
      <c r="U139" s="172"/>
      <c r="V139" s="172"/>
      <c r="W139" s="172"/>
      <c r="X139" s="172"/>
      <c r="Y139" s="172"/>
      <c r="Z139" s="172"/>
      <c r="AA139" s="172"/>
      <c r="AB139" s="311"/>
      <c r="AD139" s="172"/>
      <c r="AE139" s="311"/>
      <c r="AF139" s="468" t="str">
        <f t="shared" si="58"/>
        <v/>
      </c>
      <c r="AG139" s="172"/>
      <c r="AH139" s="311"/>
      <c r="AI139" s="468" t="str">
        <f t="shared" si="59"/>
        <v/>
      </c>
    </row>
    <row r="140" spans="3:35" x14ac:dyDescent="0.25">
      <c r="C140" s="32"/>
      <c r="H140" s="149" t="s">
        <v>286</v>
      </c>
      <c r="I140" s="161"/>
      <c r="J140" s="161"/>
      <c r="L140" s="162"/>
      <c r="M140" s="162"/>
      <c r="N140" s="162" t="s">
        <v>1227</v>
      </c>
      <c r="O140" s="21"/>
      <c r="P140" s="21"/>
      <c r="Q140" s="21"/>
      <c r="R140" s="21"/>
      <c r="S140" s="21"/>
      <c r="T140" s="21"/>
      <c r="U140" s="21"/>
      <c r="V140" s="21"/>
      <c r="W140" s="21"/>
      <c r="X140" s="21"/>
      <c r="Y140" s="21"/>
      <c r="Z140" s="21"/>
      <c r="AA140" s="21">
        <f>SUM(O140:Z140)</f>
        <v>0</v>
      </c>
      <c r="AB140" s="311"/>
      <c r="AD140" s="21"/>
      <c r="AE140" s="311"/>
      <c r="AF140" s="50">
        <f t="shared" si="58"/>
        <v>0</v>
      </c>
      <c r="AG140" s="21">
        <v>0</v>
      </c>
      <c r="AH140" s="311"/>
      <c r="AI140" s="50">
        <f t="shared" si="59"/>
        <v>0</v>
      </c>
    </row>
    <row r="141" spans="3:35" x14ac:dyDescent="0.25">
      <c r="C141" s="32"/>
      <c r="H141" s="149"/>
      <c r="I141" s="161"/>
      <c r="J141" s="161"/>
      <c r="L141" s="162"/>
      <c r="M141" s="162"/>
      <c r="N141" s="467" t="s">
        <v>762</v>
      </c>
      <c r="O141" s="172" t="str">
        <f t="shared" ref="O141:AA141" si="60">IFERROR(O140/O85,"")</f>
        <v/>
      </c>
      <c r="P141" s="172" t="str">
        <f t="shared" si="60"/>
        <v/>
      </c>
      <c r="Q141" s="172" t="str">
        <f t="shared" si="60"/>
        <v/>
      </c>
      <c r="R141" s="172" t="str">
        <f t="shared" si="60"/>
        <v/>
      </c>
      <c r="S141" s="172" t="str">
        <f t="shared" si="60"/>
        <v/>
      </c>
      <c r="T141" s="172" t="str">
        <f t="shared" si="60"/>
        <v/>
      </c>
      <c r="U141" s="172" t="str">
        <f t="shared" si="60"/>
        <v/>
      </c>
      <c r="V141" s="172" t="str">
        <f t="shared" si="60"/>
        <v/>
      </c>
      <c r="W141" s="172" t="str">
        <f t="shared" si="60"/>
        <v/>
      </c>
      <c r="X141" s="172" t="str">
        <f t="shared" si="60"/>
        <v/>
      </c>
      <c r="Y141" s="172" t="str">
        <f t="shared" si="60"/>
        <v/>
      </c>
      <c r="Z141" s="172" t="str">
        <f t="shared" si="60"/>
        <v/>
      </c>
      <c r="AA141" s="172" t="str">
        <f t="shared" si="60"/>
        <v/>
      </c>
      <c r="AB141" s="311"/>
      <c r="AD141" s="172" t="str">
        <f>IFERROR(AD140/AD85,"")</f>
        <v/>
      </c>
      <c r="AE141" s="311"/>
      <c r="AF141" s="468" t="str">
        <f t="shared" si="58"/>
        <v/>
      </c>
      <c r="AG141" s="172" t="str">
        <f>IFERROR(AG140/AG85,"")</f>
        <v/>
      </c>
      <c r="AH141" s="311"/>
      <c r="AI141" s="468" t="str">
        <f t="shared" si="59"/>
        <v/>
      </c>
    </row>
    <row r="142" spans="3:35" x14ac:dyDescent="0.25">
      <c r="C142" s="32"/>
    </row>
    <row r="143" spans="3:35" x14ac:dyDescent="0.25">
      <c r="C143" s="32"/>
      <c r="H143" s="149"/>
      <c r="I143" s="161"/>
      <c r="J143" s="161"/>
      <c r="N143" s="26" t="str">
        <f>N85&amp;" - Check"</f>
        <v>Total Food &amp; Beverage Revenue - Check</v>
      </c>
      <c r="O143" s="139">
        <f t="shared" ref="O143:AA143" si="61">O39+O49+O59+O69+O79+O83-O85</f>
        <v>0</v>
      </c>
      <c r="P143" s="139">
        <f t="shared" si="61"/>
        <v>0</v>
      </c>
      <c r="Q143" s="139">
        <f t="shared" si="61"/>
        <v>0</v>
      </c>
      <c r="R143" s="139">
        <f t="shared" si="61"/>
        <v>0</v>
      </c>
      <c r="S143" s="139">
        <f t="shared" si="61"/>
        <v>0</v>
      </c>
      <c r="T143" s="139">
        <f t="shared" si="61"/>
        <v>0</v>
      </c>
      <c r="U143" s="139">
        <f t="shared" si="61"/>
        <v>0</v>
      </c>
      <c r="V143" s="139">
        <f t="shared" si="61"/>
        <v>0</v>
      </c>
      <c r="W143" s="139">
        <f t="shared" si="61"/>
        <v>0</v>
      </c>
      <c r="X143" s="139">
        <f t="shared" si="61"/>
        <v>0</v>
      </c>
      <c r="Y143" s="139">
        <f t="shared" si="61"/>
        <v>0</v>
      </c>
      <c r="Z143" s="139">
        <f t="shared" si="61"/>
        <v>0</v>
      </c>
      <c r="AA143" s="139">
        <f t="shared" si="61"/>
        <v>0</v>
      </c>
      <c r="AB143" s="17"/>
      <c r="AD143" s="139">
        <f>AD39+AD49+AD59+AD69+AD79+AD83-AD85</f>
        <v>0</v>
      </c>
      <c r="AE143" s="17"/>
      <c r="AF143" s="21"/>
      <c r="AG143" s="139">
        <f>AG39+AG49+AG59+AG69+AG79+AG83-AG85</f>
        <v>0</v>
      </c>
      <c r="AH143" s="17"/>
      <c r="AI143" s="21"/>
    </row>
    <row r="144" spans="3:35" x14ac:dyDescent="0.25">
      <c r="C144" s="32"/>
      <c r="H144" s="149"/>
      <c r="I144" s="161"/>
      <c r="J144" s="161"/>
      <c r="N144" s="26" t="str">
        <f>N87&amp;" - Check"</f>
        <v>Total Customers - Check</v>
      </c>
      <c r="O144" s="139">
        <f t="shared" ref="O144:AA144" si="62">O41+O51+O61+O71+O80-O87</f>
        <v>0</v>
      </c>
      <c r="P144" s="139">
        <f t="shared" si="62"/>
        <v>0</v>
      </c>
      <c r="Q144" s="139">
        <f t="shared" si="62"/>
        <v>0</v>
      </c>
      <c r="R144" s="139">
        <f t="shared" si="62"/>
        <v>0</v>
      </c>
      <c r="S144" s="139">
        <f t="shared" si="62"/>
        <v>0</v>
      </c>
      <c r="T144" s="139">
        <f t="shared" si="62"/>
        <v>0</v>
      </c>
      <c r="U144" s="139">
        <f t="shared" si="62"/>
        <v>0</v>
      </c>
      <c r="V144" s="139">
        <f t="shared" si="62"/>
        <v>0</v>
      </c>
      <c r="W144" s="139">
        <f t="shared" si="62"/>
        <v>0</v>
      </c>
      <c r="X144" s="139">
        <f t="shared" si="62"/>
        <v>0</v>
      </c>
      <c r="Y144" s="139">
        <f t="shared" si="62"/>
        <v>0</v>
      </c>
      <c r="Z144" s="139">
        <f t="shared" si="62"/>
        <v>0</v>
      </c>
      <c r="AA144" s="139">
        <f t="shared" si="62"/>
        <v>0</v>
      </c>
      <c r="AB144" s="17"/>
      <c r="AD144" s="139">
        <f>AD41+AD51+AD61+AD71+AD80-AD87</f>
        <v>0</v>
      </c>
      <c r="AE144" s="17"/>
      <c r="AF144" s="21"/>
      <c r="AG144" s="139">
        <f>AG41+AG51+AG61+AG71+AG80-AG87</f>
        <v>0</v>
      </c>
      <c r="AH144" s="17"/>
      <c r="AI144" s="21"/>
    </row>
    <row r="145" spans="3:35" x14ac:dyDescent="0.25">
      <c r="C145" s="32"/>
      <c r="H145" s="149"/>
      <c r="I145" s="161"/>
      <c r="J145" s="161"/>
      <c r="N145" s="26" t="str">
        <f>N88&amp;" - Check"</f>
        <v>Total Average Check - Check</v>
      </c>
      <c r="O145" s="178" t="e">
        <f t="shared" ref="O145:AA145" si="63">IFERROR(O$85/O87,"")-O88</f>
        <v>#VALUE!</v>
      </c>
      <c r="P145" s="178" t="e">
        <f t="shared" si="63"/>
        <v>#VALUE!</v>
      </c>
      <c r="Q145" s="178" t="e">
        <f t="shared" si="63"/>
        <v>#VALUE!</v>
      </c>
      <c r="R145" s="178" t="e">
        <f t="shared" si="63"/>
        <v>#VALUE!</v>
      </c>
      <c r="S145" s="178" t="e">
        <f t="shared" si="63"/>
        <v>#VALUE!</v>
      </c>
      <c r="T145" s="178" t="e">
        <f t="shared" si="63"/>
        <v>#VALUE!</v>
      </c>
      <c r="U145" s="178" t="e">
        <f t="shared" si="63"/>
        <v>#VALUE!</v>
      </c>
      <c r="V145" s="178" t="e">
        <f t="shared" si="63"/>
        <v>#VALUE!</v>
      </c>
      <c r="W145" s="178" t="e">
        <f t="shared" si="63"/>
        <v>#VALUE!</v>
      </c>
      <c r="X145" s="178" t="e">
        <f t="shared" si="63"/>
        <v>#VALUE!</v>
      </c>
      <c r="Y145" s="178" t="e">
        <f t="shared" si="63"/>
        <v>#VALUE!</v>
      </c>
      <c r="Z145" s="178" t="e">
        <f t="shared" si="63"/>
        <v>#VALUE!</v>
      </c>
      <c r="AA145" s="178" t="e">
        <f t="shared" si="63"/>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 t="shared" ref="O146:AA146" si="64">(O130+O132)-O140</f>
        <v>0</v>
      </c>
      <c r="P146" s="139">
        <f t="shared" si="64"/>
        <v>0</v>
      </c>
      <c r="Q146" s="139">
        <f t="shared" si="64"/>
        <v>0</v>
      </c>
      <c r="R146" s="139">
        <f t="shared" si="64"/>
        <v>0</v>
      </c>
      <c r="S146" s="139">
        <f t="shared" si="64"/>
        <v>0</v>
      </c>
      <c r="T146" s="139">
        <f t="shared" si="64"/>
        <v>0</v>
      </c>
      <c r="U146" s="139">
        <f t="shared" si="64"/>
        <v>0</v>
      </c>
      <c r="V146" s="139">
        <f t="shared" si="64"/>
        <v>0</v>
      </c>
      <c r="W146" s="139">
        <f t="shared" si="64"/>
        <v>0</v>
      </c>
      <c r="X146" s="139">
        <f t="shared" si="64"/>
        <v>0</v>
      </c>
      <c r="Y146" s="139">
        <f t="shared" si="64"/>
        <v>0</v>
      </c>
      <c r="Z146" s="139">
        <f t="shared" si="64"/>
        <v>0</v>
      </c>
      <c r="AA146" s="139">
        <f t="shared" si="64"/>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86" priority="15">
      <formula>ROUND(O42,2)&lt;&gt;ROUND(O43,2)</formula>
    </cfRule>
  </conditionalFormatting>
  <conditionalFormatting sqref="N43">
    <cfRule type="expression" dxfId="85" priority="14">
      <formula>$G43&lt;&gt;0</formula>
    </cfRule>
  </conditionalFormatting>
  <conditionalFormatting sqref="O53:AA53 AD53 AF53:AG53">
    <cfRule type="expression" dxfId="84" priority="13">
      <formula>ROUND(O52,2)&lt;&gt;ROUND(O53,2)</formula>
    </cfRule>
  </conditionalFormatting>
  <conditionalFormatting sqref="N53">
    <cfRule type="expression" dxfId="83" priority="12">
      <formula>$G53&lt;&gt;0</formula>
    </cfRule>
  </conditionalFormatting>
  <conditionalFormatting sqref="O63:AA63 AD63 AF63:AG63">
    <cfRule type="expression" dxfId="82" priority="11">
      <formula>ROUND(O62,2)&lt;&gt;ROUND(O63,2)</formula>
    </cfRule>
  </conditionalFormatting>
  <conditionalFormatting sqref="N63">
    <cfRule type="expression" dxfId="81" priority="10">
      <formula>$G63&lt;&gt;0</formula>
    </cfRule>
  </conditionalFormatting>
  <conditionalFormatting sqref="O73:AA73 AD73 AF73:AG73">
    <cfRule type="expression" dxfId="80" priority="9">
      <formula>ROUND(O72,2)&lt;&gt;ROUND(O73,2)</formula>
    </cfRule>
  </conditionalFormatting>
  <conditionalFormatting sqref="N73">
    <cfRule type="expression" dxfId="79" priority="8">
      <formula>$G73&lt;&gt;0</formula>
    </cfRule>
  </conditionalFormatting>
  <conditionalFormatting sqref="N82">
    <cfRule type="expression" dxfId="78" priority="7">
      <formula>$G82&lt;&gt;0</formula>
    </cfRule>
  </conditionalFormatting>
  <conditionalFormatting sqref="AD82 AF82:AG82 O82:AA82">
    <cfRule type="expression" dxfId="77" priority="6">
      <formula>ROUND(O81,2)&lt;&gt;ROUND(O82,2)</formula>
    </cfRule>
  </conditionalFormatting>
  <conditionalFormatting sqref="AI43">
    <cfRule type="expression" dxfId="76" priority="5">
      <formula>ROUND(AI42,2)&lt;&gt;ROUND(AI43,2)</formula>
    </cfRule>
  </conditionalFormatting>
  <conditionalFormatting sqref="AI53">
    <cfRule type="expression" dxfId="75" priority="4">
      <formula>ROUND(AI52,2)&lt;&gt;ROUND(AI53,2)</formula>
    </cfRule>
  </conditionalFormatting>
  <conditionalFormatting sqref="AI63">
    <cfRule type="expression" dxfId="74" priority="3">
      <formula>ROUND(AI62,2)&lt;&gt;ROUND(AI63,2)</formula>
    </cfRule>
  </conditionalFormatting>
  <conditionalFormatting sqref="AI73">
    <cfRule type="expression" dxfId="73" priority="2">
      <formula>ROUND(AI72,2)&lt;&gt;ROUND(AI73,2)</formula>
    </cfRule>
  </conditionalFormatting>
  <conditionalFormatting sqref="AI82">
    <cfRule type="expression" dxfId="72" priority="1">
      <formula>ROUND(AI81,2)&lt;&gt;ROUND(AI82,2)</formula>
    </cfRule>
  </conditionalFormatting>
  <dataValidations count="2">
    <dataValidation type="list" allowBlank="1" sqref="B29" xr:uid="{00000000-0002-0000-2D00-000000000000}">
      <formula1>"SELF,ALL,BAS,DEP,BASMEMBERS,MEMBERS,NOEXPAND,GDEP"</formula1>
    </dataValidation>
    <dataValidation type="list" allowBlank="1" sqref="B28" xr:uid="{00000000-0002-0000-2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53283"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3283" r:id="rId5" name="FPMExcelClientSheetOptionstb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347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_xll.EVRNG(H35:H56)</f>
        <v>#NAME?</v>
      </c>
      <c r="G19" s="18" t="str">
        <f>$B$6</f>
        <v>D_BCC_CON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D_BCC_CON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_xll.EVRNG($A$125:$B$130)</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v>1220</v>
      </c>
      <c r="P35" s="333"/>
      <c r="Q35" s="333">
        <v>1455</v>
      </c>
      <c r="R35" s="333">
        <v>924</v>
      </c>
      <c r="S35" s="333">
        <v>1610</v>
      </c>
      <c r="T35" s="333"/>
      <c r="U35" s="333">
        <v>-319</v>
      </c>
      <c r="V35" s="333">
        <v>4231</v>
      </c>
      <c r="W35" s="333">
        <v>-218.4</v>
      </c>
      <c r="X35" s="333"/>
      <c r="Y35" s="333">
        <v>4638</v>
      </c>
      <c r="Z35" s="333">
        <v>6120</v>
      </c>
      <c r="AA35" s="310" t="e">
        <f t="shared" ref="AA35:AA56" ca="1" si="0">IF($I35="B1","",SUM(O35:Z35))</f>
        <v>#NAME?</v>
      </c>
      <c r="AB35" s="334" t="e">
        <f t="shared" ref="AB35:AB56" ca="1" si="1">IF(AA35=0,"",IFERROR(AA35/AA$19,""))</f>
        <v>#NAME?</v>
      </c>
      <c r="AC35" s="290"/>
      <c r="AD35" s="333">
        <v>84795</v>
      </c>
      <c r="AE35" s="334" t="str">
        <f t="shared" ref="AE35:AE56" ca="1" si="2">IF(AD35=0,"",IFERROR(AD35/AD$19,""))</f>
        <v/>
      </c>
      <c r="AF35" s="335" t="e">
        <f t="shared" ref="AF35:AF56" ca="1" si="3">IF(AND($AA35="",AD35=""),"",$AA35-AD35)</f>
        <v>#NAME?</v>
      </c>
      <c r="AG35" s="333">
        <v>22025</v>
      </c>
      <c r="AH35" s="334" t="str">
        <f ca="1">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v>16592</v>
      </c>
      <c r="P36" s="333">
        <v>24138.5</v>
      </c>
      <c r="Q36" s="333">
        <v>4879.07</v>
      </c>
      <c r="R36" s="333">
        <v>1354.25</v>
      </c>
      <c r="S36" s="333">
        <v>3357</v>
      </c>
      <c r="T36" s="333"/>
      <c r="U36" s="333">
        <v>651</v>
      </c>
      <c r="V36" s="333"/>
      <c r="W36" s="333">
        <v>5795.51</v>
      </c>
      <c r="X36" s="333">
        <v>13310.1</v>
      </c>
      <c r="Y36" s="333">
        <v>1047.2</v>
      </c>
      <c r="Z36" s="333">
        <v>28285</v>
      </c>
      <c r="AA36" s="310" t="e">
        <f t="shared" ca="1" si="0"/>
        <v>#NAME?</v>
      </c>
      <c r="AB36" s="334" t="e">
        <f t="shared" ca="1" si="1"/>
        <v>#NAME?</v>
      </c>
      <c r="AC36" s="290"/>
      <c r="AD36" s="333">
        <v>123346.235115</v>
      </c>
      <c r="AE36" s="334" t="str">
        <f t="shared" ca="1" si="2"/>
        <v/>
      </c>
      <c r="AF36" s="335" t="e">
        <f t="shared" ca="1" si="3"/>
        <v>#NAME?</v>
      </c>
      <c r="AG36" s="333">
        <v>171272.93</v>
      </c>
      <c r="AH36" s="334" t="str">
        <f t="shared" ref="AH36:AH56" ca="1"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v>38265</v>
      </c>
      <c r="P37" s="333">
        <v>10655</v>
      </c>
      <c r="Q37" s="333">
        <v>14641</v>
      </c>
      <c r="R37" s="333">
        <v>1796</v>
      </c>
      <c r="S37" s="333">
        <v>8250</v>
      </c>
      <c r="T37" s="333">
        <v>8407.98</v>
      </c>
      <c r="U37" s="333"/>
      <c r="V37" s="333"/>
      <c r="W37" s="333">
        <v>-132.6</v>
      </c>
      <c r="X37" s="333"/>
      <c r="Y37" s="333"/>
      <c r="Z37" s="333">
        <v>1608.21</v>
      </c>
      <c r="AA37" s="310" t="e">
        <f t="shared" ca="1" si="0"/>
        <v>#NAME?</v>
      </c>
      <c r="AB37" s="334" t="e">
        <f t="shared" ca="1" si="1"/>
        <v>#NAME?</v>
      </c>
      <c r="AC37" s="290"/>
      <c r="AD37" s="333">
        <v>83034.272700000001</v>
      </c>
      <c r="AE37" s="334" t="str">
        <f t="shared" ca="1" si="2"/>
        <v/>
      </c>
      <c r="AF37" s="335" t="e">
        <f t="shared" ca="1" si="3"/>
        <v>#NAME?</v>
      </c>
      <c r="AG37" s="333">
        <v>37692</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c r="P38" s="333"/>
      <c r="Q38" s="333"/>
      <c r="R38" s="333"/>
      <c r="S38" s="333"/>
      <c r="T38" s="333"/>
      <c r="U38" s="333"/>
      <c r="V38" s="333"/>
      <c r="W38" s="333"/>
      <c r="X38" s="333"/>
      <c r="Y38" s="333"/>
      <c r="Z38" s="333">
        <v>8454</v>
      </c>
      <c r="AA38" s="310" t="e">
        <f t="shared" ca="1" si="0"/>
        <v>#NAME?</v>
      </c>
      <c r="AB38" s="334" t="e">
        <f t="shared" ca="1" si="1"/>
        <v>#NAME?</v>
      </c>
      <c r="AC38" s="290"/>
      <c r="AD38" s="333"/>
      <c r="AE38" s="334" t="str">
        <f t="shared" si="2"/>
        <v/>
      </c>
      <c r="AF38" s="335" t="e">
        <f t="shared" ca="1" si="3"/>
        <v>#NAME?</v>
      </c>
      <c r="AG38" s="333"/>
      <c r="AH38" s="334" t="str">
        <f t="shared"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v>6795</v>
      </c>
      <c r="R39" s="324">
        <v>5630</v>
      </c>
      <c r="S39" s="324"/>
      <c r="T39" s="324"/>
      <c r="U39" s="324"/>
      <c r="V39" s="324"/>
      <c r="W39" s="324">
        <v>1730</v>
      </c>
      <c r="X39" s="324"/>
      <c r="Y39" s="324">
        <v>8273.1</v>
      </c>
      <c r="Z39" s="324">
        <v>7377.3</v>
      </c>
      <c r="AA39" s="324" t="e">
        <f t="shared" ca="1" si="0"/>
        <v>#NAME?</v>
      </c>
      <c r="AB39" s="325" t="e">
        <f t="shared" ca="1" si="1"/>
        <v>#NAME?</v>
      </c>
      <c r="AC39" s="290"/>
      <c r="AD39" s="324">
        <v>39561.650999999998</v>
      </c>
      <c r="AE39" s="325" t="str">
        <f t="shared" ca="1" si="2"/>
        <v/>
      </c>
      <c r="AF39" s="326" t="e">
        <f t="shared" ca="1" si="3"/>
        <v>#NAME?</v>
      </c>
      <c r="AG39" s="324">
        <v>1535</v>
      </c>
      <c r="AH39" s="325" t="str">
        <f t="shared" ca="1"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56077</v>
      </c>
      <c r="P40" s="134">
        <v>34793.5</v>
      </c>
      <c r="Q40" s="134">
        <v>27770.07</v>
      </c>
      <c r="R40" s="134">
        <v>9704.25</v>
      </c>
      <c r="S40" s="134">
        <v>13217</v>
      </c>
      <c r="T40" s="134">
        <v>8407.98</v>
      </c>
      <c r="U40" s="134">
        <v>332</v>
      </c>
      <c r="V40" s="134">
        <v>4231</v>
      </c>
      <c r="W40" s="134">
        <v>7174.51</v>
      </c>
      <c r="X40" s="134">
        <v>13310.1</v>
      </c>
      <c r="Y40" s="134">
        <v>13958.3</v>
      </c>
      <c r="Z40" s="134">
        <v>51844.51</v>
      </c>
      <c r="AA40" s="134" t="e">
        <f t="shared" ca="1" si="0"/>
        <v>#NAME?</v>
      </c>
      <c r="AB40" s="135" t="e">
        <f t="shared" ca="1" si="1"/>
        <v>#NAME?</v>
      </c>
      <c r="AC40" s="137"/>
      <c r="AD40" s="134">
        <v>330737.15881499997</v>
      </c>
      <c r="AE40" s="135" t="str">
        <f t="shared" ca="1" si="2"/>
        <v/>
      </c>
      <c r="AF40" s="136" t="e">
        <f t="shared" ca="1" si="3"/>
        <v>#NAME?</v>
      </c>
      <c r="AG40" s="134">
        <v>232524.93</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v>1170</v>
      </c>
      <c r="W42" s="333"/>
      <c r="X42" s="333"/>
      <c r="Y42" s="333"/>
      <c r="Z42" s="333">
        <v>1615</v>
      </c>
      <c r="AA42" s="310" t="e">
        <f t="shared" ca="1" si="0"/>
        <v>#NAME?</v>
      </c>
      <c r="AB42" s="334" t="e">
        <f t="shared" ca="1" si="1"/>
        <v>#NAME?</v>
      </c>
      <c r="AC42" s="290"/>
      <c r="AD42" s="333"/>
      <c r="AE42" s="334" t="str">
        <f t="shared" si="2"/>
        <v/>
      </c>
      <c r="AF42" s="335" t="e">
        <f t="shared" ca="1" si="3"/>
        <v>#NAME?</v>
      </c>
      <c r="AG42" s="333"/>
      <c r="AH42" s="334" t="str">
        <f t="shared" si="5"/>
        <v/>
      </c>
      <c r="AI42" s="336"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v>300</v>
      </c>
      <c r="R43" s="333">
        <v>1258</v>
      </c>
      <c r="S43" s="333"/>
      <c r="T43" s="333">
        <v>73</v>
      </c>
      <c r="U43" s="333"/>
      <c r="V43" s="333"/>
      <c r="W43" s="333">
        <v>741</v>
      </c>
      <c r="X43" s="333"/>
      <c r="Y43" s="333"/>
      <c r="Z43" s="333">
        <v>1062</v>
      </c>
      <c r="AA43" s="310" t="e">
        <f t="shared" ca="1" si="0"/>
        <v>#NAME?</v>
      </c>
      <c r="AB43" s="334" t="e">
        <f t="shared" ca="1" si="1"/>
        <v>#NAME?</v>
      </c>
      <c r="AC43" s="290"/>
      <c r="AD43" s="333">
        <v>2360.014885</v>
      </c>
      <c r="AE43" s="334" t="str">
        <f t="shared" ca="1" si="2"/>
        <v/>
      </c>
      <c r="AF43" s="335" t="e">
        <f t="shared" ca="1" si="3"/>
        <v>#NAME?</v>
      </c>
      <c r="AG43" s="333">
        <v>5203</v>
      </c>
      <c r="AH43" s="334" t="str">
        <f t="shared" ca="1" si="5"/>
        <v/>
      </c>
      <c r="AI43" s="336"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v>3536</v>
      </c>
      <c r="P44" s="333"/>
      <c r="Q44" s="333">
        <v>765</v>
      </c>
      <c r="R44" s="333"/>
      <c r="S44" s="333">
        <v>9512</v>
      </c>
      <c r="T44" s="333">
        <v>238</v>
      </c>
      <c r="U44" s="333"/>
      <c r="V44" s="333"/>
      <c r="W44" s="333"/>
      <c r="X44" s="333"/>
      <c r="Y44" s="333"/>
      <c r="Z44" s="333">
        <v>769.79</v>
      </c>
      <c r="AA44" s="310" t="e">
        <f t="shared" ca="1" si="0"/>
        <v>#NAME?</v>
      </c>
      <c r="AB44" s="334" t="e">
        <f t="shared" ca="1" si="1"/>
        <v>#NAME?</v>
      </c>
      <c r="AC44" s="290"/>
      <c r="AD44" s="333">
        <v>4391.7272999999996</v>
      </c>
      <c r="AE44" s="334" t="str">
        <f t="shared" ca="1" si="2"/>
        <v/>
      </c>
      <c r="AF44" s="335" t="e">
        <f t="shared" ca="1" si="3"/>
        <v>#NAME?</v>
      </c>
      <c r="AG44" s="333">
        <v>15865</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v>2338</v>
      </c>
      <c r="R45" s="324">
        <v>850</v>
      </c>
      <c r="S45" s="324"/>
      <c r="T45" s="324"/>
      <c r="U45" s="324"/>
      <c r="V45" s="324"/>
      <c r="W45" s="324">
        <v>144</v>
      </c>
      <c r="X45" s="324"/>
      <c r="Y45" s="324">
        <v>4968</v>
      </c>
      <c r="Z45" s="324">
        <v>4276.96</v>
      </c>
      <c r="AA45" s="324" t="e">
        <f t="shared" ca="1" si="0"/>
        <v>#NAME?</v>
      </c>
      <c r="AB45" s="325" t="e">
        <f t="shared" ca="1" si="1"/>
        <v>#NAME?</v>
      </c>
      <c r="AC45" s="290"/>
      <c r="AD45" s="324">
        <v>1873.3489999999999</v>
      </c>
      <c r="AE45" s="325" t="str">
        <f t="shared" ca="1" si="2"/>
        <v/>
      </c>
      <c r="AF45" s="326" t="e">
        <f t="shared" ca="1" si="3"/>
        <v>#NAME?</v>
      </c>
      <c r="AG45" s="324">
        <v>794</v>
      </c>
      <c r="AH45" s="325" t="str">
        <f t="shared" ca="1"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v>3536</v>
      </c>
      <c r="P46" s="134"/>
      <c r="Q46" s="134">
        <v>3403</v>
      </c>
      <c r="R46" s="134">
        <v>2108</v>
      </c>
      <c r="S46" s="134">
        <v>9512</v>
      </c>
      <c r="T46" s="134">
        <v>311</v>
      </c>
      <c r="U46" s="134"/>
      <c r="V46" s="134">
        <v>1170</v>
      </c>
      <c r="W46" s="134">
        <v>885</v>
      </c>
      <c r="X46" s="134"/>
      <c r="Y46" s="134">
        <v>4968</v>
      </c>
      <c r="Z46" s="134">
        <v>7723.75</v>
      </c>
      <c r="AA46" s="134" t="e">
        <f t="shared" ca="1" si="0"/>
        <v>#NAME?</v>
      </c>
      <c r="AB46" s="135" t="e">
        <f t="shared" ca="1" si="1"/>
        <v>#NAME?</v>
      </c>
      <c r="AC46" s="137"/>
      <c r="AD46" s="134">
        <v>8625.0911849999993</v>
      </c>
      <c r="AE46" s="135" t="str">
        <f t="shared" ca="1" si="2"/>
        <v/>
      </c>
      <c r="AF46" s="136" t="e">
        <f t="shared" ca="1" si="3"/>
        <v>#NAME?</v>
      </c>
      <c r="AG46" s="134">
        <v>21862</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t="e">
        <f ca="1">_xll.EVDRE($B$1,A50:B57,A60:B66)</f>
        <v>#NAME?</v>
      </c>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v>59613</v>
      </c>
      <c r="P48" s="134">
        <v>34793.5</v>
      </c>
      <c r="Q48" s="134">
        <v>31173.07</v>
      </c>
      <c r="R48" s="134">
        <v>11812.25</v>
      </c>
      <c r="S48" s="134">
        <v>22729</v>
      </c>
      <c r="T48" s="134">
        <v>8718.98</v>
      </c>
      <c r="U48" s="134">
        <v>332</v>
      </c>
      <c r="V48" s="134">
        <v>5401</v>
      </c>
      <c r="W48" s="134">
        <v>8059.51</v>
      </c>
      <c r="X48" s="134">
        <v>13310.1</v>
      </c>
      <c r="Y48" s="134">
        <v>18926.3</v>
      </c>
      <c r="Z48" s="134">
        <v>59568.26</v>
      </c>
      <c r="AA48" s="134" t="e">
        <f t="shared" ca="1" si="0"/>
        <v>#NAME?</v>
      </c>
      <c r="AB48" s="135" t="e">
        <f t="shared" ca="1" si="1"/>
        <v>#NAME?</v>
      </c>
      <c r="AC48" s="137"/>
      <c r="AD48" s="134">
        <v>339362.25</v>
      </c>
      <c r="AE48" s="135" t="str">
        <f t="shared" ca="1" si="2"/>
        <v/>
      </c>
      <c r="AF48" s="136" t="e">
        <f t="shared" ca="1" si="3"/>
        <v>#NAME?</v>
      </c>
      <c r="AG48" s="134">
        <v>254386.93</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v>5180</v>
      </c>
      <c r="P50" s="333">
        <v>2870</v>
      </c>
      <c r="Q50" s="333">
        <v>2680</v>
      </c>
      <c r="R50" s="333">
        <v>1815.05</v>
      </c>
      <c r="S50" s="333">
        <v>-553.79999999999995</v>
      </c>
      <c r="T50" s="333">
        <v>970</v>
      </c>
      <c r="U50" s="333">
        <v>1135</v>
      </c>
      <c r="V50" s="333">
        <v>446.6</v>
      </c>
      <c r="W50" s="333">
        <v>1120</v>
      </c>
      <c r="X50" s="333">
        <v>2474.15</v>
      </c>
      <c r="Y50" s="333">
        <v>989.03</v>
      </c>
      <c r="Z50" s="333">
        <v>3715.2</v>
      </c>
      <c r="AA50" s="310" t="e">
        <f t="shared" ca="1" si="0"/>
        <v>#NAME?</v>
      </c>
      <c r="AB50" s="334" t="e">
        <f t="shared" ca="1" si="1"/>
        <v>#NAME?</v>
      </c>
      <c r="AC50" s="290"/>
      <c r="AD50" s="333">
        <v>28440.240000000002</v>
      </c>
      <c r="AE50" s="334" t="str">
        <f t="shared" ca="1" si="2"/>
        <v/>
      </c>
      <c r="AF50" s="335" t="e">
        <f t="shared" ca="1" si="3"/>
        <v>#NAME?</v>
      </c>
      <c r="AG50" s="333">
        <v>21595</v>
      </c>
      <c r="AH50" s="334" t="str">
        <f t="shared" ca="1"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v>10450</v>
      </c>
      <c r="P51" s="333">
        <v>5500</v>
      </c>
      <c r="Q51" s="333">
        <v>13850</v>
      </c>
      <c r="R51" s="333">
        <v>4150</v>
      </c>
      <c r="S51" s="333">
        <v>450</v>
      </c>
      <c r="T51" s="333">
        <v>2900</v>
      </c>
      <c r="U51" s="333">
        <v>750</v>
      </c>
      <c r="V51" s="333">
        <v>1000</v>
      </c>
      <c r="W51" s="333">
        <v>1080</v>
      </c>
      <c r="X51" s="333">
        <v>2390.5</v>
      </c>
      <c r="Y51" s="333">
        <v>4467.2700000000004</v>
      </c>
      <c r="Z51" s="333">
        <v>13389.95</v>
      </c>
      <c r="AA51" s="310" t="e">
        <f t="shared" ca="1" si="0"/>
        <v>#NAME?</v>
      </c>
      <c r="AB51" s="334" t="e">
        <f t="shared" ca="1" si="1"/>
        <v>#NAME?</v>
      </c>
      <c r="AC51" s="290"/>
      <c r="AD51" s="333">
        <v>120916.5</v>
      </c>
      <c r="AE51" s="334" t="str">
        <f t="shared" ca="1" si="2"/>
        <v/>
      </c>
      <c r="AF51" s="335" t="e">
        <f t="shared" ca="1" si="3"/>
        <v>#NAME?</v>
      </c>
      <c r="AG51" s="333">
        <v>96710</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_xll.EVRNG(H60:H68)</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v>11988.78</v>
      </c>
      <c r="P52" s="333">
        <v>8780.9500000000007</v>
      </c>
      <c r="Q52" s="333">
        <v>6857.26</v>
      </c>
      <c r="R52" s="333">
        <v>3037.28</v>
      </c>
      <c r="S52" s="333">
        <v>5000.38</v>
      </c>
      <c r="T52" s="333">
        <v>1912.14</v>
      </c>
      <c r="U52" s="333">
        <v>143.22</v>
      </c>
      <c r="V52" s="333">
        <v>1338.22</v>
      </c>
      <c r="W52" s="333">
        <v>1819.84</v>
      </c>
      <c r="X52" s="333">
        <v>3082.53</v>
      </c>
      <c r="Y52" s="333">
        <v>4074.43</v>
      </c>
      <c r="Z52" s="333">
        <v>13639.99</v>
      </c>
      <c r="AA52" s="310" t="e">
        <f t="shared" ca="1" si="0"/>
        <v>#NAME?</v>
      </c>
      <c r="AB52" s="334" t="e">
        <f t="shared" ca="1" si="1"/>
        <v>#NAME?</v>
      </c>
      <c r="AC52" s="290"/>
      <c r="AD52" s="333">
        <v>74659.695000000007</v>
      </c>
      <c r="AE52" s="334" t="str">
        <f t="shared" ca="1" si="2"/>
        <v/>
      </c>
      <c r="AF52" s="335" t="e">
        <f t="shared" ca="1" si="3"/>
        <v>#NAME?</v>
      </c>
      <c r="AG52" s="333">
        <v>57313.04</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v>600</v>
      </c>
      <c r="P53" s="333">
        <v>700</v>
      </c>
      <c r="Q53" s="333">
        <v>150</v>
      </c>
      <c r="R53" s="333">
        <v>150</v>
      </c>
      <c r="S53" s="333">
        <v>300</v>
      </c>
      <c r="T53" s="333">
        <v>39.909999999999997</v>
      </c>
      <c r="U53" s="333">
        <v>1045</v>
      </c>
      <c r="V53" s="333">
        <v>150</v>
      </c>
      <c r="W53" s="333">
        <v>300</v>
      </c>
      <c r="X53" s="333"/>
      <c r="Y53" s="333">
        <v>450</v>
      </c>
      <c r="Z53" s="333">
        <v>450</v>
      </c>
      <c r="AA53" s="310" t="e">
        <f t="shared" ca="1" si="0"/>
        <v>#NAME?</v>
      </c>
      <c r="AB53" s="334" t="e">
        <f t="shared" ca="1" si="1"/>
        <v>#NAME?</v>
      </c>
      <c r="AC53" s="290"/>
      <c r="AD53" s="333">
        <v>5768.76</v>
      </c>
      <c r="AE53" s="334" t="str">
        <f t="shared" ca="1" si="2"/>
        <v/>
      </c>
      <c r="AF53" s="335" t="e">
        <f t="shared" ca="1" si="3"/>
        <v>#NAME?</v>
      </c>
      <c r="AG53" s="333">
        <v>4785</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x14ac:dyDescent="0.25">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v>28218.78</v>
      </c>
      <c r="P55" s="36">
        <v>17850.95</v>
      </c>
      <c r="Q55" s="36">
        <v>23537.26</v>
      </c>
      <c r="R55" s="36">
        <v>9152.33</v>
      </c>
      <c r="S55" s="36">
        <v>5196.58</v>
      </c>
      <c r="T55" s="36">
        <v>5822.05</v>
      </c>
      <c r="U55" s="36">
        <v>3073.22</v>
      </c>
      <c r="V55" s="36">
        <v>2934.82</v>
      </c>
      <c r="W55" s="36">
        <v>4319.84</v>
      </c>
      <c r="X55" s="36">
        <v>7947.18</v>
      </c>
      <c r="Y55" s="36">
        <v>9980.73</v>
      </c>
      <c r="Z55" s="36">
        <v>31195.14</v>
      </c>
      <c r="AA55" s="36" t="e">
        <f t="shared" ca="1" si="0"/>
        <v>#NAME?</v>
      </c>
      <c r="AB55" s="37" t="e">
        <f t="shared" ca="1" si="1"/>
        <v>#NAME?</v>
      </c>
      <c r="AC55" s="35"/>
      <c r="AD55" s="36">
        <v>229785.19500000001</v>
      </c>
      <c r="AE55" s="37" t="str">
        <f t="shared" ca="1" si="2"/>
        <v/>
      </c>
      <c r="AF55" s="58" t="e">
        <f t="shared" ca="1" si="3"/>
        <v>#NAME?</v>
      </c>
      <c r="AG55" s="36">
        <v>180403.04</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x14ac:dyDescent="0.25">
      <c r="A56" s="6" t="s">
        <v>47</v>
      </c>
      <c r="B56" s="7" t="e">
        <f ca="1">_xll.EVRNG($A$125:$B$130)</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224">
        <v>87831.78</v>
      </c>
      <c r="P56" s="134">
        <v>52644.45</v>
      </c>
      <c r="Q56" s="134">
        <v>54710.33</v>
      </c>
      <c r="R56" s="134">
        <v>20964.580000000002</v>
      </c>
      <c r="S56" s="134">
        <v>27925.58</v>
      </c>
      <c r="T56" s="134">
        <v>14541.03</v>
      </c>
      <c r="U56" s="134">
        <v>3405.22</v>
      </c>
      <c r="V56" s="134">
        <v>8335.82</v>
      </c>
      <c r="W56" s="134">
        <v>12379.35</v>
      </c>
      <c r="X56" s="134">
        <v>21257.279999999999</v>
      </c>
      <c r="Y56" s="134">
        <v>28907.03</v>
      </c>
      <c r="Z56" s="134">
        <v>90763.4</v>
      </c>
      <c r="AA56" s="134" t="e">
        <f t="shared" ca="1" si="0"/>
        <v>#NAME?</v>
      </c>
      <c r="AB56" s="135" t="e">
        <f t="shared" ca="1" si="1"/>
        <v>#NAME?</v>
      </c>
      <c r="AC56" s="137"/>
      <c r="AD56" s="134">
        <v>569147.44499999995</v>
      </c>
      <c r="AE56" s="135" t="str">
        <f t="shared" ca="1" si="2"/>
        <v/>
      </c>
      <c r="AF56" s="136" t="e">
        <f t="shared" ca="1" si="3"/>
        <v>#NAME?</v>
      </c>
      <c r="AG56" s="134">
        <v>434789.97</v>
      </c>
      <c r="AH56" s="135" t="str">
        <f t="shared" ca="1" si="5"/>
        <v/>
      </c>
      <c r="AI56" s="291" t="e">
        <f t="shared" ca="1" si="6"/>
        <v>#NAME?</v>
      </c>
      <c r="AJ56" s="360">
        <f t="shared" ca="1" si="7"/>
        <v>0</v>
      </c>
      <c r="AK56" s="361">
        <f t="shared" ca="1" si="8"/>
        <v>0</v>
      </c>
      <c r="AL56" s="363">
        <f t="shared" ca="1" si="9"/>
        <v>0</v>
      </c>
      <c r="AM56" s="405">
        <f t="shared" ca="1" si="10"/>
        <v>0</v>
      </c>
      <c r="AN56" s="406">
        <f t="shared" ca="1" si="11"/>
        <v>0</v>
      </c>
    </row>
    <row r="57" spans="1:40"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c r="H58" s="1" t="s">
        <v>281</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3" t="s">
        <v>9</v>
      </c>
      <c r="B59" s="5" t="s">
        <v>10</v>
      </c>
      <c r="H59" s="1" t="s">
        <v>284</v>
      </c>
      <c r="I59" s="11" t="e">
        <f ca="1">_xll.EVPRO($B$1,$H59,"STYLE")</f>
        <v>#NAME?</v>
      </c>
      <c r="J59" s="11" t="e">
        <f ca="1">_xll.EVPRO($B$1,$H59,"CALC")</f>
        <v>#NAME?</v>
      </c>
      <c r="N59" s="8" t="e">
        <f ca="1">IF(_xll.EVDES(H59,$B$1)="#NODATA","",_xll.EVDES(H59,$B$1))</f>
        <v>#NAME?</v>
      </c>
      <c r="O59" s="53"/>
      <c r="P59" s="54"/>
      <c r="Q59" s="54"/>
      <c r="R59" s="54"/>
      <c r="S59" s="54"/>
      <c r="T59" s="54"/>
      <c r="U59" s="54"/>
      <c r="V59" s="54"/>
      <c r="W59" s="54"/>
      <c r="X59" s="54"/>
      <c r="Y59" s="54"/>
      <c r="Z59" s="54"/>
      <c r="AA59" s="54"/>
      <c r="AB59" s="55"/>
      <c r="AD59" s="53"/>
      <c r="AE59" s="54"/>
      <c r="AF59" s="55"/>
      <c r="AG59" s="54"/>
      <c r="AH59" s="54"/>
      <c r="AI59" s="55"/>
    </row>
    <row r="60" spans="1:40" x14ac:dyDescent="0.25">
      <c r="A60" s="6" t="s">
        <v>11</v>
      </c>
      <c r="B60" s="7" t="s">
        <v>21</v>
      </c>
      <c r="H60" s="15" t="s">
        <v>285</v>
      </c>
      <c r="I60" s="161" t="e">
        <f ca="1">_xll.EVPRO($B$1,$H60,"STYLE")</f>
        <v>#NAME?</v>
      </c>
      <c r="J60" s="161" t="e">
        <f ca="1">_xll.EVPRO($B$1,$H60,"CALC")</f>
        <v>#NAME?</v>
      </c>
      <c r="K60" s="68" t="e">
        <f ca="1">IF(AND(I60&gt;="T5"),"&gt;","")</f>
        <v>#NAME?</v>
      </c>
      <c r="L60" s="162" t="e">
        <f ca="1">_xll.EVPRO($B$1,H60,"JDEID")</f>
        <v>#NAME?</v>
      </c>
      <c r="M60" s="162" t="e">
        <f ca="1">IF(AND(I60="N",J60="N"),_xll.EVPRO($B$1,H60,"PSFTID"),"")</f>
        <v>#NAME?</v>
      </c>
      <c r="N60" s="162" t="e">
        <f ca="1">IF(_xll.EVDES(H60,$B$1)="#NODATA","",_xll.EVDES(H60,$B$1))</f>
        <v>#NAME?</v>
      </c>
      <c r="O60" s="332">
        <v>11439.71</v>
      </c>
      <c r="P60" s="333">
        <v>7097.98</v>
      </c>
      <c r="Q60" s="333">
        <v>5665.08</v>
      </c>
      <c r="R60" s="333">
        <v>1979.62</v>
      </c>
      <c r="S60" s="333">
        <v>2706.16</v>
      </c>
      <c r="T60" s="333">
        <v>1715.23</v>
      </c>
      <c r="U60" s="333">
        <v>67.73</v>
      </c>
      <c r="V60" s="333">
        <v>863.12</v>
      </c>
      <c r="W60" s="333">
        <v>1463.7</v>
      </c>
      <c r="X60" s="333">
        <v>2827.05</v>
      </c>
      <c r="Y60" s="333">
        <v>2847.43</v>
      </c>
      <c r="Z60" s="333">
        <v>10576.38</v>
      </c>
      <c r="AA60" s="310" t="e">
        <f t="shared" ref="AA60:AA68" ca="1" si="12">IF($I60="B1","",SUM(O60:Z60))</f>
        <v>#NAME?</v>
      </c>
      <c r="AB60" s="334" t="e">
        <f ca="1">IF(AA60=0,"",IFERROR(AA60/_xll.EVGTS($B$1,1,_xll.EVPRO($B$1,$H60,"COSBASIS"),$B$3,$B$5,$B$6,$B$7,$B$9,AA$16,AA$17,AA$11),""))</f>
        <v>#NAME?</v>
      </c>
      <c r="AC60" s="290"/>
      <c r="AD60" s="333">
        <v>72762.179999999993</v>
      </c>
      <c r="AE60" s="334" t="str">
        <f ca="1">IF(AD60=0,"",IFERROR(AD60/_xll.EVGTS($B$1,1,_xll.EVPRO($B$1,$H60,"COSBASIS"),$B$3,$B$5,$B$6,$B$7,$B$9,AD$16,AD$17,AD$18),""))</f>
        <v/>
      </c>
      <c r="AF60" s="335" t="e">
        <f t="shared" ref="AF60:AF68" ca="1" si="13">IF(AND($AA60="",AD60=""),"",$AA60-AD60)</f>
        <v>#NAME?</v>
      </c>
      <c r="AG60" s="333">
        <v>50596.53</v>
      </c>
      <c r="AH60" s="334" t="str">
        <f ca="1">IF(AG60=0,"",IFERROR(AG60/_xll.EVGTS($B$1,1,_xll.EVPRO($B$1,$H60,"COSBASIS"),$B$3,$B$5,$B$6,$B$7,$B$9,AG$16,AG$17,AG$18),""))</f>
        <v/>
      </c>
      <c r="AI60" s="336"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0" x14ac:dyDescent="0.25">
      <c r="A61" s="6" t="s">
        <v>12</v>
      </c>
      <c r="B61" s="7" t="s">
        <v>22</v>
      </c>
      <c r="H61" s="15" t="s">
        <v>636</v>
      </c>
      <c r="I61" s="161" t="e">
        <f ca="1">_xll.EVPRO($B$1,$H61,"STYLE")</f>
        <v>#NAME?</v>
      </c>
      <c r="J61" s="161" t="e">
        <f ca="1">_xll.EVPRO($B$1,$H61,"CALC")</f>
        <v>#NAME?</v>
      </c>
      <c r="K61" s="68" t="e">
        <f t="shared" ref="K61:K68" ca="1" si="14">IF(AND(I61&gt;="T5"),"&gt;","")</f>
        <v>#NAME?</v>
      </c>
      <c r="L61" s="162" t="e">
        <f ca="1">_xll.EVPRO($B$1,H61,"JDEID")</f>
        <v>#NAME?</v>
      </c>
      <c r="M61" s="162" t="e">
        <f ca="1">IF(AND(I61="N",J61="N"),_xll.EVPRO($B$1,H61,"PSFTID"),"")</f>
        <v>#NAME?</v>
      </c>
      <c r="N61" s="162" t="e">
        <f ca="1">IF(_xll.EVDES(H61,$B$1)="#NODATA","",_xll.EVDES(H61,$B$1))</f>
        <v>#NAME?</v>
      </c>
      <c r="O61" s="323">
        <v>728.15</v>
      </c>
      <c r="P61" s="324"/>
      <c r="Q61" s="324">
        <v>677.35</v>
      </c>
      <c r="R61" s="324">
        <v>412.51</v>
      </c>
      <c r="S61" s="324">
        <v>1670.03</v>
      </c>
      <c r="T61" s="324">
        <v>55.08</v>
      </c>
      <c r="U61" s="324"/>
      <c r="V61" s="324">
        <v>214.11</v>
      </c>
      <c r="W61" s="324">
        <v>163.68</v>
      </c>
      <c r="X61" s="324"/>
      <c r="Y61" s="324">
        <v>905.48</v>
      </c>
      <c r="Z61" s="324">
        <v>1214.01</v>
      </c>
      <c r="AA61" s="324" t="e">
        <f t="shared" ca="1" si="12"/>
        <v>#NAME?</v>
      </c>
      <c r="AB61" s="325" t="e">
        <f ca="1">IF(AA61=0,"",IFERROR(AA61/_xll.EVGTS($B$1,1,_xll.EVPRO($B$1,$H61,"COSBASIS"),$B$3,$B$5,$B$6,$B$7,$B$9,AA$16,AA$17,AA$11),""))</f>
        <v>#NAME?</v>
      </c>
      <c r="AC61" s="290"/>
      <c r="AD61" s="324">
        <v>1647.59</v>
      </c>
      <c r="AE61" s="325" t="str">
        <f ca="1">IF(AD61=0,"",IFERROR(AD61/_xll.EVGTS($B$1,1,_xll.EVPRO($B$1,$H61,"COSBASIS"),$B$3,$B$5,$B$6,$B$7,$B$9,AD$16,AD$17,AD$18),""))</f>
        <v/>
      </c>
      <c r="AF61" s="326" t="e">
        <f t="shared" ca="1" si="13"/>
        <v>#NAME?</v>
      </c>
      <c r="AG61" s="324">
        <v>4282.25</v>
      </c>
      <c r="AH61" s="325" t="str">
        <f ca="1">IF(AG61=0,"",IFERROR(AG61/_xll.EVGTS($B$1,1,_xll.EVPRO($B$1,$H61,"COSBASIS"),$B$3,$B$5,$B$6,$B$7,$B$9,AG$16,AG$17,AG$18),""))</f>
        <v/>
      </c>
      <c r="AI61" s="327" t="e">
        <f t="shared" ref="AI61:AI68" ca="1" si="15">IF(AND($AA61="",AG61=""),"",$AA61-AG61)</f>
        <v>#NAME?</v>
      </c>
      <c r="AJ61" s="409">
        <f t="shared" ref="AJ61:AJ68" ca="1" si="16">IFERROR(AA61/AA$20,0)</f>
        <v>0</v>
      </c>
      <c r="AK61" s="410">
        <f t="shared" ref="AK61:AK68" ca="1" si="17">IFERROR(AD61/AD$20,0)</f>
        <v>0</v>
      </c>
      <c r="AL61" s="411">
        <f t="shared" ref="AL61:AL68" ca="1" si="18">IFERROR(AG61/AG$20,0)</f>
        <v>0</v>
      </c>
      <c r="AM61" s="412">
        <f t="shared" ref="AM61:AM68" ca="1" si="19">+IFERROR(ROUND(($AB61-AE61)*100,2)&amp;" pts.",0)</f>
        <v>0</v>
      </c>
      <c r="AN61" s="413">
        <f t="shared" ref="AN61:AN68" ca="1" si="20">+IFERROR(ROUND(($AB61-AH61)*100,2)&amp;" pts.",0)</f>
        <v>0</v>
      </c>
    </row>
    <row r="62" spans="1:40" x14ac:dyDescent="0.25">
      <c r="A62" s="6" t="s">
        <v>13</v>
      </c>
      <c r="B62" s="7" t="e">
        <f ca="1">"DEP(COS_FB) AND "&amp;$E$6&amp;"=Y,COS_FB,COSOTH,DEP(COS_OTHR) AND "&amp;$E$6&amp;"=Y,COS_OTHR,500001"</f>
        <v>#NAME?</v>
      </c>
      <c r="H62" s="15" t="s">
        <v>286</v>
      </c>
      <c r="I62" s="479" t="e">
        <f ca="1">_xll.EVPRO($B$1,$H62,"STYLE")</f>
        <v>#NAME?</v>
      </c>
      <c r="J62" s="479" t="e">
        <f ca="1">_xll.EVPRO($B$1,$H62,"CALC")</f>
        <v>#NAME?</v>
      </c>
      <c r="K62" s="480" t="e">
        <f t="shared" ca="1" si="14"/>
        <v>#NAME?</v>
      </c>
      <c r="L62" s="170" t="e">
        <f ca="1">_xll.EVPRO($B$1,H62,"JDEID")</f>
        <v>#NAME?</v>
      </c>
      <c r="M62" s="170" t="e">
        <f ca="1">IF(AND(I62="N",J62="N"),_xll.EVPRO($B$1,H62,"PSFTID"),"")</f>
        <v>#NAME?</v>
      </c>
      <c r="N62" s="170" t="e">
        <f ca="1">IF(_xll.EVDES(H62,$B$1)="#NODATA","",_xll.EVDES(H62,$B$1))</f>
        <v>#NAME?</v>
      </c>
      <c r="O62" s="224">
        <v>12167.86</v>
      </c>
      <c r="P62" s="134">
        <v>7097.98</v>
      </c>
      <c r="Q62" s="134">
        <v>6342.43</v>
      </c>
      <c r="R62" s="134">
        <v>2392.13</v>
      </c>
      <c r="S62" s="134">
        <v>4376.1899999999996</v>
      </c>
      <c r="T62" s="134">
        <v>1770.31</v>
      </c>
      <c r="U62" s="134">
        <v>67.73</v>
      </c>
      <c r="V62" s="134">
        <v>1077.23</v>
      </c>
      <c r="W62" s="134">
        <v>1627.38</v>
      </c>
      <c r="X62" s="134">
        <v>2827.05</v>
      </c>
      <c r="Y62" s="134">
        <v>3752.91</v>
      </c>
      <c r="Z62" s="134">
        <v>11790.39</v>
      </c>
      <c r="AA62" s="134" t="e">
        <f t="shared" ca="1" si="12"/>
        <v>#NAME?</v>
      </c>
      <c r="AB62" s="135" t="e">
        <f ca="1">IF(AA62=0,"",IFERROR(AA62/_xll.EVGTS($B$1,1,_xll.EVPRO($B$1,$H62,"COSBASIS"),$B$3,$B$5,$B$6,$B$7,$B$9,AA$16,AA$17,AA$11),""))</f>
        <v>#NAME?</v>
      </c>
      <c r="AC62" s="137"/>
      <c r="AD62" s="134">
        <v>74409.77</v>
      </c>
      <c r="AE62" s="135" t="str">
        <f ca="1">IF(AD62=0,"",IFERROR(AD62/_xll.EVGTS($B$1,1,_xll.EVPRO($B$1,$H62,"COSBASIS"),$B$3,$B$5,$B$6,$B$7,$B$9,AD$16,AD$17,AD$18),""))</f>
        <v/>
      </c>
      <c r="AF62" s="136" t="e">
        <f t="shared" ca="1" si="13"/>
        <v>#NAME?</v>
      </c>
      <c r="AG62" s="134">
        <v>54878.78</v>
      </c>
      <c r="AH62" s="135" t="str">
        <f ca="1">IF(AG62=0,"",IFERROR(AG62/_xll.EVGTS($B$1,1,_xll.EVPRO($B$1,$H62,"COSBASIS"),$B$3,$B$5,$B$6,$B$7,$B$9,AG$16,AG$17,AG$18),""))</f>
        <v/>
      </c>
      <c r="AI62" s="291" t="e">
        <f t="shared" ca="1" si="15"/>
        <v>#NAME?</v>
      </c>
      <c r="AJ62" s="360">
        <f t="shared" ca="1" si="16"/>
        <v>0</v>
      </c>
      <c r="AK62" s="361">
        <f t="shared" ca="1" si="17"/>
        <v>0</v>
      </c>
      <c r="AL62" s="363">
        <f t="shared" ca="1" si="18"/>
        <v>0</v>
      </c>
      <c r="AM62" s="405">
        <f t="shared" ca="1" si="19"/>
        <v>0</v>
      </c>
      <c r="AN62" s="406">
        <f t="shared" ca="1" si="20"/>
        <v>0</v>
      </c>
    </row>
    <row r="63" spans="1:40" x14ac:dyDescent="0.25">
      <c r="A63" s="6" t="s">
        <v>14</v>
      </c>
      <c r="B63" s="7"/>
      <c r="H63" s="15" t="s">
        <v>287</v>
      </c>
      <c r="I63" s="479" t="e">
        <f ca="1">_xll.EVPRO($B$1,$H63,"STYLE")</f>
        <v>#NAME?</v>
      </c>
      <c r="J63" s="479" t="e">
        <f ca="1">_xll.EVPRO($B$1,$H63,"CALC")</f>
        <v>#NAME?</v>
      </c>
      <c r="K63" s="480" t="e">
        <f t="shared" ca="1" si="14"/>
        <v>#NAME?</v>
      </c>
      <c r="L63" s="170" t="e">
        <f ca="1">_xll.EVPRO($B$1,H63,"JDEID")</f>
        <v>#NAME?</v>
      </c>
      <c r="M63" s="170" t="e">
        <f ca="1">IF(AND(I63="N",J63="N"),_xll.EVPRO($B$1,H63,"PSFTID"),"")</f>
        <v>#NAME?</v>
      </c>
      <c r="N63" s="170" t="e">
        <f ca="1">IF(_xll.EVDES(H63,$B$1)="#NODATA","",_xll.EVDES(H63,$B$1))</f>
        <v>#NAME?</v>
      </c>
      <c r="O63" s="337"/>
      <c r="P63" s="38"/>
      <c r="Q63" s="38"/>
      <c r="R63" s="38"/>
      <c r="S63" s="38"/>
      <c r="T63" s="38"/>
      <c r="U63" s="38"/>
      <c r="V63" s="38"/>
      <c r="W63" s="38"/>
      <c r="X63" s="38"/>
      <c r="Y63" s="38"/>
      <c r="Z63" s="38"/>
      <c r="AA63" s="315" t="e">
        <f t="shared" ca="1" si="12"/>
        <v>#NAME?</v>
      </c>
      <c r="AB63" s="39" t="e">
        <f ca="1">IF(AA63=0,"",IFERROR(AA63/_xll.EVGTS($B$1,1,_xll.EVPRO($B$1,$H63,"COSBASIS"),$B$3,$B$5,$B$6,$B$7,$B$9,AA$16,AA$17,AA$11),""))</f>
        <v>#NAME?</v>
      </c>
      <c r="AC63" s="54"/>
      <c r="AD63" s="38"/>
      <c r="AE63" s="39" t="str">
        <f>IF(AD63=0,"",IFERROR(AD63/_xll.EVGTS($B$1,1,_xll.EVPRO($B$1,$H63,"COSBASIS"),$B$3,$B$5,$B$6,$B$7,$B$9,AD$16,AD$17,AD$18),""))</f>
        <v/>
      </c>
      <c r="AF63" s="132" t="e">
        <f t="shared" ca="1" si="13"/>
        <v>#NAME?</v>
      </c>
      <c r="AG63" s="38"/>
      <c r="AH63" s="39" t="str">
        <f>IF(AG63=0,"",IFERROR(AG63/_xll.EVGTS($B$1,1,_xll.EVPRO($B$1,$H63,"COSBASIS"),$B$3,$B$5,$B$6,$B$7,$B$9,AG$16,AG$17,AG$18),""))</f>
        <v/>
      </c>
      <c r="AI63" s="338" t="e">
        <f t="shared" ca="1" si="15"/>
        <v>#NAME?</v>
      </c>
      <c r="AJ63" s="353">
        <f t="shared" ca="1" si="16"/>
        <v>0</v>
      </c>
      <c r="AK63" s="354">
        <f t="shared" ca="1" si="17"/>
        <v>0</v>
      </c>
      <c r="AL63" s="356">
        <f t="shared" ca="1" si="18"/>
        <v>0</v>
      </c>
      <c r="AM63" s="390">
        <f t="shared" ca="1" si="19"/>
        <v>0</v>
      </c>
      <c r="AN63" s="404">
        <f t="shared" ca="1" si="20"/>
        <v>0</v>
      </c>
    </row>
    <row r="64" spans="1:40" x14ac:dyDescent="0.25">
      <c r="A64" s="6" t="s">
        <v>15</v>
      </c>
      <c r="B64" s="7"/>
      <c r="H64" s="15" t="s">
        <v>637</v>
      </c>
      <c r="I64" s="161" t="e">
        <f ca="1">_xll.EVPRO($B$1,$H64,"STYLE")</f>
        <v>#NAME?</v>
      </c>
      <c r="J64" s="161" t="e">
        <f ca="1">_xll.EVPRO($B$1,$H64,"CALC")</f>
        <v>#NAME?</v>
      </c>
      <c r="K64" s="68" t="e">
        <f t="shared" ca="1" si="14"/>
        <v>#NAME?</v>
      </c>
      <c r="L64" s="162" t="e">
        <f ca="1">_xll.EVPRO($B$1,H64,"JDEID")</f>
        <v>#NAME?</v>
      </c>
      <c r="M64" s="162" t="e">
        <f ca="1">IF(AND(I64="N",J64="N"),_xll.EVPRO($B$1,H64,"PSFTID"),"")</f>
        <v>#NAME?</v>
      </c>
      <c r="N64" s="162" t="e">
        <f ca="1">IF(_xll.EVDES(H64,$B$1)="#NODATA","",_xll.EVDES(H64,$B$1))</f>
        <v>#NAME?</v>
      </c>
      <c r="O64" s="332"/>
      <c r="P64" s="333"/>
      <c r="Q64" s="333"/>
      <c r="R64" s="333"/>
      <c r="S64" s="333"/>
      <c r="T64" s="333"/>
      <c r="U64" s="333"/>
      <c r="V64" s="333"/>
      <c r="W64" s="333"/>
      <c r="X64" s="333"/>
      <c r="Y64" s="333"/>
      <c r="Z64" s="333"/>
      <c r="AA64" s="310" t="e">
        <f t="shared" ca="1" si="12"/>
        <v>#NAME?</v>
      </c>
      <c r="AB64" s="334" t="e">
        <f ca="1">IF(AA64=0,"",IFERROR(AA64/_xll.EVGTS($B$1,1,_xll.EVPRO($B$1,$H64,"COSBASIS"),$B$3,$B$5,$B$6,$B$7,$B$9,AA$16,AA$17,AA$11),""))</f>
        <v>#NAME?</v>
      </c>
      <c r="AC64" s="290"/>
      <c r="AD64" s="333"/>
      <c r="AE64" s="334" t="str">
        <f>IF(AD64=0,"",IFERROR(AD64/_xll.EVGTS($B$1,1,_xll.EVPRO($B$1,$H64,"COSBASIS"),$B$3,$B$5,$B$6,$B$7,$B$9,AD$16,AD$17,AD$18),""))</f>
        <v/>
      </c>
      <c r="AF64" s="335" t="e">
        <f t="shared" ca="1" si="13"/>
        <v>#NAME?</v>
      </c>
      <c r="AG64" s="333"/>
      <c r="AH64" s="334" t="str">
        <f>IF(AG64=0,"",IFERROR(AG64/_xll.EVGTS($B$1,1,_xll.EVPRO($B$1,$H64,"COSBASIS"),$B$3,$B$5,$B$6,$B$7,$B$9,AG$16,AG$17,AG$18),""))</f>
        <v/>
      </c>
      <c r="AI64" s="336" t="e">
        <f t="shared" ca="1" si="15"/>
        <v>#NAME?</v>
      </c>
      <c r="AJ64" s="399">
        <f t="shared" ca="1" si="16"/>
        <v>0</v>
      </c>
      <c r="AK64" s="400">
        <f t="shared" ca="1" si="17"/>
        <v>0</v>
      </c>
      <c r="AL64" s="401">
        <f t="shared" ca="1" si="18"/>
        <v>0</v>
      </c>
      <c r="AM64" s="402">
        <f t="shared" ca="1" si="19"/>
        <v>0</v>
      </c>
      <c r="AN64" s="403">
        <f t="shared" ca="1" si="20"/>
        <v>0</v>
      </c>
    </row>
    <row r="65" spans="1:40" x14ac:dyDescent="0.25">
      <c r="A65" s="6" t="s">
        <v>16</v>
      </c>
      <c r="B65" s="7"/>
      <c r="H65" s="15" t="s">
        <v>638</v>
      </c>
      <c r="I65" s="161" t="e">
        <f ca="1">_xll.EVPRO($B$1,$H65,"STYLE")</f>
        <v>#NAME?</v>
      </c>
      <c r="J65" s="161" t="e">
        <f ca="1">_xll.EVPRO($B$1,$H65,"CALC")</f>
        <v>#NAME?</v>
      </c>
      <c r="K65" s="68" t="e">
        <f t="shared" ca="1" si="14"/>
        <v>#NAME?</v>
      </c>
      <c r="L65" s="162" t="e">
        <f ca="1">_xll.EVPRO($B$1,H65,"JDEID")</f>
        <v>#NAME?</v>
      </c>
      <c r="M65" s="162" t="e">
        <f ca="1">IF(AND(I65="N",J65="N"),_xll.EVPRO($B$1,H65,"PSFTID"),"")</f>
        <v>#NAME?</v>
      </c>
      <c r="N65" s="162" t="e">
        <f ca="1">IF(_xll.EVDES(H65,$B$1)="#NODATA","",_xll.EVDES(H65,$B$1))</f>
        <v>#NAME?</v>
      </c>
      <c r="O65" s="332"/>
      <c r="P65" s="333"/>
      <c r="Q65" s="333"/>
      <c r="R65" s="333"/>
      <c r="S65" s="333"/>
      <c r="T65" s="333"/>
      <c r="U65" s="333"/>
      <c r="V65" s="333"/>
      <c r="W65" s="333"/>
      <c r="X65" s="333"/>
      <c r="Y65" s="333"/>
      <c r="Z65" s="333"/>
      <c r="AA65" s="310" t="e">
        <f t="shared" ca="1" si="12"/>
        <v>#NAME?</v>
      </c>
      <c r="AB65" s="334" t="e">
        <f ca="1">IF(AA65=0,"",IFERROR(AA65/_xll.EVGTS($B$1,1,_xll.EVPRO($B$1,$H65,"COSBASIS"),$B$3,$B$5,$B$6,$B$7,$B$9,AA$16,AA$17,AA$11),""))</f>
        <v>#NAME?</v>
      </c>
      <c r="AC65" s="290"/>
      <c r="AD65" s="333"/>
      <c r="AE65" s="334" t="str">
        <f>IF(AD65=0,"",IFERROR(AD65/_xll.EVGTS($B$1,1,_xll.EVPRO($B$1,$H65,"COSBASIS"),$B$3,$B$5,$B$6,$B$7,$B$9,AD$16,AD$17,AD$18),""))</f>
        <v/>
      </c>
      <c r="AF65" s="335" t="e">
        <f t="shared" ca="1" si="13"/>
        <v>#NAME?</v>
      </c>
      <c r="AG65" s="333"/>
      <c r="AH65" s="334" t="str">
        <f>IF(AG65=0,"",IFERROR(AG65/_xll.EVGTS($B$1,1,_xll.EVPRO($B$1,$H65,"COSBASIS"),$B$3,$B$5,$B$6,$B$7,$B$9,AG$16,AG$17,AG$18),""))</f>
        <v/>
      </c>
      <c r="AI65" s="336" t="e">
        <f t="shared" ca="1" si="15"/>
        <v>#NAME?</v>
      </c>
      <c r="AJ65" s="399">
        <f t="shared" ca="1" si="16"/>
        <v>0</v>
      </c>
      <c r="AK65" s="400">
        <f t="shared" ca="1" si="17"/>
        <v>0</v>
      </c>
      <c r="AL65" s="401">
        <f t="shared" ca="1" si="18"/>
        <v>0</v>
      </c>
      <c r="AM65" s="402">
        <f t="shared" ca="1" si="19"/>
        <v>0</v>
      </c>
      <c r="AN65" s="403">
        <f t="shared" ca="1" si="20"/>
        <v>0</v>
      </c>
    </row>
    <row r="66" spans="1:40" x14ac:dyDescent="0.25">
      <c r="A66" s="6" t="s">
        <v>17</v>
      </c>
      <c r="B66" s="7"/>
      <c r="H66" s="15" t="s">
        <v>639</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23"/>
      <c r="P66" s="324"/>
      <c r="Q66" s="324"/>
      <c r="R66" s="324"/>
      <c r="S66" s="324"/>
      <c r="T66" s="324"/>
      <c r="U66" s="324"/>
      <c r="V66" s="324"/>
      <c r="W66" s="324"/>
      <c r="X66" s="324"/>
      <c r="Y66" s="324"/>
      <c r="Z66" s="324"/>
      <c r="AA66" s="324" t="e">
        <f t="shared" ca="1" si="12"/>
        <v>#NAME?</v>
      </c>
      <c r="AB66" s="325" t="e">
        <f ca="1">IF(AA66=0,"",IFERROR(AA66/_xll.EVGTS($B$1,1,_xll.EVPRO($B$1,$H66,"COSBASIS"),$B$3,$B$5,$B$6,$B$7,$B$9,AA$16,AA$17,AA$11),""))</f>
        <v>#NAME?</v>
      </c>
      <c r="AC66" s="290"/>
      <c r="AD66" s="324"/>
      <c r="AE66" s="325" t="str">
        <f>IF(AD66=0,"",IFERROR(AD66/_xll.EVGTS($B$1,1,_xll.EVPRO($B$1,$H66,"COSBASIS"),$B$3,$B$5,$B$6,$B$7,$B$9,AD$16,AD$17,AD$18),""))</f>
        <v/>
      </c>
      <c r="AF66" s="326" t="e">
        <f t="shared" ca="1" si="13"/>
        <v>#NAME?</v>
      </c>
      <c r="AG66" s="324"/>
      <c r="AH66" s="325" t="str">
        <f>IF(AG66=0,"",IFERROR(AG66/_xll.EVGTS($B$1,1,_xll.EVPRO($B$1,$H66,"COSBASIS"),$B$3,$B$5,$B$6,$B$7,$B$9,AG$16,AG$17,AG$18),""))</f>
        <v/>
      </c>
      <c r="AI66" s="327" t="e">
        <f t="shared" ca="1" si="15"/>
        <v>#NAME?</v>
      </c>
      <c r="AJ66" s="409">
        <f t="shared" ca="1" si="16"/>
        <v>0</v>
      </c>
      <c r="AK66" s="410">
        <f t="shared" ca="1" si="17"/>
        <v>0</v>
      </c>
      <c r="AL66" s="411">
        <f t="shared" ca="1" si="18"/>
        <v>0</v>
      </c>
      <c r="AM66" s="412">
        <f t="shared" ca="1" si="19"/>
        <v>0</v>
      </c>
      <c r="AN66" s="413">
        <f t="shared" ca="1" si="20"/>
        <v>0</v>
      </c>
    </row>
    <row r="67" spans="1:40" x14ac:dyDescent="0.25">
      <c r="H67" s="15" t="s">
        <v>288</v>
      </c>
      <c r="I67" s="479" t="e">
        <f ca="1">_xll.EVPRO($B$1,$H67,"STYLE")</f>
        <v>#NAME?</v>
      </c>
      <c r="J67" s="479" t="e">
        <f ca="1">_xll.EVPRO($B$1,$H67,"CALC")</f>
        <v>#NAME?</v>
      </c>
      <c r="K67" s="480" t="e">
        <f t="shared" ca="1" si="14"/>
        <v>#NAME?</v>
      </c>
      <c r="L67" s="170" t="e">
        <f ca="1">_xll.EVPRO($B$1,H67,"JDEID")</f>
        <v>#NAME?</v>
      </c>
      <c r="M67" s="170" t="e">
        <f ca="1">IF(AND(I67="N",J67="N"),_xll.EVPRO($B$1,H67,"PSFTID"),"")</f>
        <v>#NAME?</v>
      </c>
      <c r="N67" s="170" t="e">
        <f ca="1">IF(_xll.EVDES(H67,$B$1)="#NODATA","",_xll.EVDES(H67,$B$1))</f>
        <v>#NAME?</v>
      </c>
      <c r="O67" s="225"/>
      <c r="P67" s="36"/>
      <c r="Q67" s="36"/>
      <c r="R67" s="36"/>
      <c r="S67" s="36"/>
      <c r="T67" s="36"/>
      <c r="U67" s="36"/>
      <c r="V67" s="36"/>
      <c r="W67" s="36"/>
      <c r="X67" s="36"/>
      <c r="Y67" s="36"/>
      <c r="Z67" s="36"/>
      <c r="AA67" s="36" t="e">
        <f t="shared" ca="1" si="12"/>
        <v>#NAME?</v>
      </c>
      <c r="AB67" s="37" t="e">
        <f ca="1">IF(AA67=0,"",IFERROR(AA67/_xll.EVGTS($B$1,1,_xll.EVPRO($B$1,$H67,"COSBASIS"),$B$3,$B$5,$B$6,$B$7,$B$9,AA$16,AA$17,AA$11),""))</f>
        <v>#NAME?</v>
      </c>
      <c r="AC67" s="35"/>
      <c r="AD67" s="36"/>
      <c r="AE67" s="37" t="str">
        <f>IF(AD67=0,"",IFERROR(AD67/_xll.EVGTS($B$1,1,_xll.EVPRO($B$1,$H67,"COSBASIS"),$B$3,$B$5,$B$6,$B$7,$B$9,AD$16,AD$17,AD$18),""))</f>
        <v/>
      </c>
      <c r="AF67" s="58" t="e">
        <f t="shared" ca="1" si="13"/>
        <v>#NAME?</v>
      </c>
      <c r="AG67" s="36"/>
      <c r="AH67" s="37" t="str">
        <f>IF(AG67=0,"",IFERROR(AG67/_xll.EVGTS($B$1,1,_xll.EVPRO($B$1,$H67,"COSBASIS"),$B$3,$B$5,$B$6,$B$7,$B$9,AG$16,AG$17,AG$18),""))</f>
        <v/>
      </c>
      <c r="AI67" s="292" t="e">
        <f t="shared" ca="1" si="15"/>
        <v>#NAME?</v>
      </c>
      <c r="AJ67" s="372">
        <f t="shared" ca="1" si="16"/>
        <v>0</v>
      </c>
      <c r="AK67" s="373">
        <f t="shared" ca="1" si="17"/>
        <v>0</v>
      </c>
      <c r="AL67" s="375">
        <f t="shared" ca="1" si="18"/>
        <v>0</v>
      </c>
      <c r="AM67" s="407">
        <f t="shared" ca="1" si="19"/>
        <v>0</v>
      </c>
      <c r="AN67" s="408">
        <f t="shared" ca="1" si="20"/>
        <v>0</v>
      </c>
    </row>
    <row r="68" spans="1:40" x14ac:dyDescent="0.25">
      <c r="A68" s="22" t="s">
        <v>92</v>
      </c>
      <c r="B68" s="23" t="s">
        <v>93</v>
      </c>
      <c r="C68" s="23" t="s">
        <v>94</v>
      </c>
      <c r="D68" s="23" t="s">
        <v>95</v>
      </c>
      <c r="E68" s="23" t="s">
        <v>96</v>
      </c>
      <c r="F68" s="24" t="s">
        <v>97</v>
      </c>
      <c r="H68" s="15" t="s">
        <v>289</v>
      </c>
      <c r="I68" s="479" t="e">
        <f ca="1">_xll.EVPRO($B$1,$H68,"STYLE")</f>
        <v>#NAME?</v>
      </c>
      <c r="J68" s="479" t="e">
        <f ca="1">_xll.EVPRO($B$1,$H68,"CALC")</f>
        <v>#NAME?</v>
      </c>
      <c r="K68" s="480" t="e">
        <f t="shared" ca="1" si="14"/>
        <v>#NAME?</v>
      </c>
      <c r="L68" s="170" t="e">
        <f ca="1">_xll.EVPRO($B$1,H68,"JDEID")</f>
        <v>#NAME?</v>
      </c>
      <c r="M68" s="170" t="e">
        <f ca="1">IF(AND(I68="N",J68="N"),_xll.EVPRO($B$1,H68,"PSFTID"),"")</f>
        <v>#NAME?</v>
      </c>
      <c r="N68" s="170" t="e">
        <f ca="1">IF(_xll.EVDES(H68,$B$1)="#NODATA","",_xll.EVDES(H68,$B$1))</f>
        <v>#NAME?</v>
      </c>
      <c r="O68" s="224">
        <v>12167.86</v>
      </c>
      <c r="P68" s="134">
        <v>7097.98</v>
      </c>
      <c r="Q68" s="134">
        <v>6342.43</v>
      </c>
      <c r="R68" s="134">
        <v>2392.13</v>
      </c>
      <c r="S68" s="134">
        <v>4376.1899999999996</v>
      </c>
      <c r="T68" s="134">
        <v>1770.31</v>
      </c>
      <c r="U68" s="134">
        <v>67.73</v>
      </c>
      <c r="V68" s="134">
        <v>1077.23</v>
      </c>
      <c r="W68" s="134">
        <v>1627.38</v>
      </c>
      <c r="X68" s="134">
        <v>2827.05</v>
      </c>
      <c r="Y68" s="134">
        <v>3752.91</v>
      </c>
      <c r="Z68" s="134">
        <v>11790.39</v>
      </c>
      <c r="AA68" s="134" t="e">
        <f t="shared" ca="1" si="12"/>
        <v>#NAME?</v>
      </c>
      <c r="AB68" s="135" t="e">
        <f ca="1">IF(AA68=0,"",IFERROR(AA68/_xll.EVGTS($B$1,1,_xll.EVPRO($B$1,$H68,"COSBASIS"),$B$3,$B$5,$B$6,$B$7,$B$9,AA$16,AA$17,AA$11),""))</f>
        <v>#NAME?</v>
      </c>
      <c r="AC68" s="137"/>
      <c r="AD68" s="134">
        <v>74409.77</v>
      </c>
      <c r="AE68" s="135" t="str">
        <f ca="1">IF(AD68=0,"",IFERROR(AD68/_xll.EVGTS($B$1,1,_xll.EVPRO($B$1,$H68,"COSBASIS"),$B$3,$B$5,$B$6,$B$7,$B$9,AD$16,AD$17,AD$18),""))</f>
        <v/>
      </c>
      <c r="AF68" s="136" t="e">
        <f t="shared" ca="1" si="13"/>
        <v>#NAME?</v>
      </c>
      <c r="AG68" s="134">
        <v>54878.78</v>
      </c>
      <c r="AH68" s="135" t="str">
        <f ca="1">IF(AG68=0,"",IFERROR(AG68/_xll.EVGTS($B$1,1,_xll.EVPRO($B$1,$H68,"COSBASIS"),$B$3,$B$5,$B$6,$B$7,$B$9,AG$16,AG$17,AG$18),""))</f>
        <v/>
      </c>
      <c r="AI68" s="291" t="e">
        <f t="shared" ca="1" si="15"/>
        <v>#NAME?</v>
      </c>
      <c r="AJ68" s="360">
        <f t="shared" ca="1" si="16"/>
        <v>0</v>
      </c>
      <c r="AK68" s="361">
        <f t="shared" ca="1" si="17"/>
        <v>0</v>
      </c>
      <c r="AL68" s="363">
        <f t="shared" ca="1" si="18"/>
        <v>0</v>
      </c>
      <c r="AM68" s="405">
        <f t="shared" ca="1" si="19"/>
        <v>0</v>
      </c>
      <c r="AN68" s="406">
        <f t="shared" ca="1" si="20"/>
        <v>0</v>
      </c>
    </row>
    <row r="69" spans="1:40" x14ac:dyDescent="0.25">
      <c r="H69" s="149" t="s">
        <v>175</v>
      </c>
      <c r="I69" s="28" t="e">
        <f ca="1">_xll.EVPRO($B$1,$H69,"STYLE")</f>
        <v>#NAME?</v>
      </c>
      <c r="J69" s="28" t="e">
        <f ca="1">_xll.EVPRO($B$1,$H69,"CALC")</f>
        <v>#NAME?</v>
      </c>
      <c r="K69" s="69" t="e">
        <f ca="1">IF(AND(I69&gt;="T5"),"&gt;","")</f>
        <v>#NAME?</v>
      </c>
      <c r="L69" s="69"/>
      <c r="M69" s="69"/>
      <c r="N69" s="25" t="e">
        <f ca="1">IF(_xll.EVDES(H69,$B$1)="#NODATA","",_xll.EVDES(H69,$B$1))</f>
        <v>#NAME?</v>
      </c>
      <c r="O69" s="47"/>
      <c r="P69" s="47"/>
      <c r="Q69" s="47"/>
      <c r="R69" s="47"/>
      <c r="S69" s="47"/>
      <c r="T69" s="47"/>
      <c r="U69" s="47"/>
      <c r="V69" s="47"/>
      <c r="W69" s="47"/>
      <c r="X69" s="47"/>
      <c r="Y69" s="47"/>
      <c r="Z69" s="47"/>
      <c r="AA69" s="47"/>
      <c r="AB69" s="48" t="str">
        <f>IF(O69=0,"",IFERROR(O69/_xll.EVGTS($B$1,1,INDEX(#REF!,MATCH($H69,#REF!,0)),$B$3,$B$5,$B$6,$B$7,$B$9,O$16,O$17,O$18),""))</f>
        <v/>
      </c>
      <c r="AD69" s="47"/>
      <c r="AE69" s="48" t="str">
        <f>IF(AD69=0,"",IFERROR(AD69/_xll.EVGTS($B$1,1,INDEX(#REF!,MATCH($H69,#REF!,0)),$B$3,$B$5,$B$6,$B$7,$B$9,AD$16,AD$17,AD$18),""))</f>
        <v/>
      </c>
      <c r="AF69" s="150" t="str">
        <f t="shared" ref="AF69:AF70" si="21">IF(AND($AA69="",AD69=""),"",$AA69-AD69)</f>
        <v/>
      </c>
      <c r="AG69" s="47"/>
      <c r="AH69" s="48" t="str">
        <f>IF(AG69=0,"",IFERROR(AG69/_xll.EVGTS($B$1,1,INDEX(#REF!,MATCH($H69,#REF!,0)),$B$3,$B$5,$B$6,$B$7,$B$9,AG$16,AG$17,AG$18),""))</f>
        <v/>
      </c>
      <c r="AI69" s="150" t="str">
        <f>IF(AND($AA69="",AG69=""),"",$AA69-AG69)</f>
        <v/>
      </c>
      <c r="AJ69" s="420">
        <f ca="1">IFERROR(AA69/AA$20,0)</f>
        <v>0</v>
      </c>
      <c r="AK69" s="421">
        <f ca="1">IFERROR(AD69/AD$20,0)</f>
        <v>0</v>
      </c>
      <c r="AL69" s="422">
        <f ca="1">IFERROR(AG69/AG$20,0)</f>
        <v>0</v>
      </c>
      <c r="AM69" s="423">
        <f>+IFERROR(ROUND(($AB69-AE69)*100,2)&amp;" pts.",0)</f>
        <v>0</v>
      </c>
      <c r="AN69" s="424">
        <f>+IFERROR(ROUND(($AB69-AH69)*100,2)&amp;" pts.",0)</f>
        <v>0</v>
      </c>
    </row>
    <row r="70" spans="1:40" x14ac:dyDescent="0.25">
      <c r="A70" s="1" t="s">
        <v>209</v>
      </c>
      <c r="B70" s="1" t="s">
        <v>21</v>
      </c>
      <c r="C70" s="74"/>
      <c r="D70" s="1" t="s">
        <v>590</v>
      </c>
      <c r="F70" s="1" t="s">
        <v>99</v>
      </c>
      <c r="H70" s="149" t="s">
        <v>292</v>
      </c>
      <c r="I70" s="28" t="e">
        <f ca="1">_xll.EVPRO($B$1,$H70,"STYLE")</f>
        <v>#NAME?</v>
      </c>
      <c r="J70" s="28" t="e">
        <f ca="1">_xll.EVPRO($B$1,$H70,"CALC")</f>
        <v>#NAME?</v>
      </c>
      <c r="K70" s="69" t="e">
        <f ca="1">IF(AND(I70&gt;="T5"),"&gt;","")</f>
        <v>#NAME?</v>
      </c>
      <c r="L70" s="69"/>
      <c r="M70" s="69"/>
      <c r="N70" s="25" t="e">
        <f ca="1">IF(_xll.EVDES(H70,$B$1)="#NODATA","",_xll.EVDES(H70,$B$1))</f>
        <v>#NAME?</v>
      </c>
      <c r="O70" s="164">
        <f t="shared" ref="O70:Z70" si="22">SUMIF($H$35:$H$68,"400000",O35:O68)-SUMIF($H$35:$H$68,"500001",O35:O68)</f>
        <v>75663.92</v>
      </c>
      <c r="P70" s="164">
        <f t="shared" si="22"/>
        <v>45546.47</v>
      </c>
      <c r="Q70" s="164">
        <f t="shared" si="22"/>
        <v>48367.9</v>
      </c>
      <c r="R70" s="164">
        <f t="shared" si="22"/>
        <v>18572.45</v>
      </c>
      <c r="S70" s="164">
        <f t="shared" si="22"/>
        <v>23549.390000000003</v>
      </c>
      <c r="T70" s="164">
        <f t="shared" si="22"/>
        <v>12770.720000000001</v>
      </c>
      <c r="U70" s="164">
        <f t="shared" si="22"/>
        <v>3337.49</v>
      </c>
      <c r="V70" s="164">
        <f t="shared" si="22"/>
        <v>7258.59</v>
      </c>
      <c r="W70" s="164">
        <f t="shared" si="22"/>
        <v>10751.970000000001</v>
      </c>
      <c r="X70" s="164">
        <f t="shared" si="22"/>
        <v>18430.23</v>
      </c>
      <c r="Y70" s="164">
        <f t="shared" si="22"/>
        <v>25154.12</v>
      </c>
      <c r="Z70" s="164">
        <f t="shared" si="22"/>
        <v>78973.009999999995</v>
      </c>
      <c r="AA70" s="164" t="e">
        <f ca="1">IF($I70="B1","",SUM(O70:Z70))</f>
        <v>#NAME?</v>
      </c>
      <c r="AB70" s="135" t="str">
        <f ca="1">IF(O70=0,"",IFERROR(O70/O$19,""))</f>
        <v/>
      </c>
      <c r="AD70" s="164">
        <f>SUMIF($H$35:$H$68,"400000",AD35:AD68)-SUMIF($H$35:$H$68,"500001",AD35:AD68)</f>
        <v>494737.67499999993</v>
      </c>
      <c r="AE70" s="135" t="str">
        <f ca="1">IF(AD70=0,"",IFERROR(AD70/AD$19,""))</f>
        <v/>
      </c>
      <c r="AF70" s="165" t="e">
        <f t="shared" ca="1" si="21"/>
        <v>#NAME?</v>
      </c>
      <c r="AG70" s="164">
        <f>SUMIF($H$35:$H$68,"400000",AG35:AG68)-SUMIF($H$35:$H$68,"500001",AG35:AG68)</f>
        <v>379911.18999999994</v>
      </c>
      <c r="AH70" s="135" t="str">
        <f ca="1">IF(AG70=0,"",IFERROR(AG70/AG$19,""))</f>
        <v/>
      </c>
      <c r="AI70" s="165" t="e">
        <f ca="1">IF(AND($AA70="",AG70=""),"",$AA70-AG70)</f>
        <v>#NAME?</v>
      </c>
      <c r="AJ70" s="392">
        <f ca="1">IFERROR(AA70/AA$20,0)</f>
        <v>0</v>
      </c>
      <c r="AK70" s="393">
        <f ca="1">IFERROR(AD70/AD$20,0)</f>
        <v>0</v>
      </c>
      <c r="AL70" s="394">
        <f ca="1">IFERROR(AG70/AG$20,0)</f>
        <v>0</v>
      </c>
      <c r="AM70" s="395">
        <f ca="1">+IFERROR(ROUND(($AB70-AE70)*100,2)&amp;" pts.",0)</f>
        <v>0</v>
      </c>
      <c r="AN70" s="437">
        <f ca="1">+IFERROR(ROUND(($AB70-AH70)*100,2)&amp;" pts.",0)</f>
        <v>0</v>
      </c>
    </row>
    <row r="71" spans="1:40" x14ac:dyDescent="0.25">
      <c r="A71" s="1" t="s">
        <v>105</v>
      </c>
      <c r="C71" s="26" t="s">
        <v>101</v>
      </c>
      <c r="D71" s="1" t="s">
        <v>106</v>
      </c>
      <c r="F71" s="1" t="s">
        <v>98</v>
      </c>
      <c r="O71" s="163"/>
      <c r="P71" s="287"/>
      <c r="Q71" s="287"/>
      <c r="R71" s="287"/>
      <c r="S71" s="287"/>
      <c r="T71" s="287"/>
      <c r="U71" s="287"/>
      <c r="V71" s="287"/>
      <c r="W71" s="287"/>
      <c r="X71" s="287"/>
      <c r="Y71" s="287"/>
      <c r="Z71" s="287"/>
      <c r="AA71" s="287"/>
      <c r="AB71" s="55"/>
      <c r="AD71" s="53"/>
      <c r="AE71" s="54"/>
      <c r="AF71" s="55"/>
      <c r="AG71" s="54"/>
      <c r="AH71" s="54"/>
      <c r="AI71" s="55"/>
    </row>
    <row r="72" spans="1:40" x14ac:dyDescent="0.25">
      <c r="A72" s="1" t="s">
        <v>104</v>
      </c>
      <c r="C72" s="26" t="s">
        <v>101</v>
      </c>
      <c r="D72" s="1" t="s">
        <v>106</v>
      </c>
      <c r="F72" s="1" t="s">
        <v>98</v>
      </c>
      <c r="H72" s="1" t="s">
        <v>73</v>
      </c>
      <c r="I72" s="11" t="e">
        <f ca="1">_xll.EVPRO($B$1,$H72,"STYLE")</f>
        <v>#NAME?</v>
      </c>
      <c r="J72" s="11" t="e">
        <f ca="1">_xll.EVPRO($B$1,$H72,"CALC")</f>
        <v>#NAME?</v>
      </c>
      <c r="N72" s="40" t="e">
        <f ca="1">IF(_xll.EVDES(H72,$B$1)="#NODATA","",_xll.EVDES(H72,$B$1))</f>
        <v>#NAME?</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1" t="s">
        <v>100</v>
      </c>
      <c r="C73" s="8" t="s">
        <v>101</v>
      </c>
      <c r="D73" s="1" t="s">
        <v>106</v>
      </c>
      <c r="F73" s="1" t="s">
        <v>98</v>
      </c>
      <c r="H73" s="1" t="s">
        <v>74</v>
      </c>
      <c r="I73" s="11" t="e">
        <f ca="1">_xll.EVPRO($B$1,$H73,"STYLE")</f>
        <v>#NAME?</v>
      </c>
      <c r="J73" s="11" t="e">
        <f ca="1">_xll.EVPRO($B$1,$H73,"CALC")</f>
        <v>#NAME?</v>
      </c>
      <c r="N73" s="8" t="e">
        <f ca="1">IF(_xll.EVDES(H73,$B$1)="#NODATA","",_xll.EVDES(H73,$B$1))</f>
        <v>#NAME?</v>
      </c>
      <c r="O73" s="43"/>
      <c r="P73" s="46"/>
      <c r="Q73" s="46"/>
      <c r="R73" s="46"/>
      <c r="S73" s="46"/>
      <c r="T73" s="46"/>
      <c r="U73" s="46"/>
      <c r="V73" s="46"/>
      <c r="W73" s="46"/>
      <c r="X73" s="46"/>
      <c r="Y73" s="46"/>
      <c r="Z73" s="46"/>
      <c r="AA73" s="46"/>
      <c r="AB73" s="44"/>
      <c r="AD73" s="43"/>
      <c r="AE73" s="46"/>
      <c r="AF73" s="44"/>
      <c r="AG73" s="46"/>
      <c r="AH73" s="46"/>
      <c r="AI73" s="44"/>
    </row>
    <row r="74" spans="1:40" hidden="1" x14ac:dyDescent="0.25">
      <c r="A74" s="1" t="s">
        <v>102</v>
      </c>
      <c r="C74" s="25" t="s">
        <v>101</v>
      </c>
      <c r="D74" s="1" t="s">
        <v>106</v>
      </c>
      <c r="F74" s="1" t="s">
        <v>98</v>
      </c>
      <c r="H74" s="15" t="s">
        <v>667</v>
      </c>
      <c r="I74" s="161" t="e">
        <f ca="1">_xll.EVPRO($B$1,$H74,"STYLE")</f>
        <v>#NAME?</v>
      </c>
      <c r="J74" s="161" t="e">
        <f ca="1">_xll.EVPRO($B$1,$H74,"CALC")</f>
        <v>#NAME?</v>
      </c>
      <c r="K74" s="68" t="e">
        <f ca="1">IF(AND(I74&gt;="T3"),"&gt;","")</f>
        <v>#NAME?</v>
      </c>
      <c r="L74" s="162" t="e">
        <f ca="1">_xll.EVPRO($B$1,H74,"JDEID")</f>
        <v>#NAME?</v>
      </c>
      <c r="M74" s="162" t="e">
        <f ca="1">IF(AND(I74="N",J74="N"),_xll.EVPRO($B$1,H74,"PSFTID"),"")</f>
        <v>#NAME?</v>
      </c>
      <c r="N74" s="162" t="e">
        <f ca="1">IF(_xll.EVDES(H74,$B$1)="#NODATA","",_xll.EVDES(H74,$B$1))</f>
        <v>#NAME?</v>
      </c>
      <c r="O74" s="38"/>
      <c r="P74" s="38"/>
      <c r="Q74" s="38"/>
      <c r="R74" s="38"/>
      <c r="S74" s="38"/>
      <c r="T74" s="38"/>
      <c r="U74" s="38"/>
      <c r="V74" s="38"/>
      <c r="W74" s="38"/>
      <c r="X74" s="38"/>
      <c r="Y74" s="38"/>
      <c r="Z74" s="38"/>
      <c r="AA74" s="310" t="e">
        <f t="shared" ref="AA74:AA86" ca="1" si="23">IF($I74="B1","",SUM(O74:Z74))</f>
        <v>#NAME?</v>
      </c>
      <c r="AB74" s="39" t="e">
        <f t="shared" ref="AB74:AB86" ca="1" si="24">IF(AA74=0,"",IFERROR(AA74/AA$19,""))</f>
        <v>#NAME?</v>
      </c>
      <c r="AD74" s="38"/>
      <c r="AE74" s="39" t="str">
        <f t="shared" ref="AE74:AE86" si="25">IF(AD74=0,"",IFERROR(AD74/AD$19,""))</f>
        <v/>
      </c>
      <c r="AF74" s="132" t="e">
        <f t="shared" ref="AF74:AF86" ca="1" si="26">IF(AND($AA74="",AD74=""),"",$AA74-AD74)</f>
        <v>#NAME?</v>
      </c>
      <c r="AG74" s="38"/>
      <c r="AH74" s="39" t="str">
        <f>IF(AG74=0,"",IFERROR(AG74/AG$19,""))</f>
        <v/>
      </c>
      <c r="AI74" s="132" t="e">
        <f ca="1">IF(AND($AA74="",AG74=""),"",$AA74-AG74)</f>
        <v>#NAME?</v>
      </c>
      <c r="AJ74" s="399">
        <f ca="1">IFERROR(AA74/AA$20,0)</f>
        <v>0</v>
      </c>
      <c r="AK74" s="400">
        <f ca="1">IFERROR(AD74/AD$20,0)</f>
        <v>0</v>
      </c>
      <c r="AL74" s="401">
        <f ca="1">IFERROR(AG74/AG$20,0)</f>
        <v>0</v>
      </c>
      <c r="AM74" s="402">
        <f ca="1">+IFERROR(ROUND(($AB74-AE74)*100,2)&amp;" pts.",0)</f>
        <v>0</v>
      </c>
      <c r="AN74" s="403">
        <f ca="1">+IFERROR(ROUND(($AB74-AH74)*100,2)&amp;" pts.",0)</f>
        <v>0</v>
      </c>
    </row>
    <row r="75" spans="1:40" hidden="1" x14ac:dyDescent="0.25">
      <c r="A75" s="1" t="s">
        <v>102</v>
      </c>
      <c r="C75" s="151" t="s">
        <v>101</v>
      </c>
      <c r="D75" s="1" t="s">
        <v>107</v>
      </c>
      <c r="F75" s="1" t="s">
        <v>99</v>
      </c>
      <c r="H75" s="15"/>
      <c r="I75" s="161" t="e">
        <f ca="1">_xll.EVPRO($B$1,$H75,"STYLE")</f>
        <v>#NAME?</v>
      </c>
      <c r="J75" s="161" t="e">
        <f ca="1">_xll.EVPRO($B$1,$H75,"CALC")</f>
        <v>#NAME?</v>
      </c>
      <c r="K75" s="68" t="e">
        <f ca="1">IF(AND(I75&gt;="T3"),"&gt;","")</f>
        <v>#NAME?</v>
      </c>
      <c r="L75" s="162" t="e">
        <f ca="1">_xll.EVPRO($B$1,H75,"JDEID")</f>
        <v>#NAME?</v>
      </c>
      <c r="M75" s="162" t="e">
        <f ca="1">IF(AND(I75="N",J75="N"),_xll.EVPRO($B$1,H75,"PSFTID"),"")</f>
        <v>#NAME?</v>
      </c>
      <c r="N75" s="162" t="e">
        <f ca="1">IF(_xll.EVDES(H75,$B$1)="#NODATA","",_xll.EVDES(H75,$B$1))</f>
        <v>#NAME?</v>
      </c>
      <c r="O75" s="38"/>
      <c r="P75" s="38"/>
      <c r="Q75" s="38"/>
      <c r="R75" s="38"/>
      <c r="S75" s="38"/>
      <c r="T75" s="38"/>
      <c r="U75" s="38"/>
      <c r="V75" s="38"/>
      <c r="W75" s="38"/>
      <c r="X75" s="38"/>
      <c r="Y75" s="38"/>
      <c r="Z75" s="38"/>
      <c r="AA75" s="310" t="e">
        <f t="shared" ca="1" si="23"/>
        <v>#NAME?</v>
      </c>
      <c r="AB75" s="39" t="e">
        <f t="shared" ca="1" si="24"/>
        <v>#NAME?</v>
      </c>
      <c r="AD75" s="38"/>
      <c r="AE75" s="39" t="str">
        <f t="shared" si="25"/>
        <v/>
      </c>
      <c r="AF75" s="132" t="e">
        <f t="shared" ca="1" si="26"/>
        <v>#NAME?</v>
      </c>
      <c r="AG75" s="38"/>
      <c r="AH75" s="39" t="str">
        <f>IF(AG75=0,"",IFERROR(AG75/AG$19,""))</f>
        <v/>
      </c>
      <c r="AI75" s="132" t="e">
        <f ca="1">IF(AND($AA75="",AG75=""),"",$AA75-AG75)</f>
        <v>#NAME?</v>
      </c>
      <c r="AJ75" s="399">
        <f ca="1">IFERROR(AA75/AA$20,0)</f>
        <v>0</v>
      </c>
      <c r="AK75" s="400">
        <f ca="1">IFERROR(AD75/AD$20,0)</f>
        <v>0</v>
      </c>
      <c r="AL75" s="401">
        <f ca="1">IFERROR(AG75/AG$20,0)</f>
        <v>0</v>
      </c>
      <c r="AM75" s="402">
        <f ca="1">+IFERROR(ROUND(($AB75-AE75)*100,2)&amp;" pts.",0)</f>
        <v>0</v>
      </c>
      <c r="AN75" s="403">
        <f ca="1">+IFERROR(ROUND(($AB75-AH75)*100,2)&amp;" pts.",0)</f>
        <v>0</v>
      </c>
    </row>
    <row r="76" spans="1:40" x14ac:dyDescent="0.25">
      <c r="A76" s="1" t="s">
        <v>108</v>
      </c>
      <c r="C76" s="25" t="s">
        <v>101</v>
      </c>
      <c r="D76" s="1" t="s">
        <v>106</v>
      </c>
      <c r="F76" s="1" t="s">
        <v>98</v>
      </c>
      <c r="H76" s="15" t="s">
        <v>75</v>
      </c>
      <c r="I76" s="28" t="e">
        <f ca="1">_xll.EVPRO($B$1,$H76,"STYLE")</f>
        <v>#NAME?</v>
      </c>
      <c r="J76" s="28" t="e">
        <f ca="1">_xll.EVPRO($B$1,$H76,"CALC")</f>
        <v>#NAME?</v>
      </c>
      <c r="K76" s="69" t="e">
        <f ca="1">IF(AND(I76&gt;="T3"),"&gt;","")</f>
        <v>#NAME?</v>
      </c>
      <c r="L76" s="25" t="e">
        <f ca="1">_xll.EVPRO($B$1,H76,"JDEID")</f>
        <v>#NAME?</v>
      </c>
      <c r="M76" s="162" t="e">
        <f ca="1">IF(AND(I76="N",J76="N"),_xll.EVPRO($B$1,H76,"PSFTID"),"")</f>
        <v>#NAME?</v>
      </c>
      <c r="N76" s="25" t="e">
        <f ca="1">IF(_xll.EVDES(H76,$B$1)="#NODATA","",_xll.EVDES(H76,$B$1))</f>
        <v>#NAME?</v>
      </c>
      <c r="O76" s="38"/>
      <c r="P76" s="38"/>
      <c r="Q76" s="38"/>
      <c r="R76" s="38"/>
      <c r="S76" s="38"/>
      <c r="T76" s="38"/>
      <c r="U76" s="38"/>
      <c r="V76" s="38"/>
      <c r="W76" s="38"/>
      <c r="X76" s="38"/>
      <c r="Y76" s="38"/>
      <c r="Z76" s="38"/>
      <c r="AA76" s="310" t="e">
        <f t="shared" ca="1" si="23"/>
        <v>#NAME?</v>
      </c>
      <c r="AB76" s="39" t="e">
        <f t="shared" ca="1" si="24"/>
        <v>#NAME?</v>
      </c>
      <c r="AD76" s="38"/>
      <c r="AE76" s="39" t="str">
        <f t="shared" si="25"/>
        <v/>
      </c>
      <c r="AF76" s="132" t="e">
        <f t="shared" ca="1" si="26"/>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x14ac:dyDescent="0.25">
      <c r="A77" s="1" t="s">
        <v>108</v>
      </c>
      <c r="C77" s="151" t="s">
        <v>101</v>
      </c>
      <c r="D77" s="1" t="s">
        <v>107</v>
      </c>
      <c r="F77" s="1" t="s">
        <v>99</v>
      </c>
      <c r="H77" s="15" t="s">
        <v>862</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47"/>
      <c r="P77" s="47"/>
      <c r="Q77" s="47"/>
      <c r="R77" s="47"/>
      <c r="S77" s="47"/>
      <c r="T77" s="47"/>
      <c r="U77" s="47"/>
      <c r="V77" s="47"/>
      <c r="W77" s="47"/>
      <c r="X77" s="47"/>
      <c r="Y77" s="47"/>
      <c r="Z77" s="47"/>
      <c r="AA77" s="324" t="e">
        <f t="shared" ca="1" si="23"/>
        <v>#NAME?</v>
      </c>
      <c r="AB77" s="48" t="e">
        <f t="shared" ca="1" si="24"/>
        <v>#NAME?</v>
      </c>
      <c r="AD77" s="47">
        <v>17207.3</v>
      </c>
      <c r="AE77" s="48" t="str">
        <f t="shared" ca="1" si="25"/>
        <v/>
      </c>
      <c r="AF77" s="150" t="e">
        <f t="shared" ca="1" si="26"/>
        <v>#NAME?</v>
      </c>
      <c r="AG77" s="47">
        <v>45.23</v>
      </c>
      <c r="AH77" s="48" t="str">
        <f ca="1">IF(AG77=0,"",IFERROR(AG77/AG$19,""))</f>
        <v/>
      </c>
      <c r="AI77" s="150" t="e">
        <f ca="1">IF(AND($AA77="",AG77=""),"",$AA77-AG77)</f>
        <v>#NAME?</v>
      </c>
      <c r="AJ77" s="409">
        <f ca="1">IFERROR(AA77/AA$20,0)</f>
        <v>0</v>
      </c>
      <c r="AK77" s="410">
        <f ca="1">IFERROR(AD77/AD$20,0)</f>
        <v>0</v>
      </c>
      <c r="AL77" s="411">
        <f ca="1">IFERROR(AG77/AG$20,0)</f>
        <v>0</v>
      </c>
      <c r="AM77" s="412">
        <f ca="1">+IFERROR(ROUND(($AB77-AE77)*100,2)&amp;" pts.",0)</f>
        <v>0</v>
      </c>
      <c r="AN77" s="413">
        <f ca="1">+IFERROR(ROUND(($AB77-AH77)*100,2)&amp;" pts.",0)</f>
        <v>0</v>
      </c>
    </row>
    <row r="78" spans="1:40" x14ac:dyDescent="0.25">
      <c r="H78" s="15" t="s">
        <v>863</v>
      </c>
      <c r="I78" s="161" t="e">
        <f ca="1">_xll.EVPRO($B$1,$H78,"STYLE")</f>
        <v>#NAME?</v>
      </c>
      <c r="J78" s="161" t="e">
        <f ca="1">_xll.EVPRO($B$1,$H78,"CALC")</f>
        <v>#NAME?</v>
      </c>
      <c r="K78" s="68" t="e">
        <f t="shared" ref="K78:K86" ca="1" si="27">IF(AND(I78&gt;="T3"),"&gt;","")</f>
        <v>#NAME?</v>
      </c>
      <c r="L78" s="162" t="e">
        <f ca="1">_xll.EVPRO($B$1,H78,"JDEID")</f>
        <v>#NAME?</v>
      </c>
      <c r="M78" s="162" t="e">
        <f ca="1">IF(AND(I78="N",J78="N"),_xll.EVPRO($B$1,H78,"PSFTID"),"")</f>
        <v>#NAME?</v>
      </c>
      <c r="N78" s="162" t="e">
        <f ca="1">IF(_xll.EVDES(H78,$B$1)="#NODATA","",_xll.EVDES(H78,$B$1))</f>
        <v>#NAME?</v>
      </c>
      <c r="O78" s="47">
        <v>8783.2000000000007</v>
      </c>
      <c r="P78" s="47">
        <v>3305.43</v>
      </c>
      <c r="Q78" s="47">
        <v>2961.44</v>
      </c>
      <c r="R78" s="47">
        <v>1991.68</v>
      </c>
      <c r="S78" s="47">
        <v>2159.2600000000002</v>
      </c>
      <c r="T78" s="47">
        <v>-248.85</v>
      </c>
      <c r="U78" s="47">
        <v>291.94</v>
      </c>
      <c r="V78" s="47">
        <v>791.92</v>
      </c>
      <c r="W78" s="47">
        <v>1176.01</v>
      </c>
      <c r="X78" s="47">
        <v>2019.42</v>
      </c>
      <c r="Y78" s="47">
        <v>2746.17</v>
      </c>
      <c r="Z78" s="47">
        <v>8622.49</v>
      </c>
      <c r="AA78" s="324" t="e">
        <f t="shared" ca="1" si="23"/>
        <v>#NAME?</v>
      </c>
      <c r="AB78" s="48" t="e">
        <f t="shared" ca="1" si="24"/>
        <v>#NAME?</v>
      </c>
      <c r="AD78" s="47"/>
      <c r="AE78" s="48" t="str">
        <f t="shared" si="25"/>
        <v/>
      </c>
      <c r="AF78" s="150" t="e">
        <f t="shared" ca="1" si="26"/>
        <v>#NAME?</v>
      </c>
      <c r="AG78" s="47">
        <v>7885.16</v>
      </c>
      <c r="AH78" s="48" t="str">
        <f t="shared" ref="AH78:AH86" ca="1" si="28">IF(AG78=0,"",IFERROR(AG78/AG$19,""))</f>
        <v/>
      </c>
      <c r="AI78" s="150" t="e">
        <f t="shared" ref="AI78:AI86" ca="1" si="29">IF(AND($AA78="",AG78=""),"",$AA78-AG78)</f>
        <v>#NAME?</v>
      </c>
      <c r="AJ78" s="409">
        <f t="shared" ref="AJ78:AJ86" ca="1" si="30">IFERROR(AA78/AA$20,0)</f>
        <v>0</v>
      </c>
      <c r="AK78" s="410">
        <f t="shared" ref="AK78:AK86" ca="1" si="31">IFERROR(AD78/AD$20,0)</f>
        <v>0</v>
      </c>
      <c r="AL78" s="411">
        <f t="shared" ref="AL78:AL86" ca="1" si="32">IFERROR(AG78/AG$20,0)</f>
        <v>0</v>
      </c>
      <c r="AM78" s="412">
        <f t="shared" ref="AM78:AM86" ca="1" si="33">+IFERROR(ROUND(($AB78-AE78)*100,2)&amp;" pts.",0)</f>
        <v>0</v>
      </c>
      <c r="AN78" s="413">
        <f t="shared" ref="AN78:AN86" ca="1" si="34">+IFERROR(ROUND(($AB78-AH78)*100,2)&amp;" pts.",0)</f>
        <v>0</v>
      </c>
    </row>
    <row r="79" spans="1:40" x14ac:dyDescent="0.25">
      <c r="C79" s="32"/>
      <c r="H79" s="15" t="s">
        <v>848</v>
      </c>
      <c r="I79" s="479" t="e">
        <f ca="1">_xll.EVPRO($B$1,$H79,"STYLE")</f>
        <v>#NAME?</v>
      </c>
      <c r="J79" s="479" t="e">
        <f ca="1">_xll.EVPRO($B$1,$H79,"CALC")</f>
        <v>#NAME?</v>
      </c>
      <c r="K79" s="480" t="e">
        <f t="shared" ca="1" si="27"/>
        <v>#NAME?</v>
      </c>
      <c r="L79" s="170" t="e">
        <f ca="1">_xll.EVPRO($B$1,H79,"JDEID")</f>
        <v>#NAME?</v>
      </c>
      <c r="M79" s="170" t="e">
        <f ca="1">IF(AND(I79="N",J79="N"),_xll.EVPRO($B$1,H79,"PSFTID"),"")</f>
        <v>#NAME?</v>
      </c>
      <c r="N79" s="170" t="e">
        <f ca="1">IF(_xll.EVDES(H79,$B$1)="#NODATA","",_xll.EVDES(H79,$B$1))</f>
        <v>#NAME?</v>
      </c>
      <c r="O79" s="134">
        <v>8783.2000000000007</v>
      </c>
      <c r="P79" s="134">
        <v>3305.43</v>
      </c>
      <c r="Q79" s="134">
        <v>2961.44</v>
      </c>
      <c r="R79" s="134">
        <v>1991.68</v>
      </c>
      <c r="S79" s="134">
        <v>2159.2600000000002</v>
      </c>
      <c r="T79" s="134">
        <v>-248.85</v>
      </c>
      <c r="U79" s="134">
        <v>291.94</v>
      </c>
      <c r="V79" s="134">
        <v>791.92</v>
      </c>
      <c r="W79" s="134">
        <v>1176.01</v>
      </c>
      <c r="X79" s="134">
        <v>2019.42</v>
      </c>
      <c r="Y79" s="134">
        <v>2746.17</v>
      </c>
      <c r="Z79" s="134">
        <v>8622.49</v>
      </c>
      <c r="AA79" s="134" t="e">
        <f t="shared" ca="1" si="23"/>
        <v>#NAME?</v>
      </c>
      <c r="AB79" s="135" t="e">
        <f t="shared" ca="1" si="24"/>
        <v>#NAME?</v>
      </c>
      <c r="AC79" s="137"/>
      <c r="AD79" s="134">
        <v>17207.3</v>
      </c>
      <c r="AE79" s="135" t="str">
        <f t="shared" ca="1" si="25"/>
        <v/>
      </c>
      <c r="AF79" s="136" t="e">
        <f t="shared" ca="1" si="26"/>
        <v>#NAME?</v>
      </c>
      <c r="AG79" s="134">
        <v>7930.39</v>
      </c>
      <c r="AH79" s="135" t="str">
        <f t="shared" ca="1" si="28"/>
        <v/>
      </c>
      <c r="AI79" s="136" t="e">
        <f t="shared" ca="1" si="29"/>
        <v>#NAME?</v>
      </c>
      <c r="AJ79" s="360">
        <f t="shared" ca="1" si="30"/>
        <v>0</v>
      </c>
      <c r="AK79" s="361">
        <f t="shared" ca="1" si="31"/>
        <v>0</v>
      </c>
      <c r="AL79" s="363">
        <f t="shared" ca="1" si="32"/>
        <v>0</v>
      </c>
      <c r="AM79" s="405">
        <f t="shared" ca="1" si="33"/>
        <v>0</v>
      </c>
      <c r="AN79" s="406">
        <f t="shared" ca="1" si="34"/>
        <v>0</v>
      </c>
    </row>
    <row r="80" spans="1:40" x14ac:dyDescent="0.25">
      <c r="A80" s="4" t="e">
        <f ca="1">_xll.EVDRE($B$1,A83:B90,A93:B99)</f>
        <v>#NAME?</v>
      </c>
      <c r="H80" s="15" t="s">
        <v>864</v>
      </c>
      <c r="I80" s="161" t="e">
        <f ca="1">_xll.EVPRO($B$1,$H80,"STYLE")</f>
        <v>#NAME?</v>
      </c>
      <c r="J80" s="161" t="e">
        <f ca="1">_xll.EVPRO($B$1,$H80,"CALC")</f>
        <v>#NAME?</v>
      </c>
      <c r="K80" s="68" t="e">
        <f t="shared" ca="1" si="27"/>
        <v>#NAME?</v>
      </c>
      <c r="L80" s="162" t="e">
        <f ca="1">_xll.EVPRO($B$1,H80,"JDEID")</f>
        <v>#NAME?</v>
      </c>
      <c r="M80" s="162" t="e">
        <f ca="1">IF(AND(I80="N",J80="N"),_xll.EVPRO($B$1,H80,"PSFTID"),"")</f>
        <v>#NAME?</v>
      </c>
      <c r="N80" s="162" t="e">
        <f ca="1">IF(_xll.EVDES(H80,$B$1)="#NODATA","",_xll.EVDES(H80,$B$1))</f>
        <v>#NAME?</v>
      </c>
      <c r="O80" s="47">
        <v>9604.26</v>
      </c>
      <c r="P80" s="47">
        <v>3506.01</v>
      </c>
      <c r="Q80" s="47">
        <v>9518.84</v>
      </c>
      <c r="R80" s="47">
        <v>1913.69</v>
      </c>
      <c r="S80" s="47">
        <v>4091.22</v>
      </c>
      <c r="T80" s="47">
        <v>1757.27</v>
      </c>
      <c r="U80" s="47">
        <v>455.83</v>
      </c>
      <c r="V80" s="47">
        <v>2264.29</v>
      </c>
      <c r="W80" s="47">
        <v>1450.06</v>
      </c>
      <c r="X80" s="47">
        <v>3501.73</v>
      </c>
      <c r="Y80" s="47">
        <v>3406.73</v>
      </c>
      <c r="Z80" s="47">
        <v>12439.7</v>
      </c>
      <c r="AA80" s="47" t="e">
        <f t="shared" ca="1" si="23"/>
        <v>#NAME?</v>
      </c>
      <c r="AB80" s="48" t="e">
        <f t="shared" ca="1" si="24"/>
        <v>#NAME?</v>
      </c>
      <c r="AD80" s="47">
        <v>61220.9499</v>
      </c>
      <c r="AE80" s="48" t="str">
        <f t="shared" ca="1" si="25"/>
        <v/>
      </c>
      <c r="AF80" s="150" t="e">
        <f t="shared" ca="1" si="26"/>
        <v>#NAME?</v>
      </c>
      <c r="AG80" s="47">
        <v>47027.61</v>
      </c>
      <c r="AH80" s="48" t="str">
        <f t="shared" ca="1" si="28"/>
        <v/>
      </c>
      <c r="AI80" s="150" t="e">
        <f t="shared" ca="1" si="29"/>
        <v>#NAME?</v>
      </c>
      <c r="AJ80" s="420">
        <f t="shared" ca="1" si="30"/>
        <v>0</v>
      </c>
      <c r="AK80" s="421">
        <f t="shared" ca="1" si="31"/>
        <v>0</v>
      </c>
      <c r="AL80" s="422">
        <f t="shared" ca="1" si="32"/>
        <v>0</v>
      </c>
      <c r="AM80" s="423">
        <f t="shared" ca="1" si="33"/>
        <v>0</v>
      </c>
      <c r="AN80" s="424">
        <f t="shared" ca="1" si="34"/>
        <v>0</v>
      </c>
    </row>
    <row r="81" spans="1:40" x14ac:dyDescent="0.25">
      <c r="H81" s="15" t="s">
        <v>865</v>
      </c>
      <c r="I81" s="161" t="e">
        <f ca="1">_xll.EVPRO($B$1,$H81,"STYLE")</f>
        <v>#NAME?</v>
      </c>
      <c r="J81" s="161" t="e">
        <f ca="1">_xll.EVPRO($B$1,$H81,"CALC")</f>
        <v>#NAME?</v>
      </c>
      <c r="K81" s="68" t="e">
        <f t="shared" ca="1" si="27"/>
        <v>#NAME?</v>
      </c>
      <c r="L81" s="162" t="e">
        <f ca="1">_xll.EVPRO($B$1,H81,"JDEID")</f>
        <v>#NAME?</v>
      </c>
      <c r="M81" s="162" t="e">
        <f ca="1">IF(AND(I81="N",J81="N"),_xll.EVPRO($B$1,H81,"PSFTID"),"")</f>
        <v>#NAME?</v>
      </c>
      <c r="N81" s="162" t="e">
        <f ca="1">IF(_xll.EVDES(H81,$B$1)="#NODATA","",_xll.EVDES(H81,$B$1))</f>
        <v>#NAME?</v>
      </c>
      <c r="O81" s="47"/>
      <c r="P81" s="47">
        <v>109.71</v>
      </c>
      <c r="Q81" s="47">
        <v>430.79</v>
      </c>
      <c r="R81" s="47">
        <v>139.04</v>
      </c>
      <c r="S81" s="47">
        <v>78.75</v>
      </c>
      <c r="T81" s="47"/>
      <c r="U81" s="47"/>
      <c r="V81" s="47"/>
      <c r="W81" s="47"/>
      <c r="X81" s="47"/>
      <c r="Y81" s="47"/>
      <c r="Z81" s="47"/>
      <c r="AA81" s="324" t="e">
        <f t="shared" ca="1" si="23"/>
        <v>#NAME?</v>
      </c>
      <c r="AB81" s="48" t="e">
        <f t="shared" ca="1" si="24"/>
        <v>#NAME?</v>
      </c>
      <c r="AD81" s="47"/>
      <c r="AE81" s="48" t="str">
        <f t="shared" si="25"/>
        <v/>
      </c>
      <c r="AF81" s="150" t="e">
        <f t="shared" ca="1" si="26"/>
        <v>#NAME?</v>
      </c>
      <c r="AG81" s="47">
        <v>869.2</v>
      </c>
      <c r="AH81" s="48" t="str">
        <f t="shared" ca="1" si="28"/>
        <v/>
      </c>
      <c r="AI81" s="150" t="e">
        <f t="shared" ca="1" si="29"/>
        <v>#NAME?</v>
      </c>
      <c r="AJ81" s="409">
        <f t="shared" ca="1" si="30"/>
        <v>0</v>
      </c>
      <c r="AK81" s="410">
        <f t="shared" ca="1" si="31"/>
        <v>0</v>
      </c>
      <c r="AL81" s="411">
        <f t="shared" ca="1" si="32"/>
        <v>0</v>
      </c>
      <c r="AM81" s="412">
        <f t="shared" ca="1" si="33"/>
        <v>0</v>
      </c>
      <c r="AN81" s="413">
        <f t="shared" ca="1" si="34"/>
        <v>0</v>
      </c>
    </row>
    <row r="82" spans="1:40" x14ac:dyDescent="0.25">
      <c r="A82" s="3" t="s">
        <v>0</v>
      </c>
      <c r="B82" s="5" t="s">
        <v>1</v>
      </c>
      <c r="H82" s="15" t="s">
        <v>850</v>
      </c>
      <c r="I82" s="479" t="e">
        <f ca="1">_xll.EVPRO($B$1,$H82,"STYLE")</f>
        <v>#NAME?</v>
      </c>
      <c r="J82" s="479" t="e">
        <f ca="1">_xll.EVPRO($B$1,$H82,"CALC")</f>
        <v>#NAME?</v>
      </c>
      <c r="K82" s="480" t="e">
        <f t="shared" ca="1" si="27"/>
        <v>#NAME?</v>
      </c>
      <c r="L82" s="170" t="e">
        <f ca="1">_xll.EVPRO($B$1,H82,"JDEID")</f>
        <v>#NAME?</v>
      </c>
      <c r="M82" s="170" t="e">
        <f ca="1">IF(AND(I82="N",J82="N"),_xll.EVPRO($B$1,H82,"PSFTID"),"")</f>
        <v>#NAME?</v>
      </c>
      <c r="N82" s="170" t="e">
        <f ca="1">IF(_xll.EVDES(H82,$B$1)="#NODATA","",_xll.EVDES(H82,$B$1))</f>
        <v>#NAME?</v>
      </c>
      <c r="O82" s="134">
        <v>18387.46</v>
      </c>
      <c r="P82" s="134">
        <v>6921.15</v>
      </c>
      <c r="Q82" s="134">
        <v>12911.07</v>
      </c>
      <c r="R82" s="134">
        <v>4044.41</v>
      </c>
      <c r="S82" s="134">
        <v>6329.23</v>
      </c>
      <c r="T82" s="134">
        <v>1508.42</v>
      </c>
      <c r="U82" s="134">
        <v>747.77</v>
      </c>
      <c r="V82" s="134">
        <v>3056.21</v>
      </c>
      <c r="W82" s="134">
        <v>2626.07</v>
      </c>
      <c r="X82" s="134">
        <v>5521.15</v>
      </c>
      <c r="Y82" s="134">
        <v>6152.9</v>
      </c>
      <c r="Z82" s="134">
        <v>21062.19</v>
      </c>
      <c r="AA82" s="134" t="e">
        <f t="shared" ca="1" si="23"/>
        <v>#NAME?</v>
      </c>
      <c r="AB82" s="135" t="e">
        <f t="shared" ca="1" si="24"/>
        <v>#NAME?</v>
      </c>
      <c r="AC82" s="137"/>
      <c r="AD82" s="134">
        <v>78428.249899999995</v>
      </c>
      <c r="AE82" s="135" t="str">
        <f t="shared" ca="1" si="25"/>
        <v/>
      </c>
      <c r="AF82" s="136" t="e">
        <f t="shared" ca="1" si="26"/>
        <v>#NAME?</v>
      </c>
      <c r="AG82" s="134">
        <v>55827.199999999997</v>
      </c>
      <c r="AH82" s="135" t="str">
        <f t="shared" ca="1" si="28"/>
        <v/>
      </c>
      <c r="AI82" s="136" t="e">
        <f t="shared" ca="1" si="29"/>
        <v>#NAME?</v>
      </c>
      <c r="AJ82" s="360">
        <f t="shared" ca="1" si="30"/>
        <v>0</v>
      </c>
      <c r="AK82" s="361">
        <f t="shared" ca="1" si="31"/>
        <v>0</v>
      </c>
      <c r="AL82" s="363">
        <f t="shared" ca="1" si="32"/>
        <v>0</v>
      </c>
      <c r="AM82" s="405">
        <f t="shared" ca="1" si="33"/>
        <v>0</v>
      </c>
      <c r="AN82" s="406">
        <f t="shared" ca="1" si="34"/>
        <v>0</v>
      </c>
    </row>
    <row r="83" spans="1:40" x14ac:dyDescent="0.25">
      <c r="A83" s="6" t="s">
        <v>2</v>
      </c>
      <c r="B83" s="7" t="e">
        <f ca="1">_xll.EVRNG($B$2:$B$10)</f>
        <v>#NAME?</v>
      </c>
      <c r="H83" s="15" t="s">
        <v>851</v>
      </c>
      <c r="I83" s="161" t="e">
        <f ca="1">_xll.EVPRO($B$1,$H83,"STYLE")</f>
        <v>#NAME?</v>
      </c>
      <c r="J83" s="161" t="e">
        <f ca="1">_xll.EVPRO($B$1,$H83,"CALC")</f>
        <v>#NAME?</v>
      </c>
      <c r="K83" s="68" t="e">
        <f t="shared" ca="1" si="27"/>
        <v>#NAME?</v>
      </c>
      <c r="L83" s="162" t="e">
        <f ca="1">_xll.EVPRO($B$1,H83,"JDEID")</f>
        <v>#NAME?</v>
      </c>
      <c r="M83" s="162" t="e">
        <f ca="1">IF(AND(I83="N",J83="N"),_xll.EVPRO($B$1,H83,"PSFTID"),"")</f>
        <v>#NAME?</v>
      </c>
      <c r="N83" s="162" t="e">
        <f ca="1">IF(_xll.EVDES(H83,$B$1)="#NODATA","",_xll.EVDES(H83,$B$1))</f>
        <v>#NAME?</v>
      </c>
      <c r="O83" s="47"/>
      <c r="P83" s="47"/>
      <c r="Q83" s="47"/>
      <c r="R83" s="47"/>
      <c r="S83" s="47"/>
      <c r="T83" s="47"/>
      <c r="U83" s="47"/>
      <c r="V83" s="47"/>
      <c r="W83" s="47"/>
      <c r="X83" s="47"/>
      <c r="Y83" s="47"/>
      <c r="Z83" s="47"/>
      <c r="AA83" s="47" t="e">
        <f t="shared" ca="1" si="23"/>
        <v>#NAME?</v>
      </c>
      <c r="AB83" s="48" t="e">
        <f t="shared" ca="1" si="24"/>
        <v>#NAME?</v>
      </c>
      <c r="AD83" s="47">
        <v>747.79653454000004</v>
      </c>
      <c r="AE83" s="48" t="str">
        <f t="shared" ca="1" si="25"/>
        <v/>
      </c>
      <c r="AF83" s="150" t="e">
        <f t="shared" ca="1" si="26"/>
        <v>#NAME?</v>
      </c>
      <c r="AG83" s="47">
        <v>4.05</v>
      </c>
      <c r="AH83" s="48" t="str">
        <f t="shared" ca="1" si="28"/>
        <v/>
      </c>
      <c r="AI83" s="150" t="e">
        <f t="shared" ca="1" si="29"/>
        <v>#NAME?</v>
      </c>
      <c r="AJ83" s="420">
        <f t="shared" ca="1" si="30"/>
        <v>0</v>
      </c>
      <c r="AK83" s="421">
        <f t="shared" ca="1" si="31"/>
        <v>0</v>
      </c>
      <c r="AL83" s="422">
        <f t="shared" ca="1" si="32"/>
        <v>0</v>
      </c>
      <c r="AM83" s="423">
        <f t="shared" ca="1" si="33"/>
        <v>0</v>
      </c>
      <c r="AN83" s="424">
        <f t="shared" ca="1" si="34"/>
        <v>0</v>
      </c>
    </row>
    <row r="84" spans="1:40" x14ac:dyDescent="0.25">
      <c r="A84" s="6" t="s">
        <v>3</v>
      </c>
      <c r="B84" s="7" t="e">
        <f ca="1">_xll.EVRNG($O$16:$AN$18)</f>
        <v>#NAME?</v>
      </c>
      <c r="H84" s="15" t="s">
        <v>852</v>
      </c>
      <c r="I84" s="161" t="e">
        <f ca="1">_xll.EVPRO($B$1,$H84,"STYLE")</f>
        <v>#NAME?</v>
      </c>
      <c r="J84" s="161" t="e">
        <f ca="1">_xll.EVPRO($B$1,$H84,"CALC")</f>
        <v>#NAME?</v>
      </c>
      <c r="K84" s="68" t="e">
        <f t="shared" ca="1" si="27"/>
        <v>#NAME?</v>
      </c>
      <c r="L84" s="162" t="e">
        <f ca="1">_xll.EVPRO($B$1,H84,"JDEID")</f>
        <v>#NAME?</v>
      </c>
      <c r="M84" s="162" t="e">
        <f ca="1">IF(AND(I84="N",J84="N"),_xll.EVPRO($B$1,H84,"PSFTID"),"")</f>
        <v>#NAME?</v>
      </c>
      <c r="N84" s="162" t="e">
        <f ca="1">IF(_xll.EVDES(H84,$B$1)="#NODATA","",_xll.EVDES(H84,$B$1))</f>
        <v>#NAME?</v>
      </c>
      <c r="O84" s="47"/>
      <c r="P84" s="47"/>
      <c r="Q84" s="47"/>
      <c r="R84" s="47"/>
      <c r="S84" s="47"/>
      <c r="T84" s="47"/>
      <c r="U84" s="47"/>
      <c r="V84" s="47"/>
      <c r="W84" s="47"/>
      <c r="X84" s="47"/>
      <c r="Y84" s="47"/>
      <c r="Z84" s="47"/>
      <c r="AA84" s="324" t="e">
        <f t="shared" ca="1" si="23"/>
        <v>#NAME?</v>
      </c>
      <c r="AB84" s="48" t="e">
        <f t="shared" ca="1" si="24"/>
        <v>#NAME?</v>
      </c>
      <c r="AD84" s="47"/>
      <c r="AE84" s="48" t="str">
        <f t="shared" si="25"/>
        <v/>
      </c>
      <c r="AF84" s="150" t="e">
        <f t="shared" ca="1" si="26"/>
        <v>#NAME?</v>
      </c>
      <c r="AG84" s="47">
        <v>-0.21</v>
      </c>
      <c r="AH84" s="48" t="str">
        <f t="shared" ca="1" si="28"/>
        <v/>
      </c>
      <c r="AI84" s="150" t="e">
        <f t="shared" ca="1" si="29"/>
        <v>#NAME?</v>
      </c>
      <c r="AJ84" s="409">
        <f t="shared" ca="1" si="30"/>
        <v>0</v>
      </c>
      <c r="AK84" s="410">
        <f t="shared" ca="1" si="31"/>
        <v>0</v>
      </c>
      <c r="AL84" s="411">
        <f t="shared" ca="1" si="32"/>
        <v>0</v>
      </c>
      <c r="AM84" s="412">
        <f t="shared" ca="1" si="33"/>
        <v>0</v>
      </c>
      <c r="AN84" s="413">
        <f t="shared" ca="1" si="34"/>
        <v>0</v>
      </c>
    </row>
    <row r="85" spans="1:40" x14ac:dyDescent="0.25">
      <c r="A85" s="6" t="s">
        <v>4</v>
      </c>
      <c r="B85" s="7" t="e">
        <f ca="1">_xll.EVRNG(H74:H75,H77:H86,H89:H96)</f>
        <v>#NAME?</v>
      </c>
      <c r="H85" s="15" t="s">
        <v>854</v>
      </c>
      <c r="I85" s="479" t="e">
        <f ca="1">_xll.EVPRO($B$1,$H85,"STYLE")</f>
        <v>#NAME?</v>
      </c>
      <c r="J85" s="479" t="e">
        <f ca="1">_xll.EVPRO($B$1,$H85,"CALC")</f>
        <v>#NAME?</v>
      </c>
      <c r="K85" s="480" t="e">
        <f t="shared" ca="1" si="27"/>
        <v>#NAME?</v>
      </c>
      <c r="L85" s="170" t="e">
        <f ca="1">_xll.EVPRO($B$1,H85,"JDEID")</f>
        <v>#NAME?</v>
      </c>
      <c r="M85" s="170" t="e">
        <f ca="1">IF(AND(I85="N",J85="N"),_xll.EVPRO($B$1,H85,"PSFTID"),"")</f>
        <v>#NAME?</v>
      </c>
      <c r="N85" s="170" t="e">
        <f ca="1">IF(_xll.EVDES(H85,$B$1)="#NODATA","",_xll.EVDES(H85,$B$1))</f>
        <v>#NAME?</v>
      </c>
      <c r="O85" s="36"/>
      <c r="P85" s="36"/>
      <c r="Q85" s="36"/>
      <c r="R85" s="36"/>
      <c r="S85" s="36"/>
      <c r="T85" s="36"/>
      <c r="U85" s="36"/>
      <c r="V85" s="36"/>
      <c r="W85" s="36"/>
      <c r="X85" s="36"/>
      <c r="Y85" s="36"/>
      <c r="Z85" s="36"/>
      <c r="AA85" s="36" t="e">
        <f t="shared" ca="1" si="23"/>
        <v>#NAME?</v>
      </c>
      <c r="AB85" s="37" t="e">
        <f t="shared" ca="1" si="24"/>
        <v>#NAME?</v>
      </c>
      <c r="AC85" s="35"/>
      <c r="AD85" s="36">
        <v>747.79653454000004</v>
      </c>
      <c r="AE85" s="37" t="str">
        <f t="shared" ca="1" si="25"/>
        <v/>
      </c>
      <c r="AF85" s="58" t="e">
        <f t="shared" ca="1" si="26"/>
        <v>#NAME?</v>
      </c>
      <c r="AG85" s="36">
        <v>3.84</v>
      </c>
      <c r="AH85" s="37" t="str">
        <f t="shared" ca="1" si="28"/>
        <v/>
      </c>
      <c r="AI85" s="58" t="e">
        <f t="shared" ca="1" si="29"/>
        <v>#NAME?</v>
      </c>
      <c r="AJ85" s="372">
        <f t="shared" ca="1" si="30"/>
        <v>0</v>
      </c>
      <c r="AK85" s="373">
        <f t="shared" ca="1" si="31"/>
        <v>0</v>
      </c>
      <c r="AL85" s="375">
        <f t="shared" ca="1" si="32"/>
        <v>0</v>
      </c>
      <c r="AM85" s="407">
        <f t="shared" ca="1" si="33"/>
        <v>0</v>
      </c>
      <c r="AN85" s="408">
        <f t="shared" ca="1" si="34"/>
        <v>0</v>
      </c>
    </row>
    <row r="86" spans="1:40" x14ac:dyDescent="0.25">
      <c r="A86" s="6" t="s">
        <v>5</v>
      </c>
      <c r="B86" s="7"/>
      <c r="H86" s="15" t="s">
        <v>76</v>
      </c>
      <c r="I86" s="479" t="e">
        <f ca="1">_xll.EVPRO($B$1,$H86,"STYLE")</f>
        <v>#NAME?</v>
      </c>
      <c r="J86" s="479" t="e">
        <f ca="1">_xll.EVPRO($B$1,$H86,"CALC")</f>
        <v>#NAME?</v>
      </c>
      <c r="K86" s="480" t="e">
        <f t="shared" ca="1" si="27"/>
        <v>#NAME?</v>
      </c>
      <c r="L86" s="170" t="e">
        <f ca="1">_xll.EVPRO($B$1,H86,"JDEID")</f>
        <v>#NAME?</v>
      </c>
      <c r="M86" s="170" t="e">
        <f ca="1">IF(AND(I86="N",J86="N"),_xll.EVPRO($B$1,H86,"PSFTID"),"")</f>
        <v>#NAME?</v>
      </c>
      <c r="N86" s="170" t="e">
        <f ca="1">IF(_xll.EVDES(H86,$B$1)="#NODATA","",_xll.EVDES(H86,$B$1))</f>
        <v>#NAME?</v>
      </c>
      <c r="O86" s="36">
        <v>18387.46</v>
      </c>
      <c r="P86" s="36">
        <v>6921.15</v>
      </c>
      <c r="Q86" s="36">
        <v>12911.07</v>
      </c>
      <c r="R86" s="36">
        <v>4044.41</v>
      </c>
      <c r="S86" s="36">
        <v>6329.23</v>
      </c>
      <c r="T86" s="36">
        <v>1508.42</v>
      </c>
      <c r="U86" s="36">
        <v>747.77</v>
      </c>
      <c r="V86" s="36">
        <v>3056.21</v>
      </c>
      <c r="W86" s="36">
        <v>2626.07</v>
      </c>
      <c r="X86" s="36">
        <v>5521.15</v>
      </c>
      <c r="Y86" s="36">
        <v>6152.9</v>
      </c>
      <c r="Z86" s="36">
        <v>21062.19</v>
      </c>
      <c r="AA86" s="36" t="e">
        <f t="shared" ca="1" si="23"/>
        <v>#NAME?</v>
      </c>
      <c r="AB86" s="37" t="e">
        <f t="shared" ca="1" si="24"/>
        <v>#NAME?</v>
      </c>
      <c r="AC86" s="35"/>
      <c r="AD86" s="36">
        <v>79176.046434539996</v>
      </c>
      <c r="AE86" s="37" t="str">
        <f t="shared" ca="1" si="25"/>
        <v/>
      </c>
      <c r="AF86" s="58" t="e">
        <f t="shared" ca="1" si="26"/>
        <v>#NAME?</v>
      </c>
      <c r="AG86" s="36">
        <v>55831.040000000001</v>
      </c>
      <c r="AH86" s="37" t="str">
        <f t="shared" ca="1" si="28"/>
        <v/>
      </c>
      <c r="AI86" s="58" t="e">
        <f t="shared" ca="1" si="29"/>
        <v>#NAME?</v>
      </c>
      <c r="AJ86" s="372">
        <f t="shared" ca="1" si="30"/>
        <v>0</v>
      </c>
      <c r="AK86" s="373">
        <f t="shared" ca="1" si="31"/>
        <v>0</v>
      </c>
      <c r="AL86" s="375">
        <f t="shared" ca="1" si="32"/>
        <v>0</v>
      </c>
      <c r="AM86" s="407">
        <f t="shared" ca="1" si="33"/>
        <v>0</v>
      </c>
      <c r="AN86" s="408">
        <f t="shared" ca="1" si="34"/>
        <v>0</v>
      </c>
    </row>
    <row r="87" spans="1:40" x14ac:dyDescent="0.25">
      <c r="A87" s="6" t="s">
        <v>6</v>
      </c>
      <c r="B87" s="7"/>
      <c r="O87" s="41"/>
      <c r="P87" s="45"/>
      <c r="Q87" s="45"/>
      <c r="R87" s="45"/>
      <c r="S87" s="45"/>
      <c r="T87" s="45"/>
      <c r="U87" s="45"/>
      <c r="V87" s="45"/>
      <c r="W87" s="45"/>
      <c r="X87" s="45"/>
      <c r="Y87" s="45"/>
      <c r="Z87" s="45"/>
      <c r="AA87" s="45"/>
      <c r="AB87" s="42"/>
      <c r="AD87" s="41"/>
      <c r="AE87" s="45"/>
      <c r="AF87" s="42"/>
      <c r="AG87" s="41"/>
      <c r="AH87" s="45"/>
      <c r="AI87" s="42"/>
    </row>
    <row r="88" spans="1:40" x14ac:dyDescent="0.25">
      <c r="A88" s="6" t="s">
        <v>7</v>
      </c>
      <c r="B88" s="7" t="e">
        <f ca="1">_xll.EVRNG(A102:F108)</f>
        <v>#NAME?</v>
      </c>
      <c r="H88" s="1" t="s">
        <v>82</v>
      </c>
      <c r="I88" s="11" t="e">
        <f ca="1">_xll.EVPRO($B$1,$H88,"STYLE")</f>
        <v>#NAME?</v>
      </c>
      <c r="J88" s="11" t="e">
        <f ca="1">_xll.EVPRO($B$1,$H88,"CALC")</f>
        <v>#NAME?</v>
      </c>
      <c r="N88" s="40" t="e">
        <f ca="1">IF(_xll.EVDES(H88,$B$1)="#NODATA","",_xll.EVDES(H88,$B$1))</f>
        <v>#NAME?</v>
      </c>
      <c r="O88" s="43"/>
      <c r="P88" s="46"/>
      <c r="Q88" s="46"/>
      <c r="R88" s="46"/>
      <c r="S88" s="46"/>
      <c r="T88" s="46"/>
      <c r="U88" s="46"/>
      <c r="V88" s="46"/>
      <c r="W88" s="46"/>
      <c r="X88" s="46"/>
      <c r="Y88" s="46"/>
      <c r="Z88" s="46"/>
      <c r="AA88" s="46"/>
      <c r="AB88" s="44"/>
      <c r="AD88" s="43"/>
      <c r="AE88" s="46"/>
      <c r="AF88" s="44"/>
      <c r="AG88" s="43"/>
      <c r="AH88" s="46"/>
      <c r="AI88" s="44"/>
    </row>
    <row r="89" spans="1:40" x14ac:dyDescent="0.25">
      <c r="A89" s="6" t="s">
        <v>47</v>
      </c>
      <c r="B89" s="7" t="e">
        <f ca="1">_xll.EVRNG($A$125:$B$130)</f>
        <v>#NAME?</v>
      </c>
      <c r="H89" s="15" t="s">
        <v>829</v>
      </c>
      <c r="I89" s="161" t="e">
        <f ca="1">_xll.EVPRO($B$1,$H89,"STYLE")</f>
        <v>#NAME?</v>
      </c>
      <c r="J89" s="161" t="e">
        <f ca="1">_xll.EVPRO($B$1,$H89,"CALC")</f>
        <v>#NAME?</v>
      </c>
      <c r="K89" s="68" t="e">
        <f ca="1">IF(AND(I89&lt;&gt;"B1",J89="Y"),"&gt;","")</f>
        <v>#NAME?</v>
      </c>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v>1081.5</v>
      </c>
      <c r="Y89" s="21"/>
      <c r="Z89" s="21"/>
      <c r="AA89" s="310" t="e">
        <f t="shared" ref="AA89:AA97" ca="1" si="35">IF($I89="B1","",SUM(O89:Z89))</f>
        <v>#NAME?</v>
      </c>
      <c r="AB89" s="17" t="e">
        <f t="shared" ref="AB89:AB97" ca="1" si="36">IF(AA89=0,"",IFERROR(AA89/AA$19,""))</f>
        <v>#NAME?</v>
      </c>
      <c r="AD89" s="21"/>
      <c r="AE89" s="17" t="str">
        <f t="shared" ref="AE89:AE97" si="37">IF(AD89=0,"",IFERROR(AD89/AD$19,""))</f>
        <v/>
      </c>
      <c r="AF89" s="50" t="e">
        <f t="shared" ref="AF89:AF97" ca="1" si="38">IF(AND($AA89="",AD89=""),"",$AA89-AD89)</f>
        <v>#NAME?</v>
      </c>
      <c r="AG89" s="21"/>
      <c r="AH89" s="17" t="str">
        <f>IF(AG89=0,"",IFERROR(AG89/AG$19,""))</f>
        <v/>
      </c>
      <c r="AI89" s="50" t="e">
        <f ca="1">IF(AND($AA89="",AG89=""),"",$AA89-AG89)</f>
        <v>#NAME?</v>
      </c>
      <c r="AJ89" s="399">
        <f ca="1">IFERROR(AA89/AA$20,0)</f>
        <v>0</v>
      </c>
      <c r="AK89" s="400">
        <f ca="1">IFERROR(AD89/AD$20,0)</f>
        <v>0</v>
      </c>
      <c r="AL89" s="401">
        <f ca="1">IFERROR(AG89/AG$20,0)</f>
        <v>0</v>
      </c>
      <c r="AM89" s="402">
        <f ca="1">+IFERROR(ROUND(($AB89-AE89)*100,2)&amp;" pts.",0)</f>
        <v>0</v>
      </c>
      <c r="AN89" s="403">
        <f ca="1">+IFERROR(ROUND(($AB89-AH89)*100,2)&amp;" pts.",0)</f>
        <v>0</v>
      </c>
    </row>
    <row r="90" spans="1:40" x14ac:dyDescent="0.25">
      <c r="A90" s="6" t="s">
        <v>8</v>
      </c>
      <c r="B90" s="7"/>
      <c r="H90" s="15" t="s">
        <v>832</v>
      </c>
      <c r="I90" s="161" t="e">
        <f ca="1">_xll.EVPRO($B$1,$H90,"STYLE")</f>
        <v>#NAME?</v>
      </c>
      <c r="J90" s="161" t="e">
        <f ca="1">_xll.EVPRO($B$1,$H90,"CALC")</f>
        <v>#NAME?</v>
      </c>
      <c r="K90" s="68" t="e">
        <f t="shared" ref="K90:K96" ca="1" si="39">IF(AND(I90&lt;&gt;"B1",J90="Y"),"&gt;","")</f>
        <v>#NAME?</v>
      </c>
      <c r="L90" s="162" t="e">
        <f ca="1">_xll.EVPRO($B$1,H90,"JDEID")</f>
        <v>#NAME?</v>
      </c>
      <c r="M90" s="162" t="e">
        <f ca="1">IF(AND(I90="N",J90="N"),_xll.EVPRO($B$1,H90,"PSFTID"),"")</f>
        <v>#NAME?</v>
      </c>
      <c r="N90" s="162" t="e">
        <f ca="1">IF(_xll.EVDES(H90,$B$1)="#NODATA","",_xll.EVDES(H90,$B$1))</f>
        <v>#NAME?</v>
      </c>
      <c r="O90" s="21">
        <v>1260.0999999999999</v>
      </c>
      <c r="P90" s="21">
        <v>368.52</v>
      </c>
      <c r="Q90" s="21">
        <v>271.83</v>
      </c>
      <c r="R90" s="21">
        <v>507.73</v>
      </c>
      <c r="S90" s="21">
        <v>269.60000000000002</v>
      </c>
      <c r="T90" s="21">
        <v>98.6</v>
      </c>
      <c r="U90" s="21">
        <v>404.75</v>
      </c>
      <c r="V90" s="21"/>
      <c r="W90" s="21"/>
      <c r="X90" s="21">
        <v>879.37</v>
      </c>
      <c r="Y90" s="21"/>
      <c r="Z90" s="21"/>
      <c r="AA90" s="310" t="e">
        <f t="shared" ca="1" si="35"/>
        <v>#NAME?</v>
      </c>
      <c r="AB90" s="17" t="e">
        <f t="shared" ca="1" si="36"/>
        <v>#NAME?</v>
      </c>
      <c r="AD90" s="21">
        <v>2009.48</v>
      </c>
      <c r="AE90" s="17" t="str">
        <f t="shared" ca="1" si="37"/>
        <v/>
      </c>
      <c r="AF90" s="50" t="e">
        <f t="shared" ca="1" si="38"/>
        <v>#NAME?</v>
      </c>
      <c r="AG90" s="21">
        <v>1598.85</v>
      </c>
      <c r="AH90" s="17" t="str">
        <f t="shared" ref="AH90:AH96" ca="1" si="40">IF(AG90=0,"",IFERROR(AG90/AG$19,""))</f>
        <v/>
      </c>
      <c r="AI90" s="50" t="e">
        <f t="shared" ref="AI90:AI96" ca="1" si="41">IF(AND($AA90="",AG90=""),"",$AA90-AG90)</f>
        <v>#NAME?</v>
      </c>
      <c r="AJ90" s="399">
        <f t="shared" ref="AJ90:AJ96" ca="1" si="42">IFERROR(AA90/AA$20,0)</f>
        <v>0</v>
      </c>
      <c r="AK90" s="400">
        <f t="shared" ref="AK90:AK96" ca="1" si="43">IFERROR(AD90/AD$20,0)</f>
        <v>0</v>
      </c>
      <c r="AL90" s="401">
        <f t="shared" ref="AL90:AL96" ca="1" si="44">IFERROR(AG90/AG$20,0)</f>
        <v>0</v>
      </c>
      <c r="AM90" s="402">
        <f t="shared" ref="AM90:AM96" ca="1" si="45">+IFERROR(ROUND(($AB90-AE90)*100,2)&amp;" pts.",0)</f>
        <v>0</v>
      </c>
      <c r="AN90" s="403">
        <f t="shared" ref="AN90:AN96" ca="1" si="46">+IFERROR(ROUND(($AB90-AH90)*100,2)&amp;" pts.",0)</f>
        <v>0</v>
      </c>
    </row>
    <row r="91" spans="1:40" x14ac:dyDescent="0.25">
      <c r="G91" s="14"/>
      <c r="H91" s="15" t="s">
        <v>856</v>
      </c>
      <c r="I91" s="161" t="e">
        <f ca="1">_xll.EVPRO($B$1,$H91,"STYLE")</f>
        <v>#NAME?</v>
      </c>
      <c r="J91" s="161" t="e">
        <f ca="1">_xll.EVPRO($B$1,$H91,"CALC")</f>
        <v>#NAME?</v>
      </c>
      <c r="K91" s="68" t="e">
        <f t="shared" ca="1" si="39"/>
        <v>#NAME?</v>
      </c>
      <c r="L91" s="162" t="e">
        <f ca="1">_xll.EVPRO($B$1,H91,"JDEID")</f>
        <v>#NAME?</v>
      </c>
      <c r="M91" s="162" t="e">
        <f ca="1">IF(AND(I91="N",J91="N"),_xll.EVPRO($B$1,H91,"PSFTID"),"")</f>
        <v>#NAME?</v>
      </c>
      <c r="N91" s="162" t="e">
        <f ca="1">IF(_xll.EVDES(H91,$B$1)="#NODATA","",_xll.EVDES(H91,$B$1))</f>
        <v>#NAME?</v>
      </c>
      <c r="O91" s="21"/>
      <c r="P91" s="21"/>
      <c r="Q91" s="21"/>
      <c r="R91" s="21"/>
      <c r="S91" s="21"/>
      <c r="T91" s="21"/>
      <c r="U91" s="21"/>
      <c r="V91" s="21"/>
      <c r="W91" s="21">
        <v>14.96</v>
      </c>
      <c r="X91" s="21"/>
      <c r="Y91" s="21"/>
      <c r="Z91" s="21"/>
      <c r="AA91" s="310" t="e">
        <f t="shared" ca="1" si="35"/>
        <v>#NAME?</v>
      </c>
      <c r="AB91" s="17" t="e">
        <f t="shared" ca="1" si="36"/>
        <v>#NAME?</v>
      </c>
      <c r="AD91" s="21"/>
      <c r="AE91" s="17" t="str">
        <f t="shared" si="37"/>
        <v/>
      </c>
      <c r="AF91" s="50" t="e">
        <f t="shared" ca="1" si="38"/>
        <v>#NAME?</v>
      </c>
      <c r="AG91" s="21"/>
      <c r="AH91" s="17" t="str">
        <f t="shared" si="40"/>
        <v/>
      </c>
      <c r="AI91" s="50" t="e">
        <f t="shared" ca="1" si="41"/>
        <v>#NAME?</v>
      </c>
      <c r="AJ91" s="399">
        <f t="shared" ca="1" si="42"/>
        <v>0</v>
      </c>
      <c r="AK91" s="400">
        <f t="shared" ca="1" si="43"/>
        <v>0</v>
      </c>
      <c r="AL91" s="401">
        <f t="shared" ca="1" si="44"/>
        <v>0</v>
      </c>
      <c r="AM91" s="402">
        <f t="shared" ca="1" si="45"/>
        <v>0</v>
      </c>
      <c r="AN91" s="403">
        <f t="shared" ca="1" si="46"/>
        <v>0</v>
      </c>
    </row>
    <row r="92" spans="1:40" x14ac:dyDescent="0.25">
      <c r="A92" s="3" t="s">
        <v>9</v>
      </c>
      <c r="B92" s="5" t="s">
        <v>10</v>
      </c>
      <c r="H92" s="15" t="s">
        <v>857</v>
      </c>
      <c r="I92" s="161" t="e">
        <f ca="1">_xll.EVPRO($B$1,$H92,"STYLE")</f>
        <v>#NAME?</v>
      </c>
      <c r="J92" s="161" t="e">
        <f ca="1">_xll.EVPRO($B$1,$H92,"CALC")</f>
        <v>#NAME?</v>
      </c>
      <c r="K92" s="68" t="e">
        <f t="shared" ca="1" si="39"/>
        <v>#NAME?</v>
      </c>
      <c r="L92" s="162" t="e">
        <f ca="1">_xll.EVPRO($B$1,H92,"JDEID")</f>
        <v>#NAME?</v>
      </c>
      <c r="M92" s="162" t="e">
        <f ca="1">IF(AND(I92="N",J92="N"),_xll.EVPRO($B$1,H92,"PSFTID"),"")</f>
        <v>#NAME?</v>
      </c>
      <c r="N92" s="162" t="e">
        <f ca="1">IF(_xll.EVDES(H92,$B$1)="#NODATA","",_xll.EVDES(H92,$B$1))</f>
        <v>#NAME?</v>
      </c>
      <c r="O92" s="21"/>
      <c r="P92" s="21"/>
      <c r="Q92" s="21"/>
      <c r="R92" s="21"/>
      <c r="S92" s="21"/>
      <c r="T92" s="21"/>
      <c r="U92" s="21"/>
      <c r="V92" s="21"/>
      <c r="W92" s="21">
        <v>73.599999999999994</v>
      </c>
      <c r="X92" s="21"/>
      <c r="Y92" s="21"/>
      <c r="Z92" s="21"/>
      <c r="AA92" s="310" t="e">
        <f t="shared" ca="1" si="35"/>
        <v>#NAME?</v>
      </c>
      <c r="AB92" s="17" t="e">
        <f t="shared" ca="1" si="36"/>
        <v>#NAME?</v>
      </c>
      <c r="AD92" s="21"/>
      <c r="AE92" s="17" t="str">
        <f t="shared" si="37"/>
        <v/>
      </c>
      <c r="AF92" s="50" t="e">
        <f t="shared" ca="1" si="38"/>
        <v>#NAME?</v>
      </c>
      <c r="AG92" s="21"/>
      <c r="AH92" s="17" t="str">
        <f t="shared" si="40"/>
        <v/>
      </c>
      <c r="AI92" s="50" t="e">
        <f t="shared" ca="1" si="41"/>
        <v>#NAME?</v>
      </c>
      <c r="AJ92" s="399">
        <f t="shared" ca="1" si="42"/>
        <v>0</v>
      </c>
      <c r="AK92" s="400">
        <f t="shared" ca="1" si="43"/>
        <v>0</v>
      </c>
      <c r="AL92" s="401">
        <f t="shared" ca="1" si="44"/>
        <v>0</v>
      </c>
      <c r="AM92" s="402">
        <f t="shared" ca="1" si="45"/>
        <v>0</v>
      </c>
      <c r="AN92" s="403">
        <f t="shared" ca="1" si="46"/>
        <v>0</v>
      </c>
    </row>
    <row r="93" spans="1:40" x14ac:dyDescent="0.25">
      <c r="A93" s="6" t="s">
        <v>11</v>
      </c>
      <c r="B93" s="7" t="s">
        <v>21</v>
      </c>
      <c r="H93" s="15" t="s">
        <v>858</v>
      </c>
      <c r="I93" s="161" t="e">
        <f ca="1">_xll.EVPRO($B$1,$H93,"STYLE")</f>
        <v>#NAME?</v>
      </c>
      <c r="J93" s="161" t="e">
        <f ca="1">_xll.EVPRO($B$1,$H93,"CALC")</f>
        <v>#NAME?</v>
      </c>
      <c r="K93" s="68" t="e">
        <f t="shared" ca="1" si="39"/>
        <v>#NAME?</v>
      </c>
      <c r="L93" s="162" t="e">
        <f ca="1">_xll.EVPRO($B$1,H93,"JDEID")</f>
        <v>#NAME?</v>
      </c>
      <c r="M93" s="162" t="e">
        <f ca="1">IF(AND(I93="N",J93="N"),_xll.EVPRO($B$1,H93,"PSFTID"),"")</f>
        <v>#NAME?</v>
      </c>
      <c r="N93" s="162" t="e">
        <f ca="1">IF(_xll.EVDES(H93,$B$1)="#NODATA","",_xll.EVDES(H93,$B$1))</f>
        <v>#NAME?</v>
      </c>
      <c r="O93" s="21"/>
      <c r="P93" s="21"/>
      <c r="Q93" s="21"/>
      <c r="R93" s="21"/>
      <c r="S93" s="21"/>
      <c r="T93" s="21">
        <v>38.520000000000003</v>
      </c>
      <c r="U93" s="21"/>
      <c r="V93" s="21"/>
      <c r="W93" s="21"/>
      <c r="X93" s="21"/>
      <c r="Y93" s="21"/>
      <c r="Z93" s="21"/>
      <c r="AA93" s="310" t="e">
        <f t="shared" ca="1" si="35"/>
        <v>#NAME?</v>
      </c>
      <c r="AB93" s="17" t="e">
        <f t="shared" ca="1" si="36"/>
        <v>#NAME?</v>
      </c>
      <c r="AD93" s="21"/>
      <c r="AE93" s="17" t="str">
        <f t="shared" si="37"/>
        <v/>
      </c>
      <c r="AF93" s="50" t="e">
        <f t="shared" ca="1" si="38"/>
        <v>#NAME?</v>
      </c>
      <c r="AG93" s="21"/>
      <c r="AH93" s="17" t="str">
        <f t="shared" si="40"/>
        <v/>
      </c>
      <c r="AI93" s="50" t="e">
        <f t="shared" ca="1" si="41"/>
        <v>#NAME?</v>
      </c>
      <c r="AJ93" s="399">
        <f t="shared" ca="1" si="42"/>
        <v>0</v>
      </c>
      <c r="AK93" s="400">
        <f t="shared" ca="1" si="43"/>
        <v>0</v>
      </c>
      <c r="AL93" s="401">
        <f t="shared" ca="1" si="44"/>
        <v>0</v>
      </c>
      <c r="AM93" s="402">
        <f t="shared" ca="1" si="45"/>
        <v>0</v>
      </c>
      <c r="AN93" s="403">
        <f t="shared" ca="1" si="46"/>
        <v>0</v>
      </c>
    </row>
    <row r="94" spans="1:40" x14ac:dyDescent="0.25">
      <c r="A94" s="6" t="s">
        <v>12</v>
      </c>
      <c r="B94" s="7" t="s">
        <v>22</v>
      </c>
      <c r="H94" s="15" t="s">
        <v>859</v>
      </c>
      <c r="I94" s="161" t="e">
        <f ca="1">_xll.EVPRO($B$1,$H94,"STYLE")</f>
        <v>#NAME?</v>
      </c>
      <c r="J94" s="161" t="e">
        <f ca="1">_xll.EVPRO($B$1,$H94,"CALC")</f>
        <v>#NAME?</v>
      </c>
      <c r="K94" s="68" t="e">
        <f t="shared" ca="1" si="39"/>
        <v>#NAME?</v>
      </c>
      <c r="L94" s="162" t="e">
        <f ca="1">_xll.EVPRO($B$1,H94,"JDEID")</f>
        <v>#NAME?</v>
      </c>
      <c r="M94" s="162" t="e">
        <f ca="1">IF(AND(I94="N",J94="N"),_xll.EVPRO($B$1,H94,"PSFTID"),"")</f>
        <v>#NAME?</v>
      </c>
      <c r="N94" s="162" t="e">
        <f ca="1">IF(_xll.EVDES(H94,$B$1)="#NODATA","",_xll.EVDES(H94,$B$1))</f>
        <v>#NAME?</v>
      </c>
      <c r="O94" s="21"/>
      <c r="P94" s="21"/>
      <c r="Q94" s="21"/>
      <c r="R94" s="21"/>
      <c r="S94" s="21"/>
      <c r="T94" s="21"/>
      <c r="U94" s="21"/>
      <c r="V94" s="21"/>
      <c r="W94" s="21"/>
      <c r="X94" s="21"/>
      <c r="Y94" s="21"/>
      <c r="Z94" s="21"/>
      <c r="AA94" s="310" t="e">
        <f t="shared" ca="1" si="35"/>
        <v>#NAME?</v>
      </c>
      <c r="AB94" s="17" t="e">
        <f t="shared" ca="1" si="36"/>
        <v>#NAME?</v>
      </c>
      <c r="AD94" s="21"/>
      <c r="AE94" s="17" t="str">
        <f t="shared" si="37"/>
        <v/>
      </c>
      <c r="AF94" s="50" t="e">
        <f t="shared" ca="1" si="38"/>
        <v>#NAME?</v>
      </c>
      <c r="AG94" s="21">
        <v>200.07</v>
      </c>
      <c r="AH94" s="17" t="str">
        <f t="shared" ca="1" si="40"/>
        <v/>
      </c>
      <c r="AI94" s="50" t="e">
        <f t="shared" ca="1" si="41"/>
        <v>#NAME?</v>
      </c>
      <c r="AJ94" s="399">
        <f t="shared" ca="1" si="42"/>
        <v>0</v>
      </c>
      <c r="AK94" s="400">
        <f t="shared" ca="1" si="43"/>
        <v>0</v>
      </c>
      <c r="AL94" s="401">
        <f t="shared" ca="1" si="44"/>
        <v>0</v>
      </c>
      <c r="AM94" s="402">
        <f t="shared" ca="1" si="45"/>
        <v>0</v>
      </c>
      <c r="AN94" s="403">
        <f t="shared" ca="1" si="46"/>
        <v>0</v>
      </c>
    </row>
    <row r="95" spans="1:40" x14ac:dyDescent="0.25">
      <c r="A95" s="6" t="s">
        <v>13</v>
      </c>
      <c r="B95" s="7" t="s">
        <v>737</v>
      </c>
      <c r="H95" s="15" t="s">
        <v>860</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c r="R95" s="21"/>
      <c r="S95" s="21"/>
      <c r="T95" s="21"/>
      <c r="U95" s="21"/>
      <c r="V95" s="21"/>
      <c r="W95" s="21"/>
      <c r="X95" s="21"/>
      <c r="Y95" s="21"/>
      <c r="Z95" s="21"/>
      <c r="AA95" s="310" t="e">
        <f t="shared" ca="1" si="35"/>
        <v>#NAME?</v>
      </c>
      <c r="AB95" s="17" t="e">
        <f t="shared" ca="1" si="36"/>
        <v>#NAME?</v>
      </c>
      <c r="AD95" s="21">
        <v>730.72</v>
      </c>
      <c r="AE95" s="17" t="str">
        <f t="shared" ca="1" si="37"/>
        <v/>
      </c>
      <c r="AF95" s="50" t="e">
        <f t="shared" ca="1" si="38"/>
        <v>#NAME?</v>
      </c>
      <c r="AG95" s="21">
        <v>580.25</v>
      </c>
      <c r="AH95" s="17" t="str">
        <f t="shared" ca="1" si="40"/>
        <v/>
      </c>
      <c r="AI95" s="50" t="e">
        <f t="shared" ca="1" si="41"/>
        <v>#NAME?</v>
      </c>
      <c r="AJ95" s="399">
        <f t="shared" ca="1" si="42"/>
        <v>0</v>
      </c>
      <c r="AK95" s="400">
        <f t="shared" ca="1" si="43"/>
        <v>0</v>
      </c>
      <c r="AL95" s="401">
        <f t="shared" ca="1" si="44"/>
        <v>0</v>
      </c>
      <c r="AM95" s="402">
        <f t="shared" ca="1" si="45"/>
        <v>0</v>
      </c>
      <c r="AN95" s="403">
        <f t="shared" ca="1" si="46"/>
        <v>0</v>
      </c>
    </row>
    <row r="96" spans="1:40" x14ac:dyDescent="0.25">
      <c r="A96" s="6" t="s">
        <v>14</v>
      </c>
      <c r="B96" s="7"/>
      <c r="H96" s="15" t="s">
        <v>861</v>
      </c>
      <c r="I96" s="161" t="e">
        <f ca="1">_xll.EVPRO($B$1,$H96,"STYLE")</f>
        <v>#NAME?</v>
      </c>
      <c r="J96" s="161" t="e">
        <f ca="1">_xll.EVPRO($B$1,$H96,"CALC")</f>
        <v>#NAME?</v>
      </c>
      <c r="K96" s="68" t="e">
        <f t="shared" ca="1" si="39"/>
        <v>#NAME?</v>
      </c>
      <c r="L96" s="162" t="e">
        <f ca="1">_xll.EVPRO($B$1,H96,"JDEID")</f>
        <v>#NAME?</v>
      </c>
      <c r="M96" s="162" t="e">
        <f ca="1">IF(AND(I96="N",J96="N"),_xll.EVPRO($B$1,H96,"PSFTID"),"")</f>
        <v>#NAME?</v>
      </c>
      <c r="N96" s="162" t="e">
        <f ca="1">IF(_xll.EVDES(H96,$B$1)="#NODATA","",_xll.EVDES(H96,$B$1))</f>
        <v>#NAME?</v>
      </c>
      <c r="O96" s="21">
        <v>586</v>
      </c>
      <c r="P96" s="21">
        <v>2711.66</v>
      </c>
      <c r="Q96" s="21">
        <v>882.85</v>
      </c>
      <c r="R96" s="21"/>
      <c r="S96" s="21">
        <v>-237.5</v>
      </c>
      <c r="T96" s="21">
        <v>471.75</v>
      </c>
      <c r="U96" s="21"/>
      <c r="V96" s="21">
        <v>271.35000000000002</v>
      </c>
      <c r="W96" s="21"/>
      <c r="X96" s="21">
        <v>1879</v>
      </c>
      <c r="Y96" s="21">
        <v>1504.63</v>
      </c>
      <c r="Z96" s="21">
        <v>22137.29</v>
      </c>
      <c r="AA96" s="310" t="e">
        <f t="shared" ca="1" si="35"/>
        <v>#NAME?</v>
      </c>
      <c r="AB96" s="17" t="e">
        <f t="shared" ca="1" si="36"/>
        <v>#NAME?</v>
      </c>
      <c r="AD96" s="21">
        <v>4067</v>
      </c>
      <c r="AE96" s="17" t="str">
        <f t="shared" ca="1" si="37"/>
        <v/>
      </c>
      <c r="AF96" s="50" t="e">
        <f t="shared" ca="1" si="38"/>
        <v>#NAME?</v>
      </c>
      <c r="AG96" s="21">
        <v>8260.33</v>
      </c>
      <c r="AH96" s="17" t="str">
        <f t="shared" ca="1" si="40"/>
        <v/>
      </c>
      <c r="AI96" s="50" t="e">
        <f t="shared" ca="1" si="41"/>
        <v>#NAME?</v>
      </c>
      <c r="AJ96" s="399">
        <f t="shared" ca="1" si="42"/>
        <v>0</v>
      </c>
      <c r="AK96" s="400">
        <f t="shared" ca="1" si="43"/>
        <v>0</v>
      </c>
      <c r="AL96" s="401">
        <f t="shared" ca="1" si="44"/>
        <v>0</v>
      </c>
      <c r="AM96" s="402">
        <f t="shared" ca="1" si="45"/>
        <v>0</v>
      </c>
      <c r="AN96" s="403">
        <f t="shared" ca="1" si="46"/>
        <v>0</v>
      </c>
    </row>
    <row r="97" spans="1:40" x14ac:dyDescent="0.25">
      <c r="A97" s="6" t="s">
        <v>15</v>
      </c>
      <c r="B97" s="7"/>
      <c r="H97" s="15" t="s">
        <v>79</v>
      </c>
      <c r="I97" s="27" t="e">
        <f ca="1">_xll.EVPRO($B$1,$H97,"STYLE")</f>
        <v>#NAME?</v>
      </c>
      <c r="J97" s="27" t="e">
        <f ca="1">_xll.EVPRO($B$1,$H97,"CALC")</f>
        <v>#NAME?</v>
      </c>
      <c r="K97" s="26"/>
      <c r="L97" s="26"/>
      <c r="M97" s="26"/>
      <c r="N97" s="25" t="e">
        <f ca="1">IF(_xll.EVDES(H97,$B$1)="#NODATA","",_xll.EVDES(H97,$B$1))</f>
        <v>#NAME?</v>
      </c>
      <c r="O97" s="33">
        <v>1846.1</v>
      </c>
      <c r="P97" s="33">
        <v>3080.18</v>
      </c>
      <c r="Q97" s="33">
        <v>1154.68</v>
      </c>
      <c r="R97" s="33">
        <v>507.73</v>
      </c>
      <c r="S97" s="33">
        <v>32.1</v>
      </c>
      <c r="T97" s="33">
        <v>608.87</v>
      </c>
      <c r="U97" s="33">
        <v>404.75</v>
      </c>
      <c r="V97" s="33">
        <v>271.35000000000002</v>
      </c>
      <c r="W97" s="33">
        <v>88.56</v>
      </c>
      <c r="X97" s="33">
        <v>3839.87</v>
      </c>
      <c r="Y97" s="33">
        <v>1504.63</v>
      </c>
      <c r="Z97" s="33">
        <v>22137.29</v>
      </c>
      <c r="AA97" s="33" t="e">
        <f t="shared" ca="1" si="35"/>
        <v>#NAME?</v>
      </c>
      <c r="AB97" s="34" t="e">
        <f t="shared" ca="1" si="36"/>
        <v>#NAME?</v>
      </c>
      <c r="AD97" s="33">
        <v>6807.2</v>
      </c>
      <c r="AE97" s="34" t="str">
        <f t="shared" ca="1" si="37"/>
        <v/>
      </c>
      <c r="AF97" s="52" t="e">
        <f t="shared" ca="1" si="38"/>
        <v>#NAME?</v>
      </c>
      <c r="AG97" s="33">
        <v>10639.5</v>
      </c>
      <c r="AH97" s="34" t="str">
        <f ca="1">IF(AG97=0,"",IFERROR(AG97/AG$19,""))</f>
        <v/>
      </c>
      <c r="AI97" s="52" t="e">
        <f ca="1">IF(AND($AA97="",AG97=""),"",$AA97-AG97)</f>
        <v>#NAME?</v>
      </c>
      <c r="AJ97" s="415">
        <f ca="1">IFERROR(AA97/AA$20,0)</f>
        <v>0</v>
      </c>
      <c r="AK97" s="416">
        <f ca="1">IFERROR(AD97/AD$20,0)</f>
        <v>0</v>
      </c>
      <c r="AL97" s="417">
        <f ca="1">IFERROR(AG97/AG$20,0)</f>
        <v>0</v>
      </c>
      <c r="AM97" s="418">
        <f ca="1">+IFERROR(ROUND(($AB97-AE97)*100,2)&amp;" pts.",0)</f>
        <v>0</v>
      </c>
      <c r="AN97" s="436">
        <f ca="1">+IFERROR(ROUND(($AB97-AH97)*100,2)&amp;" pts.",0)</f>
        <v>0</v>
      </c>
    </row>
    <row r="98" spans="1:40" x14ac:dyDescent="0.25">
      <c r="A98" s="6" t="s">
        <v>16</v>
      </c>
      <c r="B98" s="7" t="s">
        <v>78</v>
      </c>
    </row>
    <row r="99" spans="1:40" x14ac:dyDescent="0.25">
      <c r="A99" s="6" t="s">
        <v>17</v>
      </c>
      <c r="B99" s="7"/>
      <c r="H99" s="15" t="s">
        <v>80</v>
      </c>
      <c r="I99" s="27" t="e">
        <f ca="1">_xll.EVPRO($B$1,$H99,"STYLE")</f>
        <v>#NAME?</v>
      </c>
      <c r="J99" s="27" t="e">
        <f ca="1">_xll.EVPRO($B$1,$H99,"CALC")</f>
        <v>#NAME?</v>
      </c>
      <c r="K99" s="25"/>
      <c r="L99" s="25"/>
      <c r="M99" s="25"/>
      <c r="N99" s="25" t="e">
        <f ca="1">IF(_xll.EVDES(H99,$B$1)="#NODATA","",_xll.EVDES(H99,$B$1))</f>
        <v>#NAME?</v>
      </c>
      <c r="O99" s="36">
        <v>20233.560000000001</v>
      </c>
      <c r="P99" s="36">
        <v>10001.33</v>
      </c>
      <c r="Q99" s="36">
        <v>14065.75</v>
      </c>
      <c r="R99" s="36">
        <v>4552.1400000000003</v>
      </c>
      <c r="S99" s="36">
        <v>6361.33</v>
      </c>
      <c r="T99" s="36">
        <v>2117.29</v>
      </c>
      <c r="U99" s="36">
        <v>1152.52</v>
      </c>
      <c r="V99" s="36">
        <v>3327.56</v>
      </c>
      <c r="W99" s="36">
        <v>2714.63</v>
      </c>
      <c r="X99" s="36">
        <v>9361.02</v>
      </c>
      <c r="Y99" s="36">
        <v>7657.53</v>
      </c>
      <c r="Z99" s="36">
        <v>43199.48</v>
      </c>
      <c r="AA99" s="36" t="e">
        <f ca="1">IF($I99="B1","",SUM(O99:Z99))</f>
        <v>#NAME?</v>
      </c>
      <c r="AB99" s="37" t="e">
        <f ca="1">IF(AA99=0,"",IFERROR(AA99/AA$19,""))</f>
        <v>#NAME?</v>
      </c>
      <c r="AD99" s="36">
        <v>85983.246434539993</v>
      </c>
      <c r="AE99" s="37" t="str">
        <f ca="1">IF(AD99=0,"",IFERROR(AD99/AD$19,""))</f>
        <v/>
      </c>
      <c r="AF99" s="59" t="e">
        <f ca="1">IF(AND($AA99="",AD99=""),"",$AA99-AD99)</f>
        <v>#NAME?</v>
      </c>
      <c r="AG99" s="60">
        <v>66470.539999999994</v>
      </c>
      <c r="AH99" s="61" t="str">
        <f ca="1">IF(AG99=0,"",IFERROR(AG99/AG$19,""))</f>
        <v/>
      </c>
      <c r="AI99" s="59" t="e">
        <f ca="1">IF(AND($AA99="",AG99=""),"",$AA99-AG99)</f>
        <v>#NAME?</v>
      </c>
      <c r="AJ99" s="392">
        <f ca="1">IFERROR(AA99/AA$20,0)</f>
        <v>0</v>
      </c>
      <c r="AK99" s="393">
        <f ca="1">IFERROR(AD99/AD$20,0)</f>
        <v>0</v>
      </c>
      <c r="AL99" s="394">
        <f ca="1">IFERROR(AG99/AG$20,0)</f>
        <v>0</v>
      </c>
      <c r="AM99" s="395">
        <f ca="1">+IFERROR(ROUND(($AB99-AE99)*100,2)&amp;" pts.",0)</f>
        <v>0</v>
      </c>
      <c r="AN99" s="437">
        <f ca="1">+IFERROR(ROUND(($AB99-AH99)*100,2)&amp;" pts.",0)</f>
        <v>0</v>
      </c>
    </row>
    <row r="100" spans="1:40" ht="15.75" thickBot="1" x14ac:dyDescent="0.3">
      <c r="H100" s="15" t="s">
        <v>81</v>
      </c>
      <c r="I100" s="27" t="e">
        <f ca="1">_xll.EVPRO($B$1,$H100,"STYLE")</f>
        <v>#NAME?</v>
      </c>
      <c r="J100" s="27" t="e">
        <f ca="1">_xll.EVPRO($B$1,$H100,"CALC")</f>
        <v>#NAME?</v>
      </c>
      <c r="K100" s="25"/>
      <c r="L100" s="25"/>
      <c r="M100" s="25"/>
      <c r="N100" s="25" t="e">
        <f ca="1">IF(_xll.EVDES(H100,$B$1)="#NODATA","",_xll.EVDES(H100,$B$1))</f>
        <v>#NAME?</v>
      </c>
      <c r="O100" s="62">
        <v>55430.36</v>
      </c>
      <c r="P100" s="62">
        <v>35545.14</v>
      </c>
      <c r="Q100" s="62">
        <v>34302.15</v>
      </c>
      <c r="R100" s="62">
        <v>14020.31</v>
      </c>
      <c r="S100" s="62">
        <v>17188.060000000001</v>
      </c>
      <c r="T100" s="62">
        <v>10653.43</v>
      </c>
      <c r="U100" s="62">
        <v>2184.9699999999998</v>
      </c>
      <c r="V100" s="62">
        <v>3931.03</v>
      </c>
      <c r="W100" s="62">
        <v>8037.34</v>
      </c>
      <c r="X100" s="62">
        <v>9069.2099999999991</v>
      </c>
      <c r="Y100" s="62">
        <v>17496.59</v>
      </c>
      <c r="Z100" s="62">
        <v>35773.53</v>
      </c>
      <c r="AA100" s="62" t="e">
        <f ca="1">IF($I100="B1","",SUM(O100:Z100))</f>
        <v>#NAME?</v>
      </c>
      <c r="AB100" s="63" t="e">
        <f ca="1">IF(AA100=0,"",IFERROR(AA100/AA$19,""))</f>
        <v>#NAME?</v>
      </c>
      <c r="AD100" s="62">
        <v>408754.42856546002</v>
      </c>
      <c r="AE100" s="63" t="str">
        <f ca="1">IF(AD100=0,"",IFERROR(AD100/AD$19,""))</f>
        <v/>
      </c>
      <c r="AF100" s="64" t="e">
        <f ca="1">IF(AND($AA100="",AD100=""),"",$AA100-AD100)</f>
        <v>#NAME?</v>
      </c>
      <c r="AG100" s="62">
        <v>313440.65000000002</v>
      </c>
      <c r="AH100" s="63" t="str">
        <f ca="1">IF(AG100=0,"",IFERROR(AG100/AG$19,""))</f>
        <v/>
      </c>
      <c r="AI100" s="64" t="e">
        <f ca="1">IF(AND($AA100="",AG100=""),"",$AA100-AG100)</f>
        <v>#NAME?</v>
      </c>
      <c r="AJ100" s="430">
        <f ca="1">IFERROR(AA100/AA$20,0)</f>
        <v>0</v>
      </c>
      <c r="AK100" s="431">
        <f ca="1">IFERROR(AD100/AD$20,0)</f>
        <v>0</v>
      </c>
      <c r="AL100" s="432">
        <f ca="1">IFERROR(AG100/AG$20,0)</f>
        <v>0</v>
      </c>
      <c r="AM100" s="433">
        <f ca="1">+IFERROR(ROUND(($AB100-AE100)*100,2)&amp;" pts.",0)</f>
        <v>0</v>
      </c>
      <c r="AN100" s="438">
        <f ca="1">+IFERROR(ROUND(($AB100-AH100)*100,2)&amp;" pts.",0)</f>
        <v>0</v>
      </c>
    </row>
    <row r="101" spans="1:40" ht="15.75" thickTop="1" x14ac:dyDescent="0.25">
      <c r="A101" s="22" t="s">
        <v>92</v>
      </c>
      <c r="B101" s="23" t="s">
        <v>93</v>
      </c>
      <c r="C101" s="23" t="s">
        <v>94</v>
      </c>
      <c r="D101" s="23" t="s">
        <v>95</v>
      </c>
      <c r="E101" s="23" t="s">
        <v>96</v>
      </c>
      <c r="F101" s="24" t="s">
        <v>97</v>
      </c>
    </row>
    <row r="102" spans="1:40" x14ac:dyDescent="0.25">
      <c r="N102" s="26" t="e">
        <f ca="1">N99&amp;" - Check"</f>
        <v>#NAME?</v>
      </c>
      <c r="O102" s="139">
        <f t="shared" ref="O102:AA102" si="47">SUMIF($H$35:$H$100,"600000",O$35:O$100)+SUMIF($H$35:$H$100,"700000",O$35:O$100)-SUMIF($H$35:$H$100,"TOTDEPTEXP",O$35:O$100)</f>
        <v>0</v>
      </c>
      <c r="P102" s="139">
        <f t="shared" si="47"/>
        <v>0</v>
      </c>
      <c r="Q102" s="139">
        <f t="shared" si="47"/>
        <v>0</v>
      </c>
      <c r="R102" s="139">
        <f t="shared" si="47"/>
        <v>0</v>
      </c>
      <c r="S102" s="139">
        <f t="shared" si="47"/>
        <v>0</v>
      </c>
      <c r="T102" s="139">
        <f t="shared" si="47"/>
        <v>0</v>
      </c>
      <c r="U102" s="139">
        <f t="shared" si="47"/>
        <v>0</v>
      </c>
      <c r="V102" s="139">
        <f t="shared" si="47"/>
        <v>0</v>
      </c>
      <c r="W102" s="139">
        <f t="shared" si="47"/>
        <v>0</v>
      </c>
      <c r="X102" s="139">
        <f t="shared" si="47"/>
        <v>0</v>
      </c>
      <c r="Y102" s="139">
        <f t="shared" si="47"/>
        <v>0</v>
      </c>
      <c r="Z102" s="139">
        <f t="shared" si="47"/>
        <v>0</v>
      </c>
      <c r="AA102" s="139" t="e">
        <f t="shared" ca="1" si="47"/>
        <v>#NAME?</v>
      </c>
      <c r="AB102" s="17"/>
      <c r="AD102" s="139">
        <f>SUMIF($H$35:$H$100,"600000",AD$35:AD$100)+SUMIF($H$35:$H$100,"700000",AD$35:AD$100)-SUMIF($H$35:$H$100,"TOTDEPTEXP",AD$35:AD$100)</f>
        <v>0</v>
      </c>
      <c r="AE102" s="17"/>
      <c r="AF102" s="21"/>
      <c r="AG102" s="139">
        <f>SUMIF($H$35:$H$100,"600000",AG$35:AG$100)+SUMIF($H$35:$H$100,"700000",AG$35:AG$100)-SUMIF($H$35:$H$100,"TOTDEPTEXP",AG$35:AG$100)</f>
        <v>0</v>
      </c>
      <c r="AH102" s="17"/>
      <c r="AI102" s="21"/>
    </row>
    <row r="103" spans="1:40" x14ac:dyDescent="0.25">
      <c r="A103" s="1" t="s">
        <v>108</v>
      </c>
      <c r="C103" s="26" t="s">
        <v>101</v>
      </c>
      <c r="D103" s="1" t="s">
        <v>106</v>
      </c>
      <c r="F103" s="1" t="s">
        <v>98</v>
      </c>
      <c r="N103" s="26" t="e">
        <f ca="1">N100&amp;" - Check"</f>
        <v>#NAME?</v>
      </c>
      <c r="O103" s="139">
        <f t="shared" ref="O103:AA103" si="48">SUMIF($H$35:$H$100,"KPI_GP",O$35:O$100)-SUMIF($H$35:$H$100,"TOTDEPTEXP",O$35:O$100)-SUMIF($H$35:$H$100,"TOTDEPTPL",O$35:O$100)</f>
        <v>0</v>
      </c>
      <c r="P103" s="139">
        <f t="shared" si="48"/>
        <v>0</v>
      </c>
      <c r="Q103" s="139">
        <f t="shared" si="48"/>
        <v>0</v>
      </c>
      <c r="R103" s="139">
        <f t="shared" si="48"/>
        <v>0</v>
      </c>
      <c r="S103" s="139">
        <f t="shared" si="48"/>
        <v>0</v>
      </c>
      <c r="T103" s="139">
        <f t="shared" si="48"/>
        <v>0</v>
      </c>
      <c r="U103" s="139">
        <f t="shared" si="48"/>
        <v>0</v>
      </c>
      <c r="V103" s="139">
        <f t="shared" si="48"/>
        <v>0</v>
      </c>
      <c r="W103" s="139">
        <f t="shared" si="48"/>
        <v>0</v>
      </c>
      <c r="X103" s="139">
        <f t="shared" si="48"/>
        <v>0</v>
      </c>
      <c r="Y103" s="139">
        <f t="shared" si="48"/>
        <v>0</v>
      </c>
      <c r="Z103" s="139">
        <f t="shared" si="48"/>
        <v>0</v>
      </c>
      <c r="AA103" s="139" t="e">
        <f t="shared" ca="1" si="48"/>
        <v>#NAME?</v>
      </c>
      <c r="AB103" s="17"/>
      <c r="AD103" s="139">
        <f>SUMIF($H$35:$H$100,"KPI_GP",AD$35:AD$100)-SUMIF($H$35:$H$100,"TOTDEPTEXP",AD$35:AD$100)-SUMIF($H$35:$H$100,"TOTDEPTPL",AD$35:AD$100)</f>
        <v>0</v>
      </c>
      <c r="AE103" s="17"/>
      <c r="AF103" s="21"/>
      <c r="AG103" s="139">
        <f>SUMIF($H$35:$H$100,"KPI_GP",AG$35:AG$100)-SUMIF($H$35:$H$100,"TOTDEPTEXP",AG$35:AG$100)-SUMIF($H$35:$H$100,"TOTDEPTPL",AG$35:AG$100)</f>
        <v>0</v>
      </c>
      <c r="AH103" s="17"/>
      <c r="AI103" s="21"/>
    </row>
    <row r="104" spans="1:40" x14ac:dyDescent="0.25">
      <c r="A104" s="1" t="s">
        <v>100</v>
      </c>
      <c r="C104" s="8" t="s">
        <v>101</v>
      </c>
      <c r="D104" s="1" t="s">
        <v>106</v>
      </c>
      <c r="F104" s="1" t="s">
        <v>98</v>
      </c>
    </row>
    <row r="105" spans="1:40" x14ac:dyDescent="0.25">
      <c r="A105" s="1" t="s">
        <v>109</v>
      </c>
      <c r="C105" s="25" t="s">
        <v>101</v>
      </c>
      <c r="D105" s="1" t="s">
        <v>106</v>
      </c>
      <c r="F105" s="1" t="s">
        <v>98</v>
      </c>
      <c r="G105" s="14"/>
      <c r="O105" s="166"/>
      <c r="P105" s="166"/>
      <c r="Q105" s="166"/>
      <c r="R105" s="166"/>
      <c r="S105" s="166"/>
      <c r="T105" s="166"/>
      <c r="U105" s="166"/>
      <c r="V105" s="166"/>
      <c r="W105" s="166"/>
      <c r="X105" s="166"/>
      <c r="Y105" s="166"/>
      <c r="Z105" s="166"/>
      <c r="AA105" s="166"/>
      <c r="AD105" s="166"/>
      <c r="AG105" s="166"/>
    </row>
    <row r="106" spans="1:40" ht="15.75" x14ac:dyDescent="0.25">
      <c r="A106" s="1" t="s">
        <v>109</v>
      </c>
      <c r="C106" s="151" t="s">
        <v>101</v>
      </c>
      <c r="D106" s="1" t="s">
        <v>107</v>
      </c>
      <c r="F106" s="1" t="s">
        <v>99</v>
      </c>
      <c r="N106" s="174" t="s">
        <v>802</v>
      </c>
      <c r="O106" s="166"/>
    </row>
    <row r="107" spans="1:40" x14ac:dyDescent="0.25">
      <c r="A107" s="1" t="s">
        <v>110</v>
      </c>
      <c r="C107" s="25" t="s">
        <v>101</v>
      </c>
      <c r="D107" s="1" t="s">
        <v>106</v>
      </c>
      <c r="F107" s="1" t="s">
        <v>98</v>
      </c>
      <c r="H107" s="11" t="s">
        <v>273</v>
      </c>
      <c r="I107" s="161" t="e">
        <f ca="1">_xll.EVPRO($B$1,$H107,"STYLE")</f>
        <v>#NAME?</v>
      </c>
      <c r="J107" s="161" t="e">
        <f ca="1">_xll.EVPRO($B$1,$H107,"CALC")</f>
        <v>#NAME?</v>
      </c>
      <c r="N107" s="492" t="e">
        <f ca="1">IF(_xll.EVDES(H107,$B$1)="#NODATA","",_xll.EVDES(H107,$B$1))</f>
        <v>#NAME?</v>
      </c>
      <c r="O107" s="493" t="e">
        <f ca="1">_xll.EVGET($B$1,$H107,$B$3,O$17,$B$5,$B$6,$B$7,O$18,$B$9,O$16)</f>
        <v>#NAME?</v>
      </c>
      <c r="P107" s="493" t="e">
        <f ca="1">_xll.EVGET($B$1,$H107,$B$3,P$17,$B$5,$B$6,$B$7,P$18,$B$9,P$16)</f>
        <v>#NAME?</v>
      </c>
      <c r="Q107" s="493" t="e">
        <f ca="1">_xll.EVGET($B$1,$H107,$B$3,Q$17,$B$5,$B$6,$B$7,Q$18,$B$9,Q$16)</f>
        <v>#NAME?</v>
      </c>
      <c r="R107" s="493" t="e">
        <f ca="1">_xll.EVGET($B$1,$H107,$B$3,R$17,$B$5,$B$6,$B$7,R$18,$B$9,R$16)</f>
        <v>#NAME?</v>
      </c>
      <c r="S107" s="493" t="e">
        <f ca="1">_xll.EVGET($B$1,$H107,$B$3,S$17,$B$5,$B$6,$B$7,S$18,$B$9,S$16)</f>
        <v>#NAME?</v>
      </c>
      <c r="T107" s="493" t="e">
        <f ca="1">_xll.EVGET($B$1,$H107,$B$3,T$17,$B$5,$B$6,$B$7,T$18,$B$9,T$16)</f>
        <v>#NAME?</v>
      </c>
      <c r="U107" s="493" t="e">
        <f ca="1">_xll.EVGET($B$1,$H107,$B$3,U$17,$B$5,$B$6,$B$7,U$18,$B$9,U$16)</f>
        <v>#NAME?</v>
      </c>
      <c r="V107" s="493" t="e">
        <f ca="1">_xll.EVGET($B$1,$H107,$B$3,V$17,$B$5,$B$6,$B$7,V$18,$B$9,V$16)</f>
        <v>#NAME?</v>
      </c>
      <c r="W107" s="493" t="e">
        <f ca="1">_xll.EVGET($B$1,$H107,$B$3,W$17,$B$5,$B$6,$B$7,W$18,$B$9,W$16)</f>
        <v>#NAME?</v>
      </c>
      <c r="X107" s="493" t="e">
        <f ca="1">_xll.EVGET($B$1,$H107,$B$3,X$17,$B$5,$B$6,$B$7,X$18,$B$9,X$16)</f>
        <v>#NAME?</v>
      </c>
      <c r="Y107" s="493" t="e">
        <f ca="1">_xll.EVGET($B$1,$H107,$B$3,Y$17,$B$5,$B$6,$B$7,Y$18,$B$9,Y$16)</f>
        <v>#NAME?</v>
      </c>
      <c r="Z107" s="493" t="e">
        <f ca="1">_xll.EVGET($B$1,$H107,$B$3,Z$17,$B$5,$B$6,$B$7,Z$18,$B$9,Z$16)</f>
        <v>#NAME?</v>
      </c>
      <c r="AA107" s="493" t="e">
        <f ca="1">_xll.EVGET($B$1,$H107,$B$3,AA$17,$B$5,$B$6,$B$7,AA$18,$B$9,AA$16)</f>
        <v>#NAME?</v>
      </c>
      <c r="AB107" s="493"/>
      <c r="AC107" s="493"/>
      <c r="AD107" s="493" t="e">
        <f ca="1">_xll.EVGET($B$1,$H107,$B$3,AD$17,$B$5,$B$6,$B$7,AD$18,$B$9,AD$16)</f>
        <v>#NAME?</v>
      </c>
      <c r="AE107" s="493"/>
      <c r="AF107" s="493"/>
      <c r="AG107" s="493" t="e">
        <f ca="1">_xll.EVGET($B$1,$H107,$B$3,AG$17,$B$5,$B$6,$B$7,AG$18,$B$9,AG$16)</f>
        <v>#NAME?</v>
      </c>
      <c r="AH107" s="493"/>
      <c r="AI107" s="493"/>
    </row>
    <row r="108" spans="1:40" x14ac:dyDescent="0.25">
      <c r="A108" s="1" t="s">
        <v>110</v>
      </c>
      <c r="C108" s="29" t="s">
        <v>101</v>
      </c>
      <c r="D108" s="1" t="s">
        <v>107</v>
      </c>
      <c r="F108" s="1" t="s">
        <v>99</v>
      </c>
      <c r="H108" s="11" t="s">
        <v>273</v>
      </c>
      <c r="I108" s="161" t="e">
        <f ca="1">_xll.EVPRO($B$1,$H108,"STYLE")</f>
        <v>#NAME?</v>
      </c>
      <c r="J108" s="161" t="e">
        <f ca="1">_xll.EVPRO($B$1,$H108,"CALC")</f>
        <v>#NAME?</v>
      </c>
      <c r="K108" s="494"/>
      <c r="L108" s="494"/>
      <c r="M108" s="494"/>
      <c r="N108" s="495" t="s">
        <v>803</v>
      </c>
      <c r="O108" s="456">
        <f ca="1">IFERROR(_xll.EVGET($B$1,$H108,$B$3,O$17,$B$5,$G126,$B$7,O$18,$B$9,O$16)/O107,0)</f>
        <v>0</v>
      </c>
      <c r="P108" s="456">
        <f ca="1">IFERROR(_xll.EVGET($B$1,$H108,$B$3,P$17,$B$5,$G126,$B$7,P$18,$B$9,P$16)/P107,0)</f>
        <v>0</v>
      </c>
      <c r="Q108" s="456">
        <f ca="1">IFERROR(_xll.EVGET($B$1,$H108,$B$3,Q$17,$B$5,$G126,$B$7,Q$18,$B$9,Q$16)/Q107,0)</f>
        <v>0</v>
      </c>
      <c r="R108" s="456">
        <f ca="1">IFERROR(_xll.EVGET($B$1,$H108,$B$3,R$17,$B$5,$G126,$B$7,R$18,$B$9,R$16)/R107,0)</f>
        <v>0</v>
      </c>
      <c r="S108" s="456">
        <f ca="1">IFERROR(_xll.EVGET($B$1,$H108,$B$3,S$17,$B$5,$G126,$B$7,S$18,$B$9,S$16)/S107,0)</f>
        <v>0</v>
      </c>
      <c r="T108" s="456">
        <f ca="1">IFERROR(_xll.EVGET($B$1,$H108,$B$3,T$17,$B$5,$G126,$B$7,T$18,$B$9,T$16)/T107,0)</f>
        <v>0</v>
      </c>
      <c r="U108" s="456">
        <f ca="1">IFERROR(_xll.EVGET($B$1,$H108,$B$3,U$17,$B$5,$G126,$B$7,U$18,$B$9,U$16)/U107,0)</f>
        <v>0</v>
      </c>
      <c r="V108" s="456">
        <f ca="1">IFERROR(_xll.EVGET($B$1,$H108,$B$3,V$17,$B$5,$G126,$B$7,V$18,$B$9,V$16)/V107,0)</f>
        <v>0</v>
      </c>
      <c r="W108" s="456">
        <f ca="1">IFERROR(_xll.EVGET($B$1,$H108,$B$3,W$17,$B$5,$G126,$B$7,W$18,$B$9,W$16)/W107,0)</f>
        <v>0</v>
      </c>
      <c r="X108" s="456">
        <f ca="1">IFERROR(_xll.EVGET($B$1,$H108,$B$3,X$17,$B$5,$G126,$B$7,X$18,$B$9,X$16)/X107,0)</f>
        <v>0</v>
      </c>
      <c r="Y108" s="456">
        <f ca="1">IFERROR(_xll.EVGET($B$1,$H108,$B$3,Y$17,$B$5,$G126,$B$7,Y$18,$B$9,Y$16)/Y107,0)</f>
        <v>0</v>
      </c>
      <c r="Z108" s="456">
        <f ca="1">IFERROR(_xll.EVGET($B$1,$H108,$B$3,Z$17,$B$5,$G126,$B$7,Z$18,$B$9,Z$16)/Z107,0)</f>
        <v>0</v>
      </c>
      <c r="AA108" s="456">
        <f ca="1">IFERROR(_xll.EVGET($B$1,$H108,$B$3,AA$17,$B$5,$G126,$B$7,AA$18,$B$9,AA$16)/AA107,0)</f>
        <v>0</v>
      </c>
      <c r="AB108" s="456"/>
      <c r="AC108" s="456"/>
      <c r="AD108" s="456">
        <f ca="1">IFERROR(_xll.EVGET($B$1,$H108,$B$3,AD$17,$B$5,$G126,$B$7,AD$18,$B$9,AD$16)/AD107,0)</f>
        <v>0</v>
      </c>
      <c r="AE108" s="456"/>
      <c r="AF108" s="456"/>
      <c r="AG108" s="456">
        <f ca="1">IFERROR(_xll.EVGET($B$1,$H108,$B$3,AG$17,$B$5,$G126,$B$7,AG$18,$B$9,AG$16)/AG107,0)</f>
        <v>0</v>
      </c>
      <c r="AH108" s="456"/>
      <c r="AI108" s="456"/>
    </row>
    <row r="109" spans="1:40" x14ac:dyDescent="0.25">
      <c r="C109" s="32"/>
      <c r="H109" s="11" t="s">
        <v>273</v>
      </c>
      <c r="I109" s="161" t="e">
        <f ca="1">_xll.EVPRO($B$1,$H109,"STYLE")</f>
        <v>#NAME?</v>
      </c>
      <c r="J109" s="161" t="e">
        <f ca="1">_xll.EVPRO($B$1,$H109,"CALC")</f>
        <v>#NAME?</v>
      </c>
      <c r="K109" s="494"/>
      <c r="L109" s="494"/>
      <c r="M109" s="494"/>
      <c r="N109" s="495" t="s">
        <v>804</v>
      </c>
      <c r="O109" s="456">
        <f ca="1">IFERROR(_xll.EVGET($B$1,$H109,$B$3,O$17,$B$5,$G127,$B$7,O$18,$B$9,O$16)/O107,0)</f>
        <v>0</v>
      </c>
      <c r="P109" s="456">
        <f ca="1">IFERROR(_xll.EVGET($B$1,$H109,$B$3,P$17,$B$5,$G127,$B$7,P$18,$B$9,P$16)/P107,0)</f>
        <v>0</v>
      </c>
      <c r="Q109" s="456">
        <f ca="1">IFERROR(_xll.EVGET($B$1,$H109,$B$3,Q$17,$B$5,$G127,$B$7,Q$18,$B$9,Q$16)/Q107,0)</f>
        <v>0</v>
      </c>
      <c r="R109" s="456">
        <f ca="1">IFERROR(_xll.EVGET($B$1,$H109,$B$3,R$17,$B$5,$G127,$B$7,R$18,$B$9,R$16)/R107,0)</f>
        <v>0</v>
      </c>
      <c r="S109" s="456">
        <f ca="1">IFERROR(_xll.EVGET($B$1,$H109,$B$3,S$17,$B$5,$G127,$B$7,S$18,$B$9,S$16)/S107,0)</f>
        <v>0</v>
      </c>
      <c r="T109" s="456">
        <f ca="1">IFERROR(_xll.EVGET($B$1,$H109,$B$3,T$17,$B$5,$G127,$B$7,T$18,$B$9,T$16)/T107,0)</f>
        <v>0</v>
      </c>
      <c r="U109" s="456">
        <f ca="1">IFERROR(_xll.EVGET($B$1,$H109,$B$3,U$17,$B$5,$G127,$B$7,U$18,$B$9,U$16)/U107,0)</f>
        <v>0</v>
      </c>
      <c r="V109" s="456">
        <f ca="1">IFERROR(_xll.EVGET($B$1,$H109,$B$3,V$17,$B$5,$G127,$B$7,V$18,$B$9,V$16)/V107,0)</f>
        <v>0</v>
      </c>
      <c r="W109" s="456">
        <f ca="1">IFERROR(_xll.EVGET($B$1,$H109,$B$3,W$17,$B$5,$G127,$B$7,W$18,$B$9,W$16)/W107,0)</f>
        <v>0</v>
      </c>
      <c r="X109" s="456">
        <f ca="1">IFERROR(_xll.EVGET($B$1,$H109,$B$3,X$17,$B$5,$G127,$B$7,X$18,$B$9,X$16)/X107,0)</f>
        <v>0</v>
      </c>
      <c r="Y109" s="456">
        <f ca="1">IFERROR(_xll.EVGET($B$1,$H109,$B$3,Y$17,$B$5,$G127,$B$7,Y$18,$B$9,Y$16)/Y107,0)</f>
        <v>0</v>
      </c>
      <c r="Z109" s="456">
        <f ca="1">IFERROR(_xll.EVGET($B$1,$H109,$B$3,Z$17,$B$5,$G127,$B$7,Z$18,$B$9,Z$16)/Z107,0)</f>
        <v>0</v>
      </c>
      <c r="AA109" s="456">
        <f ca="1">IFERROR(_xll.EVGET($B$1,$H109,$B$3,AA$17,$B$5,$G127,$B$7,AA$18,$B$9,AA$16)/AA107,0)</f>
        <v>0</v>
      </c>
      <c r="AB109" s="456"/>
      <c r="AC109" s="456"/>
      <c r="AD109" s="456">
        <f ca="1">IFERROR(_xll.EVGET($B$1,$H109,$B$3,AD$17,$B$5,$G127,$B$7,AD$18,$B$9,AD$16)/AD107,0)</f>
        <v>0</v>
      </c>
      <c r="AE109" s="456"/>
      <c r="AF109" s="456"/>
      <c r="AG109" s="456">
        <f ca="1">IFERROR(_xll.EVGET($B$1,$H109,$B$3,AG$17,$B$5,$G127,$B$7,AG$18,$B$9,AG$16)/AG107,0)</f>
        <v>0</v>
      </c>
      <c r="AH109" s="456"/>
      <c r="AI109" s="456"/>
    </row>
    <row r="110" spans="1:40" x14ac:dyDescent="0.25">
      <c r="H110" s="11" t="s">
        <v>265</v>
      </c>
      <c r="I110" s="161" t="e">
        <f ca="1">_xll.EVPRO($B$1,$H110,"STYLE")</f>
        <v>#NAME?</v>
      </c>
      <c r="J110" s="161" t="e">
        <f ca="1">_xll.EVPRO($B$1,$H110,"CALC")</f>
        <v>#NAME?</v>
      </c>
      <c r="N110" s="492" t="e">
        <f ca="1">IF(_xll.EVDES(H110,$B$1)="#NODATA","",_xll.EVDES(H110,$B$1))</f>
        <v>#NAME?</v>
      </c>
      <c r="O110" s="493" t="e">
        <f ca="1">_xll.EVGET($B$1,$H110,$B$3,O$17,$B$5,$B$6,$B$7,O$18,$B$9,O$16)</f>
        <v>#NAME?</v>
      </c>
      <c r="P110" s="493" t="e">
        <f ca="1">_xll.EVGET($B$1,$H110,$B$3,P$17,$B$5,$B$6,$B$7,P$18,$B$9,P$16)</f>
        <v>#NAME?</v>
      </c>
      <c r="Q110" s="493" t="e">
        <f ca="1">_xll.EVGET($B$1,$H110,$B$3,Q$17,$B$5,$B$6,$B$7,Q$18,$B$9,Q$16)</f>
        <v>#NAME?</v>
      </c>
      <c r="R110" s="493" t="e">
        <f ca="1">_xll.EVGET($B$1,$H110,$B$3,R$17,$B$5,$B$6,$B$7,R$18,$B$9,R$16)</f>
        <v>#NAME?</v>
      </c>
      <c r="S110" s="493" t="e">
        <f ca="1">_xll.EVGET($B$1,$H110,$B$3,S$17,$B$5,$B$6,$B$7,S$18,$B$9,S$16)</f>
        <v>#NAME?</v>
      </c>
      <c r="T110" s="493" t="e">
        <f ca="1">_xll.EVGET($B$1,$H110,$B$3,T$17,$B$5,$B$6,$B$7,T$18,$B$9,T$16)</f>
        <v>#NAME?</v>
      </c>
      <c r="U110" s="493" t="e">
        <f ca="1">_xll.EVGET($B$1,$H110,$B$3,U$17,$B$5,$B$6,$B$7,U$18,$B$9,U$16)</f>
        <v>#NAME?</v>
      </c>
      <c r="V110" s="493" t="e">
        <f ca="1">_xll.EVGET($B$1,$H110,$B$3,V$17,$B$5,$B$6,$B$7,V$18,$B$9,V$16)</f>
        <v>#NAME?</v>
      </c>
      <c r="W110" s="493" t="e">
        <f ca="1">_xll.EVGET($B$1,$H110,$B$3,W$17,$B$5,$B$6,$B$7,W$18,$B$9,W$16)</f>
        <v>#NAME?</v>
      </c>
      <c r="X110" s="493" t="e">
        <f ca="1">_xll.EVGET($B$1,$H110,$B$3,X$17,$B$5,$B$6,$B$7,X$18,$B$9,X$16)</f>
        <v>#NAME?</v>
      </c>
      <c r="Y110" s="493" t="e">
        <f ca="1">_xll.EVGET($B$1,$H110,$B$3,Y$17,$B$5,$B$6,$B$7,Y$18,$B$9,Y$16)</f>
        <v>#NAME?</v>
      </c>
      <c r="Z110" s="493" t="e">
        <f ca="1">_xll.EVGET($B$1,$H110,$B$3,Z$17,$B$5,$B$6,$B$7,Z$18,$B$9,Z$16)</f>
        <v>#NAME?</v>
      </c>
      <c r="AA110" s="493" t="e">
        <f ca="1">_xll.EVGET($B$1,$H110,$B$3,AA$17,$B$5,$B$6,$B$7,AA$18,$B$9,AA$16)</f>
        <v>#NAME?</v>
      </c>
      <c r="AB110" s="493"/>
      <c r="AC110" s="493"/>
      <c r="AD110" s="493" t="e">
        <f ca="1">_xll.EVGET($B$1,$H110,$B$3,AD$17,$B$5,$B$6,$B$7,AD$18,$B$9,AD$16)</f>
        <v>#NAME?</v>
      </c>
      <c r="AE110" s="493"/>
      <c r="AF110" s="493"/>
      <c r="AG110" s="493" t="e">
        <f ca="1">_xll.EVGET($B$1,$H110,$B$3,AG$17,$B$5,$B$6,$B$7,AG$18,$B$9,AG$16)</f>
        <v>#NAME?</v>
      </c>
      <c r="AH110" s="493"/>
      <c r="AI110" s="493"/>
    </row>
    <row r="111" spans="1:40" x14ac:dyDescent="0.25">
      <c r="A111" s="4" t="e">
        <f ca="1">_xll.EVDRE($B$1,A114:B121)</f>
        <v>#NAME?</v>
      </c>
      <c r="B111" s="1" t="s">
        <v>736</v>
      </c>
      <c r="H111" s="11" t="s">
        <v>265</v>
      </c>
      <c r="I111" s="27" t="e">
        <f ca="1">_xll.EVPRO($B$1,$H111,"STYLE")</f>
        <v>#NAME?</v>
      </c>
      <c r="J111" s="27" t="e">
        <f ca="1">_xll.EVPRO($B$1,$H111,"CALC")</f>
        <v>#NAME?</v>
      </c>
      <c r="N111" s="495" t="s">
        <v>803</v>
      </c>
      <c r="O111" s="456">
        <f ca="1">IFERROR(_xll.EVGET($B$1,$H111,$B$3,O$17,$B$5,$G129,$B$7,O$18,$B$9,O$16)/O110,0)</f>
        <v>0</v>
      </c>
      <c r="P111" s="456">
        <f ca="1">IFERROR(_xll.EVGET($B$1,$H111,$B$3,P$17,$B$5,$G129,$B$7,P$18,$B$9,P$16)/P110,0)</f>
        <v>0</v>
      </c>
      <c r="Q111" s="456">
        <f ca="1">IFERROR(_xll.EVGET($B$1,$H111,$B$3,Q$17,$B$5,$G129,$B$7,Q$18,$B$9,Q$16)/Q110,0)</f>
        <v>0</v>
      </c>
      <c r="R111" s="456">
        <f ca="1">IFERROR(_xll.EVGET($B$1,$H111,$B$3,R$17,$B$5,$G129,$B$7,R$18,$B$9,R$16)/R110,0)</f>
        <v>0</v>
      </c>
      <c r="S111" s="456">
        <f ca="1">IFERROR(_xll.EVGET($B$1,$H111,$B$3,S$17,$B$5,$G129,$B$7,S$18,$B$9,S$16)/S110,0)</f>
        <v>0</v>
      </c>
      <c r="T111" s="456">
        <f ca="1">IFERROR(_xll.EVGET($B$1,$H111,$B$3,T$17,$B$5,$G129,$B$7,T$18,$B$9,T$16)/T110,0)</f>
        <v>0</v>
      </c>
      <c r="U111" s="456">
        <f ca="1">IFERROR(_xll.EVGET($B$1,$H111,$B$3,U$17,$B$5,$G129,$B$7,U$18,$B$9,U$16)/U110,0)</f>
        <v>0</v>
      </c>
      <c r="V111" s="456">
        <f ca="1">IFERROR(_xll.EVGET($B$1,$H111,$B$3,V$17,$B$5,$G129,$B$7,V$18,$B$9,V$16)/V110,0)</f>
        <v>0</v>
      </c>
      <c r="W111" s="456">
        <f ca="1">IFERROR(_xll.EVGET($B$1,$H111,$B$3,W$17,$B$5,$G129,$B$7,W$18,$B$9,W$16)/W110,0)</f>
        <v>0</v>
      </c>
      <c r="X111" s="456">
        <f ca="1">IFERROR(_xll.EVGET($B$1,$H111,$B$3,X$17,$B$5,$G129,$B$7,X$18,$B$9,X$16)/X110,0)</f>
        <v>0</v>
      </c>
      <c r="Y111" s="456">
        <f ca="1">IFERROR(_xll.EVGET($B$1,$H111,$B$3,Y$17,$B$5,$G129,$B$7,Y$18,$B$9,Y$16)/Y110,0)</f>
        <v>0</v>
      </c>
      <c r="Z111" s="456">
        <f ca="1">IFERROR(_xll.EVGET($B$1,$H111,$B$3,Z$17,$B$5,$G129,$B$7,Z$18,$B$9,Z$16)/Z110,0)</f>
        <v>0</v>
      </c>
      <c r="AA111" s="456">
        <f ca="1">IFERROR(_xll.EVGET($B$1,$H111,$B$3,AA$17,$B$5,$G129,$B$7,AA$18,$B$9,AA$16)/AA110,0)</f>
        <v>0</v>
      </c>
      <c r="AB111" s="456"/>
      <c r="AC111" s="456"/>
      <c r="AD111" s="456">
        <f ca="1">IFERROR(_xll.EVGET($B$1,$H111,$B$3,AD$17,$B$5,$G129,$B$7,AD$18,$B$9,AD$16)/AD110,0)</f>
        <v>0</v>
      </c>
      <c r="AE111" s="456"/>
      <c r="AF111" s="456"/>
      <c r="AG111" s="456">
        <f ca="1">IFERROR(_xll.EVGET($B$1,$H111,$B$3,AG$17,$B$5,$G129,$B$7,AG$18,$B$9,AG$16)/AG110,0)</f>
        <v>0</v>
      </c>
      <c r="AH111" s="456"/>
      <c r="AI111" s="456"/>
    </row>
    <row r="112" spans="1:40" x14ac:dyDescent="0.25">
      <c r="H112" s="11" t="s">
        <v>265</v>
      </c>
      <c r="I112" s="27" t="e">
        <f ca="1">_xll.EVPRO($B$1,$H112,"STYLE")</f>
        <v>#NAME?</v>
      </c>
      <c r="J112" s="27" t="e">
        <f ca="1">_xll.EVPRO($B$1,$H112,"CALC")</f>
        <v>#NAME?</v>
      </c>
      <c r="N112" s="495" t="s">
        <v>804</v>
      </c>
      <c r="O112" s="456">
        <f ca="1">IFERROR(_xll.EVGET($B$1,$H112,$B$3,O$17,$B$5,$G130,$B$7,O$18,$B$9,O$16)/O110,0)</f>
        <v>0</v>
      </c>
      <c r="P112" s="456">
        <f ca="1">IFERROR(_xll.EVGET($B$1,$H112,$B$3,P$17,$B$5,$G130,$B$7,P$18,$B$9,P$16)/P110,0)</f>
        <v>0</v>
      </c>
      <c r="Q112" s="456">
        <f ca="1">IFERROR(_xll.EVGET($B$1,$H112,$B$3,Q$17,$B$5,$G130,$B$7,Q$18,$B$9,Q$16)/Q110,0)</f>
        <v>0</v>
      </c>
      <c r="R112" s="456">
        <f ca="1">IFERROR(_xll.EVGET($B$1,$H112,$B$3,R$17,$B$5,$G130,$B$7,R$18,$B$9,R$16)/R110,0)</f>
        <v>0</v>
      </c>
      <c r="S112" s="456">
        <f ca="1">IFERROR(_xll.EVGET($B$1,$H112,$B$3,S$17,$B$5,$G130,$B$7,S$18,$B$9,S$16)/S110,0)</f>
        <v>0</v>
      </c>
      <c r="T112" s="456">
        <f ca="1">IFERROR(_xll.EVGET($B$1,$H112,$B$3,T$17,$B$5,$G130,$B$7,T$18,$B$9,T$16)/T110,0)</f>
        <v>0</v>
      </c>
      <c r="U112" s="456">
        <f ca="1">IFERROR(_xll.EVGET($B$1,$H112,$B$3,U$17,$B$5,$G130,$B$7,U$18,$B$9,U$16)/U110,0)</f>
        <v>0</v>
      </c>
      <c r="V112" s="456">
        <f ca="1">IFERROR(_xll.EVGET($B$1,$H112,$B$3,V$17,$B$5,$G130,$B$7,V$18,$B$9,V$16)/V110,0)</f>
        <v>0</v>
      </c>
      <c r="W112" s="456">
        <f ca="1">IFERROR(_xll.EVGET($B$1,$H112,$B$3,W$17,$B$5,$G130,$B$7,W$18,$B$9,W$16)/W110,0)</f>
        <v>0</v>
      </c>
      <c r="X112" s="456">
        <f ca="1">IFERROR(_xll.EVGET($B$1,$H112,$B$3,X$17,$B$5,$G130,$B$7,X$18,$B$9,X$16)/X110,0)</f>
        <v>0</v>
      </c>
      <c r="Y112" s="456">
        <f ca="1">IFERROR(_xll.EVGET($B$1,$H112,$B$3,Y$17,$B$5,$G130,$B$7,Y$18,$B$9,Y$16)/Y110,0)</f>
        <v>0</v>
      </c>
      <c r="Z112" s="456">
        <f ca="1">IFERROR(_xll.EVGET($B$1,$H112,$B$3,Z$17,$B$5,$G130,$B$7,Z$18,$B$9,Z$16)/Z110,0)</f>
        <v>0</v>
      </c>
      <c r="AA112" s="456">
        <f ca="1">IFERROR(_xll.EVGET($B$1,$H112,$B$3,AA$17,$B$5,$G130,$B$7,AA$18,$B$9,AA$16)/AA110,0)</f>
        <v>0</v>
      </c>
      <c r="AB112" s="456"/>
      <c r="AC112" s="456"/>
      <c r="AD112" s="456">
        <f ca="1">IFERROR(_xll.EVGET($B$1,$H112,$B$3,AD$17,$B$5,$G130,$B$7,AD$18,$B$9,AD$16)/AD110,0)</f>
        <v>0</v>
      </c>
      <c r="AE112" s="456"/>
      <c r="AF112" s="456"/>
      <c r="AG112" s="456">
        <f ca="1">IFERROR(_xll.EVGET($B$1,$H112,$B$3,AG$17,$B$5,$G130,$B$7,AG$18,$B$9,AG$16)/AG110,0)</f>
        <v>0</v>
      </c>
      <c r="AH112" s="456"/>
      <c r="AI112" s="456"/>
    </row>
    <row r="113" spans="1:35" x14ac:dyDescent="0.25">
      <c r="A113" s="3" t="s">
        <v>0</v>
      </c>
      <c r="B113" s="5" t="s">
        <v>1</v>
      </c>
      <c r="H113" s="11" t="s">
        <v>272</v>
      </c>
      <c r="I113" s="27" t="e">
        <f ca="1">_xll.EVPRO($B$1,$H113,"STYLE")</f>
        <v>#NAME?</v>
      </c>
      <c r="J113" s="27" t="e">
        <f ca="1">_xll.EVPRO($B$1,$H113,"CALC")</f>
        <v>#NAME?</v>
      </c>
      <c r="N113" s="492" t="e">
        <f ca="1">IF(_xll.EVDES(H113,$B$1)="#NODATA","",_xll.EVDES(H113,$B$1))</f>
        <v>#NAME?</v>
      </c>
      <c r="O113" s="493" t="e">
        <f ca="1">_xll.EVGET($B$1,$H113,$B$3,O$17,$B$5,$B$6,$B$7,O$18,$B$9,O$16)</f>
        <v>#NAME?</v>
      </c>
      <c r="P113" s="493" t="e">
        <f ca="1">_xll.EVGET($B$1,$H113,$B$3,P$17,$B$5,$B$6,$B$7,P$18,$B$9,P$16)</f>
        <v>#NAME?</v>
      </c>
      <c r="Q113" s="493" t="e">
        <f ca="1">_xll.EVGET($B$1,$H113,$B$3,Q$17,$B$5,$B$6,$B$7,Q$18,$B$9,Q$16)</f>
        <v>#NAME?</v>
      </c>
      <c r="R113" s="493" t="e">
        <f ca="1">_xll.EVGET($B$1,$H113,$B$3,R$17,$B$5,$B$6,$B$7,R$18,$B$9,R$16)</f>
        <v>#NAME?</v>
      </c>
      <c r="S113" s="493" t="e">
        <f ca="1">_xll.EVGET($B$1,$H113,$B$3,S$17,$B$5,$B$6,$B$7,S$18,$B$9,S$16)</f>
        <v>#NAME?</v>
      </c>
      <c r="T113" s="493" t="e">
        <f ca="1">_xll.EVGET($B$1,$H113,$B$3,T$17,$B$5,$B$6,$B$7,T$18,$B$9,T$16)</f>
        <v>#NAME?</v>
      </c>
      <c r="U113" s="493" t="e">
        <f ca="1">_xll.EVGET($B$1,$H113,$B$3,U$17,$B$5,$B$6,$B$7,U$18,$B$9,U$16)</f>
        <v>#NAME?</v>
      </c>
      <c r="V113" s="493" t="e">
        <f ca="1">_xll.EVGET($B$1,$H113,$B$3,V$17,$B$5,$B$6,$B$7,V$18,$B$9,V$16)</f>
        <v>#NAME?</v>
      </c>
      <c r="W113" s="493" t="e">
        <f ca="1">_xll.EVGET($B$1,$H113,$B$3,W$17,$B$5,$B$6,$B$7,W$18,$B$9,W$16)</f>
        <v>#NAME?</v>
      </c>
      <c r="X113" s="493" t="e">
        <f ca="1">_xll.EVGET($B$1,$H113,$B$3,X$17,$B$5,$B$6,$B$7,X$18,$B$9,X$16)</f>
        <v>#NAME?</v>
      </c>
      <c r="Y113" s="493" t="e">
        <f ca="1">_xll.EVGET($B$1,$H113,$B$3,Y$17,$B$5,$B$6,$B$7,Y$18,$B$9,Y$16)</f>
        <v>#NAME?</v>
      </c>
      <c r="Z113" s="493" t="e">
        <f ca="1">_xll.EVGET($B$1,$H113,$B$3,Z$17,$B$5,$B$6,$B$7,Z$18,$B$9,Z$16)</f>
        <v>#NAME?</v>
      </c>
      <c r="AA113" s="493" t="e">
        <f ca="1">_xll.EVGET($B$1,$H113,$B$3,AA$17,$B$5,$B$6,$B$7,AA$18,$B$9,AA$16)</f>
        <v>#NAME?</v>
      </c>
      <c r="AB113" s="493"/>
      <c r="AC113" s="493"/>
      <c r="AD113" s="493" t="e">
        <f ca="1">_xll.EVGET($B$1,$H113,$B$3,AD$17,$B$5,$B$6,$B$7,AD$18,$B$9,AD$16)</f>
        <v>#NAME?</v>
      </c>
      <c r="AE113" s="493"/>
      <c r="AF113" s="493"/>
      <c r="AG113" s="493" t="e">
        <f ca="1">_xll.EVGET($B$1,$H113,$B$3,AG$17,$B$5,$B$6,$B$7,AG$18,$B$9,AG$16)</f>
        <v>#NAME?</v>
      </c>
      <c r="AH113" s="493"/>
      <c r="AI113" s="493"/>
    </row>
    <row r="114" spans="1:35" x14ac:dyDescent="0.25">
      <c r="A114" s="6" t="s">
        <v>2</v>
      </c>
      <c r="B114" s="7" t="e">
        <f ca="1">_xll.EVRNG($B$2:$B$10)</f>
        <v>#NAME?</v>
      </c>
      <c r="H114" s="11" t="s">
        <v>272</v>
      </c>
      <c r="I114" s="27" t="e">
        <f ca="1">_xll.EVPRO($B$1,$H114,"STYLE")</f>
        <v>#NAME?</v>
      </c>
      <c r="J114" s="27" t="e">
        <f ca="1">_xll.EVPRO($B$1,$H114,"CALC")</f>
        <v>#NAME?</v>
      </c>
      <c r="N114" s="495" t="s">
        <v>803</v>
      </c>
      <c r="O114" s="456">
        <f ca="1">IFERROR(_xll.EVGET($B$1,$H114,$B$3,O$17,$B$5,$G132,$B$7,O$18,$B$9,O$16)/O113,0)</f>
        <v>0</v>
      </c>
      <c r="P114" s="456">
        <f ca="1">IFERROR(_xll.EVGET($B$1,$H114,$B$3,P$17,$B$5,$G132,$B$7,P$18,$B$9,P$16)/P113,0)</f>
        <v>0</v>
      </c>
      <c r="Q114" s="456">
        <f ca="1">IFERROR(_xll.EVGET($B$1,$H114,$B$3,Q$17,$B$5,$G132,$B$7,Q$18,$B$9,Q$16)/Q113,0)</f>
        <v>0</v>
      </c>
      <c r="R114" s="456">
        <f ca="1">IFERROR(_xll.EVGET($B$1,$H114,$B$3,R$17,$B$5,$G132,$B$7,R$18,$B$9,R$16)/R113,0)</f>
        <v>0</v>
      </c>
      <c r="S114" s="456">
        <f ca="1">IFERROR(_xll.EVGET($B$1,$H114,$B$3,S$17,$B$5,$G132,$B$7,S$18,$B$9,S$16)/S113,0)</f>
        <v>0</v>
      </c>
      <c r="T114" s="456">
        <f ca="1">IFERROR(_xll.EVGET($B$1,$H114,$B$3,T$17,$B$5,$G132,$B$7,T$18,$B$9,T$16)/T113,0)</f>
        <v>0</v>
      </c>
      <c r="U114" s="456">
        <f ca="1">IFERROR(_xll.EVGET($B$1,$H114,$B$3,U$17,$B$5,$G132,$B$7,U$18,$B$9,U$16)/U113,0)</f>
        <v>0</v>
      </c>
      <c r="V114" s="456">
        <f ca="1">IFERROR(_xll.EVGET($B$1,$H114,$B$3,V$17,$B$5,$G132,$B$7,V$18,$B$9,V$16)/V113,0)</f>
        <v>0</v>
      </c>
      <c r="W114" s="456">
        <f ca="1">IFERROR(_xll.EVGET($B$1,$H114,$B$3,W$17,$B$5,$G132,$B$7,W$18,$B$9,W$16)/W113,0)</f>
        <v>0</v>
      </c>
      <c r="X114" s="456">
        <f ca="1">IFERROR(_xll.EVGET($B$1,$H114,$B$3,X$17,$B$5,$G132,$B$7,X$18,$B$9,X$16)/X113,0)</f>
        <v>0</v>
      </c>
      <c r="Y114" s="456">
        <f ca="1">IFERROR(_xll.EVGET($B$1,$H114,$B$3,Y$17,$B$5,$G132,$B$7,Y$18,$B$9,Y$16)/Y113,0)</f>
        <v>0</v>
      </c>
      <c r="Z114" s="456">
        <f ca="1">IFERROR(_xll.EVGET($B$1,$H114,$B$3,Z$17,$B$5,$G132,$B$7,Z$18,$B$9,Z$16)/Z113,0)</f>
        <v>0</v>
      </c>
      <c r="AA114" s="456">
        <f ca="1">IFERROR(_xll.EVGET($B$1,$H114,$B$3,AA$17,$B$5,$G132,$B$7,AA$18,$B$9,AA$16)/AA113,0)</f>
        <v>0</v>
      </c>
      <c r="AB114" s="456"/>
      <c r="AC114" s="456"/>
      <c r="AD114" s="456">
        <f ca="1">IFERROR(_xll.EVGET($B$1,$H114,$B$3,AD$17,$B$5,$G132,$B$7,AD$18,$B$9,AD$16)/AD113,0)</f>
        <v>0</v>
      </c>
      <c r="AE114" s="456"/>
      <c r="AF114" s="456"/>
      <c r="AG114" s="456">
        <f ca="1">IFERROR(_xll.EVGET($B$1,$H114,$B$3,AG$17,$B$5,$G132,$B$7,AG$18,$B$9,AG$16)/AG113,0)</f>
        <v>0</v>
      </c>
      <c r="AH114" s="456"/>
      <c r="AI114" s="456"/>
    </row>
    <row r="115" spans="1:35" x14ac:dyDescent="0.25">
      <c r="A115" s="6" t="s">
        <v>3</v>
      </c>
      <c r="B115" s="7" t="e">
        <f ca="1">_xll.EVRNG($O$16:$AN$18)</f>
        <v>#NAME?</v>
      </c>
      <c r="H115" s="11" t="s">
        <v>272</v>
      </c>
      <c r="I115" s="27" t="e">
        <f ca="1">_xll.EVPRO($B$1,$H115,"STYLE")</f>
        <v>#NAME?</v>
      </c>
      <c r="J115" s="27" t="e">
        <f ca="1">_xll.EVPRO($B$1,$H115,"CALC")</f>
        <v>#NAME?</v>
      </c>
      <c r="N115" s="495" t="s">
        <v>804</v>
      </c>
      <c r="O115" s="456">
        <f ca="1">IFERROR(_xll.EVGET($B$1,$H115,$B$3,O$17,$B$5,$G133,$B$7,O$18,$B$9,O$16)/O113,0)</f>
        <v>0</v>
      </c>
      <c r="P115" s="456">
        <f ca="1">IFERROR(_xll.EVGET($B$1,$H115,$B$3,P$17,$B$5,$G133,$B$7,P$18,$B$9,P$16)/P113,0)</f>
        <v>0</v>
      </c>
      <c r="Q115" s="456">
        <f ca="1">IFERROR(_xll.EVGET($B$1,$H115,$B$3,Q$17,$B$5,$G133,$B$7,Q$18,$B$9,Q$16)/Q113,0)</f>
        <v>0</v>
      </c>
      <c r="R115" s="456">
        <f ca="1">IFERROR(_xll.EVGET($B$1,$H115,$B$3,R$17,$B$5,$G133,$B$7,R$18,$B$9,R$16)/R113,0)</f>
        <v>0</v>
      </c>
      <c r="S115" s="456">
        <f ca="1">IFERROR(_xll.EVGET($B$1,$H115,$B$3,S$17,$B$5,$G133,$B$7,S$18,$B$9,S$16)/S113,0)</f>
        <v>0</v>
      </c>
      <c r="T115" s="456">
        <f ca="1">IFERROR(_xll.EVGET($B$1,$H115,$B$3,T$17,$B$5,$G133,$B$7,T$18,$B$9,T$16)/T113,0)</f>
        <v>0</v>
      </c>
      <c r="U115" s="456">
        <f ca="1">IFERROR(_xll.EVGET($B$1,$H115,$B$3,U$17,$B$5,$G133,$B$7,U$18,$B$9,U$16)/U113,0)</f>
        <v>0</v>
      </c>
      <c r="V115" s="456">
        <f ca="1">IFERROR(_xll.EVGET($B$1,$H115,$B$3,V$17,$B$5,$G133,$B$7,V$18,$B$9,V$16)/V113,0)</f>
        <v>0</v>
      </c>
      <c r="W115" s="456">
        <f ca="1">IFERROR(_xll.EVGET($B$1,$H115,$B$3,W$17,$B$5,$G133,$B$7,W$18,$B$9,W$16)/W113,0)</f>
        <v>0</v>
      </c>
      <c r="X115" s="456">
        <f ca="1">IFERROR(_xll.EVGET($B$1,$H115,$B$3,X$17,$B$5,$G133,$B$7,X$18,$B$9,X$16)/X113,0)</f>
        <v>0</v>
      </c>
      <c r="Y115" s="456">
        <f ca="1">IFERROR(_xll.EVGET($B$1,$H115,$B$3,Y$17,$B$5,$G133,$B$7,Y$18,$B$9,Y$16)/Y113,0)</f>
        <v>0</v>
      </c>
      <c r="Z115" s="456">
        <f ca="1">IFERROR(_xll.EVGET($B$1,$H115,$B$3,Z$17,$B$5,$G133,$B$7,Z$18,$B$9,Z$16)/Z113,0)</f>
        <v>0</v>
      </c>
      <c r="AA115" s="456">
        <f ca="1">IFERROR(_xll.EVGET($B$1,$H115,$B$3,AA$17,$B$5,$G133,$B$7,AA$18,$B$9,AA$16)/AA113,0)</f>
        <v>0</v>
      </c>
      <c r="AB115" s="456"/>
      <c r="AC115" s="456"/>
      <c r="AD115" s="456">
        <f ca="1">IFERROR(_xll.EVGET($B$1,$H115,$B$3,AD$17,$B$5,$G133,$B$7,AD$18,$B$9,AD$16)/AD113,0)</f>
        <v>0</v>
      </c>
      <c r="AE115" s="456"/>
      <c r="AF115" s="456"/>
      <c r="AG115" s="456">
        <f ca="1">IFERROR(_xll.EVGET($B$1,$H115,$B$3,AG$17,$B$5,$G133,$B$7,AG$18,$B$9,AG$16)/AG113,0)</f>
        <v>0</v>
      </c>
      <c r="AH115" s="456"/>
      <c r="AI115" s="456"/>
    </row>
    <row r="116" spans="1:35" x14ac:dyDescent="0.25">
      <c r="A116" s="6" t="s">
        <v>4</v>
      </c>
      <c r="B116" s="7" t="e">
        <f ca="1">_xll.EVRNG(H97:H100)</f>
        <v>#NAME?</v>
      </c>
      <c r="I116" s="76"/>
      <c r="J116" s="1"/>
      <c r="K116" s="76"/>
      <c r="L116" s="76"/>
      <c r="M116" s="76"/>
      <c r="O116" s="76"/>
      <c r="P116" s="76"/>
      <c r="Q116" s="76"/>
      <c r="R116" s="76"/>
      <c r="S116" s="76"/>
      <c r="T116" s="76"/>
      <c r="U116" s="76"/>
      <c r="V116" s="76"/>
      <c r="W116" s="76"/>
      <c r="X116" s="76"/>
      <c r="Y116" s="76"/>
      <c r="Z116" s="76"/>
      <c r="AA116" s="76"/>
      <c r="AD116" s="76"/>
      <c r="AF116" s="76"/>
      <c r="AH116" s="76"/>
    </row>
    <row r="117" spans="1:35" x14ac:dyDescent="0.25">
      <c r="A117" s="6" t="s">
        <v>5</v>
      </c>
      <c r="B117" s="7"/>
    </row>
    <row r="118" spans="1:35" x14ac:dyDescent="0.25">
      <c r="A118" s="6" t="s">
        <v>6</v>
      </c>
      <c r="B118" s="7"/>
    </row>
    <row r="119" spans="1:35" x14ac:dyDescent="0.25">
      <c r="A119" s="6" t="s">
        <v>7</v>
      </c>
      <c r="B119" s="7"/>
    </row>
    <row r="120" spans="1:35" x14ac:dyDescent="0.25">
      <c r="A120" s="6" t="s">
        <v>47</v>
      </c>
      <c r="B120" s="7" t="e">
        <f ca="1">_xll.EVRNG($A$125:$B$130)</f>
        <v>#NAME?</v>
      </c>
      <c r="I120" s="76"/>
      <c r="J120" s="1"/>
      <c r="K120" s="76"/>
      <c r="L120" s="76"/>
      <c r="M120" s="76"/>
      <c r="O120" s="76"/>
      <c r="P120" s="76"/>
      <c r="Q120" s="76"/>
      <c r="R120" s="76"/>
      <c r="S120" s="76"/>
      <c r="T120" s="76"/>
      <c r="U120" s="76"/>
      <c r="V120" s="76"/>
      <c r="W120" s="76"/>
      <c r="X120" s="76"/>
      <c r="Y120" s="76"/>
      <c r="Z120" s="76"/>
      <c r="AA120" s="76"/>
      <c r="AD120" s="76"/>
      <c r="AF120" s="76"/>
      <c r="AH120" s="76"/>
    </row>
    <row r="121" spans="1:35" x14ac:dyDescent="0.25">
      <c r="A121" s="6" t="s">
        <v>8</v>
      </c>
      <c r="B121" s="7"/>
    </row>
    <row r="124" spans="1:35" x14ac:dyDescent="0.25">
      <c r="A124" s="3" t="s">
        <v>23</v>
      </c>
      <c r="B124" s="5" t="s">
        <v>24</v>
      </c>
    </row>
    <row r="125" spans="1:35" x14ac:dyDescent="0.25">
      <c r="A125" s="6" t="s">
        <v>28</v>
      </c>
      <c r="B125" s="7"/>
      <c r="G125" s="11"/>
    </row>
    <row r="126" spans="1:35" x14ac:dyDescent="0.25">
      <c r="A126" s="6" t="s">
        <v>29</v>
      </c>
      <c r="B126" s="7"/>
      <c r="G126" s="11" t="s">
        <v>805</v>
      </c>
    </row>
    <row r="127" spans="1:35" x14ac:dyDescent="0.25">
      <c r="A127" s="6" t="s">
        <v>30</v>
      </c>
      <c r="B127" s="7" t="s">
        <v>78</v>
      </c>
      <c r="G127" s="11" t="s">
        <v>806</v>
      </c>
    </row>
    <row r="128" spans="1:35" x14ac:dyDescent="0.25">
      <c r="A128" s="6" t="s">
        <v>31</v>
      </c>
      <c r="B128" s="7" t="s">
        <v>78</v>
      </c>
      <c r="G128" s="11"/>
    </row>
    <row r="129" spans="1:7" x14ac:dyDescent="0.25">
      <c r="A129" s="6" t="s">
        <v>32</v>
      </c>
      <c r="B129" s="7"/>
      <c r="G129" s="11" t="s">
        <v>805</v>
      </c>
    </row>
    <row r="130" spans="1:7" hidden="1" outlineLevel="1" x14ac:dyDescent="0.25">
      <c r="A130" s="6" t="s">
        <v>33</v>
      </c>
      <c r="B130" s="7"/>
      <c r="G130" s="11" t="s">
        <v>806</v>
      </c>
    </row>
    <row r="131" spans="1:7" hidden="1" outlineLevel="1" x14ac:dyDescent="0.25">
      <c r="G131" s="11"/>
    </row>
    <row r="132" spans="1:7" collapsed="1" x14ac:dyDescent="0.25">
      <c r="G132" s="11" t="s">
        <v>805</v>
      </c>
    </row>
    <row r="133" spans="1:7" x14ac:dyDescent="0.25">
      <c r="G133" s="11" t="s">
        <v>806</v>
      </c>
    </row>
  </sheetData>
  <mergeCells count="2">
    <mergeCell ref="AD31:AE31"/>
    <mergeCell ref="AG31:AH31"/>
  </mergeCells>
  <dataValidations count="2">
    <dataValidation type="list" allowBlank="1" sqref="B94 B28 B61" xr:uid="{00000000-0002-0000-2E00-000000000000}">
      <formula1>"ACCOUNT,BUSINESSUNIT,CATEGORY,DATASRC,DEPARTMENT,INTCO,MEASURES,RPTCURRENCY,TIME"</formula1>
    </dataValidation>
    <dataValidation type="list" allowBlank="1" sqref="B95 B29 B62" xr:uid="{00000000-0002-0000-2E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4133" r:id="rId7" name="FPMExcelClientSheetOptionstb1">
          <controlPr defaultSize="0" autoLine="0" autoPict="0" r:id="rId8">
            <anchor moveWithCells="1" sizeWithCells="1">
              <from>
                <xdr:col>0</xdr:col>
                <xdr:colOff>0</xdr:colOff>
                <xdr:row>0</xdr:row>
                <xdr:rowOff>0</xdr:rowOff>
              </from>
              <to>
                <xdr:col>1</xdr:col>
                <xdr:colOff>19050</xdr:colOff>
                <xdr:row>0</xdr:row>
                <xdr:rowOff>9525</xdr:rowOff>
              </to>
            </anchor>
          </controlPr>
        </control>
      </mc:Choice>
      <mc:Fallback>
        <control shapeId="304133" r:id="rId7" name="FPMExcelClientSheetOptionstb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73">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347</v>
      </c>
      <c r="C6" s="1" t="s">
        <v>1470</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1471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1472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1473</v>
      </c>
      <c r="G19" s="18" t="str">
        <f>$B$6</f>
        <v>D_BCC_CON</v>
      </c>
      <c r="H19" s="18">
        <v>400000</v>
      </c>
      <c r="I19" s="19"/>
      <c r="J19" s="19"/>
      <c r="K19" s="18"/>
      <c r="L19" s="18"/>
      <c r="M19" s="18"/>
      <c r="N19" s="18" t="s">
        <v>1003</v>
      </c>
      <c r="O19" s="20">
        <v>87831.78</v>
      </c>
      <c r="P19" s="20">
        <v>52644.45</v>
      </c>
      <c r="Q19" s="20">
        <v>54710.33</v>
      </c>
      <c r="R19" s="20">
        <v>20964.580000000002</v>
      </c>
      <c r="S19" s="20">
        <v>27925.58</v>
      </c>
      <c r="T19" s="20">
        <v>14541.03</v>
      </c>
      <c r="U19" s="20">
        <v>3405.22</v>
      </c>
      <c r="V19" s="20">
        <v>8335.82</v>
      </c>
      <c r="W19" s="20">
        <v>12379.35</v>
      </c>
      <c r="X19" s="20">
        <v>21257.279999999999</v>
      </c>
      <c r="Y19" s="20">
        <v>28907.03</v>
      </c>
      <c r="Z19" s="20">
        <v>90763.4</v>
      </c>
      <c r="AA19" s="20">
        <f>SUM(O19:Z19)</f>
        <v>423665.85000000009</v>
      </c>
      <c r="AB19" s="18"/>
      <c r="AC19" s="18"/>
      <c r="AD19" s="20">
        <v>569147.44499999995</v>
      </c>
      <c r="AE19" s="18"/>
      <c r="AF19" s="18"/>
      <c r="AG19" s="20">
        <v>434789.97</v>
      </c>
      <c r="AH19" s="18"/>
      <c r="AI19" s="18"/>
    </row>
    <row r="20" spans="1:40" hidden="1" outlineLevel="1" x14ac:dyDescent="0.25">
      <c r="A20" s="6" t="s">
        <v>5</v>
      </c>
      <c r="B20" s="7"/>
      <c r="G20" s="18" t="str">
        <f>$B$6</f>
        <v>D_BCC_CON</v>
      </c>
      <c r="H20" s="18">
        <v>946000</v>
      </c>
      <c r="I20" s="19"/>
      <c r="J20" s="19"/>
      <c r="K20" s="18"/>
      <c r="L20" s="19"/>
      <c r="M20" s="19"/>
      <c r="N20" s="18" t="s">
        <v>1196</v>
      </c>
      <c r="O20" s="20">
        <v>1065</v>
      </c>
      <c r="P20" s="20">
        <v>511</v>
      </c>
      <c r="Q20" s="20">
        <v>526</v>
      </c>
      <c r="R20" s="20">
        <v>241</v>
      </c>
      <c r="S20" s="20">
        <v>400</v>
      </c>
      <c r="T20" s="20">
        <v>152</v>
      </c>
      <c r="U20" s="20">
        <v>36</v>
      </c>
      <c r="V20" s="20">
        <v>57</v>
      </c>
      <c r="W20" s="20">
        <v>265</v>
      </c>
      <c r="X20" s="20">
        <v>70</v>
      </c>
      <c r="Y20" s="20">
        <v>161</v>
      </c>
      <c r="Z20" s="20">
        <v>782</v>
      </c>
      <c r="AA20" s="20">
        <f>SUM(O20:Z20)</f>
        <v>4266</v>
      </c>
      <c r="AB20" s="18"/>
      <c r="AC20" s="18"/>
      <c r="AD20" s="20">
        <v>5060</v>
      </c>
      <c r="AE20" s="18"/>
      <c r="AF20" s="18"/>
      <c r="AG20" s="20">
        <v>4258</v>
      </c>
      <c r="AH20" s="18"/>
      <c r="AI20" s="18"/>
    </row>
    <row r="21" spans="1:40" hidden="1" outlineLevel="1" x14ac:dyDescent="0.25">
      <c r="A21" s="6" t="s">
        <v>6</v>
      </c>
      <c r="B21" s="7"/>
      <c r="I21" s="1"/>
      <c r="J21" s="1"/>
    </row>
    <row r="22" spans="1:40" hidden="1" outlineLevel="1" x14ac:dyDescent="0.25">
      <c r="A22" s="6" t="s">
        <v>7</v>
      </c>
      <c r="B22" s="16" t="s">
        <v>1474</v>
      </c>
      <c r="I22" s="1"/>
      <c r="J22" s="1"/>
    </row>
    <row r="23" spans="1:40" hidden="1" outlineLevel="1" x14ac:dyDescent="0.25">
      <c r="A23" s="6" t="s">
        <v>47</v>
      </c>
      <c r="B23" s="16" t="s">
        <v>1475</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1476</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D2148=Y,REV_F,BEV,DEP(REV_BEV) AND D2148=Y,REV_BEV,ALLOW_FB,REV_FB,OTHR_REV,DEP(REV_OTHR) AND D2148=Y,REV_OTHR,400000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6" si="0">IF(AND(I35&gt;="T5"),"&gt;","")</f>
        <v>&gt;</v>
      </c>
      <c r="L35" s="162">
        <v>461100</v>
      </c>
      <c r="M35" s="162"/>
      <c r="N35" s="162" t="s">
        <v>1258</v>
      </c>
      <c r="O35" s="332">
        <v>1220</v>
      </c>
      <c r="P35" s="333"/>
      <c r="Q35" s="333">
        <v>1455</v>
      </c>
      <c r="R35" s="333">
        <v>924</v>
      </c>
      <c r="S35" s="333">
        <v>1610</v>
      </c>
      <c r="T35" s="333"/>
      <c r="U35" s="333">
        <v>-319</v>
      </c>
      <c r="V35" s="333">
        <v>4231</v>
      </c>
      <c r="W35" s="333">
        <v>-218.4</v>
      </c>
      <c r="X35" s="333"/>
      <c r="Y35" s="333">
        <v>4638</v>
      </c>
      <c r="Z35" s="333">
        <v>6120</v>
      </c>
      <c r="AA35" s="310">
        <f t="shared" ref="AA35:AA56" si="1">IF($I35="B1","",SUM(O35:Z35))</f>
        <v>19660.599999999999</v>
      </c>
      <c r="AB35" s="334">
        <f t="shared" ref="AB35:AB56" si="2">IF(AA35=0,"",IFERROR(AA35/AA$19,""))</f>
        <v>4.6405911640034228E-2</v>
      </c>
      <c r="AC35" s="290"/>
      <c r="AD35" s="333">
        <v>84795</v>
      </c>
      <c r="AE35" s="334">
        <f t="shared" ref="AE35:AE56" si="3">IF(AD35=0,"",IFERROR(AD35/AD$19,""))</f>
        <v>0.14898599781994981</v>
      </c>
      <c r="AF35" s="335">
        <f t="shared" ref="AF35:AF56" si="4">IF(AND($AA35="",AD35=""),"",$AA35-AD35)</f>
        <v>-65134.400000000001</v>
      </c>
      <c r="AG35" s="333">
        <v>22025</v>
      </c>
      <c r="AH35" s="334">
        <f t="shared" ref="AH35:AH56" si="5">IF(AG35=0,"",IFERROR(AG35/AG$19,""))</f>
        <v>5.0656642332388674E-2</v>
      </c>
      <c r="AI35" s="336">
        <f t="shared" ref="AI35:AI56" si="6">IF(AND($AA35="",AG35=""),"",$AA35-AG35)</f>
        <v>-2364.4000000000015</v>
      </c>
      <c r="AJ35" s="399">
        <f t="shared" ref="AJ35:AJ56" si="7">IFERROR(AA35/AA$20,0)</f>
        <v>4.6086732301922169</v>
      </c>
      <c r="AK35" s="400">
        <f t="shared" ref="AK35:AK56" si="8">IFERROR(AD35/AD$20,0)</f>
        <v>16.757905138339922</v>
      </c>
      <c r="AL35" s="401">
        <f t="shared" ref="AL35:AL56" si="9">IFERROR(AG35/AG$20,0)</f>
        <v>5.1726162517613901</v>
      </c>
      <c r="AM35" s="402" t="str">
        <f t="shared" ref="AM35:AM56" si="10">+IFERROR(ROUND(($AB35-AE35)*100,2)&amp;" pts.",0)</f>
        <v>-10.26 pts.</v>
      </c>
      <c r="AN35" s="403" t="str">
        <f t="shared" ref="AN35:AN56" si="11">+IFERROR(ROUND(($AB35-AH35)*100,2)&amp;" pts.",0)</f>
        <v>-0.43 pts.</v>
      </c>
    </row>
    <row r="36" spans="1:40" x14ac:dyDescent="0.25">
      <c r="H36" s="15" t="s">
        <v>261</v>
      </c>
      <c r="I36" s="161" t="s">
        <v>1058</v>
      </c>
      <c r="J36" s="161" t="s">
        <v>78</v>
      </c>
      <c r="K36" s="68" t="str">
        <f t="shared" si="0"/>
        <v>&gt;</v>
      </c>
      <c r="L36" s="162">
        <v>462100</v>
      </c>
      <c r="M36" s="162"/>
      <c r="N36" s="162" t="s">
        <v>1265</v>
      </c>
      <c r="O36" s="332">
        <v>16592</v>
      </c>
      <c r="P36" s="333">
        <v>24138.5</v>
      </c>
      <c r="Q36" s="333">
        <v>4879.07</v>
      </c>
      <c r="R36" s="333">
        <v>1354.25</v>
      </c>
      <c r="S36" s="333">
        <v>3357</v>
      </c>
      <c r="T36" s="333"/>
      <c r="U36" s="333">
        <v>651</v>
      </c>
      <c r="V36" s="333"/>
      <c r="W36" s="333">
        <v>5795.51</v>
      </c>
      <c r="X36" s="333">
        <v>13310.1</v>
      </c>
      <c r="Y36" s="333">
        <v>1047.2</v>
      </c>
      <c r="Z36" s="333">
        <v>28285</v>
      </c>
      <c r="AA36" s="310">
        <f t="shared" si="1"/>
        <v>99409.63</v>
      </c>
      <c r="AB36" s="334">
        <f t="shared" si="2"/>
        <v>0.23464159313288996</v>
      </c>
      <c r="AC36" s="290"/>
      <c r="AD36" s="333">
        <v>123346.235115</v>
      </c>
      <c r="AE36" s="334">
        <f t="shared" si="3"/>
        <v>0.21672105567477337</v>
      </c>
      <c r="AF36" s="335">
        <f t="shared" si="4"/>
        <v>-23936.605114999998</v>
      </c>
      <c r="AG36" s="333">
        <v>171272.93</v>
      </c>
      <c r="AH36" s="334">
        <f t="shared" si="5"/>
        <v>0.39392106952237194</v>
      </c>
      <c r="AI36" s="336">
        <f t="shared" si="6"/>
        <v>-71863.299999999988</v>
      </c>
      <c r="AJ36" s="399">
        <f t="shared" si="7"/>
        <v>23.302773089545244</v>
      </c>
      <c r="AK36" s="400">
        <f t="shared" si="8"/>
        <v>24.376726307312254</v>
      </c>
      <c r="AL36" s="401">
        <f t="shared" si="9"/>
        <v>40.223797557538752</v>
      </c>
      <c r="AM36" s="402" t="str">
        <f t="shared" si="10"/>
        <v>1.79 pts.</v>
      </c>
      <c r="AN36" s="403" t="str">
        <f t="shared" si="11"/>
        <v>-15.93 pts.</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32">
        <v>38265</v>
      </c>
      <c r="P37" s="333">
        <v>10655</v>
      </c>
      <c r="Q37" s="333">
        <v>14641</v>
      </c>
      <c r="R37" s="333">
        <v>1796</v>
      </c>
      <c r="S37" s="333">
        <v>8250</v>
      </c>
      <c r="T37" s="333">
        <v>8407.98</v>
      </c>
      <c r="U37" s="333"/>
      <c r="V37" s="333"/>
      <c r="W37" s="333">
        <v>-132.6</v>
      </c>
      <c r="X37" s="333"/>
      <c r="Y37" s="333"/>
      <c r="Z37" s="333">
        <v>1608.21</v>
      </c>
      <c r="AA37" s="310">
        <f t="shared" si="1"/>
        <v>83490.59</v>
      </c>
      <c r="AB37" s="334">
        <f t="shared" si="2"/>
        <v>0.19706707538499971</v>
      </c>
      <c r="AC37" s="290"/>
      <c r="AD37" s="333">
        <v>83034.272700000001</v>
      </c>
      <c r="AE37" s="334">
        <f t="shared" si="3"/>
        <v>0.14589237539316374</v>
      </c>
      <c r="AF37" s="335">
        <f t="shared" si="4"/>
        <v>456.31729999999516</v>
      </c>
      <c r="AG37" s="333">
        <v>37692</v>
      </c>
      <c r="AH37" s="334">
        <f t="shared" si="5"/>
        <v>8.6690132249370888E-2</v>
      </c>
      <c r="AI37" s="336">
        <f t="shared" si="6"/>
        <v>45798.59</v>
      </c>
      <c r="AJ37" s="399">
        <f t="shared" si="7"/>
        <v>19.571165025785277</v>
      </c>
      <c r="AK37" s="400">
        <f t="shared" si="8"/>
        <v>16.409935316205534</v>
      </c>
      <c r="AL37" s="401">
        <f t="shared" si="9"/>
        <v>8.8520432127759516</v>
      </c>
      <c r="AM37" s="402" t="str">
        <f t="shared" si="10"/>
        <v>5.12 pts.</v>
      </c>
      <c r="AN37" s="403" t="str">
        <f t="shared" si="11"/>
        <v>11.04 pts.</v>
      </c>
    </row>
    <row r="38" spans="1:40" x14ac:dyDescent="0.25">
      <c r="A38" s="1" t="s">
        <v>105</v>
      </c>
      <c r="C38" s="26" t="s">
        <v>101</v>
      </c>
      <c r="D38" s="1" t="s">
        <v>106</v>
      </c>
      <c r="F38" s="1" t="s">
        <v>98</v>
      </c>
      <c r="H38" s="15" t="s">
        <v>789</v>
      </c>
      <c r="I38" s="161" t="s">
        <v>1009</v>
      </c>
      <c r="J38" s="161" t="s">
        <v>1009</v>
      </c>
      <c r="K38" s="68" t="str">
        <f t="shared" si="0"/>
        <v/>
      </c>
      <c r="L38" s="162">
        <v>470110</v>
      </c>
      <c r="M38" s="162">
        <v>201016</v>
      </c>
      <c r="N38" s="162" t="s">
        <v>1301</v>
      </c>
      <c r="O38" s="332"/>
      <c r="P38" s="333"/>
      <c r="Q38" s="333"/>
      <c r="R38" s="333"/>
      <c r="S38" s="333"/>
      <c r="T38" s="333"/>
      <c r="U38" s="333"/>
      <c r="V38" s="333"/>
      <c r="W38" s="333"/>
      <c r="X38" s="333"/>
      <c r="Y38" s="333"/>
      <c r="Z38" s="333">
        <v>8454</v>
      </c>
      <c r="AA38" s="310">
        <f t="shared" si="1"/>
        <v>8454</v>
      </c>
      <c r="AB38" s="334">
        <f t="shared" si="2"/>
        <v>1.9954405104872151E-2</v>
      </c>
      <c r="AC38" s="290"/>
      <c r="AD38" s="333"/>
      <c r="AE38" s="334" t="str">
        <f t="shared" si="3"/>
        <v/>
      </c>
      <c r="AF38" s="335">
        <f t="shared" si="4"/>
        <v>8454</v>
      </c>
      <c r="AG38" s="333"/>
      <c r="AH38" s="334" t="str">
        <f t="shared" si="5"/>
        <v/>
      </c>
      <c r="AI38" s="336">
        <f t="shared" si="6"/>
        <v>8454</v>
      </c>
      <c r="AJ38" s="399">
        <f t="shared" si="7"/>
        <v>1.9817158931082981</v>
      </c>
      <c r="AK38" s="400">
        <f t="shared" si="8"/>
        <v>0</v>
      </c>
      <c r="AL38" s="401">
        <f t="shared" si="9"/>
        <v>0</v>
      </c>
      <c r="AM38" s="402">
        <f t="shared" si="10"/>
        <v>0</v>
      </c>
      <c r="AN38" s="403">
        <f t="shared" si="11"/>
        <v>0</v>
      </c>
    </row>
    <row r="39" spans="1:40" x14ac:dyDescent="0.25">
      <c r="A39" s="1" t="s">
        <v>104</v>
      </c>
      <c r="C39" s="26" t="s">
        <v>101</v>
      </c>
      <c r="D39" s="1" t="s">
        <v>106</v>
      </c>
      <c r="F39" s="1" t="s">
        <v>98</v>
      </c>
      <c r="H39" s="15" t="s">
        <v>790</v>
      </c>
      <c r="I39" s="161" t="s">
        <v>1009</v>
      </c>
      <c r="J39" s="161" t="s">
        <v>1009</v>
      </c>
      <c r="K39" s="68" t="str">
        <f t="shared" si="0"/>
        <v/>
      </c>
      <c r="L39" s="162">
        <v>471110</v>
      </c>
      <c r="M39" s="162">
        <v>201017</v>
      </c>
      <c r="N39" s="162" t="s">
        <v>1293</v>
      </c>
      <c r="O39" s="323"/>
      <c r="P39" s="324"/>
      <c r="Q39" s="324">
        <v>6795</v>
      </c>
      <c r="R39" s="324">
        <v>5630</v>
      </c>
      <c r="S39" s="324"/>
      <c r="T39" s="324"/>
      <c r="U39" s="324"/>
      <c r="V39" s="324"/>
      <c r="W39" s="324">
        <v>1730</v>
      </c>
      <c r="X39" s="324"/>
      <c r="Y39" s="324">
        <v>8273.1</v>
      </c>
      <c r="Z39" s="324">
        <v>7377.3</v>
      </c>
      <c r="AA39" s="324">
        <f t="shared" si="1"/>
        <v>29805.399999999998</v>
      </c>
      <c r="AB39" s="325">
        <f t="shared" si="2"/>
        <v>7.0351197765880807E-2</v>
      </c>
      <c r="AC39" s="290"/>
      <c r="AD39" s="324">
        <v>39561.650999999998</v>
      </c>
      <c r="AE39" s="325">
        <f t="shared" si="3"/>
        <v>6.9510372659232447E-2</v>
      </c>
      <c r="AF39" s="326">
        <f t="shared" si="4"/>
        <v>-9756.2510000000002</v>
      </c>
      <c r="AG39" s="324">
        <v>1535</v>
      </c>
      <c r="AH39" s="325">
        <f t="shared" si="5"/>
        <v>3.5304402261165319E-3</v>
      </c>
      <c r="AI39" s="327">
        <f t="shared" si="6"/>
        <v>28270.399999999998</v>
      </c>
      <c r="AJ39" s="409">
        <f t="shared" si="7"/>
        <v>6.9867323019221752</v>
      </c>
      <c r="AK39" s="410">
        <f t="shared" si="8"/>
        <v>7.8185081027667982</v>
      </c>
      <c r="AL39" s="411">
        <f t="shared" si="9"/>
        <v>0.36049788633161106</v>
      </c>
      <c r="AM39" s="412" t="str">
        <f t="shared" si="10"/>
        <v>0.08 pts.</v>
      </c>
      <c r="AN39" s="413" t="str">
        <f t="shared" si="11"/>
        <v>6.68 pts.</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v>56077</v>
      </c>
      <c r="P40" s="134">
        <v>34793.5</v>
      </c>
      <c r="Q40" s="134">
        <v>27770.07</v>
      </c>
      <c r="R40" s="134">
        <v>9704.25</v>
      </c>
      <c r="S40" s="134">
        <v>13217</v>
      </c>
      <c r="T40" s="134">
        <v>8407.98</v>
      </c>
      <c r="U40" s="134">
        <v>332</v>
      </c>
      <c r="V40" s="134">
        <v>4231</v>
      </c>
      <c r="W40" s="134">
        <v>7174.51</v>
      </c>
      <c r="X40" s="134">
        <v>13310.1</v>
      </c>
      <c r="Y40" s="134">
        <v>13958.3</v>
      </c>
      <c r="Z40" s="134">
        <v>51844.51</v>
      </c>
      <c r="AA40" s="134">
        <f t="shared" si="1"/>
        <v>240820.22000000003</v>
      </c>
      <c r="AB40" s="135">
        <f t="shared" si="2"/>
        <v>0.56842018302867692</v>
      </c>
      <c r="AC40" s="137"/>
      <c r="AD40" s="134">
        <v>330737.15881499997</v>
      </c>
      <c r="AE40" s="135">
        <f t="shared" si="3"/>
        <v>0.58110980154711933</v>
      </c>
      <c r="AF40" s="136">
        <f t="shared" si="4"/>
        <v>-89916.938814999943</v>
      </c>
      <c r="AG40" s="134">
        <v>232524.93</v>
      </c>
      <c r="AH40" s="135">
        <f t="shared" si="5"/>
        <v>0.53479828433024801</v>
      </c>
      <c r="AI40" s="291">
        <f t="shared" si="6"/>
        <v>8295.2900000000373</v>
      </c>
      <c r="AJ40" s="360">
        <f t="shared" si="7"/>
        <v>56.451059540553217</v>
      </c>
      <c r="AK40" s="361">
        <f t="shared" si="8"/>
        <v>65.363074864624494</v>
      </c>
      <c r="AL40" s="363">
        <f t="shared" si="9"/>
        <v>54.608954908407703</v>
      </c>
      <c r="AM40" s="405" t="str">
        <f t="shared" si="10"/>
        <v>-1.27 pts.</v>
      </c>
      <c r="AN40" s="406" t="str">
        <f t="shared" si="11"/>
        <v>3.36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37"/>
      <c r="P41" s="38"/>
      <c r="Q41" s="38"/>
      <c r="R41" s="38"/>
      <c r="S41" s="38"/>
      <c r="T41" s="38"/>
      <c r="U41" s="38"/>
      <c r="V41" s="38"/>
      <c r="W41" s="38"/>
      <c r="X41" s="38"/>
      <c r="Y41" s="38"/>
      <c r="Z41" s="38"/>
      <c r="AA41" s="315" t="str">
        <f t="shared" si="1"/>
        <v/>
      </c>
      <c r="AB41" s="39" t="str">
        <f t="shared" si="2"/>
        <v/>
      </c>
      <c r="AC41" s="54"/>
      <c r="AD41" s="38"/>
      <c r="AE41" s="39" t="str">
        <f t="shared" si="3"/>
        <v/>
      </c>
      <c r="AF41" s="132" t="str">
        <f t="shared" si="4"/>
        <v/>
      </c>
      <c r="AG41" s="38"/>
      <c r="AH41" s="39" t="str">
        <f t="shared" si="5"/>
        <v/>
      </c>
      <c r="AI41" s="33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32"/>
      <c r="P42" s="333"/>
      <c r="Q42" s="333"/>
      <c r="R42" s="333"/>
      <c r="S42" s="333"/>
      <c r="T42" s="333"/>
      <c r="U42" s="333"/>
      <c r="V42" s="333">
        <v>1170</v>
      </c>
      <c r="W42" s="333"/>
      <c r="X42" s="333"/>
      <c r="Y42" s="333"/>
      <c r="Z42" s="333">
        <v>1615</v>
      </c>
      <c r="AA42" s="310">
        <f t="shared" si="1"/>
        <v>2785</v>
      </c>
      <c r="AB42" s="334">
        <f t="shared" si="2"/>
        <v>6.5735767940701363E-3</v>
      </c>
      <c r="AC42" s="290"/>
      <c r="AD42" s="333"/>
      <c r="AE42" s="334" t="str">
        <f t="shared" si="3"/>
        <v/>
      </c>
      <c r="AF42" s="335">
        <f t="shared" si="4"/>
        <v>2785</v>
      </c>
      <c r="AG42" s="333"/>
      <c r="AH42" s="334" t="str">
        <f t="shared" si="5"/>
        <v/>
      </c>
      <c r="AI42" s="336">
        <f t="shared" si="6"/>
        <v>2785</v>
      </c>
      <c r="AJ42" s="399">
        <f t="shared" si="7"/>
        <v>0.65283638068448191</v>
      </c>
      <c r="AK42" s="400">
        <f t="shared" si="8"/>
        <v>0</v>
      </c>
      <c r="AL42" s="401">
        <f t="shared" si="9"/>
        <v>0</v>
      </c>
      <c r="AM42" s="402">
        <f t="shared" si="10"/>
        <v>0</v>
      </c>
      <c r="AN42" s="403">
        <f t="shared" si="11"/>
        <v>0</v>
      </c>
    </row>
    <row r="43" spans="1:40" x14ac:dyDescent="0.25">
      <c r="A43" s="1" t="s">
        <v>108</v>
      </c>
      <c r="C43" s="25" t="s">
        <v>101</v>
      </c>
      <c r="D43" s="1" t="s">
        <v>106</v>
      </c>
      <c r="F43" s="1" t="s">
        <v>98</v>
      </c>
      <c r="H43" s="15" t="s">
        <v>268</v>
      </c>
      <c r="I43" s="161" t="s">
        <v>1058</v>
      </c>
      <c r="J43" s="161" t="s">
        <v>78</v>
      </c>
      <c r="K43" s="68" t="str">
        <f t="shared" si="0"/>
        <v>&gt;</v>
      </c>
      <c r="L43" s="162"/>
      <c r="M43" s="162"/>
      <c r="N43" s="162" t="s">
        <v>1317</v>
      </c>
      <c r="O43" s="332"/>
      <c r="P43" s="333"/>
      <c r="Q43" s="333">
        <v>300</v>
      </c>
      <c r="R43" s="333">
        <v>1258</v>
      </c>
      <c r="S43" s="333"/>
      <c r="T43" s="333">
        <v>73</v>
      </c>
      <c r="U43" s="333"/>
      <c r="V43" s="333"/>
      <c r="W43" s="333">
        <v>741</v>
      </c>
      <c r="X43" s="333"/>
      <c r="Y43" s="333"/>
      <c r="Z43" s="333">
        <v>1062</v>
      </c>
      <c r="AA43" s="310">
        <f t="shared" si="1"/>
        <v>3434</v>
      </c>
      <c r="AB43" s="334">
        <f t="shared" si="2"/>
        <v>8.1054444204082046E-3</v>
      </c>
      <c r="AC43" s="290"/>
      <c r="AD43" s="333">
        <v>2360.014885</v>
      </c>
      <c r="AE43" s="334">
        <f t="shared" si="3"/>
        <v>4.1465790731960508E-3</v>
      </c>
      <c r="AF43" s="335">
        <f t="shared" si="4"/>
        <v>1073.985115</v>
      </c>
      <c r="AG43" s="333">
        <v>5203</v>
      </c>
      <c r="AH43" s="334">
        <f t="shared" si="5"/>
        <v>1.196669739184646E-2</v>
      </c>
      <c r="AI43" s="336">
        <f t="shared" si="6"/>
        <v>-1769</v>
      </c>
      <c r="AJ43" s="399">
        <f t="shared" si="7"/>
        <v>0.80496952648851383</v>
      </c>
      <c r="AK43" s="400">
        <f t="shared" si="8"/>
        <v>0.46640610375494074</v>
      </c>
      <c r="AL43" s="401">
        <f t="shared" si="9"/>
        <v>1.2219351808360732</v>
      </c>
      <c r="AM43" s="402" t="str">
        <f t="shared" si="10"/>
        <v>0.4 pts.</v>
      </c>
      <c r="AN43" s="403" t="str">
        <f t="shared" si="11"/>
        <v>-0.39 pts.</v>
      </c>
    </row>
    <row r="44" spans="1:40" x14ac:dyDescent="0.25">
      <c r="A44" s="1" t="s">
        <v>108</v>
      </c>
      <c r="C44" s="151" t="s">
        <v>101</v>
      </c>
      <c r="D44" s="1" t="s">
        <v>107</v>
      </c>
      <c r="F44" s="1" t="s">
        <v>99</v>
      </c>
      <c r="H44" s="15" t="s">
        <v>269</v>
      </c>
      <c r="I44" s="161" t="s">
        <v>1058</v>
      </c>
      <c r="J44" s="161" t="s">
        <v>78</v>
      </c>
      <c r="K44" s="68" t="str">
        <f t="shared" si="0"/>
        <v>&gt;</v>
      </c>
      <c r="L44" s="162"/>
      <c r="M44" s="162"/>
      <c r="N44" s="162" t="s">
        <v>1318</v>
      </c>
      <c r="O44" s="332">
        <v>3536</v>
      </c>
      <c r="P44" s="333"/>
      <c r="Q44" s="333">
        <v>765</v>
      </c>
      <c r="R44" s="333"/>
      <c r="S44" s="333">
        <v>9512</v>
      </c>
      <c r="T44" s="333">
        <v>238</v>
      </c>
      <c r="U44" s="333"/>
      <c r="V44" s="333"/>
      <c r="W44" s="333"/>
      <c r="X44" s="333"/>
      <c r="Y44" s="333"/>
      <c r="Z44" s="333">
        <v>769.79</v>
      </c>
      <c r="AA44" s="310">
        <f t="shared" si="1"/>
        <v>14820.79</v>
      </c>
      <c r="AB44" s="334">
        <f t="shared" si="2"/>
        <v>3.4982262554321991E-2</v>
      </c>
      <c r="AC44" s="290"/>
      <c r="AD44" s="333">
        <v>4391.7272999999996</v>
      </c>
      <c r="AE44" s="334">
        <f t="shared" si="3"/>
        <v>7.7163261270548266E-3</v>
      </c>
      <c r="AF44" s="335">
        <f t="shared" si="4"/>
        <v>10429.062700000002</v>
      </c>
      <c r="AG44" s="333">
        <v>15865</v>
      </c>
      <c r="AH44" s="334">
        <f t="shared" si="5"/>
        <v>3.6488882206735358E-2</v>
      </c>
      <c r="AI44" s="336">
        <f t="shared" si="6"/>
        <v>-1044.2099999999991</v>
      </c>
      <c r="AJ44" s="399">
        <f t="shared" si="7"/>
        <v>3.474165494608533</v>
      </c>
      <c r="AK44" s="400">
        <f t="shared" si="8"/>
        <v>0.86793029644268771</v>
      </c>
      <c r="AL44" s="401">
        <f t="shared" si="9"/>
        <v>3.7259276655706906</v>
      </c>
      <c r="AM44" s="402" t="str">
        <f t="shared" si="10"/>
        <v>2.73 pts.</v>
      </c>
      <c r="AN44" s="403" t="str">
        <f t="shared" si="11"/>
        <v>-0.15 pts.</v>
      </c>
    </row>
    <row r="45" spans="1:40" x14ac:dyDescent="0.25">
      <c r="H45" s="15" t="s">
        <v>791</v>
      </c>
      <c r="I45" s="161" t="s">
        <v>1058</v>
      </c>
      <c r="J45" s="161" t="s">
        <v>78</v>
      </c>
      <c r="K45" s="68" t="str">
        <f t="shared" si="0"/>
        <v>&gt;</v>
      </c>
      <c r="L45" s="162"/>
      <c r="M45" s="162"/>
      <c r="N45" s="162" t="s">
        <v>1477</v>
      </c>
      <c r="O45" s="323"/>
      <c r="P45" s="324"/>
      <c r="Q45" s="324">
        <v>2338</v>
      </c>
      <c r="R45" s="324">
        <v>850</v>
      </c>
      <c r="S45" s="324"/>
      <c r="T45" s="324"/>
      <c r="U45" s="324"/>
      <c r="V45" s="324"/>
      <c r="W45" s="324">
        <v>144</v>
      </c>
      <c r="X45" s="324"/>
      <c r="Y45" s="324">
        <v>4968</v>
      </c>
      <c r="Z45" s="324">
        <v>4276.96</v>
      </c>
      <c r="AA45" s="324">
        <f t="shared" si="1"/>
        <v>12576.96</v>
      </c>
      <c r="AB45" s="325">
        <f t="shared" si="2"/>
        <v>2.9686036766947338E-2</v>
      </c>
      <c r="AC45" s="290"/>
      <c r="AD45" s="324">
        <v>1873.3489999999999</v>
      </c>
      <c r="AE45" s="325">
        <f t="shared" si="3"/>
        <v>3.2915003246654301E-3</v>
      </c>
      <c r="AF45" s="326">
        <f t="shared" si="4"/>
        <v>10703.610999999999</v>
      </c>
      <c r="AG45" s="324">
        <v>794</v>
      </c>
      <c r="AH45" s="325">
        <f t="shared" si="5"/>
        <v>1.8261690811312876E-3</v>
      </c>
      <c r="AI45" s="327">
        <f t="shared" si="6"/>
        <v>11782.96</v>
      </c>
      <c r="AJ45" s="409">
        <f t="shared" si="7"/>
        <v>2.9481856540084386</v>
      </c>
      <c r="AK45" s="410">
        <f t="shared" si="8"/>
        <v>0.3702270750988142</v>
      </c>
      <c r="AL45" s="411">
        <f t="shared" si="9"/>
        <v>0.18647252231094411</v>
      </c>
      <c r="AM45" s="412" t="str">
        <f t="shared" si="10"/>
        <v>2.64 pts.</v>
      </c>
      <c r="AN45" s="413" t="str">
        <f t="shared" si="11"/>
        <v>2.79 pts.</v>
      </c>
    </row>
    <row r="46" spans="1:40" x14ac:dyDescent="0.25">
      <c r="H46" s="15" t="s">
        <v>272</v>
      </c>
      <c r="I46" s="479" t="s">
        <v>1064</v>
      </c>
      <c r="J46" s="479" t="s">
        <v>78</v>
      </c>
      <c r="K46" s="480" t="str">
        <f t="shared" si="0"/>
        <v/>
      </c>
      <c r="L46" s="170"/>
      <c r="M46" s="170"/>
      <c r="N46" s="170" t="s">
        <v>1212</v>
      </c>
      <c r="O46" s="224">
        <v>3536</v>
      </c>
      <c r="P46" s="134"/>
      <c r="Q46" s="134">
        <v>3403</v>
      </c>
      <c r="R46" s="134">
        <v>2108</v>
      </c>
      <c r="S46" s="134">
        <v>9512</v>
      </c>
      <c r="T46" s="134">
        <v>311</v>
      </c>
      <c r="U46" s="134"/>
      <c r="V46" s="134">
        <v>1170</v>
      </c>
      <c r="W46" s="134">
        <v>885</v>
      </c>
      <c r="X46" s="134"/>
      <c r="Y46" s="134">
        <v>4968</v>
      </c>
      <c r="Z46" s="134">
        <v>7723.75</v>
      </c>
      <c r="AA46" s="134">
        <f t="shared" si="1"/>
        <v>33616.75</v>
      </c>
      <c r="AB46" s="135">
        <f t="shared" si="2"/>
        <v>7.9347320535747667E-2</v>
      </c>
      <c r="AC46" s="137"/>
      <c r="AD46" s="134">
        <v>8625.0911849999993</v>
      </c>
      <c r="AE46" s="135">
        <f t="shared" si="3"/>
        <v>1.5154405524916308E-2</v>
      </c>
      <c r="AF46" s="136">
        <f t="shared" si="4"/>
        <v>24991.658815000003</v>
      </c>
      <c r="AG46" s="134">
        <v>21862</v>
      </c>
      <c r="AH46" s="135">
        <f t="shared" si="5"/>
        <v>5.0281748679713106E-2</v>
      </c>
      <c r="AI46" s="291">
        <f t="shared" si="6"/>
        <v>11754.75</v>
      </c>
      <c r="AJ46" s="360">
        <f t="shared" si="7"/>
        <v>7.8801570557899669</v>
      </c>
      <c r="AK46" s="361">
        <f t="shared" si="8"/>
        <v>1.7045634752964425</v>
      </c>
      <c r="AL46" s="363">
        <f t="shared" si="9"/>
        <v>5.134335368717708</v>
      </c>
      <c r="AM46" s="405" t="str">
        <f t="shared" si="10"/>
        <v>6.42 pts.</v>
      </c>
      <c r="AN46" s="406" t="str">
        <f t="shared" si="11"/>
        <v>2.91 pts.</v>
      </c>
    </row>
    <row r="47" spans="1:40" x14ac:dyDescent="0.25">
      <c r="A47" s="4" t="s">
        <v>988</v>
      </c>
      <c r="H47" s="15" t="s">
        <v>486</v>
      </c>
      <c r="I47" s="161" t="s">
        <v>1058</v>
      </c>
      <c r="J47" s="161" t="s">
        <v>78</v>
      </c>
      <c r="K47" s="68" t="str">
        <f t="shared" si="0"/>
        <v>&gt;</v>
      </c>
      <c r="L47" s="162"/>
      <c r="M47" s="162"/>
      <c r="N47" s="162" t="s">
        <v>1213</v>
      </c>
      <c r="O47" s="330"/>
      <c r="P47" s="47"/>
      <c r="Q47" s="47"/>
      <c r="R47" s="47"/>
      <c r="S47" s="47"/>
      <c r="T47" s="47"/>
      <c r="U47" s="47"/>
      <c r="V47" s="47"/>
      <c r="W47" s="47"/>
      <c r="X47" s="47"/>
      <c r="Y47" s="47"/>
      <c r="Z47" s="47"/>
      <c r="AA47" s="47">
        <f t="shared" si="1"/>
        <v>0</v>
      </c>
      <c r="AB47" s="48" t="str">
        <f t="shared" si="2"/>
        <v/>
      </c>
      <c r="AC47" s="54"/>
      <c r="AD47" s="47"/>
      <c r="AE47" s="48" t="str">
        <f t="shared" si="3"/>
        <v/>
      </c>
      <c r="AF47" s="150">
        <f t="shared" si="4"/>
        <v>0</v>
      </c>
      <c r="AG47" s="47"/>
      <c r="AH47" s="48" t="str">
        <f t="shared" si="5"/>
        <v/>
      </c>
      <c r="AI47" s="331">
        <f t="shared" si="6"/>
        <v>0</v>
      </c>
      <c r="AJ47" s="420">
        <f t="shared" si="7"/>
        <v>0</v>
      </c>
      <c r="AK47" s="421">
        <f t="shared" si="8"/>
        <v>0</v>
      </c>
      <c r="AL47" s="422">
        <f t="shared" si="9"/>
        <v>0</v>
      </c>
      <c r="AM47" s="423">
        <f t="shared" si="10"/>
        <v>0</v>
      </c>
      <c r="AN47" s="424">
        <f t="shared" si="11"/>
        <v>0</v>
      </c>
    </row>
    <row r="48" spans="1:40" x14ac:dyDescent="0.25">
      <c r="H48" s="15" t="s">
        <v>273</v>
      </c>
      <c r="I48" s="479" t="s">
        <v>1064</v>
      </c>
      <c r="J48" s="479" t="s">
        <v>78</v>
      </c>
      <c r="K48" s="480" t="str">
        <f t="shared" si="0"/>
        <v/>
      </c>
      <c r="L48" s="170"/>
      <c r="M48" s="170"/>
      <c r="N48" s="170" t="s">
        <v>1214</v>
      </c>
      <c r="O48" s="224">
        <v>59613</v>
      </c>
      <c r="P48" s="134">
        <v>34793.5</v>
      </c>
      <c r="Q48" s="134">
        <v>31173.07</v>
      </c>
      <c r="R48" s="134">
        <v>11812.25</v>
      </c>
      <c r="S48" s="134">
        <v>22729</v>
      </c>
      <c r="T48" s="134">
        <v>8718.98</v>
      </c>
      <c r="U48" s="134">
        <v>332</v>
      </c>
      <c r="V48" s="134">
        <v>5401</v>
      </c>
      <c r="W48" s="134">
        <v>8059.51</v>
      </c>
      <c r="X48" s="134">
        <v>13310.1</v>
      </c>
      <c r="Y48" s="134">
        <v>18926.3</v>
      </c>
      <c r="Z48" s="134">
        <v>59568.26</v>
      </c>
      <c r="AA48" s="134">
        <f t="shared" si="1"/>
        <v>274436.97000000003</v>
      </c>
      <c r="AB48" s="135">
        <f t="shared" si="2"/>
        <v>0.64776750356442458</v>
      </c>
      <c r="AC48" s="137"/>
      <c r="AD48" s="134">
        <v>339362.25</v>
      </c>
      <c r="AE48" s="135">
        <f t="shared" si="3"/>
        <v>0.59626420707203565</v>
      </c>
      <c r="AF48" s="136">
        <f t="shared" si="4"/>
        <v>-64925.27999999997</v>
      </c>
      <c r="AG48" s="134">
        <v>254386.93</v>
      </c>
      <c r="AH48" s="135">
        <f t="shared" si="5"/>
        <v>0.58508003300996114</v>
      </c>
      <c r="AI48" s="291">
        <f t="shared" si="6"/>
        <v>20050.040000000037</v>
      </c>
      <c r="AJ48" s="360">
        <f t="shared" si="7"/>
        <v>64.331216596343182</v>
      </c>
      <c r="AK48" s="361">
        <f t="shared" si="8"/>
        <v>67.067638339920947</v>
      </c>
      <c r="AL48" s="363">
        <f t="shared" si="9"/>
        <v>59.743290277125411</v>
      </c>
      <c r="AM48" s="405" t="str">
        <f t="shared" si="10"/>
        <v>5.15 pts.</v>
      </c>
      <c r="AN48" s="406" t="str">
        <f t="shared" si="11"/>
        <v>6.27 pts.</v>
      </c>
    </row>
    <row r="49" spans="1:40" x14ac:dyDescent="0.25">
      <c r="A49" s="3" t="s">
        <v>0</v>
      </c>
      <c r="B49" s="5" t="s">
        <v>1</v>
      </c>
      <c r="H49" s="15" t="s">
        <v>279</v>
      </c>
      <c r="I49" s="479" t="s">
        <v>1011</v>
      </c>
      <c r="J49" s="479" t="s">
        <v>78</v>
      </c>
      <c r="K49" s="480" t="str">
        <f t="shared" si="0"/>
        <v/>
      </c>
      <c r="L49" s="170"/>
      <c r="M49" s="170"/>
      <c r="N49" s="170" t="s">
        <v>1215</v>
      </c>
      <c r="O49" s="337"/>
      <c r="P49" s="38"/>
      <c r="Q49" s="38"/>
      <c r="R49" s="38"/>
      <c r="S49" s="38"/>
      <c r="T49" s="38"/>
      <c r="U49" s="38"/>
      <c r="V49" s="38"/>
      <c r="W49" s="38"/>
      <c r="X49" s="38"/>
      <c r="Y49" s="38"/>
      <c r="Z49" s="38"/>
      <c r="AA49" s="315" t="str">
        <f t="shared" si="1"/>
        <v/>
      </c>
      <c r="AB49" s="39" t="str">
        <f t="shared" si="2"/>
        <v/>
      </c>
      <c r="AC49" s="54"/>
      <c r="AD49" s="38"/>
      <c r="AE49" s="39" t="str">
        <f t="shared" si="3"/>
        <v/>
      </c>
      <c r="AF49" s="132" t="str">
        <f t="shared" si="4"/>
        <v/>
      </c>
      <c r="AG49" s="38"/>
      <c r="AH49" s="39" t="str">
        <f t="shared" si="5"/>
        <v/>
      </c>
      <c r="AI49" s="338" t="str">
        <f t="shared" si="6"/>
        <v/>
      </c>
      <c r="AJ49" s="353">
        <f t="shared" si="7"/>
        <v>0</v>
      </c>
      <c r="AK49" s="354">
        <f t="shared" si="8"/>
        <v>0</v>
      </c>
      <c r="AL49" s="356">
        <f t="shared" si="9"/>
        <v>0</v>
      </c>
      <c r="AM49" s="390">
        <f t="shared" si="10"/>
        <v>0</v>
      </c>
      <c r="AN49" s="404">
        <f t="shared" si="11"/>
        <v>0</v>
      </c>
    </row>
    <row r="50" spans="1:40" x14ac:dyDescent="0.25">
      <c r="A50" s="6" t="s">
        <v>2</v>
      </c>
      <c r="B50" s="16" t="s">
        <v>1471</v>
      </c>
      <c r="H50" s="15" t="s">
        <v>274</v>
      </c>
      <c r="I50" s="161" t="s">
        <v>1058</v>
      </c>
      <c r="J50" s="161" t="s">
        <v>78</v>
      </c>
      <c r="K50" s="68" t="str">
        <f t="shared" si="0"/>
        <v>&gt;</v>
      </c>
      <c r="L50" s="162">
        <v>468300</v>
      </c>
      <c r="M50" s="162"/>
      <c r="N50" s="162" t="s">
        <v>1216</v>
      </c>
      <c r="O50" s="332">
        <v>5180</v>
      </c>
      <c r="P50" s="333">
        <v>2870</v>
      </c>
      <c r="Q50" s="333">
        <v>2680</v>
      </c>
      <c r="R50" s="333">
        <v>1815.05</v>
      </c>
      <c r="S50" s="333">
        <v>-553.79999999999995</v>
      </c>
      <c r="T50" s="333">
        <v>970</v>
      </c>
      <c r="U50" s="333">
        <v>1135</v>
      </c>
      <c r="V50" s="333">
        <v>446.6</v>
      </c>
      <c r="W50" s="333">
        <v>1120</v>
      </c>
      <c r="X50" s="333">
        <v>2474.15</v>
      </c>
      <c r="Y50" s="333">
        <v>989.03</v>
      </c>
      <c r="Z50" s="333">
        <v>3715.2</v>
      </c>
      <c r="AA50" s="310">
        <f t="shared" si="1"/>
        <v>22841.23</v>
      </c>
      <c r="AB50" s="334">
        <f t="shared" si="2"/>
        <v>5.3913313994979756E-2</v>
      </c>
      <c r="AC50" s="290"/>
      <c r="AD50" s="333">
        <v>28440.240000000002</v>
      </c>
      <c r="AE50" s="334">
        <f t="shared" si="3"/>
        <v>4.9969898397769323E-2</v>
      </c>
      <c r="AF50" s="335">
        <f t="shared" si="4"/>
        <v>-5599.010000000002</v>
      </c>
      <c r="AG50" s="333">
        <v>21595</v>
      </c>
      <c r="AH50" s="334">
        <f t="shared" si="5"/>
        <v>4.9667659076864171E-2</v>
      </c>
      <c r="AI50" s="336">
        <f t="shared" si="6"/>
        <v>1246.2299999999996</v>
      </c>
      <c r="AJ50" s="399">
        <f t="shared" si="7"/>
        <v>5.3542498827941865</v>
      </c>
      <c r="AK50" s="400">
        <f t="shared" si="8"/>
        <v>5.6206007905138344</v>
      </c>
      <c r="AL50" s="401">
        <f t="shared" si="9"/>
        <v>5.071629873179897</v>
      </c>
      <c r="AM50" s="402" t="str">
        <f t="shared" si="10"/>
        <v>0.39 pts.</v>
      </c>
      <c r="AN50" s="403" t="str">
        <f t="shared" si="11"/>
        <v>0.42 pts.</v>
      </c>
    </row>
    <row r="51" spans="1:40" x14ac:dyDescent="0.25">
      <c r="A51" s="6" t="s">
        <v>3</v>
      </c>
      <c r="B51" s="16" t="s">
        <v>1472</v>
      </c>
      <c r="H51" s="15" t="s">
        <v>275</v>
      </c>
      <c r="I51" s="161" t="s">
        <v>1058</v>
      </c>
      <c r="J51" s="161" t="s">
        <v>78</v>
      </c>
      <c r="K51" s="68" t="str">
        <f t="shared" si="0"/>
        <v>&gt;</v>
      </c>
      <c r="L51" s="162">
        <v>468350</v>
      </c>
      <c r="M51" s="162"/>
      <c r="N51" s="162" t="s">
        <v>1217</v>
      </c>
      <c r="O51" s="332">
        <v>10450</v>
      </c>
      <c r="P51" s="333">
        <v>5500</v>
      </c>
      <c r="Q51" s="333">
        <v>13850</v>
      </c>
      <c r="R51" s="333">
        <v>4150</v>
      </c>
      <c r="S51" s="333">
        <v>450</v>
      </c>
      <c r="T51" s="333">
        <v>2900</v>
      </c>
      <c r="U51" s="333">
        <v>750</v>
      </c>
      <c r="V51" s="333">
        <v>1000</v>
      </c>
      <c r="W51" s="333">
        <v>1080</v>
      </c>
      <c r="X51" s="333">
        <v>2390.5</v>
      </c>
      <c r="Y51" s="333">
        <v>4467.2700000000004</v>
      </c>
      <c r="Z51" s="333">
        <v>13389.95</v>
      </c>
      <c r="AA51" s="310">
        <f t="shared" si="1"/>
        <v>60377.72</v>
      </c>
      <c r="AB51" s="334">
        <f t="shared" si="2"/>
        <v>0.1425125957166479</v>
      </c>
      <c r="AC51" s="290"/>
      <c r="AD51" s="333">
        <v>120916.5</v>
      </c>
      <c r="AE51" s="334">
        <f t="shared" si="3"/>
        <v>0.21245197718492792</v>
      </c>
      <c r="AF51" s="335">
        <f t="shared" si="4"/>
        <v>-60538.78</v>
      </c>
      <c r="AG51" s="333">
        <v>96710</v>
      </c>
      <c r="AH51" s="334">
        <f t="shared" si="5"/>
        <v>0.2224292340506383</v>
      </c>
      <c r="AI51" s="336">
        <f t="shared" si="6"/>
        <v>-36332.28</v>
      </c>
      <c r="AJ51" s="399">
        <f t="shared" si="7"/>
        <v>14.153239568682608</v>
      </c>
      <c r="AK51" s="400">
        <f t="shared" si="8"/>
        <v>23.896541501976284</v>
      </c>
      <c r="AL51" s="401">
        <f t="shared" si="9"/>
        <v>22.712541099107561</v>
      </c>
      <c r="AM51" s="402" t="str">
        <f t="shared" si="10"/>
        <v>-6.99 pts.</v>
      </c>
      <c r="AN51" s="403" t="str">
        <f t="shared" si="11"/>
        <v>-7.99 pts.</v>
      </c>
    </row>
    <row r="52" spans="1:40" x14ac:dyDescent="0.25">
      <c r="A52" s="6" t="s">
        <v>4</v>
      </c>
      <c r="B52" s="16" t="s">
        <v>1478</v>
      </c>
      <c r="H52" s="15" t="s">
        <v>282</v>
      </c>
      <c r="I52" s="161" t="s">
        <v>1058</v>
      </c>
      <c r="J52" s="161" t="s">
        <v>78</v>
      </c>
      <c r="K52" s="68" t="str">
        <f t="shared" si="0"/>
        <v>&gt;</v>
      </c>
      <c r="L52" s="162"/>
      <c r="M52" s="162"/>
      <c r="N52" s="162" t="s">
        <v>1219</v>
      </c>
      <c r="O52" s="332">
        <v>11988.78</v>
      </c>
      <c r="P52" s="333">
        <v>8780.9500000000007</v>
      </c>
      <c r="Q52" s="333">
        <v>6857.26</v>
      </c>
      <c r="R52" s="333">
        <v>3037.28</v>
      </c>
      <c r="S52" s="333">
        <v>5000.38</v>
      </c>
      <c r="T52" s="333">
        <v>1912.14</v>
      </c>
      <c r="U52" s="333">
        <v>143.22</v>
      </c>
      <c r="V52" s="333">
        <v>1338.22</v>
      </c>
      <c r="W52" s="333">
        <v>1819.84</v>
      </c>
      <c r="X52" s="333">
        <v>3082.53</v>
      </c>
      <c r="Y52" s="333">
        <v>4074.43</v>
      </c>
      <c r="Z52" s="333">
        <v>13639.99</v>
      </c>
      <c r="AA52" s="310">
        <f t="shared" si="1"/>
        <v>61675.02</v>
      </c>
      <c r="AB52" s="334">
        <f t="shared" si="2"/>
        <v>0.14557467872381025</v>
      </c>
      <c r="AC52" s="290"/>
      <c r="AD52" s="333">
        <v>74659.695000000007</v>
      </c>
      <c r="AE52" s="334">
        <f t="shared" si="3"/>
        <v>0.13117812555584785</v>
      </c>
      <c r="AF52" s="335">
        <f t="shared" si="4"/>
        <v>-12984.67500000001</v>
      </c>
      <c r="AG52" s="333">
        <v>57313.04</v>
      </c>
      <c r="AH52" s="334">
        <f t="shared" si="5"/>
        <v>0.13181776019350216</v>
      </c>
      <c r="AI52" s="336">
        <f t="shared" si="6"/>
        <v>4361.9799999999959</v>
      </c>
      <c r="AJ52" s="399">
        <f t="shared" si="7"/>
        <v>14.457341772151898</v>
      </c>
      <c r="AK52" s="400">
        <f t="shared" si="8"/>
        <v>14.75488043478261</v>
      </c>
      <c r="AL52" s="401">
        <f t="shared" si="9"/>
        <v>13.460084546735557</v>
      </c>
      <c r="AM52" s="402" t="str">
        <f t="shared" si="10"/>
        <v>1.44 pts.</v>
      </c>
      <c r="AN52" s="403" t="str">
        <f t="shared" si="11"/>
        <v>1.38 pts.</v>
      </c>
    </row>
    <row r="53" spans="1:40" x14ac:dyDescent="0.25">
      <c r="A53" s="6" t="s">
        <v>5</v>
      </c>
      <c r="B53" s="7"/>
      <c r="F53" s="152"/>
      <c r="H53" s="15" t="s">
        <v>283</v>
      </c>
      <c r="I53" s="161" t="s">
        <v>1058</v>
      </c>
      <c r="J53" s="161" t="s">
        <v>78</v>
      </c>
      <c r="K53" s="68" t="str">
        <f t="shared" si="0"/>
        <v>&gt;</v>
      </c>
      <c r="L53" s="162"/>
      <c r="M53" s="162"/>
      <c r="N53" s="162" t="s">
        <v>1220</v>
      </c>
      <c r="O53" s="332">
        <v>600</v>
      </c>
      <c r="P53" s="333">
        <v>700</v>
      </c>
      <c r="Q53" s="333">
        <v>150</v>
      </c>
      <c r="R53" s="333">
        <v>150</v>
      </c>
      <c r="S53" s="333">
        <v>300</v>
      </c>
      <c r="T53" s="333">
        <v>39.909999999999997</v>
      </c>
      <c r="U53" s="333">
        <v>1045</v>
      </c>
      <c r="V53" s="333">
        <v>150</v>
      </c>
      <c r="W53" s="333">
        <v>300</v>
      </c>
      <c r="X53" s="333"/>
      <c r="Y53" s="333">
        <v>450</v>
      </c>
      <c r="Z53" s="333">
        <v>450</v>
      </c>
      <c r="AA53" s="310">
        <f t="shared" si="1"/>
        <v>4334.91</v>
      </c>
      <c r="AB53" s="334">
        <f t="shared" si="2"/>
        <v>1.0231908000137371E-2</v>
      </c>
      <c r="AC53" s="290"/>
      <c r="AD53" s="333">
        <v>5768.76</v>
      </c>
      <c r="AE53" s="334">
        <f t="shared" si="3"/>
        <v>1.0135791789419349E-2</v>
      </c>
      <c r="AF53" s="335">
        <f t="shared" si="4"/>
        <v>-1433.8500000000004</v>
      </c>
      <c r="AG53" s="333">
        <v>4785</v>
      </c>
      <c r="AH53" s="334">
        <f t="shared" si="5"/>
        <v>1.100531366903427E-2</v>
      </c>
      <c r="AI53" s="336">
        <f t="shared" si="6"/>
        <v>-450.09000000000015</v>
      </c>
      <c r="AJ53" s="399">
        <f t="shared" si="7"/>
        <v>1.016153305203938</v>
      </c>
      <c r="AK53" s="400">
        <f t="shared" si="8"/>
        <v>1.1400711462450592</v>
      </c>
      <c r="AL53" s="401">
        <f t="shared" si="9"/>
        <v>1.123767026773133</v>
      </c>
      <c r="AM53" s="402" t="str">
        <f t="shared" si="10"/>
        <v>0.01 pts.</v>
      </c>
      <c r="AN53" s="403" t="str">
        <f t="shared" si="11"/>
        <v>-0.08 pts.</v>
      </c>
    </row>
    <row r="54" spans="1:40" x14ac:dyDescent="0.25">
      <c r="A54" s="6" t="s">
        <v>6</v>
      </c>
      <c r="B54" s="7"/>
      <c r="F54" s="152"/>
      <c r="H54" s="15" t="s">
        <v>473</v>
      </c>
      <c r="I54" s="161" t="s">
        <v>1009</v>
      </c>
      <c r="J54" s="161" t="s">
        <v>1009</v>
      </c>
      <c r="K54" s="68" t="str">
        <f t="shared" si="0"/>
        <v/>
      </c>
      <c r="L54" s="162">
        <v>468990</v>
      </c>
      <c r="M54" s="162">
        <v>206022</v>
      </c>
      <c r="N54" s="162" t="s">
        <v>1222</v>
      </c>
      <c r="O54" s="323"/>
      <c r="P54" s="324"/>
      <c r="Q54" s="324"/>
      <c r="R54" s="324"/>
      <c r="S54" s="324"/>
      <c r="T54" s="324"/>
      <c r="U54" s="324"/>
      <c r="V54" s="324"/>
      <c r="W54" s="324"/>
      <c r="X54" s="324"/>
      <c r="Y54" s="324"/>
      <c r="Z54" s="324"/>
      <c r="AA54" s="324">
        <f t="shared" si="1"/>
        <v>0</v>
      </c>
      <c r="AB54" s="325" t="str">
        <f t="shared" si="2"/>
        <v/>
      </c>
      <c r="AC54" s="290"/>
      <c r="AD54" s="324"/>
      <c r="AE54" s="325" t="str">
        <f t="shared" si="3"/>
        <v/>
      </c>
      <c r="AF54" s="326">
        <f t="shared" si="4"/>
        <v>0</v>
      </c>
      <c r="AG54" s="324"/>
      <c r="AH54" s="325" t="str">
        <f t="shared" si="5"/>
        <v/>
      </c>
      <c r="AI54" s="327">
        <f t="shared" si="6"/>
        <v>0</v>
      </c>
      <c r="AJ54" s="409">
        <f t="shared" si="7"/>
        <v>0</v>
      </c>
      <c r="AK54" s="410">
        <f t="shared" si="8"/>
        <v>0</v>
      </c>
      <c r="AL54" s="411">
        <f t="shared" si="9"/>
        <v>0</v>
      </c>
      <c r="AM54" s="412">
        <f t="shared" si="10"/>
        <v>0</v>
      </c>
      <c r="AN54" s="413">
        <f t="shared" si="11"/>
        <v>0</v>
      </c>
    </row>
    <row r="55" spans="1:40" x14ac:dyDescent="0.25">
      <c r="A55" s="6" t="s">
        <v>7</v>
      </c>
      <c r="B55" s="16" t="s">
        <v>1479</v>
      </c>
      <c r="F55" s="152"/>
      <c r="H55" s="15" t="s">
        <v>277</v>
      </c>
      <c r="I55" s="479" t="s">
        <v>1064</v>
      </c>
      <c r="J55" s="479" t="s">
        <v>78</v>
      </c>
      <c r="K55" s="480" t="str">
        <f t="shared" si="0"/>
        <v/>
      </c>
      <c r="L55" s="170"/>
      <c r="M55" s="170"/>
      <c r="N55" s="170" t="s">
        <v>1221</v>
      </c>
      <c r="O55" s="225">
        <v>28218.78</v>
      </c>
      <c r="P55" s="36">
        <v>17850.95</v>
      </c>
      <c r="Q55" s="36">
        <v>23537.26</v>
      </c>
      <c r="R55" s="36">
        <v>9152.33</v>
      </c>
      <c r="S55" s="36">
        <v>5196.58</v>
      </c>
      <c r="T55" s="36">
        <v>5822.05</v>
      </c>
      <c r="U55" s="36">
        <v>3073.22</v>
      </c>
      <c r="V55" s="36">
        <v>2934.82</v>
      </c>
      <c r="W55" s="36">
        <v>4319.84</v>
      </c>
      <c r="X55" s="36">
        <v>7947.18</v>
      </c>
      <c r="Y55" s="36">
        <v>9980.73</v>
      </c>
      <c r="Z55" s="36">
        <v>31195.14</v>
      </c>
      <c r="AA55" s="36">
        <f t="shared" si="1"/>
        <v>149228.88</v>
      </c>
      <c r="AB55" s="37">
        <f t="shared" si="2"/>
        <v>0.3522324964355753</v>
      </c>
      <c r="AC55" s="35"/>
      <c r="AD55" s="36">
        <v>229785.19500000001</v>
      </c>
      <c r="AE55" s="37">
        <f t="shared" si="3"/>
        <v>0.40373579292796441</v>
      </c>
      <c r="AF55" s="58">
        <f t="shared" si="4"/>
        <v>-80556.315000000002</v>
      </c>
      <c r="AG55" s="36">
        <v>180403.04</v>
      </c>
      <c r="AH55" s="37">
        <f t="shared" si="5"/>
        <v>0.41491996699003891</v>
      </c>
      <c r="AI55" s="292">
        <f t="shared" si="6"/>
        <v>-31174.160000000003</v>
      </c>
      <c r="AJ55" s="372">
        <f t="shared" si="7"/>
        <v>34.980984528832629</v>
      </c>
      <c r="AK55" s="373">
        <f t="shared" si="8"/>
        <v>45.41209387351779</v>
      </c>
      <c r="AL55" s="375">
        <f t="shared" si="9"/>
        <v>42.368022545796151</v>
      </c>
      <c r="AM55" s="407" t="str">
        <f t="shared" si="10"/>
        <v>-5.15 pts.</v>
      </c>
      <c r="AN55" s="408" t="str">
        <f t="shared" si="11"/>
        <v>-6.27 pts.</v>
      </c>
    </row>
    <row r="56" spans="1:40" x14ac:dyDescent="0.25">
      <c r="A56" s="6" t="s">
        <v>47</v>
      </c>
      <c r="B56" s="16" t="s">
        <v>1475</v>
      </c>
      <c r="H56" s="15" t="s">
        <v>280</v>
      </c>
      <c r="I56" s="479" t="s">
        <v>1012</v>
      </c>
      <c r="J56" s="479" t="s">
        <v>78</v>
      </c>
      <c r="K56" s="480" t="str">
        <f t="shared" si="0"/>
        <v/>
      </c>
      <c r="L56" s="170">
        <v>400000</v>
      </c>
      <c r="M56" s="170"/>
      <c r="N56" s="170" t="s">
        <v>1003</v>
      </c>
      <c r="O56" s="224">
        <v>87831.78</v>
      </c>
      <c r="P56" s="134">
        <v>52644.45</v>
      </c>
      <c r="Q56" s="134">
        <v>54710.33</v>
      </c>
      <c r="R56" s="134">
        <v>20964.580000000002</v>
      </c>
      <c r="S56" s="134">
        <v>27925.58</v>
      </c>
      <c r="T56" s="134">
        <v>14541.03</v>
      </c>
      <c r="U56" s="134">
        <v>3405.22</v>
      </c>
      <c r="V56" s="134">
        <v>8335.82</v>
      </c>
      <c r="W56" s="134">
        <v>12379.35</v>
      </c>
      <c r="X56" s="134">
        <v>21257.279999999999</v>
      </c>
      <c r="Y56" s="134">
        <v>28907.03</v>
      </c>
      <c r="Z56" s="134">
        <v>90763.4</v>
      </c>
      <c r="AA56" s="134">
        <f t="shared" si="1"/>
        <v>423665.85000000009</v>
      </c>
      <c r="AB56" s="135">
        <f t="shared" si="2"/>
        <v>1</v>
      </c>
      <c r="AC56" s="137"/>
      <c r="AD56" s="134">
        <v>569147.44499999995</v>
      </c>
      <c r="AE56" s="135">
        <f t="shared" si="3"/>
        <v>1</v>
      </c>
      <c r="AF56" s="136">
        <f t="shared" si="4"/>
        <v>-145481.59499999986</v>
      </c>
      <c r="AG56" s="134">
        <v>434789.97</v>
      </c>
      <c r="AH56" s="135">
        <f t="shared" si="5"/>
        <v>1</v>
      </c>
      <c r="AI56" s="291">
        <f t="shared" si="6"/>
        <v>-11124.119999999879</v>
      </c>
      <c r="AJ56" s="360">
        <f t="shared" si="7"/>
        <v>99.312201125175832</v>
      </c>
      <c r="AK56" s="361">
        <f t="shared" si="8"/>
        <v>112.47973221343872</v>
      </c>
      <c r="AL56" s="363">
        <f t="shared" si="9"/>
        <v>102.11131282292155</v>
      </c>
      <c r="AM56" s="405" t="str">
        <f t="shared" si="10"/>
        <v>0 pts.</v>
      </c>
      <c r="AN56" s="406" t="str">
        <f t="shared" si="11"/>
        <v>0 pts.</v>
      </c>
    </row>
    <row r="57" spans="1:40"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c r="H58" s="1" t="s">
        <v>281</v>
      </c>
      <c r="I58" s="11" t="s">
        <v>1011</v>
      </c>
      <c r="J58" s="11" t="s">
        <v>78</v>
      </c>
      <c r="N58" s="40" t="s">
        <v>1223</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3" t="s">
        <v>9</v>
      </c>
      <c r="B59" s="5" t="s">
        <v>10</v>
      </c>
      <c r="H59" s="1" t="s">
        <v>284</v>
      </c>
      <c r="I59" s="11" t="s">
        <v>1011</v>
      </c>
      <c r="J59" s="11" t="s">
        <v>78</v>
      </c>
      <c r="N59" s="8" t="s">
        <v>1224</v>
      </c>
      <c r="O59" s="53"/>
      <c r="P59" s="54"/>
      <c r="Q59" s="54"/>
      <c r="R59" s="54"/>
      <c r="S59" s="54"/>
      <c r="T59" s="54"/>
      <c r="U59" s="54"/>
      <c r="V59" s="54"/>
      <c r="W59" s="54"/>
      <c r="X59" s="54"/>
      <c r="Y59" s="54"/>
      <c r="Z59" s="54"/>
      <c r="AA59" s="54"/>
      <c r="AB59" s="55"/>
      <c r="AD59" s="53"/>
      <c r="AE59" s="54"/>
      <c r="AF59" s="55"/>
      <c r="AG59" s="54"/>
      <c r="AH59" s="54"/>
      <c r="AI59" s="55"/>
    </row>
    <row r="60" spans="1:40" x14ac:dyDescent="0.25">
      <c r="A60" s="6" t="s">
        <v>11</v>
      </c>
      <c r="B60" s="7" t="s">
        <v>21</v>
      </c>
      <c r="H60" s="15" t="s">
        <v>285</v>
      </c>
      <c r="I60" s="161" t="s">
        <v>1058</v>
      </c>
      <c r="J60" s="161" t="s">
        <v>78</v>
      </c>
      <c r="K60" s="68" t="str">
        <f t="shared" ref="K60:K70" si="12">IF(AND(I60&gt;="T5"),"&gt;","")</f>
        <v>&gt;</v>
      </c>
      <c r="L60" s="162">
        <v>561100</v>
      </c>
      <c r="M60" s="162"/>
      <c r="N60" s="162" t="s">
        <v>1225</v>
      </c>
      <c r="O60" s="332">
        <v>11439.71</v>
      </c>
      <c r="P60" s="333">
        <v>7097.98</v>
      </c>
      <c r="Q60" s="333">
        <v>5665.08</v>
      </c>
      <c r="R60" s="333">
        <v>1979.62</v>
      </c>
      <c r="S60" s="333">
        <v>2706.16</v>
      </c>
      <c r="T60" s="333">
        <v>1715.23</v>
      </c>
      <c r="U60" s="333">
        <v>67.73</v>
      </c>
      <c r="V60" s="333">
        <v>863.12</v>
      </c>
      <c r="W60" s="333">
        <v>1463.7</v>
      </c>
      <c r="X60" s="333">
        <v>2827.05</v>
      </c>
      <c r="Y60" s="333">
        <v>2847.43</v>
      </c>
      <c r="Z60" s="333">
        <v>10576.38</v>
      </c>
      <c r="AA60" s="310">
        <f t="shared" ref="AA60:AA68" si="13">IF($I60="B1","",SUM(O60:Z60))</f>
        <v>49249.189999999995</v>
      </c>
      <c r="AB60" s="334">
        <v>0.20450604189299401</v>
      </c>
      <c r="AC60" s="290"/>
      <c r="AD60" s="333">
        <v>72762.179999999993</v>
      </c>
      <c r="AE60" s="334">
        <v>0.220000015301274</v>
      </c>
      <c r="AF60" s="335">
        <f t="shared" ref="AF60:AF70" si="14">IF(AND($AA60="",AD60=""),"",$AA60-AD60)</f>
        <v>-23512.989999999998</v>
      </c>
      <c r="AG60" s="333">
        <v>50596.53</v>
      </c>
      <c r="AH60" s="334">
        <v>0.21759615194809401</v>
      </c>
      <c r="AI60" s="336">
        <f t="shared" ref="AI60:AI70" si="15">IF(AND($AA60="",AG60=""),"",$AA60-AG60)</f>
        <v>-1347.3400000000038</v>
      </c>
      <c r="AJ60" s="399">
        <f t="shared" ref="AJ60:AJ70" si="16">IFERROR(AA60/AA$20,0)</f>
        <v>11.544582747304265</v>
      </c>
      <c r="AK60" s="400">
        <f t="shared" ref="AK60:AK70" si="17">IFERROR(AD60/AD$20,0)</f>
        <v>14.37987747035573</v>
      </c>
      <c r="AL60" s="401">
        <f t="shared" ref="AL60:AL70" si="18">IFERROR(AG60/AG$20,0)</f>
        <v>11.882698449976514</v>
      </c>
      <c r="AM60" s="402" t="str">
        <f t="shared" ref="AM60:AM70" si="19">+IFERROR(ROUND(($AB60-AE60)*100,2)&amp;" pts.",0)</f>
        <v>-1.55 pts.</v>
      </c>
      <c r="AN60" s="403" t="str">
        <f t="shared" ref="AN60:AN70" si="20">+IFERROR(ROUND(($AB60-AH60)*100,2)&amp;" pts.",0)</f>
        <v>-1.31 pts.</v>
      </c>
    </row>
    <row r="61" spans="1:40" x14ac:dyDescent="0.25">
      <c r="A61" s="6" t="s">
        <v>12</v>
      </c>
      <c r="B61" s="7" t="s">
        <v>22</v>
      </c>
      <c r="H61" s="15" t="s">
        <v>636</v>
      </c>
      <c r="I61" s="161" t="s">
        <v>1058</v>
      </c>
      <c r="J61" s="161" t="s">
        <v>78</v>
      </c>
      <c r="K61" s="68" t="str">
        <f t="shared" si="12"/>
        <v>&gt;</v>
      </c>
      <c r="L61" s="162"/>
      <c r="M61" s="162"/>
      <c r="N61" s="162" t="s">
        <v>1226</v>
      </c>
      <c r="O61" s="323">
        <v>728.15</v>
      </c>
      <c r="P61" s="324"/>
      <c r="Q61" s="324">
        <v>677.35</v>
      </c>
      <c r="R61" s="324">
        <v>412.51</v>
      </c>
      <c r="S61" s="324">
        <v>1670.03</v>
      </c>
      <c r="T61" s="324">
        <v>55.08</v>
      </c>
      <c r="U61" s="324"/>
      <c r="V61" s="324">
        <v>214.11</v>
      </c>
      <c r="W61" s="324">
        <v>163.68</v>
      </c>
      <c r="X61" s="324"/>
      <c r="Y61" s="324">
        <v>905.48</v>
      </c>
      <c r="Z61" s="324">
        <v>1214.01</v>
      </c>
      <c r="AA61" s="324">
        <f t="shared" si="13"/>
        <v>6040.4</v>
      </c>
      <c r="AB61" s="325">
        <v>0.17968423479366699</v>
      </c>
      <c r="AC61" s="290"/>
      <c r="AD61" s="324">
        <v>1647.59</v>
      </c>
      <c r="AE61" s="325">
        <v>0.19102290800882701</v>
      </c>
      <c r="AF61" s="326">
        <f t="shared" si="14"/>
        <v>4392.8099999999995</v>
      </c>
      <c r="AG61" s="324">
        <v>4282.25</v>
      </c>
      <c r="AH61" s="325">
        <v>0.19587640655017799</v>
      </c>
      <c r="AI61" s="327">
        <f t="shared" si="15"/>
        <v>1758.1499999999996</v>
      </c>
      <c r="AJ61" s="409">
        <f t="shared" si="16"/>
        <v>1.4159399906235348</v>
      </c>
      <c r="AK61" s="410">
        <f t="shared" si="17"/>
        <v>0.32561067193675886</v>
      </c>
      <c r="AL61" s="411">
        <f t="shared" si="18"/>
        <v>1.0056951620479098</v>
      </c>
      <c r="AM61" s="412" t="str">
        <f t="shared" si="19"/>
        <v>-1.13 pts.</v>
      </c>
      <c r="AN61" s="413" t="str">
        <f t="shared" si="20"/>
        <v>-1.62 pts.</v>
      </c>
    </row>
    <row r="62" spans="1:40" x14ac:dyDescent="0.25">
      <c r="A62" s="6" t="s">
        <v>13</v>
      </c>
      <c r="B62" s="7" t="str">
        <f>"DEP(COS_FB) AND "&amp;$E$6&amp;"=Y,COS_FB,COSOTH,DEP(COS_OTHR) AND "&amp;$E$6&amp;"=Y,COS_OTHR,500001"</f>
        <v>DEP(COS_FB) AND D2148=Y,COS_FB,COSOTH,DEP(COS_OTHR) AND D2148=Y,COS_OTHR,500001</v>
      </c>
      <c r="H62" s="15" t="s">
        <v>286</v>
      </c>
      <c r="I62" s="479" t="s">
        <v>1064</v>
      </c>
      <c r="J62" s="479" t="s">
        <v>78</v>
      </c>
      <c r="K62" s="480" t="str">
        <f t="shared" si="12"/>
        <v/>
      </c>
      <c r="L62" s="170"/>
      <c r="M62" s="170"/>
      <c r="N62" s="170" t="s">
        <v>1227</v>
      </c>
      <c r="O62" s="224">
        <v>12167.86</v>
      </c>
      <c r="P62" s="134">
        <v>7097.98</v>
      </c>
      <c r="Q62" s="134">
        <v>6342.43</v>
      </c>
      <c r="R62" s="134">
        <v>2392.13</v>
      </c>
      <c r="S62" s="134">
        <v>4376.1899999999996</v>
      </c>
      <c r="T62" s="134">
        <v>1770.31</v>
      </c>
      <c r="U62" s="134">
        <v>67.73</v>
      </c>
      <c r="V62" s="134">
        <v>1077.23</v>
      </c>
      <c r="W62" s="134">
        <v>1627.38</v>
      </c>
      <c r="X62" s="134">
        <v>2827.05</v>
      </c>
      <c r="Y62" s="134">
        <v>3752.91</v>
      </c>
      <c r="Z62" s="134">
        <v>11790.39</v>
      </c>
      <c r="AA62" s="134">
        <f t="shared" si="13"/>
        <v>55289.590000000011</v>
      </c>
      <c r="AB62" s="135">
        <v>0.20146553141145701</v>
      </c>
      <c r="AC62" s="137"/>
      <c r="AD62" s="134">
        <v>74409.77</v>
      </c>
      <c r="AE62" s="135">
        <v>0.219263545076095</v>
      </c>
      <c r="AF62" s="136">
        <f t="shared" si="14"/>
        <v>-19120.179999999993</v>
      </c>
      <c r="AG62" s="134">
        <v>54878.78</v>
      </c>
      <c r="AH62" s="135">
        <v>0.21572955811841399</v>
      </c>
      <c r="AI62" s="291">
        <f t="shared" si="15"/>
        <v>410.81000000001222</v>
      </c>
      <c r="AJ62" s="360">
        <f t="shared" si="16"/>
        <v>12.960522737927803</v>
      </c>
      <c r="AK62" s="361">
        <f t="shared" si="17"/>
        <v>14.705488142292491</v>
      </c>
      <c r="AL62" s="363">
        <f t="shared" si="18"/>
        <v>12.888393612024425</v>
      </c>
      <c r="AM62" s="405" t="str">
        <f t="shared" si="19"/>
        <v>-1.78 pts.</v>
      </c>
      <c r="AN62" s="406" t="str">
        <f t="shared" si="20"/>
        <v>-1.43 pts.</v>
      </c>
    </row>
    <row r="63" spans="1:40" x14ac:dyDescent="0.25">
      <c r="A63" s="6" t="s">
        <v>14</v>
      </c>
      <c r="B63" s="7"/>
      <c r="H63" s="15" t="s">
        <v>287</v>
      </c>
      <c r="I63" s="479" t="s">
        <v>1011</v>
      </c>
      <c r="J63" s="479" t="s">
        <v>78</v>
      </c>
      <c r="K63" s="480" t="str">
        <f t="shared" si="12"/>
        <v/>
      </c>
      <c r="L63" s="170"/>
      <c r="M63" s="170"/>
      <c r="N63" s="170" t="s">
        <v>1228</v>
      </c>
      <c r="O63" s="337"/>
      <c r="P63" s="38"/>
      <c r="Q63" s="38"/>
      <c r="R63" s="38"/>
      <c r="S63" s="38"/>
      <c r="T63" s="38"/>
      <c r="U63" s="38"/>
      <c r="V63" s="38"/>
      <c r="W63" s="38"/>
      <c r="X63" s="38"/>
      <c r="Y63" s="38"/>
      <c r="Z63" s="38"/>
      <c r="AA63" s="315" t="str">
        <f t="shared" si="13"/>
        <v/>
      </c>
      <c r="AB63" s="39"/>
      <c r="AC63" s="54"/>
      <c r="AD63" s="38"/>
      <c r="AE63" s="39"/>
      <c r="AF63" s="132" t="str">
        <f t="shared" si="14"/>
        <v/>
      </c>
      <c r="AG63" s="38"/>
      <c r="AH63" s="39"/>
      <c r="AI63" s="338" t="str">
        <f t="shared" si="15"/>
        <v/>
      </c>
      <c r="AJ63" s="353">
        <f t="shared" si="16"/>
        <v>0</v>
      </c>
      <c r="AK63" s="354">
        <f t="shared" si="17"/>
        <v>0</v>
      </c>
      <c r="AL63" s="356">
        <f t="shared" si="18"/>
        <v>0</v>
      </c>
      <c r="AM63" s="390" t="str">
        <f t="shared" si="19"/>
        <v>0 pts.</v>
      </c>
      <c r="AN63" s="404" t="str">
        <f t="shared" si="20"/>
        <v>0 pts.</v>
      </c>
    </row>
    <row r="64" spans="1:40" x14ac:dyDescent="0.25">
      <c r="A64" s="6" t="s">
        <v>15</v>
      </c>
      <c r="B64" s="7"/>
      <c r="H64" s="15" t="s">
        <v>637</v>
      </c>
      <c r="I64" s="161" t="s">
        <v>1009</v>
      </c>
      <c r="J64" s="161" t="s">
        <v>1009</v>
      </c>
      <c r="K64" s="68" t="str">
        <f t="shared" si="12"/>
        <v/>
      </c>
      <c r="L64" s="162">
        <v>568300</v>
      </c>
      <c r="M64" s="162">
        <v>306005</v>
      </c>
      <c r="N64" s="162" t="s">
        <v>1229</v>
      </c>
      <c r="O64" s="332"/>
      <c r="P64" s="333"/>
      <c r="Q64" s="333"/>
      <c r="R64" s="333"/>
      <c r="S64" s="333"/>
      <c r="T64" s="333"/>
      <c r="U64" s="333"/>
      <c r="V64" s="333"/>
      <c r="W64" s="333"/>
      <c r="X64" s="333"/>
      <c r="Y64" s="333"/>
      <c r="Z64" s="333"/>
      <c r="AA64" s="310">
        <f t="shared" si="13"/>
        <v>0</v>
      </c>
      <c r="AB64" s="334"/>
      <c r="AC64" s="290"/>
      <c r="AD64" s="333"/>
      <c r="AE64" s="334"/>
      <c r="AF64" s="335">
        <f t="shared" si="14"/>
        <v>0</v>
      </c>
      <c r="AG64" s="333"/>
      <c r="AH64" s="334"/>
      <c r="AI64" s="336">
        <f t="shared" si="15"/>
        <v>0</v>
      </c>
      <c r="AJ64" s="399">
        <f t="shared" si="16"/>
        <v>0</v>
      </c>
      <c r="AK64" s="400">
        <f t="shared" si="17"/>
        <v>0</v>
      </c>
      <c r="AL64" s="401">
        <f t="shared" si="18"/>
        <v>0</v>
      </c>
      <c r="AM64" s="402" t="str">
        <f t="shared" si="19"/>
        <v>0 pts.</v>
      </c>
      <c r="AN64" s="403" t="str">
        <f t="shared" si="20"/>
        <v>0 pts.</v>
      </c>
    </row>
    <row r="65" spans="1:40" x14ac:dyDescent="0.25">
      <c r="A65" s="6" t="s">
        <v>16</v>
      </c>
      <c r="B65" s="7"/>
      <c r="H65" s="15" t="s">
        <v>638</v>
      </c>
      <c r="I65" s="161" t="s">
        <v>1009</v>
      </c>
      <c r="J65" s="161" t="s">
        <v>1009</v>
      </c>
      <c r="K65" s="68" t="str">
        <f t="shared" si="12"/>
        <v/>
      </c>
      <c r="L65" s="162">
        <v>568350</v>
      </c>
      <c r="M65" s="162">
        <v>306099</v>
      </c>
      <c r="N65" s="162" t="s">
        <v>1217</v>
      </c>
      <c r="O65" s="332"/>
      <c r="P65" s="333"/>
      <c r="Q65" s="333"/>
      <c r="R65" s="333"/>
      <c r="S65" s="333"/>
      <c r="T65" s="333"/>
      <c r="U65" s="333"/>
      <c r="V65" s="333"/>
      <c r="W65" s="333"/>
      <c r="X65" s="333"/>
      <c r="Y65" s="333"/>
      <c r="Z65" s="333"/>
      <c r="AA65" s="310">
        <f t="shared" si="13"/>
        <v>0</v>
      </c>
      <c r="AB65" s="334"/>
      <c r="AC65" s="290"/>
      <c r="AD65" s="333"/>
      <c r="AE65" s="334"/>
      <c r="AF65" s="335">
        <f t="shared" si="14"/>
        <v>0</v>
      </c>
      <c r="AG65" s="333"/>
      <c r="AH65" s="334"/>
      <c r="AI65" s="336">
        <f t="shared" si="15"/>
        <v>0</v>
      </c>
      <c r="AJ65" s="399">
        <f t="shared" si="16"/>
        <v>0</v>
      </c>
      <c r="AK65" s="400">
        <f t="shared" si="17"/>
        <v>0</v>
      </c>
      <c r="AL65" s="401">
        <f t="shared" si="18"/>
        <v>0</v>
      </c>
      <c r="AM65" s="402" t="str">
        <f t="shared" si="19"/>
        <v>0 pts.</v>
      </c>
      <c r="AN65" s="403" t="str">
        <f t="shared" si="20"/>
        <v>0 pts.</v>
      </c>
    </row>
    <row r="66" spans="1:40" x14ac:dyDescent="0.25">
      <c r="A66" s="6" t="s">
        <v>17</v>
      </c>
      <c r="B66" s="7"/>
      <c r="H66" s="15" t="s">
        <v>639</v>
      </c>
      <c r="I66" s="161" t="s">
        <v>1058</v>
      </c>
      <c r="J66" s="161" t="s">
        <v>78</v>
      </c>
      <c r="K66" s="68" t="str">
        <f t="shared" si="12"/>
        <v>&gt;</v>
      </c>
      <c r="L66" s="162"/>
      <c r="M66" s="162"/>
      <c r="N66" s="162" t="s">
        <v>1230</v>
      </c>
      <c r="O66" s="323"/>
      <c r="P66" s="324"/>
      <c r="Q66" s="324"/>
      <c r="R66" s="324"/>
      <c r="S66" s="324"/>
      <c r="T66" s="324"/>
      <c r="U66" s="324"/>
      <c r="V66" s="324"/>
      <c r="W66" s="324"/>
      <c r="X66" s="324"/>
      <c r="Y66" s="324"/>
      <c r="Z66" s="324"/>
      <c r="AA66" s="324">
        <f t="shared" si="13"/>
        <v>0</v>
      </c>
      <c r="AB66" s="325"/>
      <c r="AC66" s="290"/>
      <c r="AD66" s="324"/>
      <c r="AE66" s="325"/>
      <c r="AF66" s="326">
        <f t="shared" si="14"/>
        <v>0</v>
      </c>
      <c r="AG66" s="324"/>
      <c r="AH66" s="325"/>
      <c r="AI66" s="327">
        <f t="shared" si="15"/>
        <v>0</v>
      </c>
      <c r="AJ66" s="409">
        <f t="shared" si="16"/>
        <v>0</v>
      </c>
      <c r="AK66" s="410">
        <f t="shared" si="17"/>
        <v>0</v>
      </c>
      <c r="AL66" s="411">
        <f t="shared" si="18"/>
        <v>0</v>
      </c>
      <c r="AM66" s="412" t="str">
        <f t="shared" si="19"/>
        <v>0 pts.</v>
      </c>
      <c r="AN66" s="413" t="str">
        <f t="shared" si="20"/>
        <v>0 pts.</v>
      </c>
    </row>
    <row r="67" spans="1:40" x14ac:dyDescent="0.25">
      <c r="H67" s="15" t="s">
        <v>288</v>
      </c>
      <c r="I67" s="479" t="s">
        <v>1064</v>
      </c>
      <c r="J67" s="479" t="s">
        <v>78</v>
      </c>
      <c r="K67" s="480" t="str">
        <f t="shared" si="12"/>
        <v/>
      </c>
      <c r="L67" s="170"/>
      <c r="M67" s="170"/>
      <c r="N67" s="170" t="s">
        <v>1231</v>
      </c>
      <c r="O67" s="225"/>
      <c r="P67" s="36"/>
      <c r="Q67" s="36"/>
      <c r="R67" s="36"/>
      <c r="S67" s="36"/>
      <c r="T67" s="36"/>
      <c r="U67" s="36"/>
      <c r="V67" s="36"/>
      <c r="W67" s="36"/>
      <c r="X67" s="36"/>
      <c r="Y67" s="36"/>
      <c r="Z67" s="36"/>
      <c r="AA67" s="36">
        <f t="shared" si="13"/>
        <v>0</v>
      </c>
      <c r="AB67" s="37"/>
      <c r="AC67" s="35"/>
      <c r="AD67" s="36"/>
      <c r="AE67" s="37"/>
      <c r="AF67" s="58">
        <f t="shared" si="14"/>
        <v>0</v>
      </c>
      <c r="AG67" s="36"/>
      <c r="AH67" s="37"/>
      <c r="AI67" s="292">
        <f t="shared" si="15"/>
        <v>0</v>
      </c>
      <c r="AJ67" s="372">
        <f t="shared" si="16"/>
        <v>0</v>
      </c>
      <c r="AK67" s="373">
        <f t="shared" si="17"/>
        <v>0</v>
      </c>
      <c r="AL67" s="375">
        <f t="shared" si="18"/>
        <v>0</v>
      </c>
      <c r="AM67" s="407" t="str">
        <f t="shared" si="19"/>
        <v>0 pts.</v>
      </c>
      <c r="AN67" s="408" t="str">
        <f t="shared" si="20"/>
        <v>0 pts.</v>
      </c>
    </row>
    <row r="68" spans="1:40" x14ac:dyDescent="0.25">
      <c r="A68" s="22" t="s">
        <v>92</v>
      </c>
      <c r="B68" s="23" t="s">
        <v>93</v>
      </c>
      <c r="C68" s="23" t="s">
        <v>94</v>
      </c>
      <c r="D68" s="23" t="s">
        <v>95</v>
      </c>
      <c r="E68" s="23" t="s">
        <v>96</v>
      </c>
      <c r="F68" s="24" t="s">
        <v>97</v>
      </c>
      <c r="H68" s="15" t="s">
        <v>289</v>
      </c>
      <c r="I68" s="479" t="s">
        <v>1012</v>
      </c>
      <c r="J68" s="479" t="s">
        <v>78</v>
      </c>
      <c r="K68" s="480" t="str">
        <f t="shared" si="12"/>
        <v/>
      </c>
      <c r="L68" s="170">
        <v>500001</v>
      </c>
      <c r="M68" s="170"/>
      <c r="N68" s="170" t="s">
        <v>1232</v>
      </c>
      <c r="O68" s="224">
        <v>12167.86</v>
      </c>
      <c r="P68" s="134">
        <v>7097.98</v>
      </c>
      <c r="Q68" s="134">
        <v>6342.43</v>
      </c>
      <c r="R68" s="134">
        <v>2392.13</v>
      </c>
      <c r="S68" s="134">
        <v>4376.1899999999996</v>
      </c>
      <c r="T68" s="134">
        <v>1770.31</v>
      </c>
      <c r="U68" s="134">
        <v>67.73</v>
      </c>
      <c r="V68" s="134">
        <v>1077.23</v>
      </c>
      <c r="W68" s="134">
        <v>1627.38</v>
      </c>
      <c r="X68" s="134">
        <v>2827.05</v>
      </c>
      <c r="Y68" s="134">
        <v>3752.91</v>
      </c>
      <c r="Z68" s="134">
        <v>11790.39</v>
      </c>
      <c r="AA68" s="134">
        <f t="shared" si="13"/>
        <v>55289.590000000011</v>
      </c>
      <c r="AB68" s="135">
        <v>0.13050282433668001</v>
      </c>
      <c r="AC68" s="137"/>
      <c r="AD68" s="134">
        <v>74409.77</v>
      </c>
      <c r="AE68" s="135">
        <v>0.13073900384460099</v>
      </c>
      <c r="AF68" s="136">
        <f t="shared" si="14"/>
        <v>-19120.179999999993</v>
      </c>
      <c r="AG68" s="134">
        <v>54878.78</v>
      </c>
      <c r="AH68" s="135">
        <v>0.12621905698514599</v>
      </c>
      <c r="AI68" s="291">
        <f t="shared" si="15"/>
        <v>410.81000000001222</v>
      </c>
      <c r="AJ68" s="360">
        <f t="shared" si="16"/>
        <v>12.960522737927803</v>
      </c>
      <c r="AK68" s="361">
        <f t="shared" si="17"/>
        <v>14.705488142292491</v>
      </c>
      <c r="AL68" s="363">
        <f t="shared" si="18"/>
        <v>12.888393612024425</v>
      </c>
      <c r="AM68" s="405" t="str">
        <f t="shared" si="19"/>
        <v>-0.02 pts.</v>
      </c>
      <c r="AN68" s="406" t="str">
        <f t="shared" si="20"/>
        <v>0.43 pts.</v>
      </c>
    </row>
    <row r="69" spans="1:40" x14ac:dyDescent="0.25">
      <c r="H69" s="149" t="s">
        <v>175</v>
      </c>
      <c r="I69" s="28" t="s">
        <v>1011</v>
      </c>
      <c r="J69" s="28" t="s">
        <v>78</v>
      </c>
      <c r="K69" s="69" t="str">
        <f t="shared" si="12"/>
        <v/>
      </c>
      <c r="L69" s="69"/>
      <c r="M69" s="69"/>
      <c r="N69" s="25" t="s">
        <v>175</v>
      </c>
      <c r="O69" s="47"/>
      <c r="P69" s="47"/>
      <c r="Q69" s="47"/>
      <c r="R69" s="47"/>
      <c r="S69" s="47"/>
      <c r="T69" s="47"/>
      <c r="U69" s="47"/>
      <c r="V69" s="47"/>
      <c r="W69" s="47"/>
      <c r="X69" s="47"/>
      <c r="Y69" s="47"/>
      <c r="Z69" s="47"/>
      <c r="AA69" s="47"/>
      <c r="AB69" s="48"/>
      <c r="AD69" s="47"/>
      <c r="AE69" s="48"/>
      <c r="AF69" s="150" t="str">
        <f t="shared" si="14"/>
        <v/>
      </c>
      <c r="AG69" s="47"/>
      <c r="AH69" s="48"/>
      <c r="AI69" s="150" t="str">
        <f t="shared" si="15"/>
        <v/>
      </c>
      <c r="AJ69" s="420">
        <f t="shared" si="16"/>
        <v>0</v>
      </c>
      <c r="AK69" s="421">
        <f t="shared" si="17"/>
        <v>0</v>
      </c>
      <c r="AL69" s="422">
        <f t="shared" si="18"/>
        <v>0</v>
      </c>
      <c r="AM69" s="423" t="str">
        <f t="shared" si="19"/>
        <v>0 pts.</v>
      </c>
      <c r="AN69" s="424" t="str">
        <f t="shared" si="20"/>
        <v>0 pts.</v>
      </c>
    </row>
    <row r="70" spans="1:40" x14ac:dyDescent="0.25">
      <c r="A70" s="1" t="s">
        <v>209</v>
      </c>
      <c r="B70" s="1" t="s">
        <v>21</v>
      </c>
      <c r="C70" s="74"/>
      <c r="D70" s="1" t="s">
        <v>590</v>
      </c>
      <c r="F70" s="1" t="s">
        <v>99</v>
      </c>
      <c r="H70" s="149" t="s">
        <v>292</v>
      </c>
      <c r="I70" s="28" t="s">
        <v>1012</v>
      </c>
      <c r="J70" s="28" t="s">
        <v>78</v>
      </c>
      <c r="K70" s="69" t="str">
        <f t="shared" si="12"/>
        <v/>
      </c>
      <c r="L70" s="69"/>
      <c r="M70" s="69"/>
      <c r="N70" s="25" t="s">
        <v>1233</v>
      </c>
      <c r="O70" s="164">
        <f t="shared" ref="O70:Z70" si="21">SUMIF($H$35:$H$68,"400000",O35:O68)-SUMIF($H$35:$H$68,"500001",O35:O68)</f>
        <v>75663.92</v>
      </c>
      <c r="P70" s="164">
        <f t="shared" si="21"/>
        <v>45546.47</v>
      </c>
      <c r="Q70" s="164">
        <f t="shared" si="21"/>
        <v>48367.9</v>
      </c>
      <c r="R70" s="164">
        <f t="shared" si="21"/>
        <v>18572.45</v>
      </c>
      <c r="S70" s="164">
        <f t="shared" si="21"/>
        <v>23549.390000000003</v>
      </c>
      <c r="T70" s="164">
        <f t="shared" si="21"/>
        <v>12770.720000000001</v>
      </c>
      <c r="U70" s="164">
        <f t="shared" si="21"/>
        <v>3337.49</v>
      </c>
      <c r="V70" s="164">
        <f t="shared" si="21"/>
        <v>7258.59</v>
      </c>
      <c r="W70" s="164">
        <f t="shared" si="21"/>
        <v>10751.970000000001</v>
      </c>
      <c r="X70" s="164">
        <f t="shared" si="21"/>
        <v>18430.23</v>
      </c>
      <c r="Y70" s="164">
        <f t="shared" si="21"/>
        <v>25154.12</v>
      </c>
      <c r="Z70" s="164">
        <f t="shared" si="21"/>
        <v>78973.009999999995</v>
      </c>
      <c r="AA70" s="164">
        <f>IF($I70="B1","",SUM(O70:Z70))</f>
        <v>368376.26</v>
      </c>
      <c r="AB70" s="135">
        <f>IF(O70=0,"",IFERROR(O70/O$19,""))</f>
        <v>0.86146403955379247</v>
      </c>
      <c r="AD70" s="164">
        <f>SUMIF($H$35:$H$68,"400000",AD35:AD68)-SUMIF($H$35:$H$68,"500001",AD35:AD68)</f>
        <v>494737.67499999993</v>
      </c>
      <c r="AE70" s="135">
        <f>IF(AD70=0,"",IFERROR(AD70/AD$19,""))</f>
        <v>0.86926099615539865</v>
      </c>
      <c r="AF70" s="165">
        <f t="shared" si="14"/>
        <v>-126361.41499999992</v>
      </c>
      <c r="AG70" s="164">
        <f>SUMIF($H$35:$H$68,"400000",AG35:AG68)-SUMIF($H$35:$H$68,"500001",AG35:AG68)</f>
        <v>379911.18999999994</v>
      </c>
      <c r="AH70" s="135">
        <f>IF(AG70=0,"",IFERROR(AG70/AG$19,""))</f>
        <v>0.87378094301485376</v>
      </c>
      <c r="AI70" s="165">
        <f t="shared" si="15"/>
        <v>-11534.929999999935</v>
      </c>
      <c r="AJ70" s="392">
        <f t="shared" si="16"/>
        <v>86.351678387248015</v>
      </c>
      <c r="AK70" s="393">
        <f t="shared" si="17"/>
        <v>97.774244071146228</v>
      </c>
      <c r="AL70" s="394">
        <f t="shared" si="18"/>
        <v>89.222919210897118</v>
      </c>
      <c r="AM70" s="395" t="str">
        <f t="shared" si="19"/>
        <v>-0.78 pts.</v>
      </c>
      <c r="AN70" s="437" t="str">
        <f t="shared" si="20"/>
        <v>-1.23 pts.</v>
      </c>
    </row>
    <row r="71" spans="1:40" x14ac:dyDescent="0.25">
      <c r="A71" s="1" t="s">
        <v>105</v>
      </c>
      <c r="C71" s="26" t="s">
        <v>101</v>
      </c>
      <c r="D71" s="1" t="s">
        <v>106</v>
      </c>
      <c r="F71" s="1" t="s">
        <v>98</v>
      </c>
      <c r="O71" s="163"/>
      <c r="P71" s="287"/>
      <c r="Q71" s="287"/>
      <c r="R71" s="287"/>
      <c r="S71" s="287"/>
      <c r="T71" s="287"/>
      <c r="U71" s="287"/>
      <c r="V71" s="287"/>
      <c r="W71" s="287"/>
      <c r="X71" s="287"/>
      <c r="Y71" s="287"/>
      <c r="Z71" s="287"/>
      <c r="AA71" s="287"/>
      <c r="AB71" s="55"/>
      <c r="AD71" s="53"/>
      <c r="AE71" s="54"/>
      <c r="AF71" s="55"/>
      <c r="AG71" s="54"/>
      <c r="AH71" s="54"/>
      <c r="AI71" s="55"/>
    </row>
    <row r="72" spans="1:40" x14ac:dyDescent="0.25">
      <c r="A72" s="1" t="s">
        <v>104</v>
      </c>
      <c r="C72" s="26" t="s">
        <v>101</v>
      </c>
      <c r="D72" s="1" t="s">
        <v>106</v>
      </c>
      <c r="F72" s="1" t="s">
        <v>98</v>
      </c>
      <c r="H72" s="1" t="s">
        <v>73</v>
      </c>
      <c r="I72" s="11" t="s">
        <v>1011</v>
      </c>
      <c r="J72" s="11" t="s">
        <v>78</v>
      </c>
      <c r="N72" s="40" t="s">
        <v>1079</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1" t="s">
        <v>100</v>
      </c>
      <c r="C73" s="8" t="s">
        <v>101</v>
      </c>
      <c r="D73" s="1" t="s">
        <v>106</v>
      </c>
      <c r="F73" s="1" t="s">
        <v>98</v>
      </c>
      <c r="H73" s="1" t="s">
        <v>74</v>
      </c>
      <c r="I73" s="11" t="s">
        <v>1011</v>
      </c>
      <c r="J73" s="11" t="s">
        <v>78</v>
      </c>
      <c r="N73" s="8" t="s">
        <v>1080</v>
      </c>
      <c r="O73" s="43"/>
      <c r="P73" s="46"/>
      <c r="Q73" s="46"/>
      <c r="R73" s="46"/>
      <c r="S73" s="46"/>
      <c r="T73" s="46"/>
      <c r="U73" s="46"/>
      <c r="V73" s="46"/>
      <c r="W73" s="46"/>
      <c r="X73" s="46"/>
      <c r="Y73" s="46"/>
      <c r="Z73" s="46"/>
      <c r="AA73" s="46"/>
      <c r="AB73" s="44"/>
      <c r="AD73" s="43"/>
      <c r="AE73" s="46"/>
      <c r="AF73" s="44"/>
      <c r="AG73" s="46"/>
      <c r="AH73" s="46"/>
      <c r="AI73" s="44"/>
    </row>
    <row r="74" spans="1:40" hidden="1" x14ac:dyDescent="0.25">
      <c r="A74" s="1" t="s">
        <v>102</v>
      </c>
      <c r="C74" s="25" t="s">
        <v>101</v>
      </c>
      <c r="D74" s="1" t="s">
        <v>106</v>
      </c>
      <c r="F74" s="1" t="s">
        <v>98</v>
      </c>
      <c r="H74" s="15" t="s">
        <v>667</v>
      </c>
      <c r="I74" s="161"/>
      <c r="J74" s="161"/>
      <c r="K74" s="68" t="str">
        <f t="shared" ref="K74:K86" si="22">IF(AND(I74&gt;="T3"),"&gt;","")</f>
        <v/>
      </c>
      <c r="L74" s="162"/>
      <c r="M74" s="162"/>
      <c r="N74" s="162"/>
      <c r="O74" s="38"/>
      <c r="P74" s="38"/>
      <c r="Q74" s="38"/>
      <c r="R74" s="38"/>
      <c r="S74" s="38"/>
      <c r="T74" s="38"/>
      <c r="U74" s="38"/>
      <c r="V74" s="38"/>
      <c r="W74" s="38"/>
      <c r="X74" s="38"/>
      <c r="Y74" s="38"/>
      <c r="Z74" s="38"/>
      <c r="AA74" s="310">
        <f t="shared" ref="AA74:AA86" si="23">IF($I74="B1","",SUM(O74:Z74))</f>
        <v>0</v>
      </c>
      <c r="AB74" s="39" t="str">
        <f t="shared" ref="AB74:AB86" si="24">IF(AA74=0,"",IFERROR(AA74/AA$19,""))</f>
        <v/>
      </c>
      <c r="AD74" s="38"/>
      <c r="AE74" s="39" t="str">
        <f t="shared" ref="AE74:AE86" si="25">IF(AD74=0,"",IFERROR(AD74/AD$19,""))</f>
        <v/>
      </c>
      <c r="AF74" s="132">
        <f t="shared" ref="AF74:AF86" si="26">IF(AND($AA74="",AD74=""),"",$AA74-AD74)</f>
        <v>0</v>
      </c>
      <c r="AG74" s="38"/>
      <c r="AH74" s="39" t="str">
        <f t="shared" ref="AH74:AH86" si="27">IF(AG74=0,"",IFERROR(AG74/AG$19,""))</f>
        <v/>
      </c>
      <c r="AI74" s="132">
        <f t="shared" ref="AI74:AI86" si="28">IF(AND($AA74="",AG74=""),"",$AA74-AG74)</f>
        <v>0</v>
      </c>
      <c r="AJ74" s="399">
        <f t="shared" ref="AJ74:AJ86" si="29">IFERROR(AA74/AA$20,0)</f>
        <v>0</v>
      </c>
      <c r="AK74" s="400">
        <f t="shared" ref="AK74:AK86" si="30">IFERROR(AD74/AD$20,0)</f>
        <v>0</v>
      </c>
      <c r="AL74" s="401">
        <f t="shared" ref="AL74:AL86" si="31">IFERROR(AG74/AG$20,0)</f>
        <v>0</v>
      </c>
      <c r="AM74" s="402">
        <f t="shared" ref="AM74:AM86" si="32">+IFERROR(ROUND(($AB74-AE74)*100,2)&amp;" pts.",0)</f>
        <v>0</v>
      </c>
      <c r="AN74" s="403">
        <f t="shared" ref="AN74:AN86" si="33">+IFERROR(ROUND(($AB74-AH74)*100,2)&amp;" pts.",0)</f>
        <v>0</v>
      </c>
    </row>
    <row r="75" spans="1:40" hidden="1" x14ac:dyDescent="0.25">
      <c r="A75" s="1" t="s">
        <v>102</v>
      </c>
      <c r="C75" s="151" t="s">
        <v>101</v>
      </c>
      <c r="D75" s="1" t="s">
        <v>107</v>
      </c>
      <c r="F75" s="1" t="s">
        <v>99</v>
      </c>
      <c r="H75" s="15"/>
      <c r="I75" s="161"/>
      <c r="J75" s="161"/>
      <c r="K75" s="68" t="str">
        <f t="shared" si="22"/>
        <v/>
      </c>
      <c r="L75" s="162"/>
      <c r="M75" s="162"/>
      <c r="N75" s="162"/>
      <c r="O75" s="38"/>
      <c r="P75" s="38"/>
      <c r="Q75" s="38"/>
      <c r="R75" s="38"/>
      <c r="S75" s="38"/>
      <c r="T75" s="38"/>
      <c r="U75" s="38"/>
      <c r="V75" s="38"/>
      <c r="W75" s="38"/>
      <c r="X75" s="38"/>
      <c r="Y75" s="38"/>
      <c r="Z75" s="38"/>
      <c r="AA75" s="310">
        <f t="shared" si="23"/>
        <v>0</v>
      </c>
      <c r="AB75" s="39" t="str">
        <f t="shared" si="24"/>
        <v/>
      </c>
      <c r="AD75" s="38"/>
      <c r="AE75" s="39" t="str">
        <f t="shared" si="25"/>
        <v/>
      </c>
      <c r="AF75" s="132">
        <f t="shared" si="26"/>
        <v>0</v>
      </c>
      <c r="AG75" s="38"/>
      <c r="AH75" s="39" t="str">
        <f t="shared" si="27"/>
        <v/>
      </c>
      <c r="AI75" s="132">
        <f t="shared" si="28"/>
        <v>0</v>
      </c>
      <c r="AJ75" s="399">
        <f t="shared" si="29"/>
        <v>0</v>
      </c>
      <c r="AK75" s="400">
        <f t="shared" si="30"/>
        <v>0</v>
      </c>
      <c r="AL75" s="401">
        <f t="shared" si="31"/>
        <v>0</v>
      </c>
      <c r="AM75" s="402">
        <f t="shared" si="32"/>
        <v>0</v>
      </c>
      <c r="AN75" s="403">
        <f t="shared" si="33"/>
        <v>0</v>
      </c>
    </row>
    <row r="76" spans="1:40" x14ac:dyDescent="0.25">
      <c r="A76" s="1" t="s">
        <v>108</v>
      </c>
      <c r="C76" s="25" t="s">
        <v>101</v>
      </c>
      <c r="D76" s="1" t="s">
        <v>106</v>
      </c>
      <c r="F76" s="1" t="s">
        <v>98</v>
      </c>
      <c r="H76" s="15" t="s">
        <v>75</v>
      </c>
      <c r="I76" s="28" t="s">
        <v>1011</v>
      </c>
      <c r="J76" s="28" t="s">
        <v>78</v>
      </c>
      <c r="K76" s="69" t="str">
        <f t="shared" si="22"/>
        <v/>
      </c>
      <c r="L76" s="25"/>
      <c r="M76" s="162"/>
      <c r="N76" s="25" t="s">
        <v>1082</v>
      </c>
      <c r="O76" s="38"/>
      <c r="P76" s="38"/>
      <c r="Q76" s="38"/>
      <c r="R76" s="38"/>
      <c r="S76" s="38"/>
      <c r="T76" s="38"/>
      <c r="U76" s="38"/>
      <c r="V76" s="38"/>
      <c r="W76" s="38"/>
      <c r="X76" s="38"/>
      <c r="Y76" s="38"/>
      <c r="Z76" s="38"/>
      <c r="AA76" s="310" t="str">
        <f t="shared" si="23"/>
        <v/>
      </c>
      <c r="AB76" s="39" t="str">
        <f t="shared" si="24"/>
        <v/>
      </c>
      <c r="AD76" s="38"/>
      <c r="AE76" s="39" t="str">
        <f t="shared" si="25"/>
        <v/>
      </c>
      <c r="AF76" s="132" t="str">
        <f t="shared" si="26"/>
        <v/>
      </c>
      <c r="AG76" s="38"/>
      <c r="AH76" s="39" t="str">
        <f t="shared" si="27"/>
        <v/>
      </c>
      <c r="AI76" s="132" t="str">
        <f t="shared" si="28"/>
        <v/>
      </c>
      <c r="AJ76" s="399">
        <f t="shared" si="29"/>
        <v>0</v>
      </c>
      <c r="AK76" s="400">
        <f t="shared" si="30"/>
        <v>0</v>
      </c>
      <c r="AL76" s="401">
        <f t="shared" si="31"/>
        <v>0</v>
      </c>
      <c r="AM76" s="402">
        <f t="shared" si="32"/>
        <v>0</v>
      </c>
      <c r="AN76" s="403">
        <f t="shared" si="33"/>
        <v>0</v>
      </c>
    </row>
    <row r="77" spans="1:40" x14ac:dyDescent="0.25">
      <c r="A77" s="1" t="s">
        <v>108</v>
      </c>
      <c r="C77" s="151" t="s">
        <v>101</v>
      </c>
      <c r="D77" s="1" t="s">
        <v>107</v>
      </c>
      <c r="F77" s="1" t="s">
        <v>99</v>
      </c>
      <c r="H77" s="15" t="s">
        <v>862</v>
      </c>
      <c r="I77" s="161" t="s">
        <v>1012</v>
      </c>
      <c r="J77" s="161" t="s">
        <v>78</v>
      </c>
      <c r="K77" s="68" t="str">
        <f t="shared" si="22"/>
        <v>&gt;</v>
      </c>
      <c r="L77" s="162"/>
      <c r="M77" s="162"/>
      <c r="N77" s="162" t="s">
        <v>1237</v>
      </c>
      <c r="O77" s="47"/>
      <c r="P77" s="47"/>
      <c r="Q77" s="47"/>
      <c r="R77" s="47"/>
      <c r="S77" s="47"/>
      <c r="T77" s="47"/>
      <c r="U77" s="47"/>
      <c r="V77" s="47"/>
      <c r="W77" s="47"/>
      <c r="X77" s="47"/>
      <c r="Y77" s="47"/>
      <c r="Z77" s="47"/>
      <c r="AA77" s="324">
        <f t="shared" si="23"/>
        <v>0</v>
      </c>
      <c r="AB77" s="48" t="str">
        <f t="shared" si="24"/>
        <v/>
      </c>
      <c r="AD77" s="47">
        <v>17207.3</v>
      </c>
      <c r="AE77" s="48">
        <f t="shared" si="25"/>
        <v>3.0233466127569105E-2</v>
      </c>
      <c r="AF77" s="150">
        <f t="shared" si="26"/>
        <v>-17207.3</v>
      </c>
      <c r="AG77" s="47">
        <v>45.23</v>
      </c>
      <c r="AH77" s="48">
        <f t="shared" si="27"/>
        <v>1.0402723871482132E-4</v>
      </c>
      <c r="AI77" s="150">
        <f t="shared" si="28"/>
        <v>-45.23</v>
      </c>
      <c r="AJ77" s="409">
        <f t="shared" si="29"/>
        <v>0</v>
      </c>
      <c r="AK77" s="410">
        <f t="shared" si="30"/>
        <v>3.4006521739130435</v>
      </c>
      <c r="AL77" s="411">
        <f t="shared" si="31"/>
        <v>1.0622357914513856E-2</v>
      </c>
      <c r="AM77" s="412">
        <f t="shared" si="32"/>
        <v>0</v>
      </c>
      <c r="AN77" s="413">
        <f t="shared" si="33"/>
        <v>0</v>
      </c>
    </row>
    <row r="78" spans="1:40" x14ac:dyDescent="0.25">
      <c r="H78" s="15" t="s">
        <v>863</v>
      </c>
      <c r="I78" s="161" t="s">
        <v>1012</v>
      </c>
      <c r="J78" s="161" t="s">
        <v>78</v>
      </c>
      <c r="K78" s="68" t="str">
        <f t="shared" si="22"/>
        <v>&gt;</v>
      </c>
      <c r="L78" s="162"/>
      <c r="M78" s="162"/>
      <c r="N78" s="162" t="s">
        <v>336</v>
      </c>
      <c r="O78" s="47">
        <v>8783.2000000000007</v>
      </c>
      <c r="P78" s="47">
        <v>3305.43</v>
      </c>
      <c r="Q78" s="47">
        <v>2961.44</v>
      </c>
      <c r="R78" s="47">
        <v>1991.68</v>
      </c>
      <c r="S78" s="47">
        <v>2159.2600000000002</v>
      </c>
      <c r="T78" s="47">
        <v>-248.85</v>
      </c>
      <c r="U78" s="47">
        <v>291.94</v>
      </c>
      <c r="V78" s="47">
        <v>791.92</v>
      </c>
      <c r="W78" s="47">
        <v>1176.01</v>
      </c>
      <c r="X78" s="47">
        <v>2019.42</v>
      </c>
      <c r="Y78" s="47">
        <v>2746.17</v>
      </c>
      <c r="Z78" s="47">
        <v>8622.49</v>
      </c>
      <c r="AA78" s="324">
        <f t="shared" si="23"/>
        <v>34600.109999999993</v>
      </c>
      <c r="AB78" s="48">
        <f t="shared" si="24"/>
        <v>8.1668395033491575E-2</v>
      </c>
      <c r="AD78" s="47"/>
      <c r="AE78" s="48" t="str">
        <f t="shared" si="25"/>
        <v/>
      </c>
      <c r="AF78" s="150">
        <f t="shared" si="26"/>
        <v>34600.109999999993</v>
      </c>
      <c r="AG78" s="47">
        <v>7885.16</v>
      </c>
      <c r="AH78" s="48">
        <f t="shared" si="27"/>
        <v>1.8135560946817609E-2</v>
      </c>
      <c r="AI78" s="150">
        <f t="shared" si="28"/>
        <v>26714.949999999993</v>
      </c>
      <c r="AJ78" s="409">
        <f t="shared" si="29"/>
        <v>8.1106680731364253</v>
      </c>
      <c r="AK78" s="410">
        <f t="shared" si="30"/>
        <v>0</v>
      </c>
      <c r="AL78" s="411">
        <f t="shared" si="31"/>
        <v>1.8518459370596523</v>
      </c>
      <c r="AM78" s="412">
        <f t="shared" si="32"/>
        <v>0</v>
      </c>
      <c r="AN78" s="413" t="str">
        <f t="shared" si="33"/>
        <v>6.35 pts.</v>
      </c>
    </row>
    <row r="79" spans="1:40" x14ac:dyDescent="0.25">
      <c r="C79" s="32"/>
      <c r="H79" s="15" t="s">
        <v>848</v>
      </c>
      <c r="I79" s="479" t="s">
        <v>1010</v>
      </c>
      <c r="J79" s="479" t="s">
        <v>78</v>
      </c>
      <c r="K79" s="480" t="str">
        <f t="shared" si="22"/>
        <v/>
      </c>
      <c r="L79" s="170"/>
      <c r="M79" s="170"/>
      <c r="N79" s="170" t="s">
        <v>1085</v>
      </c>
      <c r="O79" s="134">
        <v>8783.2000000000007</v>
      </c>
      <c r="P79" s="134">
        <v>3305.43</v>
      </c>
      <c r="Q79" s="134">
        <v>2961.44</v>
      </c>
      <c r="R79" s="134">
        <v>1991.68</v>
      </c>
      <c r="S79" s="134">
        <v>2159.2600000000002</v>
      </c>
      <c r="T79" s="134">
        <v>-248.85</v>
      </c>
      <c r="U79" s="134">
        <v>291.94</v>
      </c>
      <c r="V79" s="134">
        <v>791.92</v>
      </c>
      <c r="W79" s="134">
        <v>1176.01</v>
      </c>
      <c r="X79" s="134">
        <v>2019.42</v>
      </c>
      <c r="Y79" s="134">
        <v>2746.17</v>
      </c>
      <c r="Z79" s="134">
        <v>8622.49</v>
      </c>
      <c r="AA79" s="134">
        <f t="shared" si="23"/>
        <v>34600.109999999993</v>
      </c>
      <c r="AB79" s="135">
        <f t="shared" si="24"/>
        <v>8.1668395033491575E-2</v>
      </c>
      <c r="AC79" s="137"/>
      <c r="AD79" s="134">
        <v>17207.3</v>
      </c>
      <c r="AE79" s="135">
        <f t="shared" si="25"/>
        <v>3.0233466127569105E-2</v>
      </c>
      <c r="AF79" s="136">
        <f t="shared" si="26"/>
        <v>17392.809999999994</v>
      </c>
      <c r="AG79" s="134">
        <v>7930.39</v>
      </c>
      <c r="AH79" s="135">
        <f t="shared" si="27"/>
        <v>1.8239588185532434E-2</v>
      </c>
      <c r="AI79" s="136">
        <f t="shared" si="28"/>
        <v>26669.719999999994</v>
      </c>
      <c r="AJ79" s="360">
        <f t="shared" si="29"/>
        <v>8.1106680731364253</v>
      </c>
      <c r="AK79" s="361">
        <f t="shared" si="30"/>
        <v>3.4006521739130435</v>
      </c>
      <c r="AL79" s="363">
        <f t="shared" si="31"/>
        <v>1.8624682949741664</v>
      </c>
      <c r="AM79" s="405" t="str">
        <f t="shared" si="32"/>
        <v>5.14 pts.</v>
      </c>
      <c r="AN79" s="406" t="str">
        <f t="shared" si="33"/>
        <v>6.34 pts.</v>
      </c>
    </row>
    <row r="80" spans="1:40" x14ac:dyDescent="0.25">
      <c r="A80" s="4" t="s">
        <v>988</v>
      </c>
      <c r="H80" s="15" t="s">
        <v>864</v>
      </c>
      <c r="I80" s="161" t="s">
        <v>1012</v>
      </c>
      <c r="J80" s="161" t="s">
        <v>78</v>
      </c>
      <c r="K80" s="68" t="str">
        <f t="shared" si="22"/>
        <v>&gt;</v>
      </c>
      <c r="L80" s="162"/>
      <c r="M80" s="162"/>
      <c r="N80" s="162" t="s">
        <v>1238</v>
      </c>
      <c r="O80" s="47">
        <v>9604.26</v>
      </c>
      <c r="P80" s="47">
        <v>3506.01</v>
      </c>
      <c r="Q80" s="47">
        <v>9518.84</v>
      </c>
      <c r="R80" s="47">
        <v>1913.69</v>
      </c>
      <c r="S80" s="47">
        <v>4091.22</v>
      </c>
      <c r="T80" s="47">
        <v>1757.27</v>
      </c>
      <c r="U80" s="47">
        <v>455.83</v>
      </c>
      <c r="V80" s="47">
        <v>2264.29</v>
      </c>
      <c r="W80" s="47">
        <v>1450.06</v>
      </c>
      <c r="X80" s="47">
        <v>3501.73</v>
      </c>
      <c r="Y80" s="47">
        <v>3406.73</v>
      </c>
      <c r="Z80" s="47">
        <v>12439.7</v>
      </c>
      <c r="AA80" s="47">
        <f t="shared" si="23"/>
        <v>53909.630000000005</v>
      </c>
      <c r="AB80" s="48">
        <f t="shared" si="24"/>
        <v>0.12724563473784822</v>
      </c>
      <c r="AD80" s="47">
        <v>61220.9499</v>
      </c>
      <c r="AE80" s="48">
        <f t="shared" si="25"/>
        <v>0.10756606295579524</v>
      </c>
      <c r="AF80" s="150">
        <f t="shared" si="26"/>
        <v>-7311.319899999995</v>
      </c>
      <c r="AG80" s="47">
        <v>47027.61</v>
      </c>
      <c r="AH80" s="48">
        <f t="shared" si="27"/>
        <v>0.1081616717147362</v>
      </c>
      <c r="AI80" s="150">
        <f t="shared" si="28"/>
        <v>6882.0200000000041</v>
      </c>
      <c r="AJ80" s="420">
        <f t="shared" si="29"/>
        <v>12.637044069385842</v>
      </c>
      <c r="AK80" s="421">
        <f t="shared" si="30"/>
        <v>12.099001956521739</v>
      </c>
      <c r="AL80" s="422">
        <f t="shared" si="31"/>
        <v>11.044530295913574</v>
      </c>
      <c r="AM80" s="423" t="str">
        <f t="shared" si="32"/>
        <v>1.97 pts.</v>
      </c>
      <c r="AN80" s="424" t="str">
        <f t="shared" si="33"/>
        <v>1.91 pts.</v>
      </c>
    </row>
    <row r="81" spans="1:40" x14ac:dyDescent="0.25">
      <c r="H81" s="15" t="s">
        <v>865</v>
      </c>
      <c r="I81" s="161" t="s">
        <v>1012</v>
      </c>
      <c r="J81" s="161" t="s">
        <v>78</v>
      </c>
      <c r="K81" s="68" t="str">
        <f t="shared" si="22"/>
        <v>&gt;</v>
      </c>
      <c r="L81" s="162"/>
      <c r="M81" s="162"/>
      <c r="N81" s="162" t="s">
        <v>1086</v>
      </c>
      <c r="O81" s="47"/>
      <c r="P81" s="47">
        <v>109.71</v>
      </c>
      <c r="Q81" s="47">
        <v>430.79</v>
      </c>
      <c r="R81" s="47">
        <v>139.04</v>
      </c>
      <c r="S81" s="47">
        <v>78.75</v>
      </c>
      <c r="T81" s="47"/>
      <c r="U81" s="47"/>
      <c r="V81" s="47"/>
      <c r="W81" s="47"/>
      <c r="X81" s="47"/>
      <c r="Y81" s="47"/>
      <c r="Z81" s="47"/>
      <c r="AA81" s="324">
        <f t="shared" si="23"/>
        <v>758.29</v>
      </c>
      <c r="AB81" s="48">
        <f t="shared" si="24"/>
        <v>1.789830358052224E-3</v>
      </c>
      <c r="AD81" s="47"/>
      <c r="AE81" s="48" t="str">
        <f t="shared" si="25"/>
        <v/>
      </c>
      <c r="AF81" s="150">
        <f t="shared" si="26"/>
        <v>758.29</v>
      </c>
      <c r="AG81" s="47">
        <v>869.2</v>
      </c>
      <c r="AH81" s="48">
        <f t="shared" si="27"/>
        <v>1.9991261527951072E-3</v>
      </c>
      <c r="AI81" s="150">
        <f t="shared" si="28"/>
        <v>-110.91000000000008</v>
      </c>
      <c r="AJ81" s="409">
        <f t="shared" si="29"/>
        <v>0.17775199249882792</v>
      </c>
      <c r="AK81" s="410">
        <f t="shared" si="30"/>
        <v>0</v>
      </c>
      <c r="AL81" s="411">
        <f t="shared" si="31"/>
        <v>0.20413339596054486</v>
      </c>
      <c r="AM81" s="412">
        <f t="shared" si="32"/>
        <v>0</v>
      </c>
      <c r="AN81" s="413" t="str">
        <f t="shared" si="33"/>
        <v>-0.02 pts.</v>
      </c>
    </row>
    <row r="82" spans="1:40" x14ac:dyDescent="0.25">
      <c r="A82" s="3" t="s">
        <v>0</v>
      </c>
      <c r="B82" s="5" t="s">
        <v>1</v>
      </c>
      <c r="H82" s="15" t="s">
        <v>850</v>
      </c>
      <c r="I82" s="479" t="s">
        <v>1010</v>
      </c>
      <c r="J82" s="479" t="s">
        <v>78</v>
      </c>
      <c r="K82" s="480" t="str">
        <f t="shared" si="22"/>
        <v/>
      </c>
      <c r="L82" s="170"/>
      <c r="M82" s="170"/>
      <c r="N82" s="170" t="s">
        <v>1088</v>
      </c>
      <c r="O82" s="134">
        <v>18387.46</v>
      </c>
      <c r="P82" s="134">
        <v>6921.15</v>
      </c>
      <c r="Q82" s="134">
        <v>12911.07</v>
      </c>
      <c r="R82" s="134">
        <v>4044.41</v>
      </c>
      <c r="S82" s="134">
        <v>6329.23</v>
      </c>
      <c r="T82" s="134">
        <v>1508.42</v>
      </c>
      <c r="U82" s="134">
        <v>747.77</v>
      </c>
      <c r="V82" s="134">
        <v>3056.21</v>
      </c>
      <c r="W82" s="134">
        <v>2626.07</v>
      </c>
      <c r="X82" s="134">
        <v>5521.15</v>
      </c>
      <c r="Y82" s="134">
        <v>6152.9</v>
      </c>
      <c r="Z82" s="134">
        <v>21062.19</v>
      </c>
      <c r="AA82" s="134">
        <f t="shared" si="23"/>
        <v>89268.029999999984</v>
      </c>
      <c r="AB82" s="135">
        <f t="shared" si="24"/>
        <v>0.21070386012939199</v>
      </c>
      <c r="AC82" s="137"/>
      <c r="AD82" s="134">
        <v>78428.249899999995</v>
      </c>
      <c r="AE82" s="135">
        <f t="shared" si="25"/>
        <v>0.13779952908336435</v>
      </c>
      <c r="AF82" s="136">
        <f t="shared" si="26"/>
        <v>10839.780099999989</v>
      </c>
      <c r="AG82" s="134">
        <v>55827.199999999997</v>
      </c>
      <c r="AH82" s="135">
        <f t="shared" si="27"/>
        <v>0.12840038605306373</v>
      </c>
      <c r="AI82" s="136">
        <f t="shared" si="28"/>
        <v>33440.829999999987</v>
      </c>
      <c r="AJ82" s="360">
        <f t="shared" si="29"/>
        <v>20.925464135021095</v>
      </c>
      <c r="AK82" s="361">
        <f t="shared" si="30"/>
        <v>15.499654130434781</v>
      </c>
      <c r="AL82" s="363">
        <f t="shared" si="31"/>
        <v>13.111131986848285</v>
      </c>
      <c r="AM82" s="405" t="str">
        <f t="shared" si="32"/>
        <v>7.29 pts.</v>
      </c>
      <c r="AN82" s="406" t="str">
        <f t="shared" si="33"/>
        <v>8.23 pts.</v>
      </c>
    </row>
    <row r="83" spans="1:40" x14ac:dyDescent="0.25">
      <c r="A83" s="6" t="s">
        <v>2</v>
      </c>
      <c r="B83" s="16" t="s">
        <v>1471</v>
      </c>
      <c r="H83" s="15" t="s">
        <v>851</v>
      </c>
      <c r="I83" s="161" t="s">
        <v>1012</v>
      </c>
      <c r="J83" s="161" t="s">
        <v>78</v>
      </c>
      <c r="K83" s="68" t="str">
        <f t="shared" si="22"/>
        <v>&gt;</v>
      </c>
      <c r="L83" s="162"/>
      <c r="M83" s="162"/>
      <c r="N83" s="162" t="s">
        <v>561</v>
      </c>
      <c r="O83" s="47"/>
      <c r="P83" s="47"/>
      <c r="Q83" s="47"/>
      <c r="R83" s="47"/>
      <c r="S83" s="47"/>
      <c r="T83" s="47"/>
      <c r="U83" s="47"/>
      <c r="V83" s="47"/>
      <c r="W83" s="47"/>
      <c r="X83" s="47"/>
      <c r="Y83" s="47"/>
      <c r="Z83" s="47"/>
      <c r="AA83" s="47">
        <f t="shared" si="23"/>
        <v>0</v>
      </c>
      <c r="AB83" s="48" t="str">
        <f t="shared" si="24"/>
        <v/>
      </c>
      <c r="AD83" s="47">
        <v>747.79653454000004</v>
      </c>
      <c r="AE83" s="48">
        <f t="shared" si="25"/>
        <v>1.3138889423284683E-3</v>
      </c>
      <c r="AF83" s="150">
        <f t="shared" si="26"/>
        <v>-747.79653454000004</v>
      </c>
      <c r="AG83" s="47">
        <v>4.05</v>
      </c>
      <c r="AH83" s="48">
        <f t="shared" si="27"/>
        <v>9.3148422904051808E-6</v>
      </c>
      <c r="AI83" s="150">
        <f t="shared" si="28"/>
        <v>-4.05</v>
      </c>
      <c r="AJ83" s="420">
        <f t="shared" si="29"/>
        <v>0</v>
      </c>
      <c r="AK83" s="421">
        <f t="shared" si="30"/>
        <v>0.14778587639130436</v>
      </c>
      <c r="AL83" s="422">
        <f t="shared" si="31"/>
        <v>9.5115077501174261E-4</v>
      </c>
      <c r="AM83" s="423">
        <f t="shared" si="32"/>
        <v>0</v>
      </c>
      <c r="AN83" s="424">
        <f t="shared" si="33"/>
        <v>0</v>
      </c>
    </row>
    <row r="84" spans="1:40" x14ac:dyDescent="0.25">
      <c r="A84" s="6" t="s">
        <v>3</v>
      </c>
      <c r="B84" s="16" t="s">
        <v>1472</v>
      </c>
      <c r="H84" s="15" t="s">
        <v>852</v>
      </c>
      <c r="I84" s="161" t="s">
        <v>1012</v>
      </c>
      <c r="J84" s="161" t="s">
        <v>78</v>
      </c>
      <c r="K84" s="68" t="str">
        <f t="shared" si="22"/>
        <v>&gt;</v>
      </c>
      <c r="L84" s="162"/>
      <c r="M84" s="162"/>
      <c r="N84" s="162" t="s">
        <v>560</v>
      </c>
      <c r="O84" s="47"/>
      <c r="P84" s="47"/>
      <c r="Q84" s="47"/>
      <c r="R84" s="47"/>
      <c r="S84" s="47"/>
      <c r="T84" s="47"/>
      <c r="U84" s="47"/>
      <c r="V84" s="47"/>
      <c r="W84" s="47"/>
      <c r="X84" s="47"/>
      <c r="Y84" s="47"/>
      <c r="Z84" s="47"/>
      <c r="AA84" s="324">
        <f t="shared" si="23"/>
        <v>0</v>
      </c>
      <c r="AB84" s="48" t="str">
        <f t="shared" si="24"/>
        <v/>
      </c>
      <c r="AD84" s="47"/>
      <c r="AE84" s="48" t="str">
        <f t="shared" si="25"/>
        <v/>
      </c>
      <c r="AF84" s="150">
        <f t="shared" si="26"/>
        <v>0</v>
      </c>
      <c r="AG84" s="47">
        <v>-0.21</v>
      </c>
      <c r="AH84" s="48">
        <f t="shared" si="27"/>
        <v>-4.8299182246545387E-7</v>
      </c>
      <c r="AI84" s="150">
        <f t="shared" si="28"/>
        <v>0.21</v>
      </c>
      <c r="AJ84" s="409">
        <f t="shared" si="29"/>
        <v>0</v>
      </c>
      <c r="AK84" s="410">
        <f t="shared" si="30"/>
        <v>0</v>
      </c>
      <c r="AL84" s="411">
        <f t="shared" si="31"/>
        <v>-4.9318929074682948E-5</v>
      </c>
      <c r="AM84" s="412">
        <f t="shared" si="32"/>
        <v>0</v>
      </c>
      <c r="AN84" s="413">
        <f t="shared" si="33"/>
        <v>0</v>
      </c>
    </row>
    <row r="85" spans="1:40" x14ac:dyDescent="0.25">
      <c r="A85" s="6" t="s">
        <v>4</v>
      </c>
      <c r="B85" s="16" t="s">
        <v>1480</v>
      </c>
      <c r="H85" s="15" t="s">
        <v>854</v>
      </c>
      <c r="I85" s="479" t="s">
        <v>1010</v>
      </c>
      <c r="J85" s="479" t="s">
        <v>78</v>
      </c>
      <c r="K85" s="480" t="str">
        <f t="shared" si="22"/>
        <v/>
      </c>
      <c r="L85" s="170"/>
      <c r="M85" s="170"/>
      <c r="N85" s="170" t="s">
        <v>1089</v>
      </c>
      <c r="O85" s="36"/>
      <c r="P85" s="36"/>
      <c r="Q85" s="36"/>
      <c r="R85" s="36"/>
      <c r="S85" s="36"/>
      <c r="T85" s="36"/>
      <c r="U85" s="36"/>
      <c r="V85" s="36"/>
      <c r="W85" s="36"/>
      <c r="X85" s="36"/>
      <c r="Y85" s="36"/>
      <c r="Z85" s="36"/>
      <c r="AA85" s="36">
        <f t="shared" si="23"/>
        <v>0</v>
      </c>
      <c r="AB85" s="37" t="str">
        <f t="shared" si="24"/>
        <v/>
      </c>
      <c r="AC85" s="35"/>
      <c r="AD85" s="36">
        <v>747.79653454000004</v>
      </c>
      <c r="AE85" s="37">
        <f t="shared" si="25"/>
        <v>1.3138889423284683E-3</v>
      </c>
      <c r="AF85" s="58">
        <f t="shared" si="26"/>
        <v>-747.79653454000004</v>
      </c>
      <c r="AG85" s="36">
        <v>3.84</v>
      </c>
      <c r="AH85" s="37">
        <f t="shared" si="27"/>
        <v>8.8318504679397272E-6</v>
      </c>
      <c r="AI85" s="58">
        <f t="shared" si="28"/>
        <v>-3.84</v>
      </c>
      <c r="AJ85" s="372">
        <f t="shared" si="29"/>
        <v>0</v>
      </c>
      <c r="AK85" s="373">
        <f t="shared" si="30"/>
        <v>0.14778587639130436</v>
      </c>
      <c r="AL85" s="375">
        <f t="shared" si="31"/>
        <v>9.0183184593705962E-4</v>
      </c>
      <c r="AM85" s="407">
        <f t="shared" si="32"/>
        <v>0</v>
      </c>
      <c r="AN85" s="408">
        <f t="shared" si="33"/>
        <v>0</v>
      </c>
    </row>
    <row r="86" spans="1:40" x14ac:dyDescent="0.25">
      <c r="A86" s="6" t="s">
        <v>5</v>
      </c>
      <c r="B86" s="7"/>
      <c r="H86" s="15" t="s">
        <v>76</v>
      </c>
      <c r="I86" s="479" t="s">
        <v>1046</v>
      </c>
      <c r="J86" s="479" t="s">
        <v>78</v>
      </c>
      <c r="K86" s="480" t="str">
        <f t="shared" si="22"/>
        <v/>
      </c>
      <c r="L86" s="170">
        <v>600000</v>
      </c>
      <c r="M86" s="170"/>
      <c r="N86" s="170" t="s">
        <v>1090</v>
      </c>
      <c r="O86" s="36">
        <v>18387.46</v>
      </c>
      <c r="P86" s="36">
        <v>6921.15</v>
      </c>
      <c r="Q86" s="36">
        <v>12911.07</v>
      </c>
      <c r="R86" s="36">
        <v>4044.41</v>
      </c>
      <c r="S86" s="36">
        <v>6329.23</v>
      </c>
      <c r="T86" s="36">
        <v>1508.42</v>
      </c>
      <c r="U86" s="36">
        <v>747.77</v>
      </c>
      <c r="V86" s="36">
        <v>3056.21</v>
      </c>
      <c r="W86" s="36">
        <v>2626.07</v>
      </c>
      <c r="X86" s="36">
        <v>5521.15</v>
      </c>
      <c r="Y86" s="36">
        <v>6152.9</v>
      </c>
      <c r="Z86" s="36">
        <v>21062.19</v>
      </c>
      <c r="AA86" s="36">
        <f t="shared" si="23"/>
        <v>89268.029999999984</v>
      </c>
      <c r="AB86" s="37">
        <f t="shared" si="24"/>
        <v>0.21070386012939199</v>
      </c>
      <c r="AC86" s="35"/>
      <c r="AD86" s="36">
        <v>79176.046434539996</v>
      </c>
      <c r="AE86" s="37">
        <f t="shared" si="25"/>
        <v>0.1391134180256928</v>
      </c>
      <c r="AF86" s="58">
        <f t="shared" si="26"/>
        <v>10091.983565459988</v>
      </c>
      <c r="AG86" s="36">
        <v>55831.040000000001</v>
      </c>
      <c r="AH86" s="37">
        <f t="shared" si="27"/>
        <v>0.12840921790353169</v>
      </c>
      <c r="AI86" s="58">
        <f t="shared" si="28"/>
        <v>33436.989999999983</v>
      </c>
      <c r="AJ86" s="372">
        <f t="shared" si="29"/>
        <v>20.925464135021095</v>
      </c>
      <c r="AK86" s="373">
        <f t="shared" si="30"/>
        <v>15.647440006826086</v>
      </c>
      <c r="AL86" s="375">
        <f t="shared" si="31"/>
        <v>13.112033818694222</v>
      </c>
      <c r="AM86" s="407" t="str">
        <f t="shared" si="32"/>
        <v>7.16 pts.</v>
      </c>
      <c r="AN86" s="408" t="str">
        <f t="shared" si="33"/>
        <v>8.23 pts.</v>
      </c>
    </row>
    <row r="87" spans="1:40" x14ac:dyDescent="0.25">
      <c r="A87" s="6" t="s">
        <v>6</v>
      </c>
      <c r="B87" s="7"/>
      <c r="O87" s="41"/>
      <c r="P87" s="45"/>
      <c r="Q87" s="45"/>
      <c r="R87" s="45"/>
      <c r="S87" s="45"/>
      <c r="T87" s="45"/>
      <c r="U87" s="45"/>
      <c r="V87" s="45"/>
      <c r="W87" s="45"/>
      <c r="X87" s="45"/>
      <c r="Y87" s="45"/>
      <c r="Z87" s="45"/>
      <c r="AA87" s="45"/>
      <c r="AB87" s="42"/>
      <c r="AD87" s="41"/>
      <c r="AE87" s="45"/>
      <c r="AF87" s="42"/>
      <c r="AG87" s="41"/>
      <c r="AH87" s="45"/>
      <c r="AI87" s="42"/>
    </row>
    <row r="88" spans="1:40" x14ac:dyDescent="0.25">
      <c r="A88" s="6" t="s">
        <v>7</v>
      </c>
      <c r="B88" s="16" t="s">
        <v>1481</v>
      </c>
      <c r="H88" s="1" t="s">
        <v>82</v>
      </c>
      <c r="I88" s="11" t="s">
        <v>1011</v>
      </c>
      <c r="J88" s="11" t="s">
        <v>78</v>
      </c>
      <c r="N88" s="40" t="s">
        <v>1092</v>
      </c>
      <c r="O88" s="43"/>
      <c r="P88" s="46"/>
      <c r="Q88" s="46"/>
      <c r="R88" s="46"/>
      <c r="S88" s="46"/>
      <c r="T88" s="46"/>
      <c r="U88" s="46"/>
      <c r="V88" s="46"/>
      <c r="W88" s="46"/>
      <c r="X88" s="46"/>
      <c r="Y88" s="46"/>
      <c r="Z88" s="46"/>
      <c r="AA88" s="46"/>
      <c r="AB88" s="44"/>
      <c r="AD88" s="43"/>
      <c r="AE88" s="46"/>
      <c r="AF88" s="44"/>
      <c r="AG88" s="43"/>
      <c r="AH88" s="46"/>
      <c r="AI88" s="44"/>
    </row>
    <row r="89" spans="1:40" x14ac:dyDescent="0.25">
      <c r="A89" s="6" t="s">
        <v>47</v>
      </c>
      <c r="B89" s="16" t="s">
        <v>1475</v>
      </c>
      <c r="H89" s="15" t="s">
        <v>829</v>
      </c>
      <c r="I89" s="161" t="s">
        <v>1009</v>
      </c>
      <c r="J89" s="161" t="s">
        <v>1009</v>
      </c>
      <c r="K89" s="68" t="str">
        <f t="shared" ref="K89:K96" si="34">IF(AND(I89&lt;&gt;"B1",J89="Y"),"&gt;","")</f>
        <v/>
      </c>
      <c r="L89" s="162">
        <v>701100</v>
      </c>
      <c r="M89" s="162">
        <v>690015</v>
      </c>
      <c r="N89" s="162" t="s">
        <v>1241</v>
      </c>
      <c r="O89" s="21"/>
      <c r="P89" s="21"/>
      <c r="Q89" s="21"/>
      <c r="R89" s="21"/>
      <c r="S89" s="21"/>
      <c r="T89" s="21"/>
      <c r="U89" s="21"/>
      <c r="V89" s="21"/>
      <c r="W89" s="21"/>
      <c r="X89" s="21">
        <v>1081.5</v>
      </c>
      <c r="Y89" s="21"/>
      <c r="Z89" s="21"/>
      <c r="AA89" s="310">
        <f t="shared" ref="AA89:AA97" si="35">IF($I89="B1","",SUM(O89:Z89))</f>
        <v>1081.5</v>
      </c>
      <c r="AB89" s="17">
        <f t="shared" ref="AB89:AB97" si="36">IF(AA89=0,"",IFERROR(AA89/AA$19,""))</f>
        <v>2.5527193187744536E-3</v>
      </c>
      <c r="AD89" s="21"/>
      <c r="AE89" s="17" t="str">
        <f t="shared" ref="AE89:AE97" si="37">IF(AD89=0,"",IFERROR(AD89/AD$19,""))</f>
        <v/>
      </c>
      <c r="AF89" s="50">
        <f t="shared" ref="AF89:AF97" si="38">IF(AND($AA89="",AD89=""),"",$AA89-AD89)</f>
        <v>1081.5</v>
      </c>
      <c r="AG89" s="21"/>
      <c r="AH89" s="17" t="str">
        <f t="shared" ref="AH89:AH97" si="39">IF(AG89=0,"",IFERROR(AG89/AG$19,""))</f>
        <v/>
      </c>
      <c r="AI89" s="50">
        <f t="shared" ref="AI89:AI97" si="40">IF(AND($AA89="",AG89=""),"",$AA89-AG89)</f>
        <v>1081.5</v>
      </c>
      <c r="AJ89" s="399">
        <f t="shared" ref="AJ89:AJ97" si="41">IFERROR(AA89/AA$20,0)</f>
        <v>0.25351617440225033</v>
      </c>
      <c r="AK89" s="400">
        <f t="shared" ref="AK89:AK97" si="42">IFERROR(AD89/AD$20,0)</f>
        <v>0</v>
      </c>
      <c r="AL89" s="401">
        <f t="shared" ref="AL89:AL97" si="43">IFERROR(AG89/AG$20,0)</f>
        <v>0</v>
      </c>
      <c r="AM89" s="402">
        <f t="shared" ref="AM89:AM97" si="44">+IFERROR(ROUND(($AB89-AE89)*100,2)&amp;" pts.",0)</f>
        <v>0</v>
      </c>
      <c r="AN89" s="403">
        <f t="shared" ref="AN89:AN97" si="45">+IFERROR(ROUND(($AB89-AH89)*100,2)&amp;" pts.",0)</f>
        <v>0</v>
      </c>
    </row>
    <row r="90" spans="1:40" x14ac:dyDescent="0.25">
      <c r="A90" s="6" t="s">
        <v>8</v>
      </c>
      <c r="B90" s="7"/>
      <c r="H90" s="15" t="s">
        <v>832</v>
      </c>
      <c r="I90" s="161" t="s">
        <v>1064</v>
      </c>
      <c r="J90" s="161" t="s">
        <v>78</v>
      </c>
      <c r="K90" s="68" t="str">
        <f t="shared" si="34"/>
        <v>&gt;</v>
      </c>
      <c r="L90" s="162">
        <v>701500</v>
      </c>
      <c r="M90" s="162"/>
      <c r="N90" s="162" t="s">
        <v>1094</v>
      </c>
      <c r="O90" s="21">
        <v>1260.0999999999999</v>
      </c>
      <c r="P90" s="21">
        <v>368.52</v>
      </c>
      <c r="Q90" s="21">
        <v>271.83</v>
      </c>
      <c r="R90" s="21">
        <v>507.73</v>
      </c>
      <c r="S90" s="21">
        <v>269.60000000000002</v>
      </c>
      <c r="T90" s="21">
        <v>98.6</v>
      </c>
      <c r="U90" s="21">
        <v>404.75</v>
      </c>
      <c r="V90" s="21"/>
      <c r="W90" s="21"/>
      <c r="X90" s="21">
        <v>879.37</v>
      </c>
      <c r="Y90" s="21"/>
      <c r="Z90" s="21"/>
      <c r="AA90" s="310">
        <f t="shared" si="35"/>
        <v>4060.4999999999995</v>
      </c>
      <c r="AB90" s="17">
        <f t="shared" si="36"/>
        <v>9.5842041552322392E-3</v>
      </c>
      <c r="AD90" s="21">
        <v>2009.48</v>
      </c>
      <c r="AE90" s="17">
        <f t="shared" si="37"/>
        <v>3.5306843905800194E-3</v>
      </c>
      <c r="AF90" s="50">
        <f t="shared" si="38"/>
        <v>2051.0199999999995</v>
      </c>
      <c r="AG90" s="21">
        <v>1598.85</v>
      </c>
      <c r="AH90" s="17">
        <f t="shared" si="39"/>
        <v>3.6772927397566231E-3</v>
      </c>
      <c r="AI90" s="50">
        <f t="shared" si="40"/>
        <v>2461.6499999999996</v>
      </c>
      <c r="AJ90" s="399">
        <f t="shared" si="41"/>
        <v>0.95182841068917012</v>
      </c>
      <c r="AK90" s="400">
        <f t="shared" si="42"/>
        <v>0.39713043478260868</v>
      </c>
      <c r="AL90" s="401">
        <f t="shared" si="43"/>
        <v>0.37549318929074682</v>
      </c>
      <c r="AM90" s="402" t="str">
        <f t="shared" si="44"/>
        <v>0.61 pts.</v>
      </c>
      <c r="AN90" s="403" t="str">
        <f t="shared" si="45"/>
        <v>0.59 pts.</v>
      </c>
    </row>
    <row r="91" spans="1:40" x14ac:dyDescent="0.25">
      <c r="G91" s="14"/>
      <c r="H91" s="15" t="s">
        <v>856</v>
      </c>
      <c r="I91" s="161" t="s">
        <v>1009</v>
      </c>
      <c r="J91" s="161" t="s">
        <v>1009</v>
      </c>
      <c r="K91" s="68" t="str">
        <f t="shared" si="34"/>
        <v/>
      </c>
      <c r="L91" s="162">
        <v>701600</v>
      </c>
      <c r="M91" s="162">
        <v>590015</v>
      </c>
      <c r="N91" s="162" t="s">
        <v>1095</v>
      </c>
      <c r="O91" s="21"/>
      <c r="P91" s="21"/>
      <c r="Q91" s="21"/>
      <c r="R91" s="21"/>
      <c r="S91" s="21"/>
      <c r="T91" s="21"/>
      <c r="U91" s="21"/>
      <c r="V91" s="21"/>
      <c r="W91" s="21">
        <v>14.96</v>
      </c>
      <c r="X91" s="21"/>
      <c r="Y91" s="21"/>
      <c r="Z91" s="21"/>
      <c r="AA91" s="310">
        <f t="shared" si="35"/>
        <v>14.96</v>
      </c>
      <c r="AB91" s="17">
        <f t="shared" si="36"/>
        <v>3.5310846979996141E-5</v>
      </c>
      <c r="AD91" s="21"/>
      <c r="AE91" s="17" t="str">
        <f t="shared" si="37"/>
        <v/>
      </c>
      <c r="AF91" s="50">
        <f t="shared" si="38"/>
        <v>14.96</v>
      </c>
      <c r="AG91" s="21"/>
      <c r="AH91" s="17" t="str">
        <f t="shared" si="39"/>
        <v/>
      </c>
      <c r="AI91" s="50">
        <f t="shared" si="40"/>
        <v>14.96</v>
      </c>
      <c r="AJ91" s="399">
        <f t="shared" si="41"/>
        <v>3.5067979371776843E-3</v>
      </c>
      <c r="AK91" s="400">
        <f t="shared" si="42"/>
        <v>0</v>
      </c>
      <c r="AL91" s="401">
        <f t="shared" si="43"/>
        <v>0</v>
      </c>
      <c r="AM91" s="402">
        <f t="shared" si="44"/>
        <v>0</v>
      </c>
      <c r="AN91" s="403">
        <f t="shared" si="45"/>
        <v>0</v>
      </c>
    </row>
    <row r="92" spans="1:40" x14ac:dyDescent="0.25">
      <c r="A92" s="3" t="s">
        <v>9</v>
      </c>
      <c r="B92" s="5" t="s">
        <v>10</v>
      </c>
      <c r="H92" s="15" t="s">
        <v>857</v>
      </c>
      <c r="I92" s="161" t="s">
        <v>1009</v>
      </c>
      <c r="J92" s="161" t="s">
        <v>1009</v>
      </c>
      <c r="K92" s="68" t="str">
        <f t="shared" si="34"/>
        <v/>
      </c>
      <c r="L92" s="162">
        <v>701900</v>
      </c>
      <c r="M92" s="162">
        <v>590047</v>
      </c>
      <c r="N92" s="162" t="s">
        <v>1245</v>
      </c>
      <c r="O92" s="21"/>
      <c r="P92" s="21"/>
      <c r="Q92" s="21"/>
      <c r="R92" s="21"/>
      <c r="S92" s="21"/>
      <c r="T92" s="21"/>
      <c r="U92" s="21"/>
      <c r="V92" s="21"/>
      <c r="W92" s="21">
        <v>73.599999999999994</v>
      </c>
      <c r="X92" s="21"/>
      <c r="Y92" s="21"/>
      <c r="Z92" s="21"/>
      <c r="AA92" s="310">
        <f t="shared" si="35"/>
        <v>73.599999999999994</v>
      </c>
      <c r="AB92" s="17">
        <f t="shared" si="36"/>
        <v>1.7372181401923231E-4</v>
      </c>
      <c r="AD92" s="21"/>
      <c r="AE92" s="17" t="str">
        <f t="shared" si="37"/>
        <v/>
      </c>
      <c r="AF92" s="50">
        <f t="shared" si="38"/>
        <v>73.599999999999994</v>
      </c>
      <c r="AG92" s="21"/>
      <c r="AH92" s="17" t="str">
        <f t="shared" si="39"/>
        <v/>
      </c>
      <c r="AI92" s="50">
        <f t="shared" si="40"/>
        <v>73.599999999999994</v>
      </c>
      <c r="AJ92" s="399">
        <f t="shared" si="41"/>
        <v>1.7252695733708391E-2</v>
      </c>
      <c r="AK92" s="400">
        <f t="shared" si="42"/>
        <v>0</v>
      </c>
      <c r="AL92" s="401">
        <f t="shared" si="43"/>
        <v>0</v>
      </c>
      <c r="AM92" s="402">
        <f t="shared" si="44"/>
        <v>0</v>
      </c>
      <c r="AN92" s="403">
        <f t="shared" si="45"/>
        <v>0</v>
      </c>
    </row>
    <row r="93" spans="1:40" x14ac:dyDescent="0.25">
      <c r="A93" s="6" t="s">
        <v>11</v>
      </c>
      <c r="B93" s="7" t="s">
        <v>21</v>
      </c>
      <c r="H93" s="15" t="s">
        <v>858</v>
      </c>
      <c r="I93" s="161" t="s">
        <v>1009</v>
      </c>
      <c r="J93" s="161" t="s">
        <v>1009</v>
      </c>
      <c r="K93" s="68" t="str">
        <f t="shared" si="34"/>
        <v/>
      </c>
      <c r="L93" s="162">
        <v>702300</v>
      </c>
      <c r="M93" s="162">
        <v>590040</v>
      </c>
      <c r="N93" s="162" t="s">
        <v>1097</v>
      </c>
      <c r="O93" s="21"/>
      <c r="P93" s="21"/>
      <c r="Q93" s="21"/>
      <c r="R93" s="21"/>
      <c r="S93" s="21"/>
      <c r="T93" s="21">
        <v>38.520000000000003</v>
      </c>
      <c r="U93" s="21"/>
      <c r="V93" s="21"/>
      <c r="W93" s="21"/>
      <c r="X93" s="21"/>
      <c r="Y93" s="21"/>
      <c r="Z93" s="21"/>
      <c r="AA93" s="310">
        <f t="shared" si="35"/>
        <v>38.520000000000003</v>
      </c>
      <c r="AB93" s="17">
        <f t="shared" si="36"/>
        <v>9.092071027202215E-5</v>
      </c>
      <c r="AD93" s="21"/>
      <c r="AE93" s="17" t="str">
        <f t="shared" si="37"/>
        <v/>
      </c>
      <c r="AF93" s="50">
        <f t="shared" si="38"/>
        <v>38.520000000000003</v>
      </c>
      <c r="AG93" s="21"/>
      <c r="AH93" s="17" t="str">
        <f t="shared" si="39"/>
        <v/>
      </c>
      <c r="AI93" s="50">
        <f t="shared" si="40"/>
        <v>38.520000000000003</v>
      </c>
      <c r="AJ93" s="399">
        <f t="shared" si="41"/>
        <v>9.0295358649789045E-3</v>
      </c>
      <c r="AK93" s="400">
        <f t="shared" si="42"/>
        <v>0</v>
      </c>
      <c r="AL93" s="401">
        <f t="shared" si="43"/>
        <v>0</v>
      </c>
      <c r="AM93" s="402">
        <f t="shared" si="44"/>
        <v>0</v>
      </c>
      <c r="AN93" s="403">
        <f t="shared" si="45"/>
        <v>0</v>
      </c>
    </row>
    <row r="94" spans="1:40" x14ac:dyDescent="0.25">
      <c r="A94" s="6" t="s">
        <v>12</v>
      </c>
      <c r="B94" s="7" t="s">
        <v>22</v>
      </c>
      <c r="H94" s="15" t="s">
        <v>859</v>
      </c>
      <c r="I94" s="161" t="s">
        <v>1009</v>
      </c>
      <c r="J94" s="161" t="s">
        <v>1009</v>
      </c>
      <c r="K94" s="68" t="str">
        <f t="shared" si="34"/>
        <v/>
      </c>
      <c r="L94" s="162">
        <v>703200</v>
      </c>
      <c r="M94" s="162">
        <v>590035</v>
      </c>
      <c r="N94" s="162" t="s">
        <v>1105</v>
      </c>
      <c r="O94" s="21"/>
      <c r="P94" s="21"/>
      <c r="Q94" s="21"/>
      <c r="R94" s="21"/>
      <c r="S94" s="21"/>
      <c r="T94" s="21"/>
      <c r="U94" s="21"/>
      <c r="V94" s="21"/>
      <c r="W94" s="21"/>
      <c r="X94" s="21"/>
      <c r="Y94" s="21"/>
      <c r="Z94" s="21"/>
      <c r="AA94" s="310">
        <f t="shared" si="35"/>
        <v>0</v>
      </c>
      <c r="AB94" s="17" t="str">
        <f t="shared" si="36"/>
        <v/>
      </c>
      <c r="AD94" s="21"/>
      <c r="AE94" s="17" t="str">
        <f t="shared" si="37"/>
        <v/>
      </c>
      <c r="AF94" s="50">
        <f t="shared" si="38"/>
        <v>0</v>
      </c>
      <c r="AG94" s="21">
        <v>200.07</v>
      </c>
      <c r="AH94" s="17">
        <f t="shared" si="39"/>
        <v>4.6015320914601597E-4</v>
      </c>
      <c r="AI94" s="50">
        <f t="shared" si="40"/>
        <v>-200.07</v>
      </c>
      <c r="AJ94" s="399">
        <f t="shared" si="41"/>
        <v>0</v>
      </c>
      <c r="AK94" s="400">
        <f t="shared" si="42"/>
        <v>0</v>
      </c>
      <c r="AL94" s="401">
        <f t="shared" si="43"/>
        <v>4.6986848285580085E-2</v>
      </c>
      <c r="AM94" s="402">
        <f t="shared" si="44"/>
        <v>0</v>
      </c>
      <c r="AN94" s="403">
        <f t="shared" si="45"/>
        <v>0</v>
      </c>
    </row>
    <row r="95" spans="1:40" x14ac:dyDescent="0.25">
      <c r="A95" s="6" t="s">
        <v>13</v>
      </c>
      <c r="B95" s="7" t="s">
        <v>737</v>
      </c>
      <c r="H95" s="15" t="s">
        <v>860</v>
      </c>
      <c r="I95" s="161" t="s">
        <v>1009</v>
      </c>
      <c r="J95" s="161" t="s">
        <v>1009</v>
      </c>
      <c r="K95" s="68" t="str">
        <f t="shared" si="34"/>
        <v/>
      </c>
      <c r="L95" s="162">
        <v>703400</v>
      </c>
      <c r="M95" s="162">
        <v>590010</v>
      </c>
      <c r="N95" s="162" t="s">
        <v>1107</v>
      </c>
      <c r="O95" s="21"/>
      <c r="P95" s="21"/>
      <c r="Q95" s="21"/>
      <c r="R95" s="21"/>
      <c r="S95" s="21"/>
      <c r="T95" s="21"/>
      <c r="U95" s="21"/>
      <c r="V95" s="21"/>
      <c r="W95" s="21"/>
      <c r="X95" s="21"/>
      <c r="Y95" s="21"/>
      <c r="Z95" s="21"/>
      <c r="AA95" s="310">
        <f t="shared" si="35"/>
        <v>0</v>
      </c>
      <c r="AB95" s="17" t="str">
        <f t="shared" si="36"/>
        <v/>
      </c>
      <c r="AD95" s="21">
        <v>730.72</v>
      </c>
      <c r="AE95" s="17">
        <f t="shared" si="37"/>
        <v>1.2838852329381889E-3</v>
      </c>
      <c r="AF95" s="50">
        <f t="shared" si="38"/>
        <v>-730.72</v>
      </c>
      <c r="AG95" s="21">
        <v>580.25</v>
      </c>
      <c r="AH95" s="17">
        <f t="shared" si="39"/>
        <v>1.3345524046932363E-3</v>
      </c>
      <c r="AI95" s="50">
        <f t="shared" si="40"/>
        <v>-580.25</v>
      </c>
      <c r="AJ95" s="399">
        <f t="shared" si="41"/>
        <v>0</v>
      </c>
      <c r="AK95" s="400">
        <f t="shared" si="42"/>
        <v>0.14441106719367588</v>
      </c>
      <c r="AL95" s="401">
        <f t="shared" si="43"/>
        <v>0.13627289807421325</v>
      </c>
      <c r="AM95" s="402">
        <f t="shared" si="44"/>
        <v>0</v>
      </c>
      <c r="AN95" s="403">
        <f t="shared" si="45"/>
        <v>0</v>
      </c>
    </row>
    <row r="96" spans="1:40" x14ac:dyDescent="0.25">
      <c r="A96" s="6" t="s">
        <v>14</v>
      </c>
      <c r="B96" s="7"/>
      <c r="H96" s="15" t="s">
        <v>861</v>
      </c>
      <c r="I96" s="161" t="s">
        <v>1009</v>
      </c>
      <c r="J96" s="161" t="s">
        <v>1009</v>
      </c>
      <c r="K96" s="68" t="str">
        <f t="shared" si="34"/>
        <v/>
      </c>
      <c r="L96" s="162">
        <v>703800</v>
      </c>
      <c r="M96" s="162">
        <v>690065</v>
      </c>
      <c r="N96" s="162" t="s">
        <v>1251</v>
      </c>
      <c r="O96" s="21">
        <v>586</v>
      </c>
      <c r="P96" s="21">
        <v>2711.66</v>
      </c>
      <c r="Q96" s="21">
        <v>882.85</v>
      </c>
      <c r="R96" s="21"/>
      <c r="S96" s="21">
        <v>-237.5</v>
      </c>
      <c r="T96" s="21">
        <v>471.75</v>
      </c>
      <c r="U96" s="21"/>
      <c r="V96" s="21">
        <v>271.35000000000002</v>
      </c>
      <c r="W96" s="21"/>
      <c r="X96" s="21">
        <v>1879</v>
      </c>
      <c r="Y96" s="21">
        <v>1504.63</v>
      </c>
      <c r="Z96" s="21">
        <v>22137.29</v>
      </c>
      <c r="AA96" s="310">
        <f t="shared" si="35"/>
        <v>30207.030000000002</v>
      </c>
      <c r="AB96" s="17">
        <f t="shared" si="36"/>
        <v>7.1299185431159942E-2</v>
      </c>
      <c r="AD96" s="21">
        <v>4067</v>
      </c>
      <c r="AE96" s="17">
        <f t="shared" si="37"/>
        <v>7.1457757312782108E-3</v>
      </c>
      <c r="AF96" s="50">
        <f t="shared" si="38"/>
        <v>26140.030000000002</v>
      </c>
      <c r="AG96" s="21">
        <v>8260.33</v>
      </c>
      <c r="AH96" s="17">
        <f t="shared" si="39"/>
        <v>1.899843733745744E-2</v>
      </c>
      <c r="AI96" s="50">
        <f t="shared" si="40"/>
        <v>21946.700000000004</v>
      </c>
      <c r="AJ96" s="399">
        <f t="shared" si="41"/>
        <v>7.0808790436005635</v>
      </c>
      <c r="AK96" s="400">
        <f t="shared" si="42"/>
        <v>0.80375494071146247</v>
      </c>
      <c r="AL96" s="401">
        <f t="shared" si="43"/>
        <v>1.9399553781117895</v>
      </c>
      <c r="AM96" s="402" t="str">
        <f t="shared" si="44"/>
        <v>6.42 pts.</v>
      </c>
      <c r="AN96" s="403" t="str">
        <f t="shared" si="45"/>
        <v>5.23 pts.</v>
      </c>
    </row>
    <row r="97" spans="1:40" x14ac:dyDescent="0.25">
      <c r="A97" s="6" t="s">
        <v>15</v>
      </c>
      <c r="B97" s="7"/>
      <c r="H97" s="15" t="s">
        <v>79</v>
      </c>
      <c r="I97" s="27" t="s">
        <v>1012</v>
      </c>
      <c r="J97" s="27" t="s">
        <v>78</v>
      </c>
      <c r="K97" s="26"/>
      <c r="L97" s="26"/>
      <c r="M97" s="26"/>
      <c r="N97" s="25" t="s">
        <v>1116</v>
      </c>
      <c r="O97" s="33">
        <v>1846.1</v>
      </c>
      <c r="P97" s="33">
        <v>3080.18</v>
      </c>
      <c r="Q97" s="33">
        <v>1154.68</v>
      </c>
      <c r="R97" s="33">
        <v>507.73</v>
      </c>
      <c r="S97" s="33">
        <v>32.1</v>
      </c>
      <c r="T97" s="33">
        <v>608.87</v>
      </c>
      <c r="U97" s="33">
        <v>404.75</v>
      </c>
      <c r="V97" s="33">
        <v>271.35000000000002</v>
      </c>
      <c r="W97" s="33">
        <v>88.56</v>
      </c>
      <c r="X97" s="33">
        <v>3839.87</v>
      </c>
      <c r="Y97" s="33">
        <v>1504.63</v>
      </c>
      <c r="Z97" s="33">
        <v>22137.29</v>
      </c>
      <c r="AA97" s="33">
        <f t="shared" si="35"/>
        <v>35476.11</v>
      </c>
      <c r="AB97" s="34">
        <f t="shared" si="36"/>
        <v>8.3736062276437886E-2</v>
      </c>
      <c r="AD97" s="33">
        <v>6807.2</v>
      </c>
      <c r="AE97" s="34">
        <f t="shared" si="37"/>
        <v>1.1960345354796419E-2</v>
      </c>
      <c r="AF97" s="52">
        <f t="shared" si="38"/>
        <v>28668.91</v>
      </c>
      <c r="AG97" s="33">
        <v>10639.5</v>
      </c>
      <c r="AH97" s="34">
        <f t="shared" si="39"/>
        <v>2.4470435691053317E-2</v>
      </c>
      <c r="AI97" s="52">
        <f t="shared" si="40"/>
        <v>24836.61</v>
      </c>
      <c r="AJ97" s="415">
        <f t="shared" si="41"/>
        <v>8.316012658227848</v>
      </c>
      <c r="AK97" s="416">
        <f t="shared" si="42"/>
        <v>1.345296442687747</v>
      </c>
      <c r="AL97" s="417">
        <f t="shared" si="43"/>
        <v>2.4987083137623296</v>
      </c>
      <c r="AM97" s="418" t="str">
        <f t="shared" si="44"/>
        <v>7.18 pts.</v>
      </c>
      <c r="AN97" s="436" t="str">
        <f t="shared" si="45"/>
        <v>5.93 pts.</v>
      </c>
    </row>
    <row r="98" spans="1:40" x14ac:dyDescent="0.25">
      <c r="A98" s="6" t="s">
        <v>16</v>
      </c>
      <c r="B98" s="7" t="s">
        <v>78</v>
      </c>
    </row>
    <row r="99" spans="1:40" x14ac:dyDescent="0.25">
      <c r="A99" s="6" t="s">
        <v>17</v>
      </c>
      <c r="B99" s="7"/>
      <c r="H99" s="15" t="s">
        <v>80</v>
      </c>
      <c r="I99" s="27" t="s">
        <v>1012</v>
      </c>
      <c r="J99" s="27" t="s">
        <v>78</v>
      </c>
      <c r="K99" s="25"/>
      <c r="L99" s="25"/>
      <c r="M99" s="25"/>
      <c r="N99" s="25" t="s">
        <v>1117</v>
      </c>
      <c r="O99" s="36">
        <v>20233.560000000001</v>
      </c>
      <c r="P99" s="36">
        <v>10001.33</v>
      </c>
      <c r="Q99" s="36">
        <v>14065.75</v>
      </c>
      <c r="R99" s="36">
        <v>4552.1400000000003</v>
      </c>
      <c r="S99" s="36">
        <v>6361.33</v>
      </c>
      <c r="T99" s="36">
        <v>2117.29</v>
      </c>
      <c r="U99" s="36">
        <v>1152.52</v>
      </c>
      <c r="V99" s="36">
        <v>3327.56</v>
      </c>
      <c r="W99" s="36">
        <v>2714.63</v>
      </c>
      <c r="X99" s="36">
        <v>9361.02</v>
      </c>
      <c r="Y99" s="36">
        <v>7657.53</v>
      </c>
      <c r="Z99" s="36">
        <v>43199.48</v>
      </c>
      <c r="AA99" s="36">
        <f>IF($I99="B1","",SUM(O99:Z99))</f>
        <v>124744.13999999998</v>
      </c>
      <c r="AB99" s="37">
        <f>IF(AA99=0,"",IFERROR(AA99/AA$19,""))</f>
        <v>0.29443992240582989</v>
      </c>
      <c r="AD99" s="36">
        <v>85983.246434539993</v>
      </c>
      <c r="AE99" s="37">
        <f>IF(AD99=0,"",IFERROR(AD99/AD$19,""))</f>
        <v>0.15107376338048922</v>
      </c>
      <c r="AF99" s="59">
        <f>IF(AND($AA99="",AD99=""),"",$AA99-AD99)</f>
        <v>38760.893565459992</v>
      </c>
      <c r="AG99" s="60">
        <v>66470.539999999994</v>
      </c>
      <c r="AH99" s="61">
        <f>IF(AG99=0,"",IFERROR(AG99/AG$19,""))</f>
        <v>0.152879653594585</v>
      </c>
      <c r="AI99" s="59">
        <f>IF(AND($AA99="",AG99=""),"",$AA99-AG99)</f>
        <v>58273.599999999991</v>
      </c>
      <c r="AJ99" s="392">
        <f>IFERROR(AA99/AA$20,0)</f>
        <v>29.241476793248943</v>
      </c>
      <c r="AK99" s="393">
        <f>IFERROR(AD99/AD$20,0)</f>
        <v>16.992736449513831</v>
      </c>
      <c r="AL99" s="394">
        <f>IFERROR(AG99/AG$20,0)</f>
        <v>15.610742132456551</v>
      </c>
      <c r="AM99" s="395" t="str">
        <f>+IFERROR(ROUND(($AB99-AE99)*100,2)&amp;" pts.",0)</f>
        <v>14.34 pts.</v>
      </c>
      <c r="AN99" s="437" t="str">
        <f>+IFERROR(ROUND(($AB99-AH99)*100,2)&amp;" pts.",0)</f>
        <v>14.16 pts.</v>
      </c>
    </row>
    <row r="100" spans="1:40" ht="15.75" thickBot="1" x14ac:dyDescent="0.3">
      <c r="H100" s="15" t="s">
        <v>81</v>
      </c>
      <c r="I100" s="27" t="s">
        <v>1012</v>
      </c>
      <c r="J100" s="27" t="s">
        <v>78</v>
      </c>
      <c r="K100" s="25"/>
      <c r="L100" s="25"/>
      <c r="M100" s="25"/>
      <c r="N100" s="25" t="s">
        <v>1118</v>
      </c>
      <c r="O100" s="62">
        <v>55430.36</v>
      </c>
      <c r="P100" s="62">
        <v>35545.14</v>
      </c>
      <c r="Q100" s="62">
        <v>34302.15</v>
      </c>
      <c r="R100" s="62">
        <v>14020.31</v>
      </c>
      <c r="S100" s="62">
        <v>17188.060000000001</v>
      </c>
      <c r="T100" s="62">
        <v>10653.43</v>
      </c>
      <c r="U100" s="62">
        <v>2184.9699999999998</v>
      </c>
      <c r="V100" s="62">
        <v>3931.03</v>
      </c>
      <c r="W100" s="62">
        <v>8037.34</v>
      </c>
      <c r="X100" s="62">
        <v>9069.2099999999991</v>
      </c>
      <c r="Y100" s="62">
        <v>17496.59</v>
      </c>
      <c r="Z100" s="62">
        <v>35773.53</v>
      </c>
      <c r="AA100" s="62">
        <f>IF($I100="B1","",SUM(O100:Z100))</f>
        <v>243632.11999999997</v>
      </c>
      <c r="AB100" s="63">
        <f>IF(AA100=0,"",IFERROR(AA100/AA$19,""))</f>
        <v>0.57505725325749035</v>
      </c>
      <c r="AD100" s="62">
        <v>408754.42856546002</v>
      </c>
      <c r="AE100" s="63">
        <f>IF(AD100=0,"",IFERROR(AD100/AD$19,""))</f>
        <v>0.71818723277490959</v>
      </c>
      <c r="AF100" s="64">
        <f>IF(AND($AA100="",AD100=""),"",$AA100-AD100)</f>
        <v>-165122.30856546006</v>
      </c>
      <c r="AG100" s="62">
        <v>313440.65000000002</v>
      </c>
      <c r="AH100" s="63">
        <f>IF(AG100=0,"",IFERROR(AG100/AG$19,""))</f>
        <v>0.72090128942026888</v>
      </c>
      <c r="AI100" s="64">
        <f>IF(AND($AA100="",AG100=""),"",$AA100-AG100)</f>
        <v>-69808.530000000057</v>
      </c>
      <c r="AJ100" s="430">
        <f>IFERROR(AA100/AA$20,0)</f>
        <v>57.110201593999058</v>
      </c>
      <c r="AK100" s="431">
        <f>IFERROR(AD100/AD$20,0)</f>
        <v>80.781507621632414</v>
      </c>
      <c r="AL100" s="432">
        <f>IFERROR(AG100/AG$20,0)</f>
        <v>73.612177078440581</v>
      </c>
      <c r="AM100" s="433" t="str">
        <f>+IFERROR(ROUND(($AB100-AE100)*100,2)&amp;" pts.",0)</f>
        <v>-14.31 pts.</v>
      </c>
      <c r="AN100" s="438" t="str">
        <f>+IFERROR(ROUND(($AB100-AH100)*100,2)&amp;" pts.",0)</f>
        <v>-14.58 pts.</v>
      </c>
    </row>
    <row r="101" spans="1:40" ht="15.75" thickTop="1" x14ac:dyDescent="0.25">
      <c r="A101" s="22" t="s">
        <v>92</v>
      </c>
      <c r="B101" s="23" t="s">
        <v>93</v>
      </c>
      <c r="C101" s="23" t="s">
        <v>94</v>
      </c>
      <c r="D101" s="23" t="s">
        <v>95</v>
      </c>
      <c r="E101" s="23" t="s">
        <v>96</v>
      </c>
      <c r="F101" s="24" t="s">
        <v>97</v>
      </c>
    </row>
    <row r="102" spans="1:40" x14ac:dyDescent="0.25">
      <c r="N102" s="26" t="str">
        <f>N99&amp;" - Check"</f>
        <v>Total Expenses - Check</v>
      </c>
      <c r="O102" s="139">
        <f t="shared" ref="O102:AA102" si="46">SUMIF($H$35:$H$100,"600000",O$35:O$100)+SUMIF($H$35:$H$100,"700000",O$35:O$100)-SUMIF($H$35:$H$100,"TOTDEPTEXP",O$35:O$100)</f>
        <v>0</v>
      </c>
      <c r="P102" s="139">
        <f t="shared" si="46"/>
        <v>0</v>
      </c>
      <c r="Q102" s="139">
        <f t="shared" si="46"/>
        <v>0</v>
      </c>
      <c r="R102" s="139">
        <f t="shared" si="46"/>
        <v>0</v>
      </c>
      <c r="S102" s="139">
        <f t="shared" si="46"/>
        <v>0</v>
      </c>
      <c r="T102" s="139">
        <f t="shared" si="46"/>
        <v>0</v>
      </c>
      <c r="U102" s="139">
        <f t="shared" si="46"/>
        <v>0</v>
      </c>
      <c r="V102" s="139">
        <f t="shared" si="46"/>
        <v>0</v>
      </c>
      <c r="W102" s="139">
        <f t="shared" si="46"/>
        <v>0</v>
      </c>
      <c r="X102" s="139">
        <f t="shared" si="46"/>
        <v>0</v>
      </c>
      <c r="Y102" s="139">
        <f t="shared" si="46"/>
        <v>0</v>
      </c>
      <c r="Z102" s="139">
        <f t="shared" si="46"/>
        <v>0</v>
      </c>
      <c r="AA102" s="139">
        <f t="shared" si="46"/>
        <v>0</v>
      </c>
      <c r="AB102" s="17"/>
      <c r="AD102" s="139">
        <f>SUMIF($H$35:$H$100,"600000",AD$35:AD$100)+SUMIF($H$35:$H$100,"700000",AD$35:AD$100)-SUMIF($H$35:$H$100,"TOTDEPTEXP",AD$35:AD$100)</f>
        <v>0</v>
      </c>
      <c r="AE102" s="17"/>
      <c r="AF102" s="21"/>
      <c r="AG102" s="139">
        <f>SUMIF($H$35:$H$100,"600000",AG$35:AG$100)+SUMIF($H$35:$H$100,"700000",AG$35:AG$100)-SUMIF($H$35:$H$100,"TOTDEPTEXP",AG$35:AG$100)</f>
        <v>0</v>
      </c>
      <c r="AH102" s="17"/>
      <c r="AI102" s="21"/>
    </row>
    <row r="103" spans="1:40" x14ac:dyDescent="0.25">
      <c r="A103" s="1" t="s">
        <v>108</v>
      </c>
      <c r="C103" s="26" t="s">
        <v>101</v>
      </c>
      <c r="D103" s="1" t="s">
        <v>106</v>
      </c>
      <c r="F103" s="1" t="s">
        <v>98</v>
      </c>
      <c r="N103" s="26" t="str">
        <f>N100&amp;" - Check"</f>
        <v>Department Profit (Loss) - Check</v>
      </c>
      <c r="O103" s="139">
        <f t="shared" ref="O103:AA103" si="47">SUMIF($H$35:$H$100,"KPI_GP",O$35:O$100)-SUMIF($H$35:$H$100,"TOTDEPTEXP",O$35:O$100)-SUMIF($H$35:$H$100,"TOTDEPTPL",O$35:O$100)</f>
        <v>0</v>
      </c>
      <c r="P103" s="139">
        <f t="shared" si="47"/>
        <v>0</v>
      </c>
      <c r="Q103" s="139">
        <f t="shared" si="47"/>
        <v>0</v>
      </c>
      <c r="R103" s="139">
        <f t="shared" si="47"/>
        <v>0</v>
      </c>
      <c r="S103" s="139">
        <f t="shared" si="47"/>
        <v>0</v>
      </c>
      <c r="T103" s="139">
        <f t="shared" si="47"/>
        <v>0</v>
      </c>
      <c r="U103" s="139">
        <f t="shared" si="47"/>
        <v>0</v>
      </c>
      <c r="V103" s="139">
        <f t="shared" si="47"/>
        <v>0</v>
      </c>
      <c r="W103" s="139">
        <f t="shared" si="47"/>
        <v>0</v>
      </c>
      <c r="X103" s="139">
        <f t="shared" si="47"/>
        <v>0</v>
      </c>
      <c r="Y103" s="139">
        <f t="shared" si="47"/>
        <v>0</v>
      </c>
      <c r="Z103" s="139">
        <f t="shared" si="47"/>
        <v>0</v>
      </c>
      <c r="AA103" s="139">
        <f t="shared" si="47"/>
        <v>0</v>
      </c>
      <c r="AB103" s="17"/>
      <c r="AD103" s="139">
        <f>SUMIF($H$35:$H$100,"KPI_GP",AD$35:AD$100)-SUMIF($H$35:$H$100,"TOTDEPTEXP",AD$35:AD$100)-SUMIF($H$35:$H$100,"TOTDEPTPL",AD$35:AD$100)</f>
        <v>0</v>
      </c>
      <c r="AE103" s="17"/>
      <c r="AF103" s="21"/>
      <c r="AG103" s="139">
        <f>SUMIF($H$35:$H$100,"KPI_GP",AG$35:AG$100)-SUMIF($H$35:$H$100,"TOTDEPTEXP",AG$35:AG$100)-SUMIF($H$35:$H$100,"TOTDEPTPL",AG$35:AG$100)</f>
        <v>0</v>
      </c>
      <c r="AH103" s="17"/>
      <c r="AI103" s="21"/>
    </row>
    <row r="104" spans="1:40" x14ac:dyDescent="0.25">
      <c r="A104" s="1" t="s">
        <v>100</v>
      </c>
      <c r="C104" s="8" t="s">
        <v>101</v>
      </c>
      <c r="D104" s="1" t="s">
        <v>106</v>
      </c>
      <c r="F104" s="1" t="s">
        <v>98</v>
      </c>
    </row>
    <row r="105" spans="1:40" x14ac:dyDescent="0.25">
      <c r="A105" s="1" t="s">
        <v>109</v>
      </c>
      <c r="C105" s="25" t="s">
        <v>101</v>
      </c>
      <c r="D105" s="1" t="s">
        <v>106</v>
      </c>
      <c r="F105" s="1" t="s">
        <v>98</v>
      </c>
      <c r="G105" s="14"/>
      <c r="O105" s="166"/>
      <c r="P105" s="166"/>
      <c r="Q105" s="166"/>
      <c r="R105" s="166"/>
      <c r="S105" s="166"/>
      <c r="T105" s="166"/>
      <c r="U105" s="166"/>
      <c r="V105" s="166"/>
      <c r="W105" s="166"/>
      <c r="X105" s="166"/>
      <c r="Y105" s="166"/>
      <c r="Z105" s="166"/>
      <c r="AA105" s="166"/>
      <c r="AD105" s="166"/>
      <c r="AG105" s="166"/>
    </row>
    <row r="106" spans="1:40" ht="15.75" x14ac:dyDescent="0.25">
      <c r="A106" s="1" t="s">
        <v>109</v>
      </c>
      <c r="C106" s="151" t="s">
        <v>101</v>
      </c>
      <c r="D106" s="1" t="s">
        <v>107</v>
      </c>
      <c r="F106" s="1" t="s">
        <v>99</v>
      </c>
      <c r="N106" s="174" t="s">
        <v>802</v>
      </c>
      <c r="O106" s="166"/>
    </row>
    <row r="107" spans="1:40" x14ac:dyDescent="0.25">
      <c r="A107" s="1" t="s">
        <v>110</v>
      </c>
      <c r="C107" s="25" t="s">
        <v>101</v>
      </c>
      <c r="D107" s="1" t="s">
        <v>106</v>
      </c>
      <c r="F107" s="1" t="s">
        <v>98</v>
      </c>
      <c r="H107" s="11" t="s">
        <v>273</v>
      </c>
      <c r="I107" s="161" t="s">
        <v>1064</v>
      </c>
      <c r="J107" s="161" t="s">
        <v>78</v>
      </c>
      <c r="N107" s="492" t="s">
        <v>1214</v>
      </c>
      <c r="O107" s="493">
        <v>59613</v>
      </c>
      <c r="P107" s="493">
        <v>34793.5</v>
      </c>
      <c r="Q107" s="493">
        <v>31173.07</v>
      </c>
      <c r="R107" s="493">
        <v>11812.25</v>
      </c>
      <c r="S107" s="493">
        <v>22729</v>
      </c>
      <c r="T107" s="493">
        <v>8718.98</v>
      </c>
      <c r="U107" s="493">
        <v>332</v>
      </c>
      <c r="V107" s="493">
        <v>5401</v>
      </c>
      <c r="W107" s="493">
        <v>8059.51</v>
      </c>
      <c r="X107" s="493">
        <v>13310.1</v>
      </c>
      <c r="Y107" s="493">
        <v>18926.3</v>
      </c>
      <c r="Z107" s="493">
        <v>59568.26</v>
      </c>
      <c r="AA107" s="493">
        <v>274436.96999999997</v>
      </c>
      <c r="AB107" s="493"/>
      <c r="AC107" s="493"/>
      <c r="AD107" s="493">
        <v>339362.25</v>
      </c>
      <c r="AE107" s="493"/>
      <c r="AF107" s="493"/>
      <c r="AG107" s="493">
        <v>254386.93</v>
      </c>
      <c r="AH107" s="493"/>
      <c r="AI107" s="493"/>
    </row>
    <row r="108" spans="1:40" x14ac:dyDescent="0.25">
      <c r="A108" s="1" t="s">
        <v>110</v>
      </c>
      <c r="C108" s="29" t="s">
        <v>101</v>
      </c>
      <c r="D108" s="1" t="s">
        <v>107</v>
      </c>
      <c r="F108" s="1" t="s">
        <v>99</v>
      </c>
      <c r="H108" s="11" t="s">
        <v>273</v>
      </c>
      <c r="I108" s="161" t="s">
        <v>1064</v>
      </c>
      <c r="J108" s="161" t="s">
        <v>78</v>
      </c>
      <c r="K108" s="494"/>
      <c r="L108" s="494"/>
      <c r="M108" s="494"/>
      <c r="N108" s="495" t="s">
        <v>803</v>
      </c>
      <c r="O108" s="456">
        <v>1</v>
      </c>
      <c r="P108" s="456">
        <v>1</v>
      </c>
      <c r="Q108" s="456">
        <v>1</v>
      </c>
      <c r="R108" s="456">
        <v>1</v>
      </c>
      <c r="S108" s="456">
        <v>0.58203176558581504</v>
      </c>
      <c r="T108" s="456">
        <v>0.54340989427662401</v>
      </c>
      <c r="U108" s="456">
        <v>1</v>
      </c>
      <c r="V108" s="456">
        <v>0.56285872986483998</v>
      </c>
      <c r="W108" s="456">
        <v>1</v>
      </c>
      <c r="X108" s="456">
        <v>1</v>
      </c>
      <c r="Y108" s="456">
        <v>1</v>
      </c>
      <c r="Z108" s="456">
        <v>0.91544154554791402</v>
      </c>
      <c r="AA108" s="456">
        <v>0.92392060005618104</v>
      </c>
      <c r="AB108" s="456"/>
      <c r="AC108" s="456"/>
      <c r="AD108" s="456">
        <v>0.86078003667172798</v>
      </c>
      <c r="AE108" s="456"/>
      <c r="AF108" s="456"/>
      <c r="AG108" s="456">
        <v>0.89278537226735699</v>
      </c>
      <c r="AH108" s="456"/>
      <c r="AI108" s="456"/>
    </row>
    <row r="109" spans="1:40" x14ac:dyDescent="0.25">
      <c r="C109" s="32"/>
      <c r="H109" s="11" t="s">
        <v>273</v>
      </c>
      <c r="I109" s="161" t="s">
        <v>1064</v>
      </c>
      <c r="J109" s="161" t="s">
        <v>78</v>
      </c>
      <c r="K109" s="494"/>
      <c r="L109" s="494"/>
      <c r="M109" s="494"/>
      <c r="N109" s="495" t="s">
        <v>804</v>
      </c>
      <c r="O109" s="456">
        <v>0</v>
      </c>
      <c r="P109" s="456">
        <v>0</v>
      </c>
      <c r="Q109" s="456">
        <v>0</v>
      </c>
      <c r="R109" s="456">
        <v>0</v>
      </c>
      <c r="S109" s="456">
        <v>0.41796823441418501</v>
      </c>
      <c r="T109" s="456">
        <v>0.45659010572337599</v>
      </c>
      <c r="U109" s="456">
        <v>0</v>
      </c>
      <c r="V109" s="456">
        <v>0.43714127013516002</v>
      </c>
      <c r="W109" s="456">
        <v>0</v>
      </c>
      <c r="X109" s="456">
        <v>0</v>
      </c>
      <c r="Y109" s="456">
        <v>0</v>
      </c>
      <c r="Z109" s="456">
        <v>8.4558454452085693E-2</v>
      </c>
      <c r="AA109" s="456">
        <v>7.6079399943819501E-2</v>
      </c>
      <c r="AB109" s="456"/>
      <c r="AC109" s="456"/>
      <c r="AD109" s="456">
        <v>0.139219963328272</v>
      </c>
      <c r="AE109" s="456"/>
      <c r="AF109" s="456"/>
      <c r="AG109" s="456">
        <v>0.10721462773264299</v>
      </c>
      <c r="AH109" s="456"/>
      <c r="AI109" s="456"/>
    </row>
    <row r="110" spans="1:40" x14ac:dyDescent="0.25">
      <c r="H110" s="11" t="s">
        <v>265</v>
      </c>
      <c r="I110" s="161" t="s">
        <v>1064</v>
      </c>
      <c r="J110" s="161" t="s">
        <v>78</v>
      </c>
      <c r="N110" s="492" t="s">
        <v>1206</v>
      </c>
      <c r="O110" s="493">
        <v>56077</v>
      </c>
      <c r="P110" s="493">
        <v>34793.5</v>
      </c>
      <c r="Q110" s="493">
        <v>27770.07</v>
      </c>
      <c r="R110" s="493">
        <v>9704.25</v>
      </c>
      <c r="S110" s="493">
        <v>13217</v>
      </c>
      <c r="T110" s="493">
        <v>8407.98</v>
      </c>
      <c r="U110" s="493">
        <v>332</v>
      </c>
      <c r="V110" s="493">
        <v>4231</v>
      </c>
      <c r="W110" s="493">
        <v>7174.51</v>
      </c>
      <c r="X110" s="493">
        <v>13310.1</v>
      </c>
      <c r="Y110" s="493">
        <v>13958.3</v>
      </c>
      <c r="Z110" s="493">
        <v>51844.51</v>
      </c>
      <c r="AA110" s="493">
        <v>240820.22</v>
      </c>
      <c r="AB110" s="493"/>
      <c r="AC110" s="493"/>
      <c r="AD110" s="493">
        <v>330737.15881499997</v>
      </c>
      <c r="AE110" s="493"/>
      <c r="AF110" s="493"/>
      <c r="AG110" s="493">
        <v>232524.93</v>
      </c>
      <c r="AH110" s="493"/>
      <c r="AI110" s="493"/>
    </row>
    <row r="111" spans="1:40" x14ac:dyDescent="0.25">
      <c r="A111" s="4" t="s">
        <v>988</v>
      </c>
      <c r="B111" s="1" t="s">
        <v>736</v>
      </c>
      <c r="H111" s="11" t="s">
        <v>265</v>
      </c>
      <c r="I111" s="27" t="s">
        <v>1064</v>
      </c>
      <c r="J111" s="27" t="s">
        <v>78</v>
      </c>
      <c r="N111" s="495" t="s">
        <v>803</v>
      </c>
      <c r="O111" s="456">
        <v>1</v>
      </c>
      <c r="P111" s="456">
        <v>1</v>
      </c>
      <c r="Q111" s="456">
        <v>1</v>
      </c>
      <c r="R111" s="456">
        <v>1</v>
      </c>
      <c r="S111" s="456">
        <v>0.88650979798744001</v>
      </c>
      <c r="T111" s="456">
        <v>0.55482767561293</v>
      </c>
      <c r="U111" s="456">
        <v>1</v>
      </c>
      <c r="V111" s="456">
        <v>0.44197589222406097</v>
      </c>
      <c r="W111" s="456">
        <v>1</v>
      </c>
      <c r="X111" s="456">
        <v>1</v>
      </c>
      <c r="Y111" s="456">
        <v>1</v>
      </c>
      <c r="Z111" s="456">
        <v>0.94708774371674098</v>
      </c>
      <c r="AA111" s="456">
        <v>0.95703346670806999</v>
      </c>
      <c r="AB111" s="456"/>
      <c r="AC111" s="456"/>
      <c r="AD111" s="456">
        <v>0.86380862174245299</v>
      </c>
      <c r="AE111" s="456"/>
      <c r="AF111" s="456"/>
      <c r="AG111" s="456">
        <v>0.88541443706702805</v>
      </c>
      <c r="AH111" s="456"/>
      <c r="AI111" s="456"/>
    </row>
    <row r="112" spans="1:40" x14ac:dyDescent="0.25">
      <c r="H112" s="11" t="s">
        <v>265</v>
      </c>
      <c r="I112" s="27" t="s">
        <v>1064</v>
      </c>
      <c r="J112" s="27" t="s">
        <v>78</v>
      </c>
      <c r="N112" s="495" t="s">
        <v>804</v>
      </c>
      <c r="O112" s="456">
        <v>0</v>
      </c>
      <c r="P112" s="456">
        <v>0</v>
      </c>
      <c r="Q112" s="456">
        <v>0</v>
      </c>
      <c r="R112" s="456">
        <v>0</v>
      </c>
      <c r="S112" s="456">
        <v>0.11349020201255999</v>
      </c>
      <c r="T112" s="456">
        <v>0.44517232438707</v>
      </c>
      <c r="U112" s="456">
        <v>0</v>
      </c>
      <c r="V112" s="456">
        <v>0.55802410777593903</v>
      </c>
      <c r="W112" s="456">
        <v>0</v>
      </c>
      <c r="X112" s="456">
        <v>0</v>
      </c>
      <c r="Y112" s="456">
        <v>0</v>
      </c>
      <c r="Z112" s="456">
        <v>5.2912256283259303E-2</v>
      </c>
      <c r="AA112" s="456">
        <v>4.2966533291930398E-2</v>
      </c>
      <c r="AB112" s="456"/>
      <c r="AC112" s="456"/>
      <c r="AD112" s="456">
        <v>0.13619137825754701</v>
      </c>
      <c r="AE112" s="456"/>
      <c r="AF112" s="456"/>
      <c r="AG112" s="456">
        <v>0.11458556293297199</v>
      </c>
      <c r="AH112" s="456"/>
      <c r="AI112" s="456"/>
    </row>
    <row r="113" spans="1:35" x14ac:dyDescent="0.25">
      <c r="A113" s="3" t="s">
        <v>0</v>
      </c>
      <c r="B113" s="5" t="s">
        <v>1</v>
      </c>
      <c r="H113" s="11" t="s">
        <v>272</v>
      </c>
      <c r="I113" s="27" t="s">
        <v>1064</v>
      </c>
      <c r="J113" s="27" t="s">
        <v>78</v>
      </c>
      <c r="N113" s="492" t="s">
        <v>1212</v>
      </c>
      <c r="O113" s="493">
        <v>3536</v>
      </c>
      <c r="P113" s="493">
        <v>0</v>
      </c>
      <c r="Q113" s="493">
        <v>3403</v>
      </c>
      <c r="R113" s="493">
        <v>2108</v>
      </c>
      <c r="S113" s="493">
        <v>9512</v>
      </c>
      <c r="T113" s="493">
        <v>311</v>
      </c>
      <c r="U113" s="493">
        <v>0</v>
      </c>
      <c r="V113" s="493">
        <v>1170</v>
      </c>
      <c r="W113" s="493">
        <v>885</v>
      </c>
      <c r="X113" s="493">
        <v>0</v>
      </c>
      <c r="Y113" s="493">
        <v>4968</v>
      </c>
      <c r="Z113" s="493">
        <v>7723.75</v>
      </c>
      <c r="AA113" s="493">
        <v>33616.75</v>
      </c>
      <c r="AB113" s="493"/>
      <c r="AC113" s="493"/>
      <c r="AD113" s="493">
        <v>8625.0911849999993</v>
      </c>
      <c r="AE113" s="493"/>
      <c r="AF113" s="493"/>
      <c r="AG113" s="493">
        <v>21862</v>
      </c>
      <c r="AH113" s="493"/>
      <c r="AI113" s="493"/>
    </row>
    <row r="114" spans="1:35" x14ac:dyDescent="0.25">
      <c r="A114" s="6" t="s">
        <v>2</v>
      </c>
      <c r="B114" s="16" t="s">
        <v>1471</v>
      </c>
      <c r="H114" s="11" t="s">
        <v>272</v>
      </c>
      <c r="I114" s="27" t="s">
        <v>1064</v>
      </c>
      <c r="J114" s="27" t="s">
        <v>78</v>
      </c>
      <c r="N114" s="495" t="s">
        <v>803</v>
      </c>
      <c r="O114" s="456">
        <v>1</v>
      </c>
      <c r="P114" s="456">
        <v>0</v>
      </c>
      <c r="Q114" s="456">
        <v>1</v>
      </c>
      <c r="R114" s="456">
        <v>1</v>
      </c>
      <c r="S114" s="456">
        <v>0.15895710681244701</v>
      </c>
      <c r="T114" s="456">
        <v>0.23472668810289399</v>
      </c>
      <c r="U114" s="456">
        <v>0</v>
      </c>
      <c r="V114" s="456">
        <v>1</v>
      </c>
      <c r="W114" s="456">
        <v>1</v>
      </c>
      <c r="X114" s="456">
        <v>0</v>
      </c>
      <c r="Y114" s="456">
        <v>1</v>
      </c>
      <c r="Z114" s="456">
        <v>0.70302120084155995</v>
      </c>
      <c r="AA114" s="456">
        <v>0.68671004781842404</v>
      </c>
      <c r="AB114" s="456"/>
      <c r="AC114" s="456"/>
      <c r="AD114" s="456">
        <v>0.74464611993548502</v>
      </c>
      <c r="AE114" s="456"/>
      <c r="AF114" s="456"/>
      <c r="AG114" s="456">
        <v>0.97118287439392603</v>
      </c>
      <c r="AH114" s="456"/>
      <c r="AI114" s="456"/>
    </row>
    <row r="115" spans="1:35" x14ac:dyDescent="0.25">
      <c r="A115" s="6" t="s">
        <v>3</v>
      </c>
      <c r="B115" s="16" t="s">
        <v>1472</v>
      </c>
      <c r="H115" s="11" t="s">
        <v>272</v>
      </c>
      <c r="I115" s="27" t="s">
        <v>1064</v>
      </c>
      <c r="J115" s="27" t="s">
        <v>78</v>
      </c>
      <c r="N115" s="495" t="s">
        <v>804</v>
      </c>
      <c r="O115" s="456">
        <v>0</v>
      </c>
      <c r="P115" s="456">
        <v>0</v>
      </c>
      <c r="Q115" s="456">
        <v>0</v>
      </c>
      <c r="R115" s="456">
        <v>0</v>
      </c>
      <c r="S115" s="456">
        <v>0.84104289318755299</v>
      </c>
      <c r="T115" s="456">
        <v>0.76527331189710601</v>
      </c>
      <c r="U115" s="456">
        <v>0</v>
      </c>
      <c r="V115" s="456">
        <v>0</v>
      </c>
      <c r="W115" s="456">
        <v>0</v>
      </c>
      <c r="X115" s="456">
        <v>0</v>
      </c>
      <c r="Y115" s="456">
        <v>0</v>
      </c>
      <c r="Z115" s="456">
        <v>0.29697879915844</v>
      </c>
      <c r="AA115" s="456">
        <v>0.31328995218157601</v>
      </c>
      <c r="AB115" s="456"/>
      <c r="AC115" s="456"/>
      <c r="AD115" s="456">
        <v>0.25535388006451598</v>
      </c>
      <c r="AE115" s="456"/>
      <c r="AF115" s="456"/>
      <c r="AG115" s="456">
        <v>2.8817125606074499E-2</v>
      </c>
      <c r="AH115" s="456"/>
      <c r="AI115" s="456"/>
    </row>
    <row r="116" spans="1:35" x14ac:dyDescent="0.25">
      <c r="A116" s="6" t="s">
        <v>4</v>
      </c>
      <c r="B116" s="16" t="s">
        <v>1482</v>
      </c>
      <c r="I116" s="76"/>
      <c r="J116" s="1"/>
      <c r="K116" s="76"/>
      <c r="L116" s="76"/>
      <c r="M116" s="76"/>
      <c r="O116" s="76"/>
      <c r="P116" s="76"/>
      <c r="Q116" s="76"/>
      <c r="R116" s="76"/>
      <c r="S116" s="76"/>
      <c r="T116" s="76"/>
      <c r="U116" s="76"/>
      <c r="V116" s="76"/>
      <c r="W116" s="76"/>
      <c r="X116" s="76"/>
      <c r="Y116" s="76"/>
      <c r="Z116" s="76"/>
      <c r="AA116" s="76"/>
      <c r="AD116" s="76"/>
      <c r="AF116" s="76"/>
      <c r="AH116" s="76"/>
    </row>
    <row r="117" spans="1:35" x14ac:dyDescent="0.25">
      <c r="A117" s="6" t="s">
        <v>5</v>
      </c>
      <c r="B117" s="7"/>
    </row>
    <row r="118" spans="1:35" x14ac:dyDescent="0.25">
      <c r="A118" s="6" t="s">
        <v>6</v>
      </c>
      <c r="B118" s="7"/>
    </row>
    <row r="119" spans="1:35" x14ac:dyDescent="0.25">
      <c r="A119" s="6" t="s">
        <v>7</v>
      </c>
      <c r="B119" s="7"/>
    </row>
    <row r="120" spans="1:35" x14ac:dyDescent="0.25">
      <c r="A120" s="6" t="s">
        <v>47</v>
      </c>
      <c r="B120" s="16" t="s">
        <v>1475</v>
      </c>
      <c r="I120" s="76"/>
      <c r="J120" s="1"/>
      <c r="K120" s="76"/>
      <c r="L120" s="76"/>
      <c r="M120" s="76"/>
      <c r="O120" s="76"/>
      <c r="P120" s="76"/>
      <c r="Q120" s="76"/>
      <c r="R120" s="76"/>
      <c r="S120" s="76"/>
      <c r="T120" s="76"/>
      <c r="U120" s="76"/>
      <c r="V120" s="76"/>
      <c r="W120" s="76"/>
      <c r="X120" s="76"/>
      <c r="Y120" s="76"/>
      <c r="Z120" s="76"/>
      <c r="AA120" s="76"/>
      <c r="AD120" s="76"/>
      <c r="AF120" s="76"/>
      <c r="AH120" s="76"/>
    </row>
    <row r="121" spans="1:35" x14ac:dyDescent="0.25">
      <c r="A121" s="6" t="s">
        <v>8</v>
      </c>
      <c r="B121" s="7"/>
    </row>
    <row r="124" spans="1:35" x14ac:dyDescent="0.25">
      <c r="A124" s="3" t="s">
        <v>23</v>
      </c>
      <c r="B124" s="5" t="s">
        <v>24</v>
      </c>
    </row>
    <row r="125" spans="1:35" x14ac:dyDescent="0.25">
      <c r="A125" s="6" t="s">
        <v>28</v>
      </c>
      <c r="B125" s="7"/>
      <c r="G125" s="11"/>
    </row>
    <row r="126" spans="1:35" x14ac:dyDescent="0.25">
      <c r="A126" s="6" t="s">
        <v>29</v>
      </c>
      <c r="B126" s="7"/>
      <c r="G126" s="11" t="s">
        <v>805</v>
      </c>
    </row>
    <row r="127" spans="1:35" x14ac:dyDescent="0.25">
      <c r="A127" s="6" t="s">
        <v>30</v>
      </c>
      <c r="B127" s="7" t="s">
        <v>78</v>
      </c>
      <c r="G127" s="11" t="s">
        <v>806</v>
      </c>
    </row>
    <row r="128" spans="1:35" x14ac:dyDescent="0.25">
      <c r="A128" s="6" t="s">
        <v>31</v>
      </c>
      <c r="B128" s="7" t="s">
        <v>78</v>
      </c>
      <c r="G128" s="11"/>
    </row>
    <row r="129" spans="1:7" x14ac:dyDescent="0.25">
      <c r="A129" s="6" t="s">
        <v>32</v>
      </c>
      <c r="B129" s="7"/>
      <c r="G129" s="11" t="s">
        <v>805</v>
      </c>
    </row>
    <row r="130" spans="1:7" hidden="1" outlineLevel="1" x14ac:dyDescent="0.25">
      <c r="A130" s="6" t="s">
        <v>33</v>
      </c>
      <c r="B130" s="7"/>
      <c r="G130" s="11" t="s">
        <v>806</v>
      </c>
    </row>
    <row r="131" spans="1:7" hidden="1" outlineLevel="1" x14ac:dyDescent="0.25">
      <c r="G131" s="11"/>
    </row>
    <row r="132" spans="1:7" collapsed="1" x14ac:dyDescent="0.25">
      <c r="G132" s="11" t="s">
        <v>805</v>
      </c>
    </row>
    <row r="133" spans="1:7" x14ac:dyDescent="0.25">
      <c r="G133" s="11" t="s">
        <v>806</v>
      </c>
    </row>
  </sheetData>
  <mergeCells count="2">
    <mergeCell ref="AD31:AE31"/>
    <mergeCell ref="AG31:AH31"/>
  </mergeCells>
  <dataValidations count="2">
    <dataValidation type="list" allowBlank="1" sqref="B95 B29 B62" xr:uid="{00000000-0002-0000-2F00-000000000000}">
      <formula1>"SELF,ALL,BAS,DEP,BASMEMBERS,MEMBERS,NOEXPAND,GDEP"</formula1>
    </dataValidation>
    <dataValidation type="list" allowBlank="1" sqref="B94 B28 B61" xr:uid="{00000000-0002-0000-2F00-000001000000}">
      <formula1>"ACCOUNT,BUSINESSUNIT,CATEGORY,DATASRC,DEPARTMENT,INTCO,MEASURES,RPTCURRENCY,TIME"</formula1>
    </dataValidation>
  </dataValidations>
  <pageMargins left="0.25" right="0.25" top="0.5" bottom="0.5" header="0.3" footer="0.3"/>
  <pageSetup scale="49" fitToHeight="0" orientation="landscape" r:id="rId1"/>
  <customProperties>
    <customPr name="EpmWorksheetKeyString_GUID" r:id="rId2"/>
  </customProperties>
  <drawing r:id="rId3"/>
  <legacyDrawing r:id="rId4"/>
  <controls>
    <mc:AlternateContent xmlns:mc="http://schemas.openxmlformats.org/markup-compatibility/2006">
      <mc:Choice Requires="x14">
        <control shapeId="354310"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4310" r:id="rId5" name="FPMExcelClientSheetOptionstb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347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_xll.EVRNG(H35:H142)</f>
        <v>#NAME?</v>
      </c>
      <c r="G19" s="18" t="str">
        <f>$B$6</f>
        <v>D_BCC_CON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D_BCC_CON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1220</v>
      </c>
      <c r="P35" s="21"/>
      <c r="Q35" s="21">
        <v>1455</v>
      </c>
      <c r="R35" s="21">
        <v>924</v>
      </c>
      <c r="S35" s="21">
        <v>1610</v>
      </c>
      <c r="T35" s="21"/>
      <c r="U35" s="21">
        <v>-319</v>
      </c>
      <c r="V35" s="21">
        <v>4231</v>
      </c>
      <c r="W35" s="21">
        <v>-218.4</v>
      </c>
      <c r="X35" s="21"/>
      <c r="Y35" s="21">
        <v>4638</v>
      </c>
      <c r="Z35" s="21">
        <v>6120</v>
      </c>
      <c r="AA35" s="21">
        <f t="shared" ref="AA35:AA41" si="0">SUM(O35:Z35)</f>
        <v>19660.599999999999</v>
      </c>
      <c r="AB35" s="17" t="str">
        <f ca="1">IF(AA35=0,"",IFERROR(AA35/AA$19,""))</f>
        <v/>
      </c>
      <c r="AD35" s="21">
        <v>84795</v>
      </c>
      <c r="AE35" s="17" t="str">
        <f ca="1">IF(AD35=0,"",IFERROR(AD35/AD$19,""))</f>
        <v/>
      </c>
      <c r="AF35" s="50">
        <f t="shared" ref="AF35:AF42" si="1">IF(AND($AA35="",AD35=""),"",$AA35-AD35)</f>
        <v>-65134.400000000001</v>
      </c>
      <c r="AG35" s="21">
        <v>22025</v>
      </c>
      <c r="AH35" s="17" t="str">
        <f ca="1">IF(AG35=0,"",IFERROR(AG35/AG$19,""))</f>
        <v/>
      </c>
      <c r="AI35" s="50">
        <f t="shared" ref="AI35:AI42" si="2">IF(AND($AA35="",AG35=""),"",$AA35-AG35)</f>
        <v>-2364.4000000000015</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v>1170</v>
      </c>
      <c r="W36" s="21"/>
      <c r="X36" s="21"/>
      <c r="Y36" s="21"/>
      <c r="Z36" s="21">
        <v>1463</v>
      </c>
      <c r="AA36" s="21">
        <f t="shared" si="0"/>
        <v>2633</v>
      </c>
      <c r="AB36" s="17" t="str">
        <f ca="1">IF(AA36=0,"",IFERROR(AA36/AA$19,""))</f>
        <v/>
      </c>
      <c r="AD36" s="21"/>
      <c r="AE36" s="17" t="str">
        <f>IF(AD36=0,"",IFERROR(AD36/AD$19,""))</f>
        <v/>
      </c>
      <c r="AF36" s="50">
        <f t="shared" si="1"/>
        <v>2633</v>
      </c>
      <c r="AG36" s="21"/>
      <c r="AH36" s="17" t="str">
        <f t="shared" ref="AH36:AH75" si="3">IF(AG36=0,"",IFERROR(AG36/AG$19,""))</f>
        <v/>
      </c>
      <c r="AI36" s="50">
        <f t="shared" si="2"/>
        <v>2633</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v>152</v>
      </c>
      <c r="AA38" s="30">
        <f t="shared" si="0"/>
        <v>152</v>
      </c>
      <c r="AB38" s="31" t="str">
        <f ca="1">IF(AA38=0,"",IFERROR(AA38/AA$19,""))</f>
        <v/>
      </c>
      <c r="AD38" s="30"/>
      <c r="AE38" s="31" t="str">
        <f>IF(AD38=0,"",IFERROR(AD38/AD$19,""))</f>
        <v/>
      </c>
      <c r="AF38" s="51">
        <f t="shared" si="1"/>
        <v>152</v>
      </c>
      <c r="AG38" s="30"/>
      <c r="AH38" s="31" t="str">
        <f t="shared" si="3"/>
        <v/>
      </c>
      <c r="AI38" s="51">
        <f t="shared" si="2"/>
        <v>152</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1220</v>
      </c>
      <c r="P39" s="164"/>
      <c r="Q39" s="164">
        <v>1455</v>
      </c>
      <c r="R39" s="164">
        <v>924</v>
      </c>
      <c r="S39" s="164">
        <v>1610</v>
      </c>
      <c r="T39" s="164"/>
      <c r="U39" s="164">
        <v>-319</v>
      </c>
      <c r="V39" s="164">
        <v>5401</v>
      </c>
      <c r="W39" s="164">
        <v>-218.4</v>
      </c>
      <c r="X39" s="164"/>
      <c r="Y39" s="164">
        <v>4638</v>
      </c>
      <c r="Z39" s="164">
        <v>7735</v>
      </c>
      <c r="AA39" s="164">
        <f t="shared" si="0"/>
        <v>22445.599999999999</v>
      </c>
      <c r="AB39" s="175" t="str">
        <f ca="1">IF(AA39=0,"",IFERROR(AA39/AA$19,""))</f>
        <v/>
      </c>
      <c r="AD39" s="164">
        <v>84795</v>
      </c>
      <c r="AE39" s="175" t="str">
        <f ca="1">IF(AD39=0,"",IFERROR(AD39/AD$19,""))</f>
        <v/>
      </c>
      <c r="AF39" s="165">
        <f t="shared" si="1"/>
        <v>-62349.4</v>
      </c>
      <c r="AG39" s="164">
        <v>22025</v>
      </c>
      <c r="AH39" s="175" t="str">
        <f t="shared" ca="1" si="3"/>
        <v/>
      </c>
      <c r="AI39" s="165">
        <f t="shared" si="2"/>
        <v>420.59999999999854</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1</v>
      </c>
      <c r="P40" s="38"/>
      <c r="Q40" s="38">
        <v>1</v>
      </c>
      <c r="R40" s="38">
        <v>2</v>
      </c>
      <c r="S40" s="38">
        <v>2</v>
      </c>
      <c r="T40" s="38"/>
      <c r="U40" s="38">
        <v>1</v>
      </c>
      <c r="V40" s="38">
        <v>4</v>
      </c>
      <c r="W40" s="38">
        <v>1</v>
      </c>
      <c r="X40" s="38"/>
      <c r="Y40" s="38">
        <v>5</v>
      </c>
      <c r="Z40" s="38">
        <v>8</v>
      </c>
      <c r="AA40" s="38">
        <f t="shared" si="0"/>
        <v>25</v>
      </c>
      <c r="AB40" s="39"/>
      <c r="AD40" s="38">
        <v>365</v>
      </c>
      <c r="AE40" s="39"/>
      <c r="AF40" s="132">
        <f t="shared" si="1"/>
        <v>-340</v>
      </c>
      <c r="AG40" s="38">
        <v>21</v>
      </c>
      <c r="AH40" s="39"/>
      <c r="AI40" s="132">
        <f t="shared" si="2"/>
        <v>4</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44</v>
      </c>
      <c r="P41" s="38"/>
      <c r="Q41" s="38">
        <v>33</v>
      </c>
      <c r="R41" s="38">
        <v>26</v>
      </c>
      <c r="S41" s="38">
        <v>48</v>
      </c>
      <c r="T41" s="38"/>
      <c r="U41" s="38">
        <v>23</v>
      </c>
      <c r="V41" s="38">
        <v>31</v>
      </c>
      <c r="W41" s="38"/>
      <c r="X41" s="38"/>
      <c r="Y41" s="38">
        <v>67</v>
      </c>
      <c r="Z41" s="38">
        <v>139</v>
      </c>
      <c r="AA41" s="38">
        <f t="shared" si="0"/>
        <v>411</v>
      </c>
      <c r="AB41" s="39">
        <f>IF(AA41=0,"",IFERROR(AA41/AA$84,""))</f>
        <v>9.6343178621659628E-2</v>
      </c>
      <c r="AD41" s="38">
        <v>1748</v>
      </c>
      <c r="AE41" s="39">
        <f>IF(AD41=0,"",IFERROR(AD41/AD$84,""))</f>
        <v>0.34545454545454546</v>
      </c>
      <c r="AF41" s="132">
        <f t="shared" si="1"/>
        <v>-1337</v>
      </c>
      <c r="AG41" s="38">
        <v>214</v>
      </c>
      <c r="AH41" s="39">
        <f>IF(AG41=0,"",IFERROR(AG41/AG$84,""))</f>
        <v>5.0258337247534056E-2</v>
      </c>
      <c r="AI41" s="132">
        <f t="shared" si="2"/>
        <v>197</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27.727272727272702</v>
      </c>
      <c r="P42" s="176"/>
      <c r="Q42" s="176">
        <v>44.090909090909101</v>
      </c>
      <c r="R42" s="176">
        <v>35.538461538461497</v>
      </c>
      <c r="S42" s="176">
        <v>33.5416666666667</v>
      </c>
      <c r="T42" s="176"/>
      <c r="U42" s="176">
        <v>-13.869565217391299</v>
      </c>
      <c r="V42" s="176">
        <v>174.22580645161301</v>
      </c>
      <c r="W42" s="176"/>
      <c r="X42" s="176"/>
      <c r="Y42" s="176">
        <v>69.223880597014897</v>
      </c>
      <c r="Z42" s="176">
        <v>55.647482014388501</v>
      </c>
      <c r="AA42" s="176">
        <f>IFERROR(AA39/AA41,"")</f>
        <v>54.612165450121651</v>
      </c>
      <c r="AB42" s="176"/>
      <c r="AD42" s="176">
        <v>48.509725400457697</v>
      </c>
      <c r="AE42" s="176"/>
      <c r="AF42" s="177">
        <f t="shared" si="1"/>
        <v>6.1024400496639544</v>
      </c>
      <c r="AG42" s="176">
        <v>102.920560747664</v>
      </c>
      <c r="AH42" s="176"/>
      <c r="AI42" s="177">
        <f t="shared" si="2"/>
        <v>-48.308395297542347</v>
      </c>
    </row>
    <row r="43" spans="1:35" x14ac:dyDescent="0.25">
      <c r="A43" s="6" t="s">
        <v>31</v>
      </c>
      <c r="B43" s="7" t="s">
        <v>78</v>
      </c>
      <c r="H43" s="15"/>
      <c r="I43" s="161"/>
      <c r="J43" s="161"/>
      <c r="K43" s="162"/>
      <c r="L43" s="162"/>
      <c r="M43" s="162"/>
      <c r="N43" s="182" t="s">
        <v>345</v>
      </c>
      <c r="O43" s="179">
        <f t="shared" ref="O43:AA43" si="4">ROUND(IFERROR(O39/O41,0),2)</f>
        <v>27.73</v>
      </c>
      <c r="P43" s="184">
        <f t="shared" si="4"/>
        <v>0</v>
      </c>
      <c r="Q43" s="184">
        <f t="shared" si="4"/>
        <v>44.09</v>
      </c>
      <c r="R43" s="184">
        <f t="shared" si="4"/>
        <v>35.54</v>
      </c>
      <c r="S43" s="184">
        <f t="shared" si="4"/>
        <v>33.54</v>
      </c>
      <c r="T43" s="184">
        <f t="shared" si="4"/>
        <v>0</v>
      </c>
      <c r="U43" s="184">
        <f t="shared" si="4"/>
        <v>-13.87</v>
      </c>
      <c r="V43" s="184">
        <f t="shared" si="4"/>
        <v>174.23</v>
      </c>
      <c r="W43" s="184">
        <f t="shared" si="4"/>
        <v>0</v>
      </c>
      <c r="X43" s="184">
        <f t="shared" si="4"/>
        <v>0</v>
      </c>
      <c r="Y43" s="184">
        <f t="shared" si="4"/>
        <v>69.22</v>
      </c>
      <c r="Z43" s="184">
        <f t="shared" si="4"/>
        <v>55.65</v>
      </c>
      <c r="AA43" s="184">
        <f t="shared" si="4"/>
        <v>54.61</v>
      </c>
      <c r="AB43" s="183"/>
      <c r="AD43" s="179">
        <f>ROUND(IFERROR(AD39/AD41,0),2)</f>
        <v>48.51</v>
      </c>
      <c r="AE43" s="184"/>
      <c r="AF43" s="180"/>
      <c r="AG43" s="179">
        <f>ROUND(IFERROR(AG39/AG41,0),2)</f>
        <v>102.92</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16592</v>
      </c>
      <c r="P45" s="21">
        <v>24138.5</v>
      </c>
      <c r="Q45" s="21">
        <v>4879.07</v>
      </c>
      <c r="R45" s="21">
        <v>1354.25</v>
      </c>
      <c r="S45" s="21">
        <v>3357</v>
      </c>
      <c r="T45" s="21"/>
      <c r="U45" s="21">
        <v>651</v>
      </c>
      <c r="V45" s="21"/>
      <c r="W45" s="21">
        <v>5795.51</v>
      </c>
      <c r="X45" s="21">
        <v>13310.1</v>
      </c>
      <c r="Y45" s="21">
        <v>1047.2</v>
      </c>
      <c r="Z45" s="21">
        <v>28285</v>
      </c>
      <c r="AA45" s="21">
        <f t="shared" ref="AA45:AA51" si="6">SUM(O45:Z45)</f>
        <v>99409.63</v>
      </c>
      <c r="AB45" s="17" t="str">
        <f ca="1">IF(AA45=0,"",IFERROR(AA45/AA$19,""))</f>
        <v/>
      </c>
      <c r="AD45" s="21">
        <v>123346.235115</v>
      </c>
      <c r="AE45" s="17" t="str">
        <f ca="1">IF(AD45=0,"",IFERROR(AD45/AD$19,""))</f>
        <v/>
      </c>
      <c r="AF45" s="50">
        <f t="shared" ref="AF45:AF52" si="7">IF(AND($AA45="",AD45=""),"",$AA45-AD45)</f>
        <v>-23936.605114999998</v>
      </c>
      <c r="AG45" s="21">
        <v>171272.93</v>
      </c>
      <c r="AH45" s="17" t="str">
        <f t="shared" ca="1" si="3"/>
        <v/>
      </c>
      <c r="AI45" s="50">
        <f t="shared" ref="AI45:AI52" si="8">IF(AND($AA45="",AG45=""),"",$AA45-AG45)</f>
        <v>-71863.299999999988</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v>50</v>
      </c>
      <c r="R46" s="21">
        <v>873</v>
      </c>
      <c r="S46" s="21"/>
      <c r="T46" s="21">
        <v>73</v>
      </c>
      <c r="U46" s="21"/>
      <c r="V46" s="21"/>
      <c r="W46" s="21">
        <v>741</v>
      </c>
      <c r="X46" s="21"/>
      <c r="Y46" s="21"/>
      <c r="Z46" s="21">
        <v>-180</v>
      </c>
      <c r="AA46" s="21">
        <f t="shared" si="6"/>
        <v>1557</v>
      </c>
      <c r="AB46" s="17" t="str">
        <f ca="1">IF(AA46=0,"",IFERROR(AA46/AA$19,""))</f>
        <v/>
      </c>
      <c r="AD46" s="21">
        <v>1220.53943</v>
      </c>
      <c r="AE46" s="17" t="str">
        <f ca="1">IF(AD46=0,"",IFERROR(AD46/AD$19,""))</f>
        <v/>
      </c>
      <c r="AF46" s="50">
        <f t="shared" si="7"/>
        <v>336.46056999999996</v>
      </c>
      <c r="AG46" s="21">
        <v>4141</v>
      </c>
      <c r="AH46" s="17" t="str">
        <f t="shared" ca="1" si="3"/>
        <v/>
      </c>
      <c r="AI46" s="50">
        <f t="shared" si="8"/>
        <v>-2584</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v>250</v>
      </c>
      <c r="R47" s="21">
        <v>-48</v>
      </c>
      <c r="S47" s="21"/>
      <c r="T47" s="21"/>
      <c r="U47" s="21"/>
      <c r="V47" s="21"/>
      <c r="W47" s="21"/>
      <c r="X47" s="21"/>
      <c r="Y47" s="21"/>
      <c r="Z47" s="21">
        <v>654</v>
      </c>
      <c r="AA47" s="21">
        <f t="shared" si="6"/>
        <v>856</v>
      </c>
      <c r="AB47" s="17" t="str">
        <f ca="1">IF(AA47=0,"",IFERROR(AA47/AA$19,""))</f>
        <v/>
      </c>
      <c r="AD47" s="21">
        <v>45.015599999999999</v>
      </c>
      <c r="AE47" s="17" t="str">
        <f ca="1">IF(AD47=0,"",IFERROR(AD47/AD$19,""))</f>
        <v/>
      </c>
      <c r="AF47" s="50">
        <f t="shared" si="7"/>
        <v>810.98440000000005</v>
      </c>
      <c r="AG47" s="21">
        <v>211</v>
      </c>
      <c r="AH47" s="17" t="str">
        <f t="shared" ca="1" si="3"/>
        <v/>
      </c>
      <c r="AI47" s="50">
        <f t="shared" si="8"/>
        <v>645</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v>433</v>
      </c>
      <c r="S48" s="30"/>
      <c r="T48" s="30"/>
      <c r="U48" s="30"/>
      <c r="V48" s="30"/>
      <c r="W48" s="30"/>
      <c r="X48" s="30"/>
      <c r="Y48" s="30"/>
      <c r="Z48" s="30">
        <v>588</v>
      </c>
      <c r="AA48" s="30">
        <f t="shared" si="6"/>
        <v>1021</v>
      </c>
      <c r="AB48" s="31" t="str">
        <f ca="1">IF(AA48=0,"",IFERROR(AA48/AA$19,""))</f>
        <v/>
      </c>
      <c r="AD48" s="30">
        <v>1094.4598550000001</v>
      </c>
      <c r="AE48" s="31" t="str">
        <f ca="1">IF(AD48=0,"",IFERROR(AD48/AD$19,""))</f>
        <v/>
      </c>
      <c r="AF48" s="51">
        <f t="shared" si="7"/>
        <v>-73.459855000000061</v>
      </c>
      <c r="AG48" s="30">
        <v>851</v>
      </c>
      <c r="AH48" s="31" t="str">
        <f t="shared" ca="1" si="3"/>
        <v/>
      </c>
      <c r="AI48" s="51">
        <f t="shared" si="8"/>
        <v>170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v>16592</v>
      </c>
      <c r="P49" s="164">
        <v>24138.5</v>
      </c>
      <c r="Q49" s="164">
        <v>5179.07</v>
      </c>
      <c r="R49" s="164">
        <v>2612.25</v>
      </c>
      <c r="S49" s="164">
        <v>3357</v>
      </c>
      <c r="T49" s="164">
        <v>73</v>
      </c>
      <c r="U49" s="164">
        <v>651</v>
      </c>
      <c r="V49" s="164"/>
      <c r="W49" s="164">
        <v>6536.51</v>
      </c>
      <c r="X49" s="164">
        <v>13310.1</v>
      </c>
      <c r="Y49" s="164">
        <v>1047.2</v>
      </c>
      <c r="Z49" s="164">
        <v>29347</v>
      </c>
      <c r="AA49" s="164">
        <f t="shared" si="6"/>
        <v>102843.63</v>
      </c>
      <c r="AB49" s="175" t="str">
        <f ca="1">IF(AA49=0,"",IFERROR(AA49/AA$19,""))</f>
        <v/>
      </c>
      <c r="AD49" s="164">
        <v>125706.25</v>
      </c>
      <c r="AE49" s="175" t="str">
        <f ca="1">IF(AD49=0,"",IFERROR(AD49/AD$19,""))</f>
        <v/>
      </c>
      <c r="AF49" s="165">
        <f t="shared" si="7"/>
        <v>-22862.619999999995</v>
      </c>
      <c r="AG49" s="164">
        <v>176475.93</v>
      </c>
      <c r="AH49" s="175" t="str">
        <f t="shared" ca="1" si="3"/>
        <v/>
      </c>
      <c r="AI49" s="165">
        <f t="shared" si="8"/>
        <v>-73632.299999999988</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v>9</v>
      </c>
      <c r="P50" s="38">
        <v>10</v>
      </c>
      <c r="Q50" s="38">
        <v>5</v>
      </c>
      <c r="R50" s="38">
        <v>9</v>
      </c>
      <c r="S50" s="38">
        <v>3</v>
      </c>
      <c r="T50" s="38"/>
      <c r="U50" s="38">
        <v>3</v>
      </c>
      <c r="V50" s="38"/>
      <c r="W50" s="38">
        <v>3</v>
      </c>
      <c r="X50" s="38">
        <v>12</v>
      </c>
      <c r="Y50" s="38">
        <v>4</v>
      </c>
      <c r="Z50" s="38">
        <v>10</v>
      </c>
      <c r="AA50" s="38">
        <f t="shared" si="6"/>
        <v>68</v>
      </c>
      <c r="AB50" s="39"/>
      <c r="AD50" s="38">
        <v>365</v>
      </c>
      <c r="AE50" s="39"/>
      <c r="AF50" s="132">
        <f t="shared" si="7"/>
        <v>-297</v>
      </c>
      <c r="AG50" s="38">
        <v>99</v>
      </c>
      <c r="AH50" s="39"/>
      <c r="AI50" s="132">
        <f t="shared" si="8"/>
        <v>-31</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v>460</v>
      </c>
      <c r="P51" s="38">
        <v>413</v>
      </c>
      <c r="Q51" s="38">
        <v>329</v>
      </c>
      <c r="R51" s="38">
        <v>114</v>
      </c>
      <c r="S51" s="38">
        <v>34</v>
      </c>
      <c r="T51" s="38">
        <v>1</v>
      </c>
      <c r="U51" s="38">
        <v>13</v>
      </c>
      <c r="V51" s="38"/>
      <c r="W51" s="38">
        <v>160</v>
      </c>
      <c r="X51" s="38">
        <v>70</v>
      </c>
      <c r="Y51" s="38">
        <v>19</v>
      </c>
      <c r="Z51" s="38">
        <v>344</v>
      </c>
      <c r="AA51" s="38">
        <f t="shared" si="6"/>
        <v>1957</v>
      </c>
      <c r="AB51" s="39">
        <f>IF(AA51=0,"",IFERROR(AA51/AA$84,""))</f>
        <v>0.45874355368026254</v>
      </c>
      <c r="AD51" s="38">
        <v>1818</v>
      </c>
      <c r="AE51" s="39">
        <f>IF(AD51=0,"",IFERROR(AD51/AD$84,""))</f>
        <v>0.35928853754940709</v>
      </c>
      <c r="AF51" s="132">
        <f t="shared" si="7"/>
        <v>139</v>
      </c>
      <c r="AG51" s="38">
        <v>2878</v>
      </c>
      <c r="AH51" s="39">
        <f>IF(AG51=0,"",IFERROR(AG51/AG$84,""))</f>
        <v>0.67590418036636923</v>
      </c>
      <c r="AI51" s="132">
        <f t="shared" si="8"/>
        <v>-921</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v>36.0695652173913</v>
      </c>
      <c r="P52" s="176">
        <v>58.446731234866803</v>
      </c>
      <c r="Q52" s="176">
        <v>15.741854103343501</v>
      </c>
      <c r="R52" s="176">
        <v>22.914473684210499</v>
      </c>
      <c r="S52" s="176">
        <v>98.735294117647101</v>
      </c>
      <c r="T52" s="176">
        <v>73</v>
      </c>
      <c r="U52" s="176">
        <v>50.076923076923102</v>
      </c>
      <c r="V52" s="176"/>
      <c r="W52" s="176">
        <v>40.853187499999997</v>
      </c>
      <c r="X52" s="176">
        <v>190.14428571428601</v>
      </c>
      <c r="Y52" s="176">
        <v>55.115789473684202</v>
      </c>
      <c r="Z52" s="176">
        <v>85.311046511627893</v>
      </c>
      <c r="AA52" s="176">
        <f>IFERROR(AA49/AA51,"")</f>
        <v>52.551676034747061</v>
      </c>
      <c r="AB52" s="176"/>
      <c r="AD52" s="176">
        <v>69.145352035203501</v>
      </c>
      <c r="AE52" s="176"/>
      <c r="AF52" s="177">
        <f t="shared" si="7"/>
        <v>-16.593676000456441</v>
      </c>
      <c r="AG52" s="176">
        <v>61.318947185545497</v>
      </c>
      <c r="AH52" s="176"/>
      <c r="AI52" s="177">
        <f t="shared" si="8"/>
        <v>-8.767271150798436</v>
      </c>
    </row>
    <row r="53" spans="1:35" x14ac:dyDescent="0.25">
      <c r="A53" s="6" t="s">
        <v>41</v>
      </c>
      <c r="B53" s="7"/>
      <c r="H53" s="15"/>
      <c r="I53" s="161"/>
      <c r="J53" s="161"/>
      <c r="K53" s="162"/>
      <c r="L53" s="162"/>
      <c r="M53" s="162"/>
      <c r="N53" s="182" t="s">
        <v>345</v>
      </c>
      <c r="O53" s="179">
        <f t="shared" ref="O53:AA53" si="9">ROUND(IFERROR(O49/O51,0),2)</f>
        <v>36.07</v>
      </c>
      <c r="P53" s="184">
        <f t="shared" si="9"/>
        <v>58.45</v>
      </c>
      <c r="Q53" s="184">
        <f t="shared" si="9"/>
        <v>15.74</v>
      </c>
      <c r="R53" s="184">
        <f t="shared" si="9"/>
        <v>22.91</v>
      </c>
      <c r="S53" s="184">
        <f t="shared" si="9"/>
        <v>98.74</v>
      </c>
      <c r="T53" s="184">
        <f t="shared" si="9"/>
        <v>73</v>
      </c>
      <c r="U53" s="184">
        <f t="shared" si="9"/>
        <v>50.08</v>
      </c>
      <c r="V53" s="184">
        <f t="shared" si="9"/>
        <v>0</v>
      </c>
      <c r="W53" s="184">
        <f t="shared" si="9"/>
        <v>40.85</v>
      </c>
      <c r="X53" s="184">
        <f t="shared" si="9"/>
        <v>190.14</v>
      </c>
      <c r="Y53" s="184">
        <f t="shared" si="9"/>
        <v>55.12</v>
      </c>
      <c r="Z53" s="184">
        <f t="shared" si="9"/>
        <v>85.31</v>
      </c>
      <c r="AA53" s="184">
        <f t="shared" si="9"/>
        <v>52.55</v>
      </c>
      <c r="AB53" s="183"/>
      <c r="AD53" s="179">
        <f>ROUND(IFERROR(AD49/AD51,0),2)</f>
        <v>69.150000000000006</v>
      </c>
      <c r="AE53" s="184"/>
      <c r="AF53" s="180"/>
      <c r="AG53" s="179">
        <f>ROUND(IFERROR(AG49/AG51,0),2)</f>
        <v>61.32</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b">
        <f t="shared" si="10"/>
        <v>1</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38265</v>
      </c>
      <c r="P55" s="21">
        <v>10655</v>
      </c>
      <c r="Q55" s="21">
        <v>14641</v>
      </c>
      <c r="R55" s="21">
        <v>1796</v>
      </c>
      <c r="S55" s="21">
        <v>8250</v>
      </c>
      <c r="T55" s="21">
        <v>8407.98</v>
      </c>
      <c r="U55" s="21"/>
      <c r="V55" s="21"/>
      <c r="W55" s="21">
        <v>-132.6</v>
      </c>
      <c r="X55" s="21"/>
      <c r="Y55" s="21"/>
      <c r="Z55" s="21">
        <v>1608.21</v>
      </c>
      <c r="AA55" s="21">
        <f t="shared" ref="AA55:AA61" si="11">SUM(O55:Z55)</f>
        <v>83490.59</v>
      </c>
      <c r="AB55" s="17" t="str">
        <f ca="1">IF(AA55=0,"",IFERROR(AA55/AA$19,""))</f>
        <v/>
      </c>
      <c r="AD55" s="21">
        <v>83034.272700000001</v>
      </c>
      <c r="AE55" s="17" t="str">
        <f ca="1">IF(AD55=0,"",IFERROR(AD55/AD$19,""))</f>
        <v/>
      </c>
      <c r="AF55" s="50">
        <f t="shared" ref="AF55:AF62" si="12">IF(AND($AA55="",AD55=""),"",$AA55-AD55)</f>
        <v>456.31729999999516</v>
      </c>
      <c r="AG55" s="21">
        <v>37692</v>
      </c>
      <c r="AH55" s="17" t="str">
        <f t="shared" ca="1" si="3"/>
        <v/>
      </c>
      <c r="AI55" s="50">
        <f t="shared" ref="AI55:AI62" si="13">IF(AND($AA55="",AG55=""),"",$AA55-AG55)</f>
        <v>45798.59</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v>1101</v>
      </c>
      <c r="R56" s="21"/>
      <c r="S56" s="21">
        <v>7276</v>
      </c>
      <c r="T56" s="21">
        <v>228</v>
      </c>
      <c r="U56" s="21"/>
      <c r="V56" s="21"/>
      <c r="W56" s="21"/>
      <c r="X56" s="21"/>
      <c r="Y56" s="21"/>
      <c r="Z56" s="21">
        <v>455</v>
      </c>
      <c r="AA56" s="21">
        <f t="shared" si="11"/>
        <v>9060</v>
      </c>
      <c r="AB56" s="17" t="str">
        <f ca="1">IF(AA56=0,"",IFERROR(AA56/AA$19,""))</f>
        <v/>
      </c>
      <c r="AD56" s="21">
        <v>3174.8589000000002</v>
      </c>
      <c r="AE56" s="17" t="str">
        <f ca="1">IF(AD56=0,"",IFERROR(AD56/AD$19,""))</f>
        <v/>
      </c>
      <c r="AF56" s="50">
        <f t="shared" si="12"/>
        <v>5885.1410999999998</v>
      </c>
      <c r="AG56" s="21">
        <v>15158</v>
      </c>
      <c r="AH56" s="17" t="str">
        <f t="shared" ca="1" si="3"/>
        <v/>
      </c>
      <c r="AI56" s="50">
        <f t="shared" si="13"/>
        <v>-6098</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v>2095</v>
      </c>
      <c r="P57" s="21"/>
      <c r="Q57" s="21"/>
      <c r="R57" s="21"/>
      <c r="S57" s="21">
        <v>500</v>
      </c>
      <c r="T57" s="21">
        <v>10</v>
      </c>
      <c r="U57" s="21"/>
      <c r="V57" s="21"/>
      <c r="W57" s="21"/>
      <c r="X57" s="21"/>
      <c r="Y57" s="21"/>
      <c r="Z57" s="21"/>
      <c r="AA57" s="21">
        <f t="shared" si="11"/>
        <v>2605</v>
      </c>
      <c r="AB57" s="17" t="str">
        <f ca="1">IF(AA57=0,"",IFERROR(AA57/AA$19,""))</f>
        <v/>
      </c>
      <c r="AD57" s="21">
        <v>1216.8684000000001</v>
      </c>
      <c r="AE57" s="17" t="str">
        <f ca="1">IF(AD57=0,"",IFERROR(AD57/AD$19,""))</f>
        <v/>
      </c>
      <c r="AF57" s="50">
        <f t="shared" si="12"/>
        <v>1388.1315999999999</v>
      </c>
      <c r="AG57" s="21">
        <v>603</v>
      </c>
      <c r="AH57" s="17" t="str">
        <f t="shared" ca="1" si="3"/>
        <v/>
      </c>
      <c r="AI57" s="50">
        <f t="shared" si="13"/>
        <v>2002</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v>1441</v>
      </c>
      <c r="P58" s="30"/>
      <c r="Q58" s="30">
        <v>-336</v>
      </c>
      <c r="R58" s="30"/>
      <c r="S58" s="30">
        <v>1736</v>
      </c>
      <c r="T58" s="30"/>
      <c r="U58" s="30"/>
      <c r="V58" s="30"/>
      <c r="W58" s="30"/>
      <c r="X58" s="30"/>
      <c r="Y58" s="30"/>
      <c r="Z58" s="30">
        <v>314.79000000000002</v>
      </c>
      <c r="AA58" s="30">
        <f t="shared" si="11"/>
        <v>3155.79</v>
      </c>
      <c r="AB58" s="31" t="str">
        <f ca="1">IF(AA58=0,"",IFERROR(AA58/AA$19,""))</f>
        <v/>
      </c>
      <c r="AD58" s="30"/>
      <c r="AE58" s="31" t="str">
        <f>IF(AD58=0,"",IFERROR(AD58/AD$19,""))</f>
        <v/>
      </c>
      <c r="AF58" s="51">
        <f t="shared" si="12"/>
        <v>3155.79</v>
      </c>
      <c r="AG58" s="30">
        <v>104</v>
      </c>
      <c r="AH58" s="31" t="str">
        <f t="shared" ca="1" si="3"/>
        <v/>
      </c>
      <c r="AI58" s="51">
        <f t="shared" si="13"/>
        <v>3051.79</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v>41801</v>
      </c>
      <c r="P59" s="164">
        <v>10655</v>
      </c>
      <c r="Q59" s="164">
        <v>15406</v>
      </c>
      <c r="R59" s="164">
        <v>1796</v>
      </c>
      <c r="S59" s="164">
        <v>17762</v>
      </c>
      <c r="T59" s="164">
        <v>8645.98</v>
      </c>
      <c r="U59" s="164"/>
      <c r="V59" s="164"/>
      <c r="W59" s="164">
        <v>-132.6</v>
      </c>
      <c r="X59" s="164"/>
      <c r="Y59" s="164"/>
      <c r="Z59" s="164">
        <v>2378</v>
      </c>
      <c r="AA59" s="164">
        <f t="shared" si="11"/>
        <v>98311.37999999999</v>
      </c>
      <c r="AB59" s="175" t="str">
        <f ca="1">IF(AA59=0,"",IFERROR(AA59/AA$19,""))</f>
        <v/>
      </c>
      <c r="AD59" s="164">
        <v>87426</v>
      </c>
      <c r="AE59" s="175" t="str">
        <f ca="1">IF(AD59=0,"",IFERROR(AD59/AD$19,""))</f>
        <v/>
      </c>
      <c r="AF59" s="165">
        <f t="shared" si="12"/>
        <v>10885.37999999999</v>
      </c>
      <c r="AG59" s="164">
        <v>53557</v>
      </c>
      <c r="AH59" s="175" t="str">
        <f t="shared" ca="1" si="3"/>
        <v/>
      </c>
      <c r="AI59" s="165">
        <f t="shared" si="13"/>
        <v>44754.37999999999</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v>7</v>
      </c>
      <c r="P60" s="38">
        <v>3</v>
      </c>
      <c r="Q60" s="38">
        <v>8</v>
      </c>
      <c r="R60" s="38">
        <v>4</v>
      </c>
      <c r="S60" s="38">
        <v>5</v>
      </c>
      <c r="T60" s="38"/>
      <c r="U60" s="38"/>
      <c r="V60" s="38">
        <v>1</v>
      </c>
      <c r="W60" s="38">
        <v>3</v>
      </c>
      <c r="X60" s="38">
        <v>1</v>
      </c>
      <c r="Y60" s="38">
        <v>4</v>
      </c>
      <c r="Z60" s="38">
        <v>7</v>
      </c>
      <c r="AA60" s="38">
        <f t="shared" si="11"/>
        <v>43</v>
      </c>
      <c r="AB60" s="39"/>
      <c r="AD60" s="38">
        <v>365</v>
      </c>
      <c r="AE60" s="39"/>
      <c r="AF60" s="132">
        <f t="shared" si="12"/>
        <v>-322</v>
      </c>
      <c r="AG60" s="38">
        <v>6</v>
      </c>
      <c r="AH60" s="39"/>
      <c r="AI60" s="132">
        <f t="shared" si="13"/>
        <v>37</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v>561</v>
      </c>
      <c r="P61" s="38">
        <v>98</v>
      </c>
      <c r="Q61" s="38">
        <v>119</v>
      </c>
      <c r="R61" s="38">
        <v>36</v>
      </c>
      <c r="S61" s="38">
        <v>318</v>
      </c>
      <c r="T61" s="38">
        <v>151</v>
      </c>
      <c r="U61" s="38"/>
      <c r="V61" s="38">
        <v>8</v>
      </c>
      <c r="W61" s="38"/>
      <c r="X61" s="38"/>
      <c r="Y61" s="38"/>
      <c r="Z61" s="38">
        <v>28</v>
      </c>
      <c r="AA61" s="38">
        <f t="shared" si="11"/>
        <v>1319</v>
      </c>
      <c r="AB61" s="39">
        <f>IF(AA61=0,"",IFERROR(AA61/AA$84,""))</f>
        <v>0.30918893577121426</v>
      </c>
      <c r="AD61" s="38">
        <v>981</v>
      </c>
      <c r="AE61" s="39">
        <f>IF(AD61=0,"",IFERROR(AD61/AD$84,""))</f>
        <v>0.19387351778656126</v>
      </c>
      <c r="AF61" s="132">
        <f t="shared" si="12"/>
        <v>338</v>
      </c>
      <c r="AG61" s="38">
        <v>980</v>
      </c>
      <c r="AH61" s="39">
        <f>IF(AG61=0,"",IFERROR(AG61/AG$84,""))</f>
        <v>0.23015500234852043</v>
      </c>
      <c r="AI61" s="132">
        <f t="shared" si="13"/>
        <v>339</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v>74.511586452762899</v>
      </c>
      <c r="P62" s="176">
        <v>108.724489795918</v>
      </c>
      <c r="Q62" s="176">
        <v>129.46218487395001</v>
      </c>
      <c r="R62" s="176">
        <v>49.8888888888889</v>
      </c>
      <c r="S62" s="176">
        <v>55.855345911949698</v>
      </c>
      <c r="T62" s="176">
        <v>57.258145695364199</v>
      </c>
      <c r="U62" s="176"/>
      <c r="V62" s="176"/>
      <c r="W62" s="176"/>
      <c r="X62" s="176"/>
      <c r="Y62" s="176"/>
      <c r="Z62" s="176">
        <v>84.928571428571402</v>
      </c>
      <c r="AA62" s="176">
        <f>IFERROR(AA59/AA61,"")</f>
        <v>74.534783927217575</v>
      </c>
      <c r="AB62" s="176"/>
      <c r="AD62" s="176">
        <v>89.119266055045898</v>
      </c>
      <c r="AE62" s="176"/>
      <c r="AF62" s="177">
        <f t="shared" si="12"/>
        <v>-14.584482127828323</v>
      </c>
      <c r="AG62" s="176">
        <v>54.65</v>
      </c>
      <c r="AH62" s="176"/>
      <c r="AI62" s="177">
        <f t="shared" si="13"/>
        <v>19.884783927217576</v>
      </c>
    </row>
    <row r="63" spans="1:35" x14ac:dyDescent="0.25">
      <c r="H63" s="15"/>
      <c r="I63" s="161"/>
      <c r="J63" s="161"/>
      <c r="K63" s="162"/>
      <c r="L63" s="162"/>
      <c r="M63" s="162"/>
      <c r="N63" s="182" t="s">
        <v>345</v>
      </c>
      <c r="O63" s="179">
        <f t="shared" ref="O63:AA63" si="14">ROUND(IFERROR(O59/O61,0),2)</f>
        <v>74.510000000000005</v>
      </c>
      <c r="P63" s="184">
        <f t="shared" si="14"/>
        <v>108.72</v>
      </c>
      <c r="Q63" s="184">
        <f t="shared" si="14"/>
        <v>129.46</v>
      </c>
      <c r="R63" s="184">
        <f t="shared" si="14"/>
        <v>49.89</v>
      </c>
      <c r="S63" s="184">
        <f t="shared" si="14"/>
        <v>55.86</v>
      </c>
      <c r="T63" s="184">
        <f t="shared" si="14"/>
        <v>57.26</v>
      </c>
      <c r="U63" s="184">
        <f t="shared" si="14"/>
        <v>0</v>
      </c>
      <c r="V63" s="184">
        <f t="shared" si="14"/>
        <v>0</v>
      </c>
      <c r="W63" s="184">
        <f t="shared" si="14"/>
        <v>0</v>
      </c>
      <c r="X63" s="184">
        <f t="shared" si="14"/>
        <v>0</v>
      </c>
      <c r="Y63" s="184">
        <f t="shared" si="14"/>
        <v>0</v>
      </c>
      <c r="Z63" s="184">
        <f t="shared" si="14"/>
        <v>84.93</v>
      </c>
      <c r="AA63" s="184">
        <f t="shared" si="14"/>
        <v>74.53</v>
      </c>
      <c r="AB63" s="183"/>
      <c r="AD63" s="179">
        <f>ROUND(IFERROR(AD59/AD61,0),2)</f>
        <v>89.12</v>
      </c>
      <c r="AE63" s="184"/>
      <c r="AF63" s="180"/>
      <c r="AG63" s="179">
        <f>ROUND(IFERROR(AG59/AG61,0),2)</f>
        <v>54.65</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b">
        <f t="shared" si="15"/>
        <v>1</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v>6795</v>
      </c>
      <c r="R65" s="21">
        <v>5630</v>
      </c>
      <c r="S65" s="21"/>
      <c r="T65" s="21"/>
      <c r="U65" s="21"/>
      <c r="V65" s="21"/>
      <c r="W65" s="21">
        <v>1730</v>
      </c>
      <c r="X65" s="21"/>
      <c r="Y65" s="21">
        <v>8273.1</v>
      </c>
      <c r="Z65" s="21">
        <v>7377.3</v>
      </c>
      <c r="AA65" s="21">
        <f t="shared" ref="AA65:AA70" si="16">SUM(O65:Z65)</f>
        <v>29805.399999999998</v>
      </c>
      <c r="AB65" s="17" t="str">
        <f ca="1">IF(AA65=0,"",IFERROR(AA65/AA$19,""))</f>
        <v/>
      </c>
      <c r="AD65" s="21">
        <v>39561.650999999998</v>
      </c>
      <c r="AE65" s="17" t="str">
        <f ca="1">IF(AD65=0,"",IFERROR(AD65/AD$19,""))</f>
        <v/>
      </c>
      <c r="AF65" s="50">
        <f t="shared" ref="AF65:AF71" si="17">IF(AND($AA65="",AD65=""),"",$AA65-AD65)</f>
        <v>-9756.2510000000002</v>
      </c>
      <c r="AG65" s="21">
        <v>1535</v>
      </c>
      <c r="AH65" s="17" t="str">
        <f t="shared" ca="1" si="3"/>
        <v/>
      </c>
      <c r="AI65" s="50">
        <f t="shared" ref="AI65:AI71" si="18">IF(AND($AA65="",AG65=""),"",$AA65-AG65)</f>
        <v>28270.399999999998</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v>850</v>
      </c>
      <c r="S66" s="21"/>
      <c r="T66" s="21"/>
      <c r="U66" s="21"/>
      <c r="V66" s="21"/>
      <c r="W66" s="21"/>
      <c r="X66" s="21"/>
      <c r="Y66" s="21">
        <v>4948</v>
      </c>
      <c r="Z66" s="21">
        <v>3694.96</v>
      </c>
      <c r="AA66" s="21">
        <f t="shared" si="16"/>
        <v>9492.9599999999991</v>
      </c>
      <c r="AB66" s="17" t="str">
        <f ca="1">IF(AA66=0,"",IFERROR(AA66/AA$19,""))</f>
        <v/>
      </c>
      <c r="AD66" s="21">
        <v>1058.9045000000001</v>
      </c>
      <c r="AE66" s="17" t="str">
        <f ca="1">IF(AD66=0,"",IFERROR(AD66/AD$19,""))</f>
        <v/>
      </c>
      <c r="AF66" s="50">
        <f t="shared" si="17"/>
        <v>8434.0554999999986</v>
      </c>
      <c r="AG66" s="21">
        <v>615</v>
      </c>
      <c r="AH66" s="17" t="str">
        <f t="shared" ca="1" si="3"/>
        <v/>
      </c>
      <c r="AI66" s="50">
        <f t="shared" si="18"/>
        <v>8877.9599999999991</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v>20</v>
      </c>
      <c r="Z67" s="21">
        <v>510</v>
      </c>
      <c r="AA67" s="21">
        <f t="shared" si="16"/>
        <v>530</v>
      </c>
      <c r="AB67" s="17" t="str">
        <f ca="1">IF(AA67=0,"",IFERROR(AA67/AA$19,""))</f>
        <v/>
      </c>
      <c r="AD67" s="21">
        <v>814.44449999999995</v>
      </c>
      <c r="AE67" s="17" t="str">
        <f ca="1">IF(AD67=0,"",IFERROR(AD67/AD$19,""))</f>
        <v/>
      </c>
      <c r="AF67" s="50">
        <f t="shared" si="17"/>
        <v>-284.44449999999995</v>
      </c>
      <c r="AG67" s="21">
        <v>127</v>
      </c>
      <c r="AH67" s="17" t="str">
        <f t="shared" ca="1" si="3"/>
        <v/>
      </c>
      <c r="AI67" s="50">
        <f t="shared" si="18"/>
        <v>403</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v>2338</v>
      </c>
      <c r="R68" s="30"/>
      <c r="S68" s="30"/>
      <c r="T68" s="30"/>
      <c r="U68" s="30"/>
      <c r="V68" s="30"/>
      <c r="W68" s="30">
        <v>144</v>
      </c>
      <c r="X68" s="30"/>
      <c r="Y68" s="30"/>
      <c r="Z68" s="30">
        <v>72</v>
      </c>
      <c r="AA68" s="30">
        <f t="shared" si="16"/>
        <v>2554</v>
      </c>
      <c r="AB68" s="31" t="str">
        <f ca="1">IF(AA68=0,"",IFERROR(AA68/AA$19,""))</f>
        <v/>
      </c>
      <c r="AD68" s="30"/>
      <c r="AE68" s="31" t="str">
        <f>IF(AD68=0,"",IFERROR(AD68/AD$19,""))</f>
        <v/>
      </c>
      <c r="AF68" s="51">
        <f t="shared" si="17"/>
        <v>2554</v>
      </c>
      <c r="AG68" s="30">
        <v>52</v>
      </c>
      <c r="AH68" s="31" t="str">
        <f t="shared" ca="1" si="3"/>
        <v/>
      </c>
      <c r="AI68" s="51">
        <f t="shared" si="18"/>
        <v>2502</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v>9133</v>
      </c>
      <c r="R69" s="164">
        <v>6480</v>
      </c>
      <c r="S69" s="164"/>
      <c r="T69" s="164"/>
      <c r="U69" s="164"/>
      <c r="V69" s="164"/>
      <c r="W69" s="164">
        <v>1874</v>
      </c>
      <c r="X69" s="164"/>
      <c r="Y69" s="164">
        <v>13241.1</v>
      </c>
      <c r="Z69" s="164">
        <v>11654.26</v>
      </c>
      <c r="AA69" s="164">
        <f t="shared" si="16"/>
        <v>42382.36</v>
      </c>
      <c r="AB69" s="175" t="str">
        <f ca="1">IF(AA69=0,"",IFERROR(AA69/AA$19,""))</f>
        <v/>
      </c>
      <c r="AD69" s="164">
        <v>41435</v>
      </c>
      <c r="AE69" s="175" t="str">
        <f ca="1">IF(AD69=0,"",IFERROR(AD69/AD$19,""))</f>
        <v/>
      </c>
      <c r="AF69" s="165">
        <f t="shared" si="17"/>
        <v>947.36000000000058</v>
      </c>
      <c r="AG69" s="164">
        <v>2329</v>
      </c>
      <c r="AH69" s="175" t="str">
        <f t="shared" ca="1" si="3"/>
        <v/>
      </c>
      <c r="AI69" s="165">
        <f t="shared" si="18"/>
        <v>40053.360000000001</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v>45</v>
      </c>
      <c r="R70" s="38">
        <v>65</v>
      </c>
      <c r="S70" s="38"/>
      <c r="T70" s="38"/>
      <c r="U70" s="38"/>
      <c r="V70" s="38">
        <v>18</v>
      </c>
      <c r="W70" s="38">
        <v>105</v>
      </c>
      <c r="X70" s="38"/>
      <c r="Y70" s="38">
        <v>75</v>
      </c>
      <c r="Z70" s="38">
        <v>81</v>
      </c>
      <c r="AA70" s="38">
        <f t="shared" si="16"/>
        <v>389</v>
      </c>
      <c r="AB70" s="39">
        <f>IF(AA70=0,"",IFERROR(AA70/AA$84,""))</f>
        <v>9.1186122831692445E-2</v>
      </c>
      <c r="AD70" s="38">
        <v>513</v>
      </c>
      <c r="AE70" s="39">
        <f>IF(AD70=0,"",IFERROR(AD70/AD$84,""))</f>
        <v>0.10138339920948616</v>
      </c>
      <c r="AF70" s="132">
        <f t="shared" si="17"/>
        <v>-124</v>
      </c>
      <c r="AG70" s="38">
        <v>186</v>
      </c>
      <c r="AH70" s="39">
        <f>IF(AG70=0,"",IFERROR(AG70/AG$84,""))</f>
        <v>4.3682480037576327E-2</v>
      </c>
      <c r="AI70" s="132">
        <f t="shared" si="18"/>
        <v>203</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v>202.955555555556</v>
      </c>
      <c r="R71" s="176">
        <v>99.692307692307693</v>
      </c>
      <c r="S71" s="176"/>
      <c r="T71" s="176"/>
      <c r="U71" s="176"/>
      <c r="V71" s="176"/>
      <c r="W71" s="176">
        <v>17.847619047618998</v>
      </c>
      <c r="X71" s="176"/>
      <c r="Y71" s="176">
        <v>176.548</v>
      </c>
      <c r="Z71" s="176">
        <v>143.87975308642001</v>
      </c>
      <c r="AA71" s="176">
        <f>IFERROR(AA69/AA70,"")</f>
        <v>108.95208226221079</v>
      </c>
      <c r="AB71" s="176"/>
      <c r="AD71" s="176">
        <v>80.769980506822606</v>
      </c>
      <c r="AE71" s="176"/>
      <c r="AF71" s="177">
        <f t="shared" si="17"/>
        <v>28.182101755388189</v>
      </c>
      <c r="AG71" s="176">
        <v>12.5215053763441</v>
      </c>
      <c r="AH71" s="176"/>
      <c r="AI71" s="177">
        <f t="shared" si="18"/>
        <v>96.430576885866699</v>
      </c>
    </row>
    <row r="72" spans="3:35" x14ac:dyDescent="0.25">
      <c r="H72" s="15"/>
      <c r="I72" s="161"/>
      <c r="J72" s="161"/>
      <c r="K72" s="162"/>
      <c r="L72" s="162"/>
      <c r="M72" s="162"/>
      <c r="N72" s="182" t="s">
        <v>345</v>
      </c>
      <c r="O72" s="179">
        <f t="shared" ref="O72:AA72" si="19">ROUND(IFERROR(O69/O70,0),2)</f>
        <v>0</v>
      </c>
      <c r="P72" s="184">
        <f t="shared" si="19"/>
        <v>0</v>
      </c>
      <c r="Q72" s="184">
        <f t="shared" si="19"/>
        <v>202.96</v>
      </c>
      <c r="R72" s="184">
        <f t="shared" si="19"/>
        <v>99.69</v>
      </c>
      <c r="S72" s="184">
        <f t="shared" si="19"/>
        <v>0</v>
      </c>
      <c r="T72" s="184">
        <f t="shared" si="19"/>
        <v>0</v>
      </c>
      <c r="U72" s="184">
        <f t="shared" si="19"/>
        <v>0</v>
      </c>
      <c r="V72" s="184">
        <f t="shared" si="19"/>
        <v>0</v>
      </c>
      <c r="W72" s="184">
        <f t="shared" si="19"/>
        <v>17.850000000000001</v>
      </c>
      <c r="X72" s="184">
        <f t="shared" si="19"/>
        <v>0</v>
      </c>
      <c r="Y72" s="184">
        <f t="shared" si="19"/>
        <v>176.55</v>
      </c>
      <c r="Z72" s="184">
        <f t="shared" si="19"/>
        <v>143.88</v>
      </c>
      <c r="AA72" s="184">
        <f t="shared" si="19"/>
        <v>108.95</v>
      </c>
      <c r="AB72" s="183"/>
      <c r="AD72" s="179">
        <f>ROUND(IFERROR(AD69/AD70,0),2)</f>
        <v>80.77</v>
      </c>
      <c r="AE72" s="184"/>
      <c r="AF72" s="180"/>
      <c r="AG72" s="179">
        <f>ROUND(IFERROR(AG69/AG70,0),2)</f>
        <v>12.52</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b">
        <f t="shared" si="20"/>
        <v>1</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v>8454</v>
      </c>
      <c r="AA74" s="21">
        <f>SUM(O74:Z74)</f>
        <v>8454</v>
      </c>
      <c r="AB74" s="17" t="str">
        <f ca="1">IF(AA74=0,"",IFERROR(AA74/AA$19,""))</f>
        <v/>
      </c>
      <c r="AD74" s="21"/>
      <c r="AE74" s="17" t="str">
        <f>IF(AD74=0,"",IFERROR(AD74/AD$19,""))</f>
        <v/>
      </c>
      <c r="AF74" s="50">
        <f>IF(AND($AA74="",AD74=""),"",$AA74-AD74)</f>
        <v>8454</v>
      </c>
      <c r="AG74" s="21"/>
      <c r="AH74" s="17" t="str">
        <f t="shared" si="3"/>
        <v/>
      </c>
      <c r="AI74" s="50">
        <f>IF(AND($AA74="",AG74=""),"",$AA74-AG74)</f>
        <v>8454</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v>8454</v>
      </c>
      <c r="AA75" s="164">
        <f>SUM(O75:Z75)</f>
        <v>8454</v>
      </c>
      <c r="AB75" s="175" t="str">
        <f ca="1">IF(AA75=0,"",IFERROR(AA75/AA$19,""))</f>
        <v/>
      </c>
      <c r="AD75" s="164"/>
      <c r="AE75" s="175" t="str">
        <f>IF(AD75=0,"",IFERROR(AD75/AD$19,""))</f>
        <v/>
      </c>
      <c r="AF75" s="165">
        <f>IF(AND($AA75="",AD75=""),"",$AA75-AD75)</f>
        <v>8454</v>
      </c>
      <c r="AG75" s="164"/>
      <c r="AH75" s="175" t="str">
        <f t="shared" si="3"/>
        <v/>
      </c>
      <c r="AI75" s="165">
        <f>IF(AND($AA75="",AG75=""),"",$AA75-AG75)</f>
        <v>8454</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v>190</v>
      </c>
      <c r="AA76" s="38">
        <f>SUM(O76:Z76)</f>
        <v>190</v>
      </c>
      <c r="AB76" s="39">
        <f>IF(AA76=0,"",IFERROR(AA76/AA$84,""))</f>
        <v>4.4538209095171123E-2</v>
      </c>
      <c r="AD76" s="38"/>
      <c r="AE76" s="39" t="str">
        <f>IF(AD76=0,"",IFERROR(AD76/AD$84,""))</f>
        <v/>
      </c>
      <c r="AF76" s="132">
        <f>IF(AND($AA76="",AD76=""),"",$AA76-AD76)</f>
        <v>190</v>
      </c>
      <c r="AG76" s="38"/>
      <c r="AH76" s="39" t="str">
        <f>IF(AG76=0,"",IFERROR(AG76/AG$84,""))</f>
        <v/>
      </c>
      <c r="AI76" s="132">
        <f>IF(AND($AA76="",AG76=""),"",$AA76-AG76)</f>
        <v>190</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v>44.494736842105297</v>
      </c>
      <c r="AA77" s="176">
        <f>IFERROR(AA75/AA76,"")</f>
        <v>44.494736842105262</v>
      </c>
      <c r="AB77" s="176"/>
      <c r="AD77" s="176"/>
      <c r="AE77" s="176"/>
      <c r="AF77" s="177">
        <f>IF(AND($AA77="",AD77=""),"",$AA77-AD77)</f>
        <v>44.494736842105262</v>
      </c>
      <c r="AG77" s="176"/>
      <c r="AH77" s="176"/>
      <c r="AI77" s="177">
        <f>IF(AND($AA77="",AG77=""),"",$AA77-AG77)</f>
        <v>44.494736842105262</v>
      </c>
    </row>
    <row r="78" spans="3:35" x14ac:dyDescent="0.25">
      <c r="C78" s="32"/>
      <c r="H78" s="15"/>
      <c r="I78" s="161"/>
      <c r="J78" s="161"/>
      <c r="K78" s="162"/>
      <c r="L78" s="162"/>
      <c r="M78" s="162"/>
      <c r="N78" s="182" t="s">
        <v>345</v>
      </c>
      <c r="O78" s="179">
        <f t="shared" ref="O78:AA78" si="21">ROUND(IFERROR(O75/O76,0),2)</f>
        <v>0</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44.49</v>
      </c>
      <c r="AA78" s="184">
        <f t="shared" si="21"/>
        <v>44.49</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b">
        <f t="shared" si="22"/>
        <v>1</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v>59613</v>
      </c>
      <c r="P82" s="171">
        <v>34793.5</v>
      </c>
      <c r="Q82" s="171">
        <v>31173.07</v>
      </c>
      <c r="R82" s="171">
        <v>11812.25</v>
      </c>
      <c r="S82" s="171">
        <v>22729</v>
      </c>
      <c r="T82" s="171">
        <v>8718.98</v>
      </c>
      <c r="U82" s="171">
        <v>332</v>
      </c>
      <c r="V82" s="171">
        <v>5401</v>
      </c>
      <c r="W82" s="171">
        <v>8059.51</v>
      </c>
      <c r="X82" s="171">
        <v>13310.1</v>
      </c>
      <c r="Y82" s="171">
        <v>18926.3</v>
      </c>
      <c r="Z82" s="171">
        <v>59568.26</v>
      </c>
      <c r="AA82" s="171">
        <f>SUM(O82:Z82)</f>
        <v>274436.97000000003</v>
      </c>
      <c r="AB82" s="172" t="str">
        <f ca="1">IF(AA82=0,"",IFERROR(AA82/AA$19,""))</f>
        <v/>
      </c>
      <c r="AD82" s="171">
        <v>339362.25</v>
      </c>
      <c r="AE82" s="172" t="str">
        <f ca="1">IF(AD82=0,"",IFERROR(AD82/AD$19,""))</f>
        <v/>
      </c>
      <c r="AF82" s="173">
        <f>IF(AND($AA82="",AD82=""),"",$AA82-AD82)</f>
        <v>-64925.27999999997</v>
      </c>
      <c r="AG82" s="171">
        <v>254386.93</v>
      </c>
      <c r="AH82" s="172" t="str">
        <f ca="1">IF(AG82=0,"",IFERROR(AG82/AG$19,""))</f>
        <v/>
      </c>
      <c r="AI82" s="173">
        <f>IF(AND($AA82="",AG82=""),"",$AA82-AG82)</f>
        <v>20050.040000000037</v>
      </c>
    </row>
    <row r="83" spans="3:35" x14ac:dyDescent="0.25">
      <c r="C83" s="32"/>
      <c r="H83" s="149" t="s">
        <v>818</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v>1113</v>
      </c>
      <c r="P83" s="171">
        <v>1113</v>
      </c>
      <c r="Q83" s="171">
        <v>1113</v>
      </c>
      <c r="R83" s="171">
        <v>1113</v>
      </c>
      <c r="S83" s="171">
        <v>1113</v>
      </c>
      <c r="T83" s="171"/>
      <c r="U83" s="171">
        <v>1113</v>
      </c>
      <c r="V83" s="171">
        <v>1113</v>
      </c>
      <c r="W83" s="171">
        <v>1113</v>
      </c>
      <c r="X83" s="171">
        <v>1113</v>
      </c>
      <c r="Y83" s="171">
        <v>1113</v>
      </c>
      <c r="Z83" s="171">
        <v>1113</v>
      </c>
      <c r="AA83" s="171">
        <f>SUM(O83:Z83)</f>
        <v>12243</v>
      </c>
      <c r="AB83" s="172"/>
      <c r="AD83" s="171"/>
      <c r="AE83" s="172"/>
      <c r="AF83" s="173">
        <f>IF(AND($AA83="",AD83=""),"",$AA83-AD83)</f>
        <v>12243</v>
      </c>
      <c r="AG83" s="171">
        <v>13356</v>
      </c>
      <c r="AH83" s="172"/>
      <c r="AI83" s="173">
        <f>IF(AND($AA83="",AG83=""),"",$AA83-AG83)</f>
        <v>-1113</v>
      </c>
    </row>
    <row r="84" spans="3:35" x14ac:dyDescent="0.25">
      <c r="C84" s="32"/>
      <c r="H84" s="149" t="s">
        <v>331</v>
      </c>
      <c r="I84" s="161" t="e">
        <f ca="1">_xll.EVPRO($B$1,$H84,"STYLE")</f>
        <v>#NAME?</v>
      </c>
      <c r="J84" s="161" t="e">
        <f ca="1">_xll.EVPRO($B$1,$H84,"CALC")</f>
        <v>#NAME?</v>
      </c>
      <c r="L84" s="162" t="e">
        <f ca="1">_xll.EVPRO($B$1,H84,"JDEID")</f>
        <v>#NAME?</v>
      </c>
      <c r="M84" s="162" t="e">
        <f ca="1">IF(AND(I84="N",J84="N"),_xll.EVPRO($B$1,H84,"PSFTID"),"")</f>
        <v>#NAME?</v>
      </c>
      <c r="N84" s="162" t="e">
        <f ca="1">IF(_xll.EVDES(H84,$B$1)="#NODATA","",_xll.EVDES(H84,$B$1))</f>
        <v>#NAME?</v>
      </c>
      <c r="O84" s="171">
        <v>1065</v>
      </c>
      <c r="P84" s="171">
        <v>511</v>
      </c>
      <c r="Q84" s="171">
        <v>526</v>
      </c>
      <c r="R84" s="171">
        <v>241</v>
      </c>
      <c r="S84" s="171">
        <v>400</v>
      </c>
      <c r="T84" s="171">
        <v>152</v>
      </c>
      <c r="U84" s="171">
        <v>36</v>
      </c>
      <c r="V84" s="171">
        <v>57</v>
      </c>
      <c r="W84" s="171">
        <v>265</v>
      </c>
      <c r="X84" s="171">
        <v>70</v>
      </c>
      <c r="Y84" s="171">
        <v>161</v>
      </c>
      <c r="Z84" s="171">
        <v>782</v>
      </c>
      <c r="AA84" s="171">
        <f>SUM(O84:Z84)</f>
        <v>4266</v>
      </c>
      <c r="AB84" s="172" t="str">
        <f ca="1">IF(AA84=0,"",IFERROR(AA84/AA$20,""))</f>
        <v/>
      </c>
      <c r="AD84" s="171">
        <v>5060</v>
      </c>
      <c r="AE84" s="172" t="str">
        <f ca="1">IF(AD84=0,"",IFERROR(AD84/AD$20,""))</f>
        <v/>
      </c>
      <c r="AF84" s="173">
        <f>IF(AND($AA84="",AD84=""),"",$AA84-AD84)</f>
        <v>-794</v>
      </c>
      <c r="AG84" s="171">
        <v>4258</v>
      </c>
      <c r="AH84" s="172" t="str">
        <f ca="1">IF(AG84=0,"",IFERROR(AG84/AG$20,""))</f>
        <v/>
      </c>
      <c r="AI84" s="173">
        <f>IF(AND($AA84="",AG84=""),"",$AA84-AG84)</f>
        <v>8</v>
      </c>
    </row>
    <row r="85" spans="3:35" x14ac:dyDescent="0.25">
      <c r="C85" s="32"/>
      <c r="H85" s="149" t="s">
        <v>311</v>
      </c>
      <c r="I85" s="161" t="e">
        <f ca="1">_xll.EVPRO($B$1,$H85,"STYLE")</f>
        <v>#NAME?</v>
      </c>
      <c r="J85" s="161" t="e">
        <f ca="1">_xll.EVPRO($B$1,$H85,"CALC")</f>
        <v>#NAME?</v>
      </c>
      <c r="L85" s="162"/>
      <c r="M85" s="162"/>
      <c r="N85" s="162" t="e">
        <f ca="1">IF(_xll.EVDES(H85,$B$1)="#NODATA","",_xll.EVDES(H85,$B$1))</f>
        <v>#NAME?</v>
      </c>
      <c r="O85" s="176">
        <v>55.974647887323897</v>
      </c>
      <c r="P85" s="176">
        <v>68.089041095890394</v>
      </c>
      <c r="Q85" s="176">
        <v>59.264391634981003</v>
      </c>
      <c r="R85" s="176">
        <v>49.013485477178399</v>
      </c>
      <c r="S85" s="176">
        <v>56.822499999999998</v>
      </c>
      <c r="T85" s="176">
        <v>57.361710526315797</v>
      </c>
      <c r="U85" s="176">
        <v>9.2222222222222197</v>
      </c>
      <c r="V85" s="176">
        <v>94.754385964912302</v>
      </c>
      <c r="W85" s="176">
        <v>30.413245283018899</v>
      </c>
      <c r="X85" s="176">
        <v>190.14428571428601</v>
      </c>
      <c r="Y85" s="176">
        <v>117.55465838509301</v>
      </c>
      <c r="Z85" s="176">
        <v>76.174245524296694</v>
      </c>
      <c r="AA85" s="176">
        <f>IFERROR(AA82/AA84,"")</f>
        <v>64.331216596343182</v>
      </c>
      <c r="AB85" s="176"/>
      <c r="AD85" s="176">
        <v>67.067638339920904</v>
      </c>
      <c r="AE85" s="176"/>
      <c r="AF85" s="177">
        <f>IF(AND($AA85="",AD85=""),"",$AA85-AD85)</f>
        <v>-2.7364217435777221</v>
      </c>
      <c r="AG85" s="176">
        <v>59.743290277125404</v>
      </c>
      <c r="AH85" s="176"/>
      <c r="AI85" s="177">
        <f>IF(AND($AA85="",AG85=""),"",$AA85-AG85)</f>
        <v>4.5879263192177788</v>
      </c>
    </row>
    <row r="86" spans="3:35" x14ac:dyDescent="0.25">
      <c r="C86" s="32"/>
      <c r="H86" s="149" t="s">
        <v>819</v>
      </c>
      <c r="I86" s="161" t="e">
        <f ca="1">_xll.EVPRO($B$1,$H86,"STYLE")</f>
        <v>#NAME?</v>
      </c>
      <c r="J86" s="161" t="e">
        <f ca="1">_xll.EVPRO($B$1,$H86,"CALC")</f>
        <v>#NAME?</v>
      </c>
      <c r="L86" s="162"/>
      <c r="M86" s="162"/>
      <c r="N86" s="162" t="e">
        <f ca="1">IF(_xll.EVDES(H86,$B$1)="#NODATA","",_xll.EVDES(H86,$B$1))</f>
        <v>#NAME?</v>
      </c>
      <c r="O86" s="176">
        <v>53.560646900269496</v>
      </c>
      <c r="P86" s="176">
        <v>31.261006289308199</v>
      </c>
      <c r="Q86" s="176">
        <v>28.008149146451</v>
      </c>
      <c r="R86" s="176">
        <v>10.612982929020699</v>
      </c>
      <c r="S86" s="176">
        <v>20.421383647798699</v>
      </c>
      <c r="T86" s="176"/>
      <c r="U86" s="176">
        <v>0.29829290206648701</v>
      </c>
      <c r="V86" s="176">
        <v>4.8526504941599304</v>
      </c>
      <c r="W86" s="176">
        <v>7.2412488769092498</v>
      </c>
      <c r="X86" s="176">
        <v>11.958760107816699</v>
      </c>
      <c r="Y86" s="176">
        <v>17.004761904761899</v>
      </c>
      <c r="Z86" s="176">
        <v>53.520449236298298</v>
      </c>
      <c r="AA86" s="176">
        <f>IFERROR(AA82/AA83,"")</f>
        <v>22.415827003185495</v>
      </c>
      <c r="AB86" s="176"/>
      <c r="AD86" s="176"/>
      <c r="AE86" s="176"/>
      <c r="AF86" s="177">
        <f>IF(AND($AA86="",AD86=""),"",$AA86-AD86)</f>
        <v>22.415827003185495</v>
      </c>
      <c r="AG86" s="176">
        <v>19.046640461215901</v>
      </c>
      <c r="AH86" s="176"/>
      <c r="AI86" s="177">
        <f>IF(AND($AA86="",AG86=""),"",$AA86-AG86)</f>
        <v>3.3691865419695937</v>
      </c>
    </row>
    <row r="87" spans="3:35" x14ac:dyDescent="0.25">
      <c r="C87" s="32"/>
      <c r="H87" s="149"/>
      <c r="I87" s="161"/>
      <c r="J87" s="161"/>
      <c r="L87" s="162"/>
      <c r="M87" s="162"/>
      <c r="N87" s="162"/>
      <c r="O87" s="41"/>
      <c r="P87" s="41"/>
      <c r="Q87" s="41"/>
      <c r="R87" s="41"/>
      <c r="S87" s="41"/>
      <c r="T87" s="41"/>
      <c r="U87" s="41"/>
      <c r="V87" s="45"/>
      <c r="W87" s="45"/>
      <c r="X87" s="45"/>
      <c r="Y87" s="45"/>
      <c r="Z87" s="45"/>
      <c r="AA87" s="45"/>
      <c r="AB87" s="42"/>
      <c r="AD87" s="41"/>
      <c r="AE87" s="45"/>
      <c r="AF87" s="42"/>
      <c r="AG87" s="41"/>
      <c r="AH87" s="45"/>
      <c r="AI87" s="42"/>
    </row>
    <row r="88" spans="3:35" x14ac:dyDescent="0.25">
      <c r="C88" s="32"/>
      <c r="H88" s="149"/>
      <c r="I88" s="161"/>
      <c r="J88" s="161"/>
      <c r="L88" s="162"/>
      <c r="M88" s="162"/>
      <c r="N88" s="8" t="s">
        <v>334</v>
      </c>
      <c r="O88" s="43"/>
      <c r="P88" s="46"/>
      <c r="Q88" s="46"/>
      <c r="R88" s="46"/>
      <c r="S88" s="46"/>
      <c r="T88" s="46"/>
      <c r="U88" s="46"/>
      <c r="V88" s="46"/>
      <c r="W88" s="46"/>
      <c r="X88" s="46"/>
      <c r="Y88" s="46"/>
      <c r="Z88" s="46"/>
      <c r="AA88" s="46"/>
      <c r="AB88" s="44"/>
      <c r="AD88" s="43"/>
      <c r="AE88" s="46"/>
      <c r="AF88" s="44"/>
      <c r="AG88" s="43"/>
      <c r="AH88" s="46"/>
      <c r="AI88" s="44"/>
    </row>
    <row r="89" spans="3:35" hidden="1" outlineLevel="1" x14ac:dyDescent="0.25">
      <c r="C89" s="32"/>
      <c r="H89" s="149" t="s">
        <v>332</v>
      </c>
      <c r="I89" s="161" t="e">
        <f ca="1">_xll.EVPRO($B$1,$H89,"STYLE")</f>
        <v>#NAME?</v>
      </c>
      <c r="J89" s="161" t="e">
        <f ca="1">_xll.EVPRO($B$1,$H89,"CALC")</f>
        <v>#NAME?</v>
      </c>
      <c r="L89" s="162"/>
      <c r="M89" s="162"/>
      <c r="N89" s="162" t="e">
        <f ca="1">IF(_xll.EVDES(H89,$B$1)="#NODATA","",_xll.EVDES(H89,$B$1))</f>
        <v>#NAME?</v>
      </c>
      <c r="O89" s="21"/>
      <c r="P89" s="21"/>
      <c r="Q89" s="21"/>
      <c r="R89" s="21"/>
      <c r="S89" s="21"/>
      <c r="T89" s="21"/>
      <c r="U89" s="21"/>
      <c r="V89" s="21"/>
      <c r="W89" s="21"/>
      <c r="X89" s="21"/>
      <c r="Y89" s="21"/>
      <c r="Z89" s="21"/>
      <c r="AA89" s="21">
        <f>SUM(O89:Z89)</f>
        <v>0</v>
      </c>
      <c r="AB89" s="17"/>
      <c r="AD89" s="21"/>
      <c r="AE89" s="17"/>
      <c r="AF89" s="50">
        <f t="shared" ref="AF89:AF94" si="23">IF(AND($AA89="",AD89=""),"",$AA89-AD89)</f>
        <v>0</v>
      </c>
      <c r="AG89" s="21"/>
      <c r="AH89" s="17"/>
      <c r="AI89" s="50">
        <f t="shared" ref="AI89:AI94" si="24">IF(AND($AA89="",AG89=""),"",$AA89-AG89)</f>
        <v>0</v>
      </c>
    </row>
    <row r="90" spans="3:35" hidden="1" outlineLevel="1" x14ac:dyDescent="0.25">
      <c r="C90" s="32"/>
      <c r="H90" s="149" t="s">
        <v>333</v>
      </c>
      <c r="I90" s="161" t="e">
        <f ca="1">_xll.EVPRO($B$1,$H90,"STYLE")</f>
        <v>#NAME?</v>
      </c>
      <c r="J90" s="161" t="e">
        <f ca="1">_xll.EVPRO($B$1,$H90,"CALC")</f>
        <v>#NAME?</v>
      </c>
      <c r="L90" s="162"/>
      <c r="M90" s="162"/>
      <c r="N90" s="162" t="e">
        <f ca="1">IF(_xll.EVDES(H90,$B$1)="#NODATA","",_xll.EVDES(H90,$B$1))</f>
        <v>#NAME?</v>
      </c>
      <c r="O90" s="21"/>
      <c r="P90" s="21"/>
      <c r="Q90" s="21"/>
      <c r="R90" s="21"/>
      <c r="S90" s="21"/>
      <c r="T90" s="21"/>
      <c r="U90" s="21"/>
      <c r="V90" s="21"/>
      <c r="W90" s="21"/>
      <c r="X90" s="21"/>
      <c r="Y90" s="21"/>
      <c r="Z90" s="21"/>
      <c r="AA90" s="21">
        <f>SUM(O90:Z90)</f>
        <v>0</v>
      </c>
      <c r="AB90" s="17"/>
      <c r="AD90" s="21"/>
      <c r="AE90" s="17"/>
      <c r="AF90" s="50">
        <f t="shared" si="23"/>
        <v>0</v>
      </c>
      <c r="AG90" s="21"/>
      <c r="AH90" s="17"/>
      <c r="AI90" s="50">
        <f t="shared" si="24"/>
        <v>0</v>
      </c>
    </row>
    <row r="91" spans="3:35" hidden="1" outlineLevel="1" x14ac:dyDescent="0.25">
      <c r="C91" s="32"/>
      <c r="H91" s="149" t="s">
        <v>774</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v>1521</v>
      </c>
      <c r="AE91" s="17"/>
      <c r="AF91" s="50">
        <f t="shared" si="23"/>
        <v>-1521</v>
      </c>
      <c r="AG91" s="21">
        <v>249.48</v>
      </c>
      <c r="AH91" s="17"/>
      <c r="AI91" s="50">
        <f t="shared" si="24"/>
        <v>-249.48</v>
      </c>
    </row>
    <row r="92" spans="3:35" collapsed="1" x14ac:dyDescent="0.25">
      <c r="C92" s="32"/>
      <c r="H92" s="149"/>
      <c r="I92" s="161"/>
      <c r="J92" s="161"/>
      <c r="L92" s="162"/>
      <c r="M92" s="162"/>
      <c r="N92" s="26" t="s">
        <v>335</v>
      </c>
      <c r="O92" s="178" t="str">
        <f t="shared" ref="O92:AA92" si="25">IFERROR(O$84/O89,"")</f>
        <v/>
      </c>
      <c r="P92" s="178" t="str">
        <f t="shared" si="25"/>
        <v/>
      </c>
      <c r="Q92" s="178" t="str">
        <f t="shared" si="25"/>
        <v/>
      </c>
      <c r="R92" s="178" t="str">
        <f t="shared" si="25"/>
        <v/>
      </c>
      <c r="S92" s="178" t="str">
        <f t="shared" si="25"/>
        <v/>
      </c>
      <c r="T92" s="178" t="str">
        <f t="shared" si="25"/>
        <v/>
      </c>
      <c r="U92" s="178" t="str">
        <f t="shared" si="25"/>
        <v/>
      </c>
      <c r="V92" s="178" t="str">
        <f t="shared" si="25"/>
        <v/>
      </c>
      <c r="W92" s="178" t="str">
        <f t="shared" si="25"/>
        <v/>
      </c>
      <c r="X92" s="178" t="str">
        <f t="shared" si="25"/>
        <v/>
      </c>
      <c r="Y92" s="178" t="str">
        <f t="shared" si="25"/>
        <v/>
      </c>
      <c r="Z92" s="178" t="str">
        <f t="shared" si="25"/>
        <v/>
      </c>
      <c r="AA92" s="178" t="str">
        <f t="shared" si="25"/>
        <v/>
      </c>
      <c r="AB92" s="139"/>
      <c r="AD92" s="178" t="str">
        <f>IFERROR(AD$84/AD89,"")</f>
        <v/>
      </c>
      <c r="AE92" s="139"/>
      <c r="AF92" s="140" t="str">
        <f t="shared" si="23"/>
        <v/>
      </c>
      <c r="AG92" s="178" t="str">
        <f>IFERROR(AG$84/AG89,"")</f>
        <v/>
      </c>
      <c r="AH92" s="139"/>
      <c r="AI92" s="140" t="str">
        <f t="shared" si="24"/>
        <v/>
      </c>
    </row>
    <row r="93" spans="3:35" x14ac:dyDescent="0.25">
      <c r="C93" s="32"/>
      <c r="H93" s="149"/>
      <c r="I93" s="161"/>
      <c r="J93" s="161"/>
      <c r="L93" s="162"/>
      <c r="M93" s="162"/>
      <c r="N93" s="26" t="s">
        <v>336</v>
      </c>
      <c r="O93" s="178" t="str">
        <f t="shared" ref="O93:AA93" si="26">IFERROR(O$84/O90,"")</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IFERROR(AD$84/AD90,"")</f>
        <v/>
      </c>
      <c r="AE93" s="139"/>
      <c r="AF93" s="140" t="str">
        <f t="shared" si="23"/>
        <v/>
      </c>
      <c r="AG93" s="178" t="str">
        <f>IFERROR(AG$84/AG90,"")</f>
        <v/>
      </c>
      <c r="AH93" s="139"/>
      <c r="AI93" s="140" t="str">
        <f t="shared" si="24"/>
        <v/>
      </c>
    </row>
    <row r="94" spans="3:35" x14ac:dyDescent="0.25">
      <c r="C94" s="32"/>
      <c r="H94" s="149"/>
      <c r="I94" s="161"/>
      <c r="J94" s="161"/>
      <c r="L94" s="162"/>
      <c r="M94" s="162"/>
      <c r="N94" s="26" t="s">
        <v>775</v>
      </c>
      <c r="O94" s="178" t="str">
        <f t="shared" ref="O94:AA94" si="27">IFERROR(O$84/O91,"")</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f>IFERROR(AD$84/AD91,"")</f>
        <v>3.326758711374096</v>
      </c>
      <c r="AE94" s="139"/>
      <c r="AF94" s="140" t="e">
        <f t="shared" si="23"/>
        <v>#VALUE!</v>
      </c>
      <c r="AG94" s="178">
        <f>IFERROR(AG$84/AG91,"")</f>
        <v>17.067500400833733</v>
      </c>
      <c r="AH94" s="139"/>
      <c r="AI94" s="140" t="e">
        <f t="shared" si="24"/>
        <v>#VALUE!</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v>1170</v>
      </c>
      <c r="W98" s="21"/>
      <c r="X98" s="21"/>
      <c r="Y98" s="21"/>
      <c r="Z98" s="21">
        <v>1463</v>
      </c>
      <c r="AA98" s="21">
        <f>SUM(O98:Z98)</f>
        <v>2633</v>
      </c>
      <c r="AB98" s="17" t="str">
        <f ca="1">IF(AA98=0,"",IFERROR(AA98/AA$19,""))</f>
        <v/>
      </c>
      <c r="AD98" s="21"/>
      <c r="AE98" s="17" t="str">
        <f>IF(AD98=0,"",IFERROR(AD98/AD$19,""))</f>
        <v/>
      </c>
      <c r="AF98" s="50">
        <f>IF(AND($AA98="",AD98=""),"",$AA98-AD98)</f>
        <v>2633</v>
      </c>
      <c r="AG98" s="21"/>
      <c r="AH98" s="17" t="str">
        <f>IF(AG98=0,"",IFERROR(AG98/AG$19,""))</f>
        <v/>
      </c>
      <c r="AI98" s="50">
        <f>IF(AND($AA98="",AG98=""),"",$AA98-AG98)</f>
        <v>2633</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v>50</v>
      </c>
      <c r="R99" s="21">
        <v>873</v>
      </c>
      <c r="S99" s="21"/>
      <c r="T99" s="21">
        <v>73</v>
      </c>
      <c r="U99" s="21"/>
      <c r="V99" s="21"/>
      <c r="W99" s="21">
        <v>741</v>
      </c>
      <c r="X99" s="21"/>
      <c r="Y99" s="21"/>
      <c r="Z99" s="21">
        <v>-180</v>
      </c>
      <c r="AA99" s="21">
        <f>SUM(O99:Z99)</f>
        <v>1557</v>
      </c>
      <c r="AB99" s="17" t="str">
        <f ca="1">IF(AA99=0,"",IFERROR(AA99/AA$19,""))</f>
        <v/>
      </c>
      <c r="AD99" s="21">
        <v>1220.53943</v>
      </c>
      <c r="AE99" s="17" t="str">
        <f ca="1">IF(AD99=0,"",IFERROR(AD99/AD$19,""))</f>
        <v/>
      </c>
      <c r="AF99" s="50">
        <f>IF(AND($AA99="",AD99=""),"",$AA99-AD99)</f>
        <v>336.46056999999996</v>
      </c>
      <c r="AG99" s="21">
        <v>4141</v>
      </c>
      <c r="AH99" s="17" t="str">
        <f ca="1">IF(AG99=0,"",IFERROR(AG99/AG$19,""))</f>
        <v/>
      </c>
      <c r="AI99" s="50">
        <f>IF(AND($AA99="",AG99=""),"",$AA99-AG99)</f>
        <v>-2584</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v>1101</v>
      </c>
      <c r="R100" s="21"/>
      <c r="S100" s="21">
        <v>7276</v>
      </c>
      <c r="T100" s="21">
        <v>228</v>
      </c>
      <c r="U100" s="21"/>
      <c r="V100" s="21"/>
      <c r="W100" s="21"/>
      <c r="X100" s="21"/>
      <c r="Y100" s="21"/>
      <c r="Z100" s="21">
        <v>455</v>
      </c>
      <c r="AA100" s="21">
        <f>SUM(O100:Z100)</f>
        <v>9060</v>
      </c>
      <c r="AB100" s="17" t="str">
        <f ca="1">IF(AA100=0,"",IFERROR(AA100/AA$19,""))</f>
        <v/>
      </c>
      <c r="AD100" s="21">
        <v>3174.8589000000002</v>
      </c>
      <c r="AE100" s="17" t="str">
        <f ca="1">IF(AD100=0,"",IFERROR(AD100/AD$19,""))</f>
        <v/>
      </c>
      <c r="AF100" s="50">
        <f>IF(AND($AA100="",AD100=""),"",$AA100-AD100)</f>
        <v>5885.1410999999998</v>
      </c>
      <c r="AG100" s="21">
        <v>15158</v>
      </c>
      <c r="AH100" s="17" t="str">
        <f ca="1">IF(AG100=0,"",IFERROR(AG100/AG$19,""))</f>
        <v/>
      </c>
      <c r="AI100" s="50">
        <f>IF(AND($AA100="",AG100=""),"",$AA100-AG100)</f>
        <v>-6098</v>
      </c>
    </row>
    <row r="101" spans="3:35" x14ac:dyDescent="0.25">
      <c r="C101" s="32"/>
      <c r="H101" s="149" t="s">
        <v>808</v>
      </c>
      <c r="I101" s="161"/>
      <c r="J101" s="161"/>
      <c r="L101" s="162" t="e">
        <f ca="1">_xll.EVPRO($B$1,H101,"JDEID")</f>
        <v>#NAME?</v>
      </c>
      <c r="M101" s="162" t="str">
        <f>IF(AND(I101="N",J101="N"),_xll.EVPRO($B$1,H101,"PSFTID"),"")</f>
        <v/>
      </c>
      <c r="N101" s="162" t="e">
        <f ca="1">IF(_xll.EVDES(H101,$B$1)="#NODATA","",_xll.EVDES(H101,$B$1))</f>
        <v>#NAME?</v>
      </c>
      <c r="O101" s="21"/>
      <c r="P101" s="21"/>
      <c r="Q101" s="21"/>
      <c r="R101" s="21">
        <v>850</v>
      </c>
      <c r="S101" s="21"/>
      <c r="T101" s="21"/>
      <c r="U101" s="21"/>
      <c r="V101" s="21"/>
      <c r="W101" s="21"/>
      <c r="X101" s="21"/>
      <c r="Y101" s="21">
        <v>4948</v>
      </c>
      <c r="Z101" s="21">
        <v>3694.96</v>
      </c>
      <c r="AA101" s="21">
        <f>SUM(O101:Z101)</f>
        <v>9492.9599999999991</v>
      </c>
      <c r="AB101" s="17" t="str">
        <f ca="1">IF(AA101=0,"",IFERROR(AA101/AA$19,""))</f>
        <v/>
      </c>
      <c r="AD101" s="21">
        <v>1058.9045000000001</v>
      </c>
      <c r="AE101" s="17" t="str">
        <f ca="1">IF(AD101=0,"",IFERROR(AD101/AD$19,""))</f>
        <v/>
      </c>
      <c r="AF101" s="50">
        <f>IF(AND($AA101="",AD101=""),"",$AA101-AD101)</f>
        <v>8434.0554999999986</v>
      </c>
      <c r="AG101" s="21">
        <v>615</v>
      </c>
      <c r="AH101" s="17" t="str">
        <f ca="1">IF(AG101=0,"",IFERROR(AG101/AG$19,""))</f>
        <v/>
      </c>
      <c r="AI101" s="50">
        <f>IF(AND($AA101="",AG101=""),"",$AA101-AG101)</f>
        <v>8877.9599999999991</v>
      </c>
    </row>
    <row r="102" spans="3:35" x14ac:dyDescent="0.25">
      <c r="C102" s="32"/>
      <c r="H102" s="149" t="s">
        <v>340</v>
      </c>
      <c r="I102" s="161"/>
      <c r="J102" s="161"/>
      <c r="L102" s="162" t="e">
        <f ca="1">_xll.EVPRO($B$1,H102,"JDEID")</f>
        <v>#NAME?</v>
      </c>
      <c r="M102" s="162" t="str">
        <f>IF(AND(I102="N",J102="N"),_xll.EVPRO($B$1,H102,"PSFTID"),"")</f>
        <v/>
      </c>
      <c r="N102" s="25" t="e">
        <f ca="1">IF(_xll.EVDES(H102,$B$1)="#NODATA","",_xll.EVDES(H102,$B$1))</f>
        <v>#NAME?</v>
      </c>
      <c r="O102" s="164"/>
      <c r="P102" s="164"/>
      <c r="Q102" s="164">
        <v>1151</v>
      </c>
      <c r="R102" s="164">
        <v>1723</v>
      </c>
      <c r="S102" s="164">
        <v>7276</v>
      </c>
      <c r="T102" s="164">
        <v>301</v>
      </c>
      <c r="U102" s="164"/>
      <c r="V102" s="164">
        <v>1170</v>
      </c>
      <c r="W102" s="164">
        <v>741</v>
      </c>
      <c r="X102" s="164"/>
      <c r="Y102" s="164">
        <v>4948</v>
      </c>
      <c r="Z102" s="164">
        <v>5432.96</v>
      </c>
      <c r="AA102" s="164">
        <f>SUM(O102:Z102)</f>
        <v>22742.959999999999</v>
      </c>
      <c r="AB102" s="175" t="str">
        <f ca="1">IF(AA102=0,"",IFERROR(AA102/AA$19,""))</f>
        <v/>
      </c>
      <c r="AD102" s="164">
        <v>5454.3028299999996</v>
      </c>
      <c r="AE102" s="175" t="str">
        <f ca="1">IF(AD102=0,"",IFERROR(AD102/AD$19,""))</f>
        <v/>
      </c>
      <c r="AF102" s="165">
        <f>IF(AND($AA102="",AD102=""),"",$AA102-AD102)</f>
        <v>17288.657169999999</v>
      </c>
      <c r="AG102" s="164">
        <v>19914</v>
      </c>
      <c r="AH102" s="175" t="str">
        <f ca="1">IF(AG102=0,"",IFERROR(AG102/AG$19,""))</f>
        <v/>
      </c>
      <c r="AI102" s="165">
        <f>IF(AND($AA102="",AG102=""),"",$AA102-AG102)</f>
        <v>2828.9599999999991</v>
      </c>
    </row>
    <row r="103" spans="3:35" x14ac:dyDescent="0.25">
      <c r="C103" s="32"/>
      <c r="H103" s="149"/>
      <c r="I103" s="161"/>
      <c r="J103" s="161"/>
      <c r="L103" s="162"/>
      <c r="M103" s="162"/>
      <c r="N103" s="8"/>
      <c r="O103" s="41"/>
      <c r="P103" s="45"/>
      <c r="Q103" s="45"/>
      <c r="R103" s="45"/>
      <c r="S103" s="45"/>
      <c r="T103" s="45"/>
      <c r="U103" s="45"/>
      <c r="V103" s="45"/>
      <c r="W103" s="45"/>
      <c r="X103" s="45"/>
      <c r="Y103" s="45"/>
      <c r="Z103" s="45"/>
      <c r="AA103" s="45"/>
      <c r="AB103" s="42"/>
      <c r="AD103" s="41"/>
      <c r="AE103" s="45"/>
      <c r="AF103" s="42"/>
      <c r="AG103" s="41"/>
      <c r="AH103" s="45"/>
      <c r="AI103" s="42"/>
    </row>
    <row r="104" spans="3:35" x14ac:dyDescent="0.25">
      <c r="C104" s="32"/>
      <c r="H104" s="149"/>
      <c r="I104" s="161"/>
      <c r="J104" s="161"/>
      <c r="L104" s="162"/>
      <c r="M104" s="162"/>
      <c r="N104" s="8" t="s">
        <v>339</v>
      </c>
      <c r="O104" s="43"/>
      <c r="P104" s="46"/>
      <c r="Q104" s="46"/>
      <c r="R104" s="46"/>
      <c r="S104" s="46"/>
      <c r="T104" s="46"/>
      <c r="U104" s="46"/>
      <c r="V104" s="46"/>
      <c r="W104" s="46"/>
      <c r="X104" s="46"/>
      <c r="Y104" s="46"/>
      <c r="Z104" s="46"/>
      <c r="AA104" s="46"/>
      <c r="AB104" s="44"/>
      <c r="AD104" s="43"/>
      <c r="AE104" s="46"/>
      <c r="AF104" s="44"/>
      <c r="AG104" s="43"/>
      <c r="AH104" s="46"/>
      <c r="AI104" s="44"/>
    </row>
    <row r="105" spans="3:35" x14ac:dyDescent="0.25">
      <c r="C105" s="32"/>
      <c r="H105" s="149" t="s">
        <v>295</v>
      </c>
      <c r="I105" s="161"/>
      <c r="J105" s="161"/>
      <c r="L105" s="162" t="e">
        <f ca="1">_xll.EVPRO($B$1,H105,"JDEID")</f>
        <v>#NAME?</v>
      </c>
      <c r="M105" s="162" t="str">
        <f>IF(AND(I105="N",J105="N"),_xll.EVPRO($B$1,H105,"PSFTID"),"")</f>
        <v/>
      </c>
      <c r="N105" s="162" t="e">
        <f ca="1">IF(_xll.EVDES(H105,$B$1)="#NODATA","",_xll.EVDES(H105,$B$1))</f>
        <v>#NAME?</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305</v>
      </c>
      <c r="I106" s="161"/>
      <c r="J106" s="161"/>
      <c r="L106" s="162" t="e">
        <f ca="1">_xll.EVPRO($B$1,H106,"JDEID")</f>
        <v>#NAME?</v>
      </c>
      <c r="M106" s="162" t="str">
        <f>IF(AND(I106="N",J106="N"),_xll.EVPRO($B$1,H106,"PSFTID"),"")</f>
        <v/>
      </c>
      <c r="N106" s="162" t="e">
        <f ca="1">IF(_xll.EVDES(H106,$B$1)="#NODATA","",_xll.EVDES(H106,$B$1))</f>
        <v>#NAME?</v>
      </c>
      <c r="O106" s="21"/>
      <c r="P106" s="21"/>
      <c r="Q106" s="21">
        <v>250</v>
      </c>
      <c r="R106" s="21">
        <v>-48</v>
      </c>
      <c r="S106" s="21"/>
      <c r="T106" s="21"/>
      <c r="U106" s="21"/>
      <c r="V106" s="21"/>
      <c r="W106" s="21"/>
      <c r="X106" s="21"/>
      <c r="Y106" s="21"/>
      <c r="Z106" s="21">
        <v>654</v>
      </c>
      <c r="AA106" s="21">
        <f>SUM(O106:Z106)</f>
        <v>856</v>
      </c>
      <c r="AB106" s="17" t="str">
        <f ca="1">IF(AA106=0,"",IFERROR(AA106/AA$19,""))</f>
        <v/>
      </c>
      <c r="AD106" s="21">
        <v>45.015599999999999</v>
      </c>
      <c r="AE106" s="17" t="str">
        <f ca="1">IF(AD106=0,"",IFERROR(AD106/AD$19,""))</f>
        <v/>
      </c>
      <c r="AF106" s="50">
        <f>IF(AND($AA106="",AD106=""),"",$AA106-AD106)</f>
        <v>810.98440000000005</v>
      </c>
      <c r="AG106" s="21">
        <v>211</v>
      </c>
      <c r="AH106" s="17" t="str">
        <f ca="1">IF(AG106=0,"",IFERROR(AG106/AG$19,""))</f>
        <v/>
      </c>
      <c r="AI106" s="50">
        <f>IF(AND($AA106="",AG106=""),"",$AA106-AG106)</f>
        <v>645</v>
      </c>
    </row>
    <row r="107" spans="3:35" x14ac:dyDescent="0.25">
      <c r="C107" s="32"/>
      <c r="H107" s="149" t="s">
        <v>306</v>
      </c>
      <c r="I107" s="161"/>
      <c r="J107" s="161"/>
      <c r="L107" s="162" t="e">
        <f ca="1">_xll.EVPRO($B$1,H107,"JDEID")</f>
        <v>#NAME?</v>
      </c>
      <c r="M107" s="162" t="str">
        <f>IF(AND(I107="N",J107="N"),_xll.EVPRO($B$1,H107,"PSFTID"),"")</f>
        <v/>
      </c>
      <c r="N107" s="162" t="e">
        <f ca="1">IF(_xll.EVDES(H107,$B$1)="#NODATA","",_xll.EVDES(H107,$B$1))</f>
        <v>#NAME?</v>
      </c>
      <c r="O107" s="21">
        <v>2095</v>
      </c>
      <c r="P107" s="21"/>
      <c r="Q107" s="21"/>
      <c r="R107" s="21"/>
      <c r="S107" s="21">
        <v>500</v>
      </c>
      <c r="T107" s="21">
        <v>10</v>
      </c>
      <c r="U107" s="21"/>
      <c r="V107" s="21"/>
      <c r="W107" s="21"/>
      <c r="X107" s="21"/>
      <c r="Y107" s="21"/>
      <c r="Z107" s="21"/>
      <c r="AA107" s="21">
        <f>SUM(O107:Z107)</f>
        <v>2605</v>
      </c>
      <c r="AB107" s="17" t="str">
        <f ca="1">IF(AA107=0,"",IFERROR(AA107/AA$19,""))</f>
        <v/>
      </c>
      <c r="AD107" s="21">
        <v>1216.8684000000001</v>
      </c>
      <c r="AE107" s="17" t="str">
        <f ca="1">IF(AD107=0,"",IFERROR(AD107/AD$19,""))</f>
        <v/>
      </c>
      <c r="AF107" s="50">
        <f>IF(AND($AA107="",AD107=""),"",$AA107-AD107)</f>
        <v>1388.1315999999999</v>
      </c>
      <c r="AG107" s="21">
        <v>603</v>
      </c>
      <c r="AH107" s="17" t="str">
        <f ca="1">IF(AG107=0,"",IFERROR(AG107/AG$19,""))</f>
        <v/>
      </c>
      <c r="AI107" s="50">
        <f>IF(AND($AA107="",AG107=""),"",$AA107-AG107)</f>
        <v>2002</v>
      </c>
    </row>
    <row r="108" spans="3:35" x14ac:dyDescent="0.25">
      <c r="C108" s="32"/>
      <c r="H108" s="149" t="s">
        <v>809</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v>20</v>
      </c>
      <c r="Z108" s="21">
        <v>510</v>
      </c>
      <c r="AA108" s="21">
        <f>SUM(O108:Z108)</f>
        <v>530</v>
      </c>
      <c r="AB108" s="17" t="str">
        <f ca="1">IF(AA108=0,"",IFERROR(AA108/AA$19,""))</f>
        <v/>
      </c>
      <c r="AD108" s="21">
        <v>814.44449999999995</v>
      </c>
      <c r="AE108" s="17" t="str">
        <f ca="1">IF(AD108=0,"",IFERROR(AD108/AD$19,""))</f>
        <v/>
      </c>
      <c r="AF108" s="50">
        <f>IF(AND($AA108="",AD108=""),"",$AA108-AD108)</f>
        <v>-284.44449999999995</v>
      </c>
      <c r="AG108" s="21">
        <v>127</v>
      </c>
      <c r="AH108" s="17" t="str">
        <f ca="1">IF(AG108=0,"",IFERROR(AG108/AG$19,""))</f>
        <v/>
      </c>
      <c r="AI108" s="50">
        <f>IF(AND($AA108="",AG108=""),"",$AA108-AG108)</f>
        <v>403</v>
      </c>
    </row>
    <row r="109" spans="3:35" x14ac:dyDescent="0.25">
      <c r="C109" s="32"/>
      <c r="H109" s="149" t="s">
        <v>342</v>
      </c>
      <c r="I109" s="161"/>
      <c r="J109" s="161"/>
      <c r="L109" s="162" t="e">
        <f ca="1">_xll.EVPRO($B$1,H109,"JDEID")</f>
        <v>#NAME?</v>
      </c>
      <c r="M109" s="162" t="str">
        <f>IF(AND(I109="N",J109="N"),_xll.EVPRO($B$1,H109,"PSFTID"),"")</f>
        <v/>
      </c>
      <c r="N109" s="25" t="e">
        <f ca="1">IF(_xll.EVDES(H109,$B$1)="#NODATA","",_xll.EVDES(H109,$B$1))</f>
        <v>#NAME?</v>
      </c>
      <c r="O109" s="164">
        <v>2095</v>
      </c>
      <c r="P109" s="164"/>
      <c r="Q109" s="164">
        <v>250</v>
      </c>
      <c r="R109" s="164">
        <v>-48</v>
      </c>
      <c r="S109" s="164">
        <v>500</v>
      </c>
      <c r="T109" s="164">
        <v>10</v>
      </c>
      <c r="U109" s="164"/>
      <c r="V109" s="164"/>
      <c r="W109" s="164"/>
      <c r="X109" s="164"/>
      <c r="Y109" s="164">
        <v>20</v>
      </c>
      <c r="Z109" s="164">
        <v>1164</v>
      </c>
      <c r="AA109" s="164">
        <f>SUM(O109:Z109)</f>
        <v>3991</v>
      </c>
      <c r="AB109" s="175" t="str">
        <f ca="1">IF(AA109=0,"",IFERROR(AA109/AA$19,""))</f>
        <v/>
      </c>
      <c r="AD109" s="164">
        <v>2076.3285000000001</v>
      </c>
      <c r="AE109" s="175" t="str">
        <f ca="1">IF(AD109=0,"",IFERROR(AD109/AD$19,""))</f>
        <v/>
      </c>
      <c r="AF109" s="165">
        <f>IF(AND($AA109="",AD109=""),"",$AA109-AD109)</f>
        <v>1914.6714999999999</v>
      </c>
      <c r="AG109" s="164">
        <v>941</v>
      </c>
      <c r="AH109" s="175" t="str">
        <f ca="1">IF(AG109=0,"",IFERROR(AG109/AG$19,""))</f>
        <v/>
      </c>
      <c r="AI109" s="165">
        <f>IF(AND($AA109="",AG109=""),"",$AA109-AG109)</f>
        <v>3050</v>
      </c>
    </row>
    <row r="110" spans="3:35" x14ac:dyDescent="0.25">
      <c r="C110" s="32"/>
      <c r="H110" s="149"/>
      <c r="I110" s="161"/>
      <c r="J110" s="161"/>
      <c r="L110" s="162"/>
      <c r="M110" s="162"/>
      <c r="N110" s="8"/>
      <c r="O110" s="41"/>
      <c r="P110" s="45"/>
      <c r="Q110" s="45"/>
      <c r="R110" s="45"/>
      <c r="S110" s="45"/>
      <c r="T110" s="45"/>
      <c r="U110" s="45"/>
      <c r="V110" s="45"/>
      <c r="W110" s="45"/>
      <c r="X110" s="45"/>
      <c r="Y110" s="45"/>
      <c r="Z110" s="45"/>
      <c r="AA110" s="45"/>
      <c r="AB110" s="42"/>
      <c r="AD110" s="41"/>
      <c r="AE110" s="45"/>
      <c r="AF110" s="42"/>
      <c r="AG110" s="41"/>
      <c r="AH110" s="45"/>
      <c r="AI110" s="42"/>
    </row>
    <row r="111" spans="3:35" x14ac:dyDescent="0.25">
      <c r="C111" s="32"/>
      <c r="H111" s="149"/>
      <c r="I111" s="161"/>
      <c r="J111" s="161"/>
      <c r="L111" s="162"/>
      <c r="M111" s="162"/>
      <c r="N111" s="8" t="s">
        <v>338</v>
      </c>
      <c r="O111" s="43"/>
      <c r="P111" s="46"/>
      <c r="Q111" s="46"/>
      <c r="R111" s="46"/>
      <c r="S111" s="46"/>
      <c r="T111" s="46"/>
      <c r="U111" s="46"/>
      <c r="V111" s="46"/>
      <c r="W111" s="46"/>
      <c r="X111" s="46"/>
      <c r="Y111" s="46"/>
      <c r="Z111" s="46"/>
      <c r="AA111" s="46"/>
      <c r="AB111" s="44"/>
      <c r="AD111" s="43"/>
      <c r="AE111" s="46"/>
      <c r="AF111" s="44"/>
      <c r="AG111" s="43"/>
      <c r="AH111" s="46"/>
      <c r="AI111" s="44"/>
    </row>
    <row r="112" spans="3:35" x14ac:dyDescent="0.25">
      <c r="C112" s="32"/>
      <c r="H112" s="149" t="s">
        <v>296</v>
      </c>
      <c r="I112" s="161"/>
      <c r="J112" s="161"/>
      <c r="L112" s="162" t="e">
        <f ca="1">_xll.EVPRO($B$1,H112,"JDEID")</f>
        <v>#NAME?</v>
      </c>
      <c r="M112" s="162" t="str">
        <f>IF(AND(I112="N",J112="N"),_xll.EVPRO($B$1,H112,"PSFTID"),"")</f>
        <v/>
      </c>
      <c r="N112" s="162" t="e">
        <f ca="1">IF(_xll.EVDES(H112,$B$1)="#NODATA","",_xll.EVDES(H112,$B$1))</f>
        <v>#NAME?</v>
      </c>
      <c r="O112" s="21"/>
      <c r="P112" s="21"/>
      <c r="Q112" s="21"/>
      <c r="R112" s="21"/>
      <c r="S112" s="21"/>
      <c r="T112" s="21"/>
      <c r="U112" s="21"/>
      <c r="V112" s="21"/>
      <c r="W112" s="21"/>
      <c r="X112" s="21"/>
      <c r="Y112" s="21"/>
      <c r="Z112" s="21">
        <v>152</v>
      </c>
      <c r="AA112" s="21">
        <f>SUM(O112:Z112)</f>
        <v>152</v>
      </c>
      <c r="AB112" s="17" t="str">
        <f ca="1">IF(AA112=0,"",IFERROR(AA112/AA$19,""))</f>
        <v/>
      </c>
      <c r="AD112" s="21"/>
      <c r="AE112" s="17" t="str">
        <f>IF(AD112=0,"",IFERROR(AD112/AD$19,""))</f>
        <v/>
      </c>
      <c r="AF112" s="50">
        <f>IF(AND($AA112="",AD112=""),"",$AA112-AD112)</f>
        <v>152</v>
      </c>
      <c r="AG112" s="21"/>
      <c r="AH112" s="17" t="str">
        <f>IF(AG112=0,"",IFERROR(AG112/AG$19,""))</f>
        <v/>
      </c>
      <c r="AI112" s="50">
        <f>IF(AND($AA112="",AG112=""),"",$AA112-AG112)</f>
        <v>152</v>
      </c>
    </row>
    <row r="113" spans="3:35" x14ac:dyDescent="0.25">
      <c r="C113" s="32"/>
      <c r="H113" s="149" t="s">
        <v>303</v>
      </c>
      <c r="I113" s="161"/>
      <c r="J113" s="161"/>
      <c r="L113" s="162" t="e">
        <f ca="1">_xll.EVPRO($B$1,H113,"JDEID")</f>
        <v>#NAME?</v>
      </c>
      <c r="M113" s="162" t="str">
        <f>IF(AND(I113="N",J113="N"),_xll.EVPRO($B$1,H113,"PSFTID"),"")</f>
        <v/>
      </c>
      <c r="N113" s="162" t="e">
        <f ca="1">IF(_xll.EVDES(H113,$B$1)="#NODATA","",_xll.EVDES(H113,$B$1))</f>
        <v>#NAME?</v>
      </c>
      <c r="O113" s="21"/>
      <c r="P113" s="21"/>
      <c r="Q113" s="21"/>
      <c r="R113" s="21">
        <v>433</v>
      </c>
      <c r="S113" s="21"/>
      <c r="T113" s="21"/>
      <c r="U113" s="21"/>
      <c r="V113" s="21"/>
      <c r="W113" s="21"/>
      <c r="X113" s="21"/>
      <c r="Y113" s="21"/>
      <c r="Z113" s="21">
        <v>588</v>
      </c>
      <c r="AA113" s="21">
        <f>SUM(O113:Z113)</f>
        <v>1021</v>
      </c>
      <c r="AB113" s="17" t="str">
        <f ca="1">IF(AA113=0,"",IFERROR(AA113/AA$19,""))</f>
        <v/>
      </c>
      <c r="AD113" s="21">
        <v>1094.4598550000001</v>
      </c>
      <c r="AE113" s="17" t="str">
        <f ca="1">IF(AD113=0,"",IFERROR(AD113/AD$19,""))</f>
        <v/>
      </c>
      <c r="AF113" s="50">
        <f>IF(AND($AA113="",AD113=""),"",$AA113-AD113)</f>
        <v>-73.459855000000061</v>
      </c>
      <c r="AG113" s="21">
        <v>851</v>
      </c>
      <c r="AH113" s="17" t="str">
        <f ca="1">IF(AG113=0,"",IFERROR(AG113/AG$19,""))</f>
        <v/>
      </c>
      <c r="AI113" s="50">
        <f>IF(AND($AA113="",AG113=""),"",$AA113-AG113)</f>
        <v>170</v>
      </c>
    </row>
    <row r="114" spans="3:35" x14ac:dyDescent="0.25">
      <c r="C114" s="32"/>
      <c r="H114" s="149" t="s">
        <v>304</v>
      </c>
      <c r="I114" s="161"/>
      <c r="J114" s="161"/>
      <c r="L114" s="162" t="e">
        <f ca="1">_xll.EVPRO($B$1,H114,"JDEID")</f>
        <v>#NAME?</v>
      </c>
      <c r="M114" s="162" t="str">
        <f>IF(AND(I114="N",J114="N"),_xll.EVPRO($B$1,H114,"PSFTID"),"")</f>
        <v/>
      </c>
      <c r="N114" s="162" t="e">
        <f ca="1">IF(_xll.EVDES(H114,$B$1)="#NODATA","",_xll.EVDES(H114,$B$1))</f>
        <v>#NAME?</v>
      </c>
      <c r="O114" s="21">
        <v>1441</v>
      </c>
      <c r="P114" s="21"/>
      <c r="Q114" s="21">
        <v>-336</v>
      </c>
      <c r="R114" s="21"/>
      <c r="S114" s="21">
        <v>1736</v>
      </c>
      <c r="T114" s="21"/>
      <c r="U114" s="21"/>
      <c r="V114" s="21"/>
      <c r="W114" s="21"/>
      <c r="X114" s="21"/>
      <c r="Y114" s="21"/>
      <c r="Z114" s="21">
        <v>314.79000000000002</v>
      </c>
      <c r="AA114" s="21">
        <f>SUM(O114:Z114)</f>
        <v>3155.79</v>
      </c>
      <c r="AB114" s="17" t="str">
        <f ca="1">IF(AA114=0,"",IFERROR(AA114/AA$19,""))</f>
        <v/>
      </c>
      <c r="AD114" s="21"/>
      <c r="AE114" s="17" t="str">
        <f>IF(AD114=0,"",IFERROR(AD114/AD$19,""))</f>
        <v/>
      </c>
      <c r="AF114" s="50">
        <f>IF(AND($AA114="",AD114=""),"",$AA114-AD114)</f>
        <v>3155.79</v>
      </c>
      <c r="AG114" s="21">
        <v>104</v>
      </c>
      <c r="AH114" s="17" t="str">
        <f ca="1">IF(AG114=0,"",IFERROR(AG114/AG$19,""))</f>
        <v/>
      </c>
      <c r="AI114" s="50">
        <f>IF(AND($AA114="",AG114=""),"",$AA114-AG114)</f>
        <v>3051.79</v>
      </c>
    </row>
    <row r="115" spans="3:35" x14ac:dyDescent="0.25">
      <c r="C115" s="32"/>
      <c r="H115" s="149" t="s">
        <v>810</v>
      </c>
      <c r="I115" s="161"/>
      <c r="J115" s="161"/>
      <c r="L115" s="162" t="e">
        <f ca="1">_xll.EVPRO($B$1,H115,"JDEID")</f>
        <v>#NAME?</v>
      </c>
      <c r="M115" s="162" t="str">
        <f>IF(AND(I115="N",J115="N"),_xll.EVPRO($B$1,H115,"PSFTID"),"")</f>
        <v/>
      </c>
      <c r="N115" s="162" t="e">
        <f ca="1">IF(_xll.EVDES(H115,$B$1)="#NODATA","",_xll.EVDES(H115,$B$1))</f>
        <v>#NAME?</v>
      </c>
      <c r="O115" s="21"/>
      <c r="P115" s="21"/>
      <c r="Q115" s="21">
        <v>2338</v>
      </c>
      <c r="R115" s="21"/>
      <c r="S115" s="21"/>
      <c r="T115" s="21"/>
      <c r="U115" s="21"/>
      <c r="V115" s="21"/>
      <c r="W115" s="21">
        <v>144</v>
      </c>
      <c r="X115" s="21"/>
      <c r="Y115" s="21"/>
      <c r="Z115" s="21">
        <v>72</v>
      </c>
      <c r="AA115" s="21">
        <f>SUM(O115:Z115)</f>
        <v>2554</v>
      </c>
      <c r="AB115" s="17" t="str">
        <f ca="1">IF(AA115=0,"",IFERROR(AA115/AA$19,""))</f>
        <v/>
      </c>
      <c r="AD115" s="21"/>
      <c r="AE115" s="17" t="str">
        <f>IF(AD115=0,"",IFERROR(AD115/AD$19,""))</f>
        <v/>
      </c>
      <c r="AF115" s="50">
        <f>IF(AND($AA115="",AD115=""),"",$AA115-AD115)</f>
        <v>2554</v>
      </c>
      <c r="AG115" s="21">
        <v>52</v>
      </c>
      <c r="AH115" s="17" t="str">
        <f ca="1">IF(AG115=0,"",IFERROR(AG115/AG$19,""))</f>
        <v/>
      </c>
      <c r="AI115" s="50">
        <f>IF(AND($AA115="",AG115=""),"",$AA115-AG115)</f>
        <v>2502</v>
      </c>
    </row>
    <row r="116" spans="3:35" x14ac:dyDescent="0.25">
      <c r="C116" s="32"/>
      <c r="H116" s="149" t="s">
        <v>341</v>
      </c>
      <c r="I116" s="161"/>
      <c r="J116" s="161"/>
      <c r="L116" s="162" t="e">
        <f ca="1">_xll.EVPRO($B$1,H116,"JDEID")</f>
        <v>#NAME?</v>
      </c>
      <c r="M116" s="162" t="str">
        <f>IF(AND(I116="N",J116="N"),_xll.EVPRO($B$1,H116,"PSFTID"),"")</f>
        <v/>
      </c>
      <c r="N116" s="25" t="e">
        <f ca="1">IF(_xll.EVDES(H116,$B$1)="#NODATA","",_xll.EVDES(H116,$B$1))</f>
        <v>#NAME?</v>
      </c>
      <c r="O116" s="164">
        <v>1441</v>
      </c>
      <c r="P116" s="164"/>
      <c r="Q116" s="164">
        <v>2002</v>
      </c>
      <c r="R116" s="164">
        <v>433</v>
      </c>
      <c r="S116" s="164">
        <v>1736</v>
      </c>
      <c r="T116" s="164"/>
      <c r="U116" s="164"/>
      <c r="V116" s="164"/>
      <c r="W116" s="164">
        <v>144</v>
      </c>
      <c r="X116" s="164"/>
      <c r="Y116" s="164"/>
      <c r="Z116" s="164">
        <v>1126.79</v>
      </c>
      <c r="AA116" s="164">
        <f>SUM(O116:Z116)</f>
        <v>6882.79</v>
      </c>
      <c r="AB116" s="175" t="str">
        <f ca="1">IF(AA116=0,"",IFERROR(AA116/AA$19,""))</f>
        <v/>
      </c>
      <c r="AD116" s="164">
        <v>1094.4598550000001</v>
      </c>
      <c r="AE116" s="175" t="str">
        <f ca="1">IF(AD116=0,"",IFERROR(AD116/AD$19,""))</f>
        <v/>
      </c>
      <c r="AF116" s="165">
        <f>IF(AND($AA116="",AD116=""),"",$AA116-AD116)</f>
        <v>5788.3301449999999</v>
      </c>
      <c r="AG116" s="164">
        <v>1007</v>
      </c>
      <c r="AH116" s="175" t="str">
        <f ca="1">IF(AG116=0,"",IFERROR(AG116/AG$19,""))</f>
        <v/>
      </c>
      <c r="AI116" s="165">
        <f>IF(AND($AA116="",AG116=""),"",$AA116-AG116)</f>
        <v>5875.79</v>
      </c>
    </row>
    <row r="117" spans="3:35" x14ac:dyDescent="0.25">
      <c r="C117" s="32"/>
      <c r="H117" s="149"/>
      <c r="I117" s="161"/>
      <c r="J117" s="161"/>
      <c r="L117" s="162"/>
      <c r="M117" s="162"/>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5" t="s">
        <v>267</v>
      </c>
      <c r="I118" s="161"/>
      <c r="J118" s="161"/>
      <c r="L118" s="162" t="e">
        <f ca="1">_xll.EVPRO($B$1,H118,"JDEID")</f>
        <v>#NAME?</v>
      </c>
      <c r="M118" s="162" t="str">
        <f>IF(AND(I118="N",J118="N"),_xll.EVPRO($B$1,H118,"PSFTID"),"")</f>
        <v/>
      </c>
      <c r="N118" s="162" t="e">
        <f ca="1">IF(_xll.EVDES(H118,$B$1)="#NODATA","",_xll.EVDES(H118,$B$1))</f>
        <v>#NAME?</v>
      </c>
      <c r="O118" s="21">
        <f t="shared" ref="O118:Z118" si="28">O98+O105+O112</f>
        <v>0</v>
      </c>
      <c r="P118" s="21">
        <f t="shared" si="28"/>
        <v>0</v>
      </c>
      <c r="Q118" s="21">
        <f t="shared" si="28"/>
        <v>0</v>
      </c>
      <c r="R118" s="21">
        <f t="shared" si="28"/>
        <v>0</v>
      </c>
      <c r="S118" s="21">
        <f t="shared" si="28"/>
        <v>0</v>
      </c>
      <c r="T118" s="21">
        <f t="shared" si="28"/>
        <v>0</v>
      </c>
      <c r="U118" s="21">
        <f t="shared" si="28"/>
        <v>0</v>
      </c>
      <c r="V118" s="21">
        <f t="shared" si="28"/>
        <v>1170</v>
      </c>
      <c r="W118" s="21">
        <f t="shared" si="28"/>
        <v>0</v>
      </c>
      <c r="X118" s="21">
        <f t="shared" si="28"/>
        <v>0</v>
      </c>
      <c r="Y118" s="21">
        <f t="shared" si="28"/>
        <v>0</v>
      </c>
      <c r="Z118" s="21">
        <f t="shared" si="28"/>
        <v>1615</v>
      </c>
      <c r="AA118" s="21">
        <f>SUM(O118:Z118)</f>
        <v>2785</v>
      </c>
      <c r="AB118" s="17" t="str">
        <f ca="1">IF(AA118=0,"",IFERROR(AA118/AA$19,""))</f>
        <v/>
      </c>
      <c r="AD118" s="21">
        <f>AD98+AD105+AD112</f>
        <v>0</v>
      </c>
      <c r="AE118" s="17" t="str">
        <f>IF(AD118=0,"",IFERROR(AD118/AD$19,""))</f>
        <v/>
      </c>
      <c r="AF118" s="50">
        <f>IF(AND($AA118="",AD118=""),"",$AA118-AD118)</f>
        <v>2785</v>
      </c>
      <c r="AG118" s="21">
        <f>AG98+AG105+AG112</f>
        <v>0</v>
      </c>
      <c r="AH118" s="17" t="str">
        <f>IF(AG118=0,"",IFERROR(AG118/AG$19,""))</f>
        <v/>
      </c>
      <c r="AI118" s="50">
        <f>IF(AND($AA118="",AG118=""),"",$AA118-AG118)</f>
        <v>2785</v>
      </c>
    </row>
    <row r="119" spans="3:35" x14ac:dyDescent="0.25">
      <c r="C119" s="32"/>
      <c r="H119" s="15" t="s">
        <v>268</v>
      </c>
      <c r="I119" s="161"/>
      <c r="J119" s="161"/>
      <c r="L119" s="162" t="e">
        <f ca="1">_xll.EVPRO($B$1,H119,"JDEID")</f>
        <v>#NAME?</v>
      </c>
      <c r="M119" s="162" t="str">
        <f>IF(AND(I119="N",J119="N"),_xll.EVPRO($B$1,H119,"PSFTID"),"")</f>
        <v/>
      </c>
      <c r="N119" s="162" t="e">
        <f ca="1">IF(_xll.EVDES(H119,$B$1)="#NODATA","",_xll.EVDES(H119,$B$1))</f>
        <v>#NAME?</v>
      </c>
      <c r="O119" s="21">
        <f t="shared" ref="O119:Z119" si="29">O99+O106+O113</f>
        <v>0</v>
      </c>
      <c r="P119" s="21">
        <f t="shared" si="29"/>
        <v>0</v>
      </c>
      <c r="Q119" s="21">
        <f t="shared" si="29"/>
        <v>300</v>
      </c>
      <c r="R119" s="21">
        <f t="shared" si="29"/>
        <v>1258</v>
      </c>
      <c r="S119" s="21">
        <f t="shared" si="29"/>
        <v>0</v>
      </c>
      <c r="T119" s="21">
        <f t="shared" si="29"/>
        <v>73</v>
      </c>
      <c r="U119" s="21">
        <f t="shared" si="29"/>
        <v>0</v>
      </c>
      <c r="V119" s="21">
        <f t="shared" si="29"/>
        <v>0</v>
      </c>
      <c r="W119" s="21">
        <f t="shared" si="29"/>
        <v>741</v>
      </c>
      <c r="X119" s="21">
        <f t="shared" si="29"/>
        <v>0</v>
      </c>
      <c r="Y119" s="21">
        <f t="shared" si="29"/>
        <v>0</v>
      </c>
      <c r="Z119" s="21">
        <f t="shared" si="29"/>
        <v>1062</v>
      </c>
      <c r="AA119" s="21">
        <f>SUM(O119:Z119)</f>
        <v>3434</v>
      </c>
      <c r="AB119" s="17" t="str">
        <f ca="1">IF(AA119=0,"",IFERROR(AA119/AA$19,""))</f>
        <v/>
      </c>
      <c r="AD119" s="21">
        <f>AD99+AD106+AD113</f>
        <v>2360.014885</v>
      </c>
      <c r="AE119" s="17" t="str">
        <f ca="1">IF(AD119=0,"",IFERROR(AD119/AD$19,""))</f>
        <v/>
      </c>
      <c r="AF119" s="50">
        <f>IF(AND($AA119="",AD119=""),"",$AA119-AD119)</f>
        <v>1073.985115</v>
      </c>
      <c r="AG119" s="21">
        <f>AG99+AG106+AG113</f>
        <v>5203</v>
      </c>
      <c r="AH119" s="17" t="str">
        <f ca="1">IF(AG119=0,"",IFERROR(AG119/AG$19,""))</f>
        <v/>
      </c>
      <c r="AI119" s="50">
        <f>IF(AND($AA119="",AG119=""),"",$AA119-AG119)</f>
        <v>-1769</v>
      </c>
    </row>
    <row r="120" spans="3:35" x14ac:dyDescent="0.25">
      <c r="C120" s="32"/>
      <c r="H120" s="149" t="s">
        <v>269</v>
      </c>
      <c r="I120" s="161"/>
      <c r="J120" s="161"/>
      <c r="L120" s="162" t="e">
        <f ca="1">_xll.EVPRO($B$1,H120,"JDEID")</f>
        <v>#NAME?</v>
      </c>
      <c r="M120" s="162" t="str">
        <f>IF(AND(I120="N",J120="N"),_xll.EVPRO($B$1,H120,"PSFTID"),"")</f>
        <v/>
      </c>
      <c r="N120" s="162" t="e">
        <f ca="1">IF(_xll.EVDES(H120,$B$1)="#NODATA","",_xll.EVDES(H120,$B$1))</f>
        <v>#NAME?</v>
      </c>
      <c r="O120" s="21">
        <f t="shared" ref="O120:Z120" si="30">O100+O107+O114</f>
        <v>3536</v>
      </c>
      <c r="P120" s="21">
        <f t="shared" si="30"/>
        <v>0</v>
      </c>
      <c r="Q120" s="21">
        <f t="shared" si="30"/>
        <v>765</v>
      </c>
      <c r="R120" s="21">
        <f t="shared" si="30"/>
        <v>0</v>
      </c>
      <c r="S120" s="21">
        <f t="shared" si="30"/>
        <v>9512</v>
      </c>
      <c r="T120" s="21">
        <f t="shared" si="30"/>
        <v>238</v>
      </c>
      <c r="U120" s="21">
        <f t="shared" si="30"/>
        <v>0</v>
      </c>
      <c r="V120" s="21">
        <f t="shared" si="30"/>
        <v>0</v>
      </c>
      <c r="W120" s="21">
        <f t="shared" si="30"/>
        <v>0</v>
      </c>
      <c r="X120" s="21">
        <f t="shared" si="30"/>
        <v>0</v>
      </c>
      <c r="Y120" s="21">
        <f t="shared" si="30"/>
        <v>0</v>
      </c>
      <c r="Z120" s="21">
        <f t="shared" si="30"/>
        <v>769.79</v>
      </c>
      <c r="AA120" s="21">
        <f>SUM(O120:Z120)</f>
        <v>14820.79</v>
      </c>
      <c r="AB120" s="17" t="str">
        <f ca="1">IF(AA120=0,"",IFERROR(AA120/AA$19,""))</f>
        <v/>
      </c>
      <c r="AD120" s="21">
        <f>AD100+AD107+AD114</f>
        <v>4391.7273000000005</v>
      </c>
      <c r="AE120" s="17" t="str">
        <f ca="1">IF(AD120=0,"",IFERROR(AD120/AD$19,""))</f>
        <v/>
      </c>
      <c r="AF120" s="50">
        <f>IF(AND($AA120="",AD120=""),"",$AA120-AD120)</f>
        <v>10429.0627</v>
      </c>
      <c r="AG120" s="21">
        <f>AG100+AG107+AG114</f>
        <v>15865</v>
      </c>
      <c r="AH120" s="17" t="str">
        <f ca="1">IF(AG120=0,"",IFERROR(AG120/AG$19,""))</f>
        <v/>
      </c>
      <c r="AI120" s="50">
        <f>IF(AND($AA120="",AG120=""),"",$AA120-AG120)</f>
        <v>-1044.2099999999991</v>
      </c>
    </row>
    <row r="121" spans="3:35" x14ac:dyDescent="0.25">
      <c r="C121" s="32"/>
      <c r="H121" s="149" t="s">
        <v>791</v>
      </c>
      <c r="I121" s="161"/>
      <c r="J121" s="161"/>
      <c r="L121" s="162" t="e">
        <f ca="1">_xll.EVPRO($B$1,H121,"JDEID")</f>
        <v>#NAME?</v>
      </c>
      <c r="M121" s="162" t="str">
        <f>IF(AND(I121="N",J121="N"),_xll.EVPRO($B$1,H121,"PSFTID"),"")</f>
        <v/>
      </c>
      <c r="N121" s="162" t="e">
        <f ca="1">IF(_xll.EVDES(H121,$B$1)="#NODATA","",_xll.EVDES(H121,$B$1))</f>
        <v>#NAME?</v>
      </c>
      <c r="O121" s="21">
        <f t="shared" ref="O121:Z121" si="31">O101+O108+O115</f>
        <v>0</v>
      </c>
      <c r="P121" s="21">
        <f t="shared" si="31"/>
        <v>0</v>
      </c>
      <c r="Q121" s="21">
        <f t="shared" si="31"/>
        <v>2338</v>
      </c>
      <c r="R121" s="21">
        <f t="shared" si="31"/>
        <v>850</v>
      </c>
      <c r="S121" s="21">
        <f t="shared" si="31"/>
        <v>0</v>
      </c>
      <c r="T121" s="21">
        <f t="shared" si="31"/>
        <v>0</v>
      </c>
      <c r="U121" s="21">
        <f t="shared" si="31"/>
        <v>0</v>
      </c>
      <c r="V121" s="21">
        <f t="shared" si="31"/>
        <v>0</v>
      </c>
      <c r="W121" s="21">
        <f t="shared" si="31"/>
        <v>144</v>
      </c>
      <c r="X121" s="21">
        <f t="shared" si="31"/>
        <v>0</v>
      </c>
      <c r="Y121" s="21">
        <f t="shared" si="31"/>
        <v>4968</v>
      </c>
      <c r="Z121" s="21">
        <f t="shared" si="31"/>
        <v>4276.96</v>
      </c>
      <c r="AA121" s="21">
        <f>SUM(O121:Z121)</f>
        <v>12576.96</v>
      </c>
      <c r="AB121" s="17" t="str">
        <f ca="1">IF(AA121=0,"",IFERROR(AA121/AA$19,""))</f>
        <v/>
      </c>
      <c r="AD121" s="21">
        <f>AD101+AD108+AD115</f>
        <v>1873.3490000000002</v>
      </c>
      <c r="AE121" s="17" t="str">
        <f ca="1">IF(AD121=0,"",IFERROR(AD121/AD$19,""))</f>
        <v/>
      </c>
      <c r="AF121" s="50">
        <f>IF(AND($AA121="",AD121=""),"",$AA121-AD121)</f>
        <v>10703.610999999999</v>
      </c>
      <c r="AG121" s="21">
        <f>AG101+AG108+AG115</f>
        <v>794</v>
      </c>
      <c r="AH121" s="17" t="str">
        <f ca="1">IF(AG121=0,"",IFERROR(AG121/AG$19,""))</f>
        <v/>
      </c>
      <c r="AI121" s="50">
        <f>IF(AND($AA121="",AG121=""),"",$AA121-AG121)</f>
        <v>11782.96</v>
      </c>
    </row>
    <row r="122" spans="3:35" x14ac:dyDescent="0.25">
      <c r="C122" s="32"/>
      <c r="H122" s="15" t="s">
        <v>272</v>
      </c>
      <c r="I122" s="161"/>
      <c r="J122" s="161"/>
      <c r="L122" s="162" t="e">
        <f ca="1">_xll.EVPRO($B$1,H122,"JDEID")</f>
        <v>#NAME?</v>
      </c>
      <c r="M122" s="162" t="str">
        <f>IF(AND(I122="N",J122="N"),_xll.EVPRO($B$1,H122,"PSFTID"),"")</f>
        <v/>
      </c>
      <c r="N122" s="25" t="e">
        <f ca="1">IF(_xll.EVDES(H122,$B$1)="#NODATA","",_xll.EVDES(H122,$B$1))</f>
        <v>#NAME?</v>
      </c>
      <c r="O122" s="164">
        <f t="shared" ref="O122:Z122" si="32">SUM(O118:O121)</f>
        <v>3536</v>
      </c>
      <c r="P122" s="164">
        <f t="shared" si="32"/>
        <v>0</v>
      </c>
      <c r="Q122" s="164">
        <f t="shared" si="32"/>
        <v>3403</v>
      </c>
      <c r="R122" s="164">
        <f t="shared" si="32"/>
        <v>2108</v>
      </c>
      <c r="S122" s="164">
        <f t="shared" si="32"/>
        <v>9512</v>
      </c>
      <c r="T122" s="164">
        <f t="shared" si="32"/>
        <v>311</v>
      </c>
      <c r="U122" s="164">
        <f t="shared" si="32"/>
        <v>0</v>
      </c>
      <c r="V122" s="164">
        <f t="shared" si="32"/>
        <v>1170</v>
      </c>
      <c r="W122" s="164">
        <f t="shared" si="32"/>
        <v>885</v>
      </c>
      <c r="X122" s="164">
        <f t="shared" si="32"/>
        <v>0</v>
      </c>
      <c r="Y122" s="164">
        <f t="shared" si="32"/>
        <v>4968</v>
      </c>
      <c r="Z122" s="164">
        <f t="shared" si="32"/>
        <v>7723.75</v>
      </c>
      <c r="AA122" s="164">
        <f>SUM(O122:Z122)</f>
        <v>33616.75</v>
      </c>
      <c r="AB122" s="175" t="str">
        <f ca="1">IF(AA122=0,"",IFERROR(AA122/AA$19,""))</f>
        <v/>
      </c>
      <c r="AD122" s="164">
        <f>SUM(AD118:AD121)</f>
        <v>8625.0911850000011</v>
      </c>
      <c r="AE122" s="175" t="str">
        <f ca="1">IF(AD122=0,"",IFERROR(AD122/AD$19,""))</f>
        <v/>
      </c>
      <c r="AF122" s="165">
        <f>IF(AND($AA122="",AD122=""),"",$AA122-AD122)</f>
        <v>24991.658814999999</v>
      </c>
      <c r="AG122" s="164">
        <f>SUM(AG118:AG121)</f>
        <v>21862</v>
      </c>
      <c r="AH122" s="175" t="str">
        <f ca="1">IF(AG122=0,"",IFERROR(AG122/AG$19,""))</f>
        <v/>
      </c>
      <c r="AI122" s="165">
        <f>IF(AND($AA122="",AG122=""),"",$AA122-AG122)</f>
        <v>11754.75</v>
      </c>
    </row>
    <row r="123" spans="3:35" x14ac:dyDescent="0.25">
      <c r="C123" s="32"/>
      <c r="H123" s="149"/>
      <c r="I123" s="161"/>
      <c r="J123" s="161"/>
      <c r="O123" s="139">
        <f t="shared" ref="O123:AA123" si="33">O102+O109+O116-O122</f>
        <v>0</v>
      </c>
      <c r="P123" s="139">
        <f t="shared" si="33"/>
        <v>0</v>
      </c>
      <c r="Q123" s="139">
        <f t="shared" si="33"/>
        <v>0</v>
      </c>
      <c r="R123" s="139">
        <f t="shared" si="33"/>
        <v>0</v>
      </c>
      <c r="S123" s="139">
        <f t="shared" si="33"/>
        <v>0</v>
      </c>
      <c r="T123" s="139">
        <f t="shared" si="33"/>
        <v>0</v>
      </c>
      <c r="U123" s="139">
        <f t="shared" si="33"/>
        <v>0</v>
      </c>
      <c r="V123" s="139">
        <f t="shared" si="33"/>
        <v>0</v>
      </c>
      <c r="W123" s="139">
        <f t="shared" si="33"/>
        <v>0</v>
      </c>
      <c r="X123" s="139">
        <f t="shared" si="33"/>
        <v>0</v>
      </c>
      <c r="Y123" s="139">
        <f t="shared" si="33"/>
        <v>0</v>
      </c>
      <c r="Z123" s="139">
        <f t="shared" si="33"/>
        <v>0</v>
      </c>
      <c r="AA123" s="139">
        <f t="shared" si="33"/>
        <v>0</v>
      </c>
      <c r="AB123" s="17"/>
      <c r="AD123" s="139">
        <f>AD102+AD109+AD116-AD122</f>
        <v>0</v>
      </c>
      <c r="AE123" s="17"/>
      <c r="AF123" s="21"/>
      <c r="AG123" s="139">
        <f>AG102+AG109+AG116-AG122</f>
        <v>0</v>
      </c>
      <c r="AH123" s="17"/>
      <c r="AI123" s="21"/>
    </row>
    <row r="124" spans="3:35" x14ac:dyDescent="0.25">
      <c r="C124" s="32"/>
      <c r="H124" s="149"/>
      <c r="I124" s="161"/>
      <c r="J124" s="161"/>
      <c r="O124" s="41"/>
      <c r="P124" s="45"/>
      <c r="Q124" s="45"/>
      <c r="R124" s="45"/>
      <c r="S124" s="45"/>
      <c r="T124" s="45"/>
      <c r="U124" s="45"/>
      <c r="V124" s="45"/>
      <c r="W124" s="45"/>
      <c r="X124" s="45"/>
      <c r="Y124" s="45"/>
      <c r="Z124" s="45"/>
      <c r="AA124" s="45"/>
      <c r="AB124" s="42"/>
      <c r="AD124" s="41"/>
      <c r="AE124" s="45"/>
      <c r="AF124" s="42"/>
      <c r="AG124" s="41"/>
      <c r="AH124" s="45"/>
      <c r="AI124" s="42"/>
    </row>
    <row r="125" spans="3:35" ht="15.75" x14ac:dyDescent="0.25">
      <c r="C125" s="32"/>
      <c r="H125" s="149" t="s">
        <v>281</v>
      </c>
      <c r="I125" s="161"/>
      <c r="J125" s="161"/>
      <c r="N125" s="174" t="e">
        <f ca="1">IF(_xll.EVDES(H125,$B$1)="#NODATA","",_xll.EVDES(H125,$B$1))</f>
        <v>#NAME?</v>
      </c>
      <c r="O125" s="486"/>
      <c r="P125" s="466"/>
      <c r="Q125" s="466"/>
      <c r="R125" s="466"/>
      <c r="S125" s="466"/>
      <c r="T125" s="466"/>
      <c r="U125" s="466"/>
      <c r="V125" s="466"/>
      <c r="W125" s="466"/>
      <c r="X125" s="466"/>
      <c r="Y125" s="466"/>
      <c r="Z125" s="466"/>
      <c r="AA125" s="466"/>
      <c r="AB125" s="487"/>
      <c r="AD125" s="486"/>
      <c r="AE125" s="466"/>
      <c r="AF125" s="466"/>
      <c r="AG125" s="466"/>
      <c r="AH125" s="466"/>
      <c r="AI125" s="487"/>
    </row>
    <row r="126" spans="3:35" x14ac:dyDescent="0.25">
      <c r="C126" s="32"/>
      <c r="H126" s="149">
        <v>561100</v>
      </c>
      <c r="I126" s="161"/>
      <c r="J126" s="161"/>
      <c r="L126" s="162" t="e">
        <f ca="1">_xll.EVPRO($B$1,H126,"JDEID")</f>
        <v>#NAME?</v>
      </c>
      <c r="M126" s="162" t="str">
        <f>IF(AND(I126="N",J126="N"),_xll.EVPRO($B$1,H126,"PSFTID"),"")</f>
        <v/>
      </c>
      <c r="N126" s="162" t="e">
        <f ca="1">IF(_xll.EVDES(H126,$B$1)="#NODATA","",_xll.EVDES(H126,$B$1))</f>
        <v>#NAME?</v>
      </c>
      <c r="O126" s="21">
        <v>11439.71</v>
      </c>
      <c r="P126" s="21">
        <v>7097.98</v>
      </c>
      <c r="Q126" s="21">
        <v>5665.08</v>
      </c>
      <c r="R126" s="21">
        <v>1979.62</v>
      </c>
      <c r="S126" s="21">
        <v>2706.16</v>
      </c>
      <c r="T126" s="21">
        <v>1715.23</v>
      </c>
      <c r="U126" s="21">
        <v>67.73</v>
      </c>
      <c r="V126" s="21">
        <v>863.12</v>
      </c>
      <c r="W126" s="21">
        <v>1463.7</v>
      </c>
      <c r="X126" s="21">
        <v>2827.05</v>
      </c>
      <c r="Y126" s="21">
        <v>2847.43</v>
      </c>
      <c r="Z126" s="21">
        <v>10576.38</v>
      </c>
      <c r="AA126" s="21">
        <f>SUM(O126:Z126)</f>
        <v>49249.189999999995</v>
      </c>
      <c r="AB126" s="311" t="str">
        <f ca="1">IF(AA126=0,"",IFERROR(AA126/_xll.EVGTS($B$1,1,_xll.EVPRO($B$1,$H126,"COSBASIS"),$B$3,$B$5,$B$6,$B$7,$B$9,AA$16,AA$17,AA$11),""))</f>
        <v/>
      </c>
      <c r="AD126" s="21">
        <v>72762.179999999993</v>
      </c>
      <c r="AE126" s="311" t="str">
        <f ca="1">IF(AD126=0,"",IFERROR(AD126/_xll.EVGTS($B$1,1,_xll.EVPRO($B$1,$H126,"COSBASIS"),$B$3,$B$5,$B$6,$B$7,$B$9,AD$16,AD$17,AD$18),""))</f>
        <v/>
      </c>
      <c r="AF126" s="50">
        <f t="shared" ref="AF126:AF136" si="34">IF(AND($AA126="",AD126=""),"",$AA126-AD126)</f>
        <v>-23512.989999999998</v>
      </c>
      <c r="AG126" s="21">
        <v>50596.53</v>
      </c>
      <c r="AH126" s="311" t="str">
        <f ca="1">IF(AG126=0,"",IFERROR(AG126/_xll.EVGTS($B$1,1,_xll.EVPRO($B$1,$H126,"COSBASIS"),$B$3,$B$5,$B$6,$B$7,$B$9,AG$16,AG$17,AG$18),""))</f>
        <v/>
      </c>
      <c r="AI126" s="50">
        <f t="shared" ref="AI126:AI137" si="35">IF(AND($AA126="",AG126=""),"",$AA126-AG126)</f>
        <v>-1347.3400000000038</v>
      </c>
    </row>
    <row r="127" spans="3:35" x14ac:dyDescent="0.25">
      <c r="C127" s="32"/>
      <c r="H127" s="149" t="s">
        <v>756</v>
      </c>
      <c r="I127" s="161"/>
      <c r="J127" s="161"/>
      <c r="L127" s="162" t="e">
        <f ca="1">_xll.EVPRO($B$1,H127,"JDEID")</f>
        <v>#NAME?</v>
      </c>
      <c r="M127" s="162" t="str">
        <f>IF(AND(I127="N",J127="N"),_xll.EVPRO($B$1,H127,"PSFTID"),"")</f>
        <v/>
      </c>
      <c r="N127" s="467" t="e">
        <f ca="1">IF(_xll.EVDES(H127,$B$1)="#NODATA","",_xll.EVDES(H127,$B$1))</f>
        <v>#NAME?</v>
      </c>
      <c r="O127" s="172">
        <v>0.20400003566524599</v>
      </c>
      <c r="P127" s="172">
        <v>0.20400304654605</v>
      </c>
      <c r="Q127" s="172">
        <v>0.203999485777314</v>
      </c>
      <c r="R127" s="172">
        <v>0.20399515676121299</v>
      </c>
      <c r="S127" s="172">
        <v>0.204748430052205</v>
      </c>
      <c r="T127" s="172">
        <v>0.204000247384033</v>
      </c>
      <c r="U127" s="172">
        <v>0.20400602409638599</v>
      </c>
      <c r="V127" s="172">
        <v>0.203999054597022</v>
      </c>
      <c r="W127" s="172">
        <v>0.20401393265881601</v>
      </c>
      <c r="X127" s="172">
        <v>0.21239885500484601</v>
      </c>
      <c r="Y127" s="172">
        <v>0.203995472227993</v>
      </c>
      <c r="Z127" s="172">
        <v>0.20400192807300099</v>
      </c>
      <c r="AA127" s="172">
        <v>0.20450604189299401</v>
      </c>
      <c r="AB127" s="311"/>
      <c r="AD127" s="172">
        <v>0.220000015301274</v>
      </c>
      <c r="AE127" s="311"/>
      <c r="AF127" s="468">
        <f t="shared" si="34"/>
        <v>-1.5493973408279987E-2</v>
      </c>
      <c r="AG127" s="172">
        <v>0.21759615194809401</v>
      </c>
      <c r="AH127" s="311"/>
      <c r="AI127" s="468">
        <f t="shared" si="35"/>
        <v>-1.3090110055099996E-2</v>
      </c>
    </row>
    <row r="128" spans="3:35" x14ac:dyDescent="0.25">
      <c r="C128" s="32"/>
      <c r="H128" s="149" t="s">
        <v>636</v>
      </c>
      <c r="I128" s="161"/>
      <c r="J128" s="161"/>
      <c r="L128" s="162" t="e">
        <f ca="1">_xll.EVPRO($B$1,H128,"JDEID")</f>
        <v>#NAME?</v>
      </c>
      <c r="M128" s="162" t="str">
        <f>IF(AND(I128="N",J128="N"),_xll.EVPRO($B$1,H128,"PSFTID"),"")</f>
        <v/>
      </c>
      <c r="N128" s="162" t="e">
        <f ca="1">IF(_xll.EVDES(H128,$B$1)="#NODATA","",_xll.EVDES(H128,$B$1))</f>
        <v>#NAME?</v>
      </c>
      <c r="O128" s="21">
        <v>728.15</v>
      </c>
      <c r="P128" s="21"/>
      <c r="Q128" s="21">
        <v>677.35</v>
      </c>
      <c r="R128" s="21">
        <v>412.51</v>
      </c>
      <c r="S128" s="21">
        <v>1670.03</v>
      </c>
      <c r="T128" s="21">
        <v>55.08</v>
      </c>
      <c r="U128" s="21"/>
      <c r="V128" s="21">
        <v>214.11</v>
      </c>
      <c r="W128" s="21">
        <v>163.68</v>
      </c>
      <c r="X128" s="21"/>
      <c r="Y128" s="21">
        <v>905.48</v>
      </c>
      <c r="Z128" s="21">
        <v>1214.01</v>
      </c>
      <c r="AA128" s="21">
        <f>SUM(O128:Z128)</f>
        <v>6040.4</v>
      </c>
      <c r="AB128" s="311" t="str">
        <f ca="1">IF(AA128=0,"",IFERROR(AA128/_xll.EVGTS($B$1,1,_xll.EVPRO($B$1,$H128,"COSBASIS"),$B$3,$B$5,$B$6,$B$7,$B$9,AA$16,AA$17,AA$11),""))</f>
        <v/>
      </c>
      <c r="AD128" s="21">
        <v>1647.59</v>
      </c>
      <c r="AE128" s="311" t="str">
        <f ca="1">IF(AD128=0,"",IFERROR(AD128/_xll.EVGTS($B$1,1,_xll.EVPRO($B$1,$H128,"COSBASIS"),$B$3,$B$5,$B$6,$B$7,$B$9,AD$16,AD$17,AD$18),""))</f>
        <v/>
      </c>
      <c r="AF128" s="50">
        <f t="shared" si="34"/>
        <v>4392.8099999999995</v>
      </c>
      <c r="AG128" s="21">
        <v>4282.25</v>
      </c>
      <c r="AH128" s="311" t="str">
        <f ca="1">IF(AG128=0,"",IFERROR(AG128/_xll.EVGTS($B$1,1,_xll.EVPRO($B$1,$H128,"COSBASIS"),$B$3,$B$5,$B$6,$B$7,$B$9,AG$16,AG$17,AG$18),""))</f>
        <v/>
      </c>
      <c r="AI128" s="50">
        <f t="shared" si="35"/>
        <v>1758.1499999999996</v>
      </c>
    </row>
    <row r="129" spans="3:35" x14ac:dyDescent="0.25">
      <c r="C129" s="32"/>
      <c r="H129" s="149" t="s">
        <v>757</v>
      </c>
      <c r="I129" s="161"/>
      <c r="J129" s="161"/>
      <c r="L129" s="162" t="e">
        <f ca="1">_xll.EVPRO($B$1,H129,"JDEID")</f>
        <v>#NAME?</v>
      </c>
      <c r="M129" s="162" t="str">
        <f>IF(AND(I129="N",J129="N"),_xll.EVPRO($B$1,H129,"PSFTID"),"")</f>
        <v/>
      </c>
      <c r="N129" s="467" t="e">
        <f ca="1">IF(_xll.EVDES(H129,$B$1)="#NODATA","",_xll.EVDES(H129,$B$1))</f>
        <v>#NAME?</v>
      </c>
      <c r="O129" s="172">
        <v>0.20592477375565599</v>
      </c>
      <c r="P129" s="172"/>
      <c r="Q129" s="172">
        <v>0.199044960329121</v>
      </c>
      <c r="R129" s="172">
        <v>0.19568785578747599</v>
      </c>
      <c r="S129" s="172">
        <v>0.17557085786375101</v>
      </c>
      <c r="T129" s="172">
        <v>0.17710610932475901</v>
      </c>
      <c r="U129" s="172"/>
      <c r="V129" s="172">
        <v>0.183</v>
      </c>
      <c r="W129" s="172">
        <v>0.18494915254237301</v>
      </c>
      <c r="X129" s="172"/>
      <c r="Y129" s="172">
        <v>0.182262479871176</v>
      </c>
      <c r="Z129" s="172">
        <v>0.15717883152613699</v>
      </c>
      <c r="AA129" s="172">
        <v>0.17968423479366699</v>
      </c>
      <c r="AB129" s="311"/>
      <c r="AD129" s="172">
        <v>0.19102290800882701</v>
      </c>
      <c r="AE129" s="311"/>
      <c r="AF129" s="468">
        <f t="shared" si="34"/>
        <v>-1.1338673215160022E-2</v>
      </c>
      <c r="AG129" s="172">
        <v>0.19587640655017799</v>
      </c>
      <c r="AH129" s="311"/>
      <c r="AI129" s="468">
        <f t="shared" si="35"/>
        <v>-1.6192171756510998E-2</v>
      </c>
    </row>
    <row r="130" spans="3:35" x14ac:dyDescent="0.25">
      <c r="C130" s="32"/>
      <c r="H130" s="149" t="s">
        <v>755</v>
      </c>
      <c r="I130" s="161"/>
      <c r="J130" s="161"/>
      <c r="L130" s="162" t="e">
        <f ca="1">_xll.EVPRO($B$1,H130,"JDEID")</f>
        <v>#NAME?</v>
      </c>
      <c r="M130" s="162" t="str">
        <f>IF(AND(I130="N",J130="N"),_xll.EVPRO($B$1,H130,"PSFTID"),"")</f>
        <v/>
      </c>
      <c r="N130" s="162" t="e">
        <f ca="1">IF(_xll.EVDES(H130,$B$1)="#NODATA","",_xll.EVDES(H130,$B$1))</f>
        <v>#NAME?</v>
      </c>
      <c r="O130" s="21"/>
      <c r="P130" s="21"/>
      <c r="Q130" s="21">
        <v>224.45</v>
      </c>
      <c r="R130" s="21">
        <v>335.99</v>
      </c>
      <c r="S130" s="21">
        <v>1331.51</v>
      </c>
      <c r="T130" s="21">
        <v>55.08</v>
      </c>
      <c r="U130" s="21"/>
      <c r="V130" s="21">
        <v>214.11</v>
      </c>
      <c r="W130" s="21">
        <v>135.6</v>
      </c>
      <c r="X130" s="21"/>
      <c r="Y130" s="21">
        <v>905.48</v>
      </c>
      <c r="Z130" s="21">
        <v>994.24</v>
      </c>
      <c r="AA130" s="21">
        <f>SUM(O130:Z130)</f>
        <v>4196.46</v>
      </c>
      <c r="AB130" s="311" t="str">
        <f ca="1">IF(AA130=0,"",IFERROR(AA130/_xll.EVGTS($B$1,1,_xll.EVPRO($B$1,$H130,"COSBASIS"),$B$3,$B$5,$B$6,$B$7,$B$9,AA$16,AA$17,AA$11),""))</f>
        <v/>
      </c>
      <c r="AD130" s="21">
        <v>998.14</v>
      </c>
      <c r="AE130" s="311" t="str">
        <f ca="1">IF(AD130=0,"",IFERROR(AD130/_xll.EVGTS($B$1,1,_xll.EVPRO($B$1,$H130,"COSBASIS"),$B$3,$B$5,$B$6,$B$7,$B$9,AD$16,AD$17,AD$18),""))</f>
        <v/>
      </c>
      <c r="AF130" s="50">
        <f t="shared" si="34"/>
        <v>3198.32</v>
      </c>
      <c r="AG130" s="21">
        <v>3883.24</v>
      </c>
      <c r="AH130" s="311" t="str">
        <f ca="1">IF(AG130=0,"",IFERROR(AG130/_xll.EVGTS($B$1,1,_xll.EVPRO($B$1,$H130,"COSBASIS"),$B$3,$B$5,$B$6,$B$7,$B$9,AG$16,AG$17,AG$18),""))</f>
        <v/>
      </c>
      <c r="AI130" s="50">
        <f t="shared" si="35"/>
        <v>313.22000000000025</v>
      </c>
    </row>
    <row r="131" spans="3:35" x14ac:dyDescent="0.25">
      <c r="C131" s="32"/>
      <c r="H131" s="149" t="s">
        <v>758</v>
      </c>
      <c r="I131" s="161"/>
      <c r="J131" s="161"/>
      <c r="L131" s="162" t="e">
        <f ca="1">_xll.EVPRO($B$1,H131,"JDEID")</f>
        <v>#NAME?</v>
      </c>
      <c r="M131" s="162" t="str">
        <f>IF(AND(I131="N",J131="N"),_xll.EVPRO($B$1,H131,"PSFTID"),"")</f>
        <v/>
      </c>
      <c r="N131" s="467" t="e">
        <f ca="1">IF(_xll.EVDES(H131,$B$1)="#NODATA","",_xll.EVDES(H131,$B$1))</f>
        <v>#NAME?</v>
      </c>
      <c r="O131" s="172"/>
      <c r="P131" s="172"/>
      <c r="Q131" s="172">
        <v>0.19500434404865299</v>
      </c>
      <c r="R131" s="172">
        <v>0.19500290191526401</v>
      </c>
      <c r="S131" s="172">
        <v>0.18300027487630599</v>
      </c>
      <c r="T131" s="172">
        <v>0.182990033222591</v>
      </c>
      <c r="U131" s="172"/>
      <c r="V131" s="172">
        <v>0.183</v>
      </c>
      <c r="W131" s="172">
        <v>0.182995951417004</v>
      </c>
      <c r="X131" s="172"/>
      <c r="Y131" s="172">
        <v>0.182999191592563</v>
      </c>
      <c r="Z131" s="172">
        <v>0.18300153139356801</v>
      </c>
      <c r="AA131" s="172">
        <v>0.18451687906939099</v>
      </c>
      <c r="AB131" s="311"/>
      <c r="AD131" s="172">
        <v>0.183000473407891</v>
      </c>
      <c r="AE131" s="311"/>
      <c r="AF131" s="468">
        <f t="shared" si="34"/>
        <v>1.5164056614999921E-3</v>
      </c>
      <c r="AG131" s="172">
        <v>0.19500050215928499</v>
      </c>
      <c r="AH131" s="311"/>
      <c r="AI131" s="468">
        <f t="shared" si="35"/>
        <v>-1.0483623089894006E-2</v>
      </c>
    </row>
    <row r="132" spans="3:35" x14ac:dyDescent="0.25">
      <c r="C132" s="32"/>
      <c r="H132" s="149">
        <v>561400</v>
      </c>
      <c r="I132" s="161"/>
      <c r="J132" s="161"/>
      <c r="L132" s="162" t="e">
        <f ca="1">_xll.EVPRO($B$1,H132,"JDEID")</f>
        <v>#NAME?</v>
      </c>
      <c r="M132" s="162" t="str">
        <f>IF(AND(I132="N",J132="N"),_xll.EVPRO($B$1,H132,"PSFTID"),"")</f>
        <v/>
      </c>
      <c r="N132" s="162" t="e">
        <f ca="1">IF(_xll.EVDES(H132,$B$1)="#NODATA","",_xll.EVDES(H132,$B$1))</f>
        <v>#NAME?</v>
      </c>
      <c r="O132" s="21">
        <v>439.95</v>
      </c>
      <c r="P132" s="21"/>
      <c r="Q132" s="21">
        <v>52.5</v>
      </c>
      <c r="R132" s="21">
        <v>-10.08</v>
      </c>
      <c r="S132" s="21"/>
      <c r="T132" s="21"/>
      <c r="U132" s="21"/>
      <c r="V132" s="21"/>
      <c r="W132" s="21"/>
      <c r="X132" s="21"/>
      <c r="Y132" s="21"/>
      <c r="Z132" s="21"/>
      <c r="AA132" s="21">
        <f>SUM(O132:Z132)</f>
        <v>482.37</v>
      </c>
      <c r="AB132" s="311" t="str">
        <f ca="1">IF(AA132=0,"",IFERROR(AA132/_xll.EVGTS($B$1,1,_xll.EVPRO($B$1,$H132,"COSBASIS"),$B$3,$B$5,$B$6,$B$7,$B$9,AA$16,AA$17,AA$11),""))</f>
        <v/>
      </c>
      <c r="AD132" s="21">
        <v>436.04</v>
      </c>
      <c r="AE132" s="311" t="str">
        <f ca="1">IF(AD132=0,"",IFERROR(AD132/_xll.EVGTS($B$1,1,_xll.EVPRO($B$1,$H132,"COSBASIS"),$B$3,$B$5,$B$6,$B$7,$B$9,AD$16,AD$17,AD$18),""))</f>
        <v/>
      </c>
      <c r="AF132" s="50">
        <f t="shared" si="34"/>
        <v>46.329999999999984</v>
      </c>
      <c r="AG132" s="21">
        <v>197.61</v>
      </c>
      <c r="AH132" s="311" t="str">
        <f ca="1">IF(AG132=0,"",IFERROR(AG132/_xll.EVGTS($B$1,1,_xll.EVPRO($B$1,$H132,"COSBASIS"),$B$3,$B$5,$B$6,$B$7,$B$9,AG$16,AG$17,AG$18),""))</f>
        <v/>
      </c>
      <c r="AI132" s="50">
        <f t="shared" si="35"/>
        <v>284.76</v>
      </c>
    </row>
    <row r="133" spans="3:35" x14ac:dyDescent="0.25">
      <c r="C133" s="32"/>
      <c r="H133" s="149" t="s">
        <v>759</v>
      </c>
      <c r="I133" s="161"/>
      <c r="J133" s="161"/>
      <c r="L133" s="162" t="e">
        <f ca="1">_xll.EVPRO($B$1,H133,"JDEID")</f>
        <v>#NAME?</v>
      </c>
      <c r="M133" s="162" t="str">
        <f>IF(AND(I133="N",J133="N"),_xll.EVPRO($B$1,H133,"PSFTID"),"")</f>
        <v/>
      </c>
      <c r="N133" s="467" t="e">
        <f ca="1">IF(_xll.EVDES(H133,$B$1)="#NODATA","",_xll.EVDES(H133,$B$1))</f>
        <v>#NAME?</v>
      </c>
      <c r="O133" s="172">
        <v>0.21</v>
      </c>
      <c r="P133" s="172"/>
      <c r="Q133" s="172">
        <v>0.21</v>
      </c>
      <c r="R133" s="172">
        <v>0.21</v>
      </c>
      <c r="S133" s="172"/>
      <c r="T133" s="172"/>
      <c r="U133" s="172"/>
      <c r="V133" s="172"/>
      <c r="W133" s="172"/>
      <c r="X133" s="172"/>
      <c r="Y133" s="172"/>
      <c r="Z133" s="172"/>
      <c r="AA133" s="172">
        <v>0.120864445001253</v>
      </c>
      <c r="AB133" s="311"/>
      <c r="AD133" s="172">
        <v>0.210005305037233</v>
      </c>
      <c r="AE133" s="311"/>
      <c r="AF133" s="468">
        <f t="shared" si="34"/>
        <v>-8.9140860035979999E-2</v>
      </c>
      <c r="AG133" s="172">
        <v>0.21</v>
      </c>
      <c r="AH133" s="311"/>
      <c r="AI133" s="468">
        <f t="shared" si="35"/>
        <v>-8.9135554998746994E-2</v>
      </c>
    </row>
    <row r="134" spans="3:35" x14ac:dyDescent="0.25">
      <c r="H134" s="149">
        <v>561500</v>
      </c>
      <c r="I134" s="161"/>
      <c r="J134" s="161"/>
      <c r="L134" s="162" t="e">
        <f ca="1">_xll.EVPRO($B$1,H134,"JDEID")</f>
        <v>#NAME?</v>
      </c>
      <c r="M134" s="162" t="str">
        <f>IF(AND(I134="N",J134="N"),_xll.EVPRO($B$1,H134,"PSFTID"),"")</f>
        <v/>
      </c>
      <c r="N134" s="162" t="e">
        <f ca="1">IF(_xll.EVDES(H134,$B$1)="#NODATA","",_xll.EVDES(H134,$B$1))</f>
        <v>#NAME?</v>
      </c>
      <c r="O134" s="21">
        <v>288.2</v>
      </c>
      <c r="P134" s="21"/>
      <c r="Q134" s="21">
        <v>400.4</v>
      </c>
      <c r="R134" s="21">
        <v>86.6</v>
      </c>
      <c r="S134" s="21">
        <v>338.52</v>
      </c>
      <c r="T134" s="21"/>
      <c r="U134" s="21"/>
      <c r="V134" s="21"/>
      <c r="W134" s="21">
        <v>28.08</v>
      </c>
      <c r="X134" s="21"/>
      <c r="Y134" s="21"/>
      <c r="Z134" s="21">
        <v>219.77</v>
      </c>
      <c r="AA134" s="21">
        <f>SUM(O134:Z134)</f>
        <v>1361.5699999999997</v>
      </c>
      <c r="AB134" s="311" t="str">
        <f ca="1">IF(AA134=0,"",IFERROR(AA134/_xll.EVGTS($B$1,1,_xll.EVPRO($B$1,$H134,"COSBASIS"),$B$3,$B$5,$B$6,$B$7,$B$9,AA$16,AA$17,AA$11),""))</f>
        <v/>
      </c>
      <c r="AD134" s="21">
        <v>213.41</v>
      </c>
      <c r="AE134" s="311" t="str">
        <f ca="1">IF(AD134=0,"",IFERROR(AD134/_xll.EVGTS($B$1,1,_xll.EVPRO($B$1,$H134,"COSBASIS"),$B$3,$B$5,$B$6,$B$7,$B$9,AD$16,AD$17,AD$18),""))</f>
        <v/>
      </c>
      <c r="AF134" s="50">
        <f t="shared" si="34"/>
        <v>1148.1599999999996</v>
      </c>
      <c r="AG134" s="21">
        <v>201.4</v>
      </c>
      <c r="AH134" s="311" t="str">
        <f ca="1">IF(AG134=0,"",IFERROR(AG134/_xll.EVGTS($B$1,1,_xll.EVPRO($B$1,$H134,"COSBASIS"),$B$3,$B$5,$B$6,$B$7,$B$9,AG$16,AG$17,AG$18),""))</f>
        <v/>
      </c>
      <c r="AI134" s="50">
        <f t="shared" si="35"/>
        <v>1160.1699999999996</v>
      </c>
    </row>
    <row r="135" spans="3:35" x14ac:dyDescent="0.25">
      <c r="C135" s="32"/>
      <c r="H135" s="149" t="s">
        <v>760</v>
      </c>
      <c r="I135" s="161"/>
      <c r="J135" s="161"/>
      <c r="L135" s="162" t="e">
        <f ca="1">_xll.EVPRO($B$1,H135,"JDEID")</f>
        <v>#NAME?</v>
      </c>
      <c r="M135" s="162" t="str">
        <f>IF(AND(I135="N",J135="N"),_xll.EVPRO($B$1,H135,"PSFTID"),"")</f>
        <v/>
      </c>
      <c r="N135" s="467" t="e">
        <f ca="1">IF(_xll.EVDES(H135,$B$1)="#NODATA","",_xll.EVDES(H135,$B$1))</f>
        <v>#NAME?</v>
      </c>
      <c r="O135" s="172">
        <v>0.2</v>
      </c>
      <c r="P135" s="172"/>
      <c r="Q135" s="172">
        <v>0.2</v>
      </c>
      <c r="R135" s="172">
        <v>0.2</v>
      </c>
      <c r="S135" s="172">
        <v>0.19500000000000001</v>
      </c>
      <c r="T135" s="172"/>
      <c r="U135" s="172"/>
      <c r="V135" s="172"/>
      <c r="W135" s="172">
        <v>0.19500000000000001</v>
      </c>
      <c r="X135" s="172"/>
      <c r="Y135" s="172"/>
      <c r="Z135" s="172">
        <v>0.195040779559634</v>
      </c>
      <c r="AA135" s="172">
        <v>0.19782239469749899</v>
      </c>
      <c r="AB135" s="311"/>
      <c r="AD135" s="172">
        <v>0.19499116301529401</v>
      </c>
      <c r="AE135" s="311"/>
      <c r="AF135" s="468">
        <f t="shared" si="34"/>
        <v>2.8312316822049766E-3</v>
      </c>
      <c r="AG135" s="172">
        <v>0.2</v>
      </c>
      <c r="AH135" s="311"/>
      <c r="AI135" s="468">
        <f t="shared" si="35"/>
        <v>-2.1776053025010234E-3</v>
      </c>
    </row>
    <row r="136" spans="3:35" x14ac:dyDescent="0.25">
      <c r="C136" s="32"/>
      <c r="H136" s="149" t="s">
        <v>286</v>
      </c>
      <c r="I136" s="161"/>
      <c r="J136" s="161"/>
      <c r="L136" s="162" t="e">
        <f ca="1">_xll.EVPRO($B$1,H136,"JDEID")</f>
        <v>#NAME?</v>
      </c>
      <c r="M136" s="162" t="str">
        <f>IF(AND(I136="N",J136="N"),_xll.EVPRO($B$1,H136,"PSFTID"),"")</f>
        <v/>
      </c>
      <c r="N136" s="162" t="e">
        <f ca="1">IF(_xll.EVDES(H136,$B$1)="#NODATA","",_xll.EVDES(H136,$B$1))</f>
        <v>#NAME?</v>
      </c>
      <c r="O136" s="21">
        <v>12167.86</v>
      </c>
      <c r="P136" s="21">
        <v>7097.98</v>
      </c>
      <c r="Q136" s="21">
        <v>6342.43</v>
      </c>
      <c r="R136" s="21">
        <v>2392.13</v>
      </c>
      <c r="S136" s="21">
        <v>4376.1899999999996</v>
      </c>
      <c r="T136" s="21">
        <v>1770.31</v>
      </c>
      <c r="U136" s="21">
        <v>67.73</v>
      </c>
      <c r="V136" s="21">
        <v>1077.23</v>
      </c>
      <c r="W136" s="21">
        <v>1627.38</v>
      </c>
      <c r="X136" s="21">
        <v>2827.05</v>
      </c>
      <c r="Y136" s="21">
        <v>3752.91</v>
      </c>
      <c r="Z136" s="21">
        <v>11790.39</v>
      </c>
      <c r="AA136" s="21">
        <f>SUM(O136:Z136)</f>
        <v>55289.590000000011</v>
      </c>
      <c r="AB136" s="311" t="str">
        <f ca="1">IF(AA136=0,"",IFERROR(AA136/_xll.EVGTS($B$1,1,_xll.EVPRO($B$1,$H136,"COSBASIS"),$B$3,$B$5,$B$6,$B$7,$B$9,AA$16,AA$17,AA$11),""))</f>
        <v/>
      </c>
      <c r="AD136" s="21">
        <v>74409.77</v>
      </c>
      <c r="AE136" s="311" t="str">
        <f ca="1">IF(AD136=0,"",IFERROR(AD136/_xll.EVGTS($B$1,1,_xll.EVPRO($B$1,$H136,"COSBASIS"),$B$3,$B$5,$B$6,$B$7,$B$9,AD$16,AD$17,AD$18),""))</f>
        <v/>
      </c>
      <c r="AF136" s="50">
        <f t="shared" si="34"/>
        <v>-19120.179999999993</v>
      </c>
      <c r="AG136" s="21">
        <v>54878.78</v>
      </c>
      <c r="AH136" s="311" t="str">
        <f ca="1">IF(AG136=0,"",IFERROR(AG136/_xll.EVGTS($B$1,1,_xll.EVPRO($B$1,$H136,"COSBASIS"),$B$3,$B$5,$B$6,$B$7,$B$9,AG$16,AG$17,AG$18),""))</f>
        <v/>
      </c>
      <c r="AI136" s="50">
        <f t="shared" si="35"/>
        <v>410.81000000001222</v>
      </c>
    </row>
    <row r="137" spans="3:35" x14ac:dyDescent="0.25">
      <c r="C137" s="32"/>
      <c r="H137" s="149"/>
      <c r="I137" s="161"/>
      <c r="J137" s="161"/>
      <c r="L137" s="162"/>
      <c r="M137" s="162"/>
      <c r="N137" s="467" t="s">
        <v>762</v>
      </c>
      <c r="O137" s="172">
        <f t="shared" ref="O137:AA137" si="36">IFERROR(O136/O82,"")</f>
        <v>0.20411420327780855</v>
      </c>
      <c r="P137" s="172">
        <f t="shared" si="36"/>
        <v>0.20400304654605025</v>
      </c>
      <c r="Q137" s="172">
        <f t="shared" si="36"/>
        <v>0.20345862630789974</v>
      </c>
      <c r="R137" s="172">
        <f t="shared" si="36"/>
        <v>0.20251264577028086</v>
      </c>
      <c r="S137" s="172">
        <f t="shared" si="36"/>
        <v>0.1925377271327379</v>
      </c>
      <c r="T137" s="172">
        <f t="shared" si="36"/>
        <v>0.20304095203796774</v>
      </c>
      <c r="U137" s="172">
        <f t="shared" si="36"/>
        <v>0.20400602409638555</v>
      </c>
      <c r="V137" s="172">
        <f t="shared" si="36"/>
        <v>0.19945010183299389</v>
      </c>
      <c r="W137" s="172">
        <f t="shared" si="36"/>
        <v>0.20192046414732409</v>
      </c>
      <c r="X137" s="172">
        <f t="shared" si="36"/>
        <v>0.21239885500484595</v>
      </c>
      <c r="Y137" s="172">
        <f t="shared" si="36"/>
        <v>0.19829073828482061</v>
      </c>
      <c r="Z137" s="172">
        <f t="shared" si="36"/>
        <v>0.19793074365442265</v>
      </c>
      <c r="AA137" s="172">
        <f t="shared" si="36"/>
        <v>0.20146553141145671</v>
      </c>
      <c r="AB137" s="311"/>
      <c r="AD137" s="172">
        <f>IFERROR(AD136/AD82,"")</f>
        <v>0.21926354507609494</v>
      </c>
      <c r="AE137" s="311"/>
      <c r="AF137" s="468">
        <f t="shared" ref="AF137" si="37">IF(AND($AA137="",AD137=""),"",$AA137-AD137)</f>
        <v>-1.7798013664638235E-2</v>
      </c>
      <c r="AG137" s="172">
        <f>IFERROR(AG136/AG82,"")</f>
        <v>0.21572955811841435</v>
      </c>
      <c r="AH137" s="311"/>
      <c r="AI137" s="468">
        <f t="shared" si="35"/>
        <v>-1.4264026706957644E-2</v>
      </c>
    </row>
    <row r="138" spans="3:35" x14ac:dyDescent="0.25">
      <c r="C138" s="32"/>
    </row>
    <row r="139" spans="3:35" x14ac:dyDescent="0.25">
      <c r="C139" s="32"/>
      <c r="H139" s="149"/>
      <c r="I139" s="161"/>
      <c r="J139" s="161"/>
      <c r="N139" s="26" t="e">
        <f ca="1">N82&amp;" - Check"</f>
        <v>#NAME?</v>
      </c>
      <c r="O139" s="139">
        <f t="shared" ref="O139:AA139" si="38">O39+O49+O59+O69+O75+O80-O82</f>
        <v>0</v>
      </c>
      <c r="P139" s="139">
        <f t="shared" si="38"/>
        <v>0</v>
      </c>
      <c r="Q139" s="139">
        <f t="shared" si="38"/>
        <v>0</v>
      </c>
      <c r="R139" s="139">
        <f t="shared" si="38"/>
        <v>0</v>
      </c>
      <c r="S139" s="139">
        <f t="shared" si="38"/>
        <v>0</v>
      </c>
      <c r="T139" s="139">
        <f t="shared" si="38"/>
        <v>0</v>
      </c>
      <c r="U139" s="139">
        <f t="shared" si="38"/>
        <v>0</v>
      </c>
      <c r="V139" s="139">
        <f t="shared" si="38"/>
        <v>0</v>
      </c>
      <c r="W139" s="139">
        <f t="shared" si="38"/>
        <v>0</v>
      </c>
      <c r="X139" s="139">
        <f t="shared" si="38"/>
        <v>0</v>
      </c>
      <c r="Y139" s="139">
        <f t="shared" si="38"/>
        <v>0</v>
      </c>
      <c r="Z139" s="139">
        <f t="shared" si="38"/>
        <v>0</v>
      </c>
      <c r="AA139" s="139">
        <f t="shared" si="38"/>
        <v>0</v>
      </c>
      <c r="AB139" s="17"/>
      <c r="AD139" s="139">
        <f>AD39+AD49+AD59+AD69+AD75+AD80-AD82</f>
        <v>0</v>
      </c>
      <c r="AE139" s="17"/>
      <c r="AF139" s="21"/>
      <c r="AG139" s="139">
        <f>AG39+AG49+AG59+AG69+AG75+AG80-AG82</f>
        <v>0</v>
      </c>
      <c r="AH139" s="17"/>
      <c r="AI139" s="21"/>
    </row>
    <row r="140" spans="3:35" x14ac:dyDescent="0.25">
      <c r="C140" s="32"/>
      <c r="H140" s="149"/>
      <c r="I140" s="161"/>
      <c r="J140" s="161"/>
      <c r="N140" s="26" t="e">
        <f ca="1">N84&amp;" - Check"</f>
        <v>#NAME?</v>
      </c>
      <c r="O140" s="139">
        <f t="shared" ref="O140:AA140" si="39">O41+O51+O61+O70+O76-O84</f>
        <v>0</v>
      </c>
      <c r="P140" s="139">
        <f t="shared" si="39"/>
        <v>0</v>
      </c>
      <c r="Q140" s="139">
        <f t="shared" si="39"/>
        <v>0</v>
      </c>
      <c r="R140" s="139">
        <f t="shared" si="39"/>
        <v>0</v>
      </c>
      <c r="S140" s="139">
        <f t="shared" si="39"/>
        <v>0</v>
      </c>
      <c r="T140" s="139">
        <f t="shared" si="39"/>
        <v>0</v>
      </c>
      <c r="U140" s="139">
        <f t="shared" si="39"/>
        <v>0</v>
      </c>
      <c r="V140" s="139">
        <f t="shared" si="39"/>
        <v>0</v>
      </c>
      <c r="W140" s="139">
        <f t="shared" si="39"/>
        <v>0</v>
      </c>
      <c r="X140" s="139">
        <f t="shared" si="39"/>
        <v>0</v>
      </c>
      <c r="Y140" s="139">
        <f t="shared" si="39"/>
        <v>0</v>
      </c>
      <c r="Z140" s="139">
        <f t="shared" si="39"/>
        <v>0</v>
      </c>
      <c r="AA140" s="139">
        <f t="shared" si="39"/>
        <v>0</v>
      </c>
      <c r="AB140" s="17"/>
      <c r="AD140" s="139">
        <f>AD41+AD51+AD61+AD70+AD76-AD84</f>
        <v>0</v>
      </c>
      <c r="AE140" s="17"/>
      <c r="AF140" s="21"/>
      <c r="AG140" s="139">
        <f>AG41+AG51+AG61+AG70+AG76-AG84</f>
        <v>0</v>
      </c>
      <c r="AH140" s="17"/>
      <c r="AI140" s="21"/>
    </row>
    <row r="141" spans="3:35" x14ac:dyDescent="0.25">
      <c r="C141" s="32"/>
      <c r="H141" s="149"/>
      <c r="I141" s="161"/>
      <c r="J141" s="161"/>
      <c r="N141" s="26" t="e">
        <f ca="1">N86&amp;" - Check"</f>
        <v>#NAME?</v>
      </c>
      <c r="O141" s="178">
        <f t="shared" ref="O141:AA141" si="40">IFERROR(O$82/O84,"")-O86</f>
        <v>2.4140009870544503</v>
      </c>
      <c r="P141" s="178">
        <f t="shared" si="40"/>
        <v>36.82803480658221</v>
      </c>
      <c r="Q141" s="178">
        <f t="shared" si="40"/>
        <v>31.256242488529988</v>
      </c>
      <c r="R141" s="178">
        <f t="shared" si="40"/>
        <v>38.400502548157718</v>
      </c>
      <c r="S141" s="178">
        <f t="shared" si="40"/>
        <v>36.401116352201299</v>
      </c>
      <c r="T141" s="178">
        <f t="shared" si="40"/>
        <v>57.36171052631579</v>
      </c>
      <c r="U141" s="178">
        <f t="shared" si="40"/>
        <v>8.9239293201557341</v>
      </c>
      <c r="V141" s="178">
        <f t="shared" si="40"/>
        <v>89.901735470752342</v>
      </c>
      <c r="W141" s="178">
        <f t="shared" si="40"/>
        <v>23.171996406109621</v>
      </c>
      <c r="X141" s="178">
        <f t="shared" si="40"/>
        <v>178.18552560646904</v>
      </c>
      <c r="Y141" s="178">
        <f t="shared" si="40"/>
        <v>100.54989648033126</v>
      </c>
      <c r="Z141" s="178">
        <f t="shared" si="40"/>
        <v>22.653796287998382</v>
      </c>
      <c r="AA141" s="178">
        <f t="shared" si="40"/>
        <v>41.915389593157684</v>
      </c>
      <c r="AB141" s="17"/>
      <c r="AD141" s="178">
        <f>IFERROR(AD$82/AD84,"")-AD86</f>
        <v>67.067638339920947</v>
      </c>
      <c r="AE141" s="17"/>
      <c r="AF141" s="21"/>
      <c r="AG141" s="178">
        <f>IFERROR(AG$82/AG84,"")-AG86</f>
        <v>40.69664981590951</v>
      </c>
      <c r="AH141" s="17"/>
      <c r="AI141" s="21"/>
    </row>
    <row r="142" spans="3:35" x14ac:dyDescent="0.25">
      <c r="C142" s="32"/>
      <c r="H142" s="149"/>
      <c r="I142" s="161"/>
      <c r="J142" s="161"/>
      <c r="N142" s="26" t="s">
        <v>768</v>
      </c>
      <c r="O142" s="139">
        <f>(O126+O128)-O136</f>
        <v>0</v>
      </c>
      <c r="P142" s="139">
        <f t="shared" ref="P142:AA142" si="41">(P126+P128)-P136</f>
        <v>0</v>
      </c>
      <c r="Q142" s="139">
        <f t="shared" si="41"/>
        <v>0</v>
      </c>
      <c r="R142" s="139">
        <f t="shared" si="41"/>
        <v>0</v>
      </c>
      <c r="S142" s="139">
        <f t="shared" si="41"/>
        <v>0</v>
      </c>
      <c r="T142" s="139">
        <f t="shared" si="41"/>
        <v>0</v>
      </c>
      <c r="U142" s="139">
        <f t="shared" si="41"/>
        <v>0</v>
      </c>
      <c r="V142" s="139">
        <f t="shared" si="41"/>
        <v>0</v>
      </c>
      <c r="W142" s="139">
        <f t="shared" si="41"/>
        <v>0</v>
      </c>
      <c r="X142" s="139">
        <f t="shared" si="41"/>
        <v>0</v>
      </c>
      <c r="Y142" s="139">
        <f t="shared" si="41"/>
        <v>0</v>
      </c>
      <c r="Z142" s="139">
        <f t="shared" si="41"/>
        <v>0</v>
      </c>
      <c r="AA142" s="139">
        <f t="shared" si="41"/>
        <v>0</v>
      </c>
      <c r="AB142" s="17"/>
      <c r="AD142" s="139">
        <f>(AD126+AD128)-AD136</f>
        <v>0</v>
      </c>
      <c r="AE142" s="17"/>
      <c r="AF142" s="21"/>
      <c r="AG142" s="139">
        <f>(AG126+AG128)-AG136</f>
        <v>0</v>
      </c>
      <c r="AH142" s="17"/>
      <c r="AI142" s="21"/>
    </row>
    <row r="143" spans="3:35" x14ac:dyDescent="0.25">
      <c r="C143" s="32"/>
    </row>
    <row r="144" spans="3:35" x14ac:dyDescent="0.25">
      <c r="C144" s="32"/>
    </row>
    <row r="145" spans="3:3" x14ac:dyDescent="0.25">
      <c r="C145" s="32"/>
    </row>
    <row r="146" spans="3:3" x14ac:dyDescent="0.25">
      <c r="C146" s="32"/>
    </row>
    <row r="147" spans="3:3" x14ac:dyDescent="0.25">
      <c r="C147" s="32"/>
    </row>
    <row r="148" spans="3:3" x14ac:dyDescent="0.25">
      <c r="C148" s="32"/>
    </row>
    <row r="149" spans="3:3" x14ac:dyDescent="0.25">
      <c r="C149" s="32"/>
    </row>
    <row r="165" spans="9: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203" spans="5:5" x14ac:dyDescent="0.25">
      <c r="E203" s="76"/>
    </row>
    <row r="207" spans="5:5" x14ac:dyDescent="0.25">
      <c r="E207" s="76"/>
    </row>
  </sheetData>
  <mergeCells count="2">
    <mergeCell ref="AD31:AE31"/>
    <mergeCell ref="AG31:AH31"/>
  </mergeCells>
  <conditionalFormatting sqref="AD43 AF43:AG43 O43:AA43">
    <cfRule type="expression" dxfId="71" priority="10">
      <formula>ROUND(O42,2)&lt;&gt;ROUND(O43,2)</formula>
    </cfRule>
  </conditionalFormatting>
  <conditionalFormatting sqref="O53:AA53 AD53 AF53:AG53">
    <cfRule type="expression" dxfId="70" priority="9">
      <formula>ROUND(O52,2)&lt;&gt;ROUND(O53,2)</formula>
    </cfRule>
  </conditionalFormatting>
  <conditionalFormatting sqref="O63:AA63 AD63 AF63:AG63">
    <cfRule type="expression" dxfId="69" priority="8">
      <formula>ROUND(O62,2)&lt;&gt;ROUND(O63,2)</formula>
    </cfRule>
  </conditionalFormatting>
  <conditionalFormatting sqref="O72:AA72 AD72 AF72:AG72">
    <cfRule type="expression" dxfId="68" priority="7">
      <formula>ROUND(O71,2)&lt;&gt;ROUND(O72,2)</formula>
    </cfRule>
  </conditionalFormatting>
  <conditionalFormatting sqref="AD78 AF78:AG78 O78:AA78">
    <cfRule type="expression" dxfId="67" priority="6">
      <formula>ROUND(O77,2)&lt;&gt;ROUND(O78,2)</formula>
    </cfRule>
  </conditionalFormatting>
  <conditionalFormatting sqref="AI43">
    <cfRule type="expression" dxfId="66" priority="5">
      <formula>ROUND(AI42,2)&lt;&gt;ROUND(AI43,2)</formula>
    </cfRule>
  </conditionalFormatting>
  <conditionalFormatting sqref="AI53">
    <cfRule type="expression" dxfId="65" priority="4">
      <formula>ROUND(AI52,2)&lt;&gt;ROUND(AI53,2)</formula>
    </cfRule>
  </conditionalFormatting>
  <conditionalFormatting sqref="AI63">
    <cfRule type="expression" dxfId="64" priority="3">
      <formula>ROUND(AI62,2)&lt;&gt;ROUND(AI63,2)</formula>
    </cfRule>
  </conditionalFormatting>
  <conditionalFormatting sqref="AI72">
    <cfRule type="expression" dxfId="63" priority="2">
      <formula>ROUND(AI71,2)&lt;&gt;ROUND(AI72,2)</formula>
    </cfRule>
  </conditionalFormatting>
  <conditionalFormatting sqref="AI78">
    <cfRule type="expression" dxfId="62" priority="1">
      <formula>ROUND(AI77,2)&lt;&gt;ROUND(AI78,2)</formula>
    </cfRule>
  </conditionalFormatting>
  <conditionalFormatting sqref="N43 N53 N63 N72 N78">
    <cfRule type="expression" dxfId="61" priority="11">
      <formula>$G44&lt;&gt;0</formula>
    </cfRule>
  </conditionalFormatting>
  <conditionalFormatting sqref="N79">
    <cfRule type="expression" dxfId="60" priority="12">
      <formula>#REF!&lt;&gt;0</formula>
    </cfRule>
  </conditionalFormatting>
  <dataValidations count="2">
    <dataValidation type="list" allowBlank="1" sqref="B28" xr:uid="{00000000-0002-0000-3000-000000000000}">
      <formula1>"ACCOUNT,BUSINESSUNIT,CATEGORY,DATASRC,DEPARTMENT,INTCO,MEASURES,RPTCURRENCY,TIME"</formula1>
    </dataValidation>
    <dataValidation type="list" allowBlank="1" sqref="B29" xr:uid="{00000000-0002-0000-30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515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5153" r:id="rId7" name="FPMExcelClientSheetOptionstb1"/>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74">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347</v>
      </c>
      <c r="C6" s="1" t="s">
        <v>1470</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1483</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1484</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1485</v>
      </c>
      <c r="G19" s="18" t="str">
        <f>$B$6</f>
        <v>D_BCC_CON</v>
      </c>
      <c r="H19" s="18" t="s">
        <v>273</v>
      </c>
      <c r="I19" s="19"/>
      <c r="J19" s="19"/>
      <c r="K19" s="18"/>
      <c r="L19" s="18"/>
      <c r="M19" s="18"/>
      <c r="N19" s="18" t="s">
        <v>1214</v>
      </c>
      <c r="O19" s="20">
        <v>59613</v>
      </c>
      <c r="P19" s="20">
        <v>34793.5</v>
      </c>
      <c r="Q19" s="20">
        <v>31173.07</v>
      </c>
      <c r="R19" s="20">
        <v>11812.25</v>
      </c>
      <c r="S19" s="20">
        <v>22729</v>
      </c>
      <c r="T19" s="20">
        <v>8718.98</v>
      </c>
      <c r="U19" s="20">
        <v>332</v>
      </c>
      <c r="V19" s="20">
        <v>5401</v>
      </c>
      <c r="W19" s="20">
        <v>8059.51</v>
      </c>
      <c r="X19" s="20">
        <v>13310.1</v>
      </c>
      <c r="Y19" s="20">
        <v>18926.3</v>
      </c>
      <c r="Z19" s="20">
        <v>59568.26</v>
      </c>
      <c r="AA19" s="20">
        <f>SUM(O19:Z19)</f>
        <v>274436.97000000003</v>
      </c>
      <c r="AB19" s="18"/>
      <c r="AC19" s="18"/>
      <c r="AD19" s="20">
        <v>339362.25</v>
      </c>
      <c r="AE19" s="18"/>
      <c r="AF19" s="18"/>
      <c r="AG19" s="20">
        <v>254386.93</v>
      </c>
      <c r="AH19" s="18"/>
      <c r="AI19" s="18"/>
    </row>
    <row r="20" spans="1:35" hidden="1" outlineLevel="1" x14ac:dyDescent="0.25">
      <c r="A20" s="6" t="s">
        <v>5</v>
      </c>
      <c r="B20" s="7"/>
      <c r="G20" s="18" t="str">
        <f>$B$6</f>
        <v>D_BCC_CON</v>
      </c>
      <c r="H20" s="18">
        <v>946000</v>
      </c>
      <c r="I20" s="19"/>
      <c r="J20" s="19"/>
      <c r="K20" s="18"/>
      <c r="L20" s="18"/>
      <c r="M20" s="18"/>
      <c r="N20" s="18" t="s">
        <v>1196</v>
      </c>
      <c r="O20" s="20">
        <v>1065</v>
      </c>
      <c r="P20" s="20">
        <v>511</v>
      </c>
      <c r="Q20" s="20">
        <v>526</v>
      </c>
      <c r="R20" s="20">
        <v>241</v>
      </c>
      <c r="S20" s="20">
        <v>400</v>
      </c>
      <c r="T20" s="20">
        <v>152</v>
      </c>
      <c r="U20" s="20">
        <v>36</v>
      </c>
      <c r="V20" s="20">
        <v>57</v>
      </c>
      <c r="W20" s="20">
        <v>265</v>
      </c>
      <c r="X20" s="20">
        <v>70</v>
      </c>
      <c r="Y20" s="20">
        <v>161</v>
      </c>
      <c r="Z20" s="20">
        <v>782</v>
      </c>
      <c r="AA20" s="20">
        <f>SUM(O20:Z20)</f>
        <v>4266</v>
      </c>
      <c r="AB20" s="18"/>
      <c r="AC20" s="18"/>
      <c r="AD20" s="20">
        <v>5060</v>
      </c>
      <c r="AE20" s="18"/>
      <c r="AF20" s="18"/>
      <c r="AG20" s="20">
        <v>4258</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1486</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1476</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v>1220</v>
      </c>
      <c r="P35" s="21"/>
      <c r="Q35" s="21">
        <v>1455</v>
      </c>
      <c r="R35" s="21">
        <v>924</v>
      </c>
      <c r="S35" s="21">
        <v>1610</v>
      </c>
      <c r="T35" s="21"/>
      <c r="U35" s="21">
        <v>-319</v>
      </c>
      <c r="V35" s="21">
        <v>4231</v>
      </c>
      <c r="W35" s="21">
        <v>-218.4</v>
      </c>
      <c r="X35" s="21"/>
      <c r="Y35" s="21">
        <v>4638</v>
      </c>
      <c r="Z35" s="21">
        <v>6120</v>
      </c>
      <c r="AA35" s="21">
        <f t="shared" ref="AA35:AA41" si="0">SUM(O35:Z35)</f>
        <v>19660.599999999999</v>
      </c>
      <c r="AB35" s="17">
        <f>IF(AA35=0,"",IFERROR(AA35/AA$19,""))</f>
        <v>7.1639764861126387E-2</v>
      </c>
      <c r="AD35" s="21">
        <v>84795</v>
      </c>
      <c r="AE35" s="17">
        <f>IF(AD35=0,"",IFERROR(AD35/AD$19,""))</f>
        <v>0.24986574081236201</v>
      </c>
      <c r="AF35" s="50">
        <f t="shared" ref="AF35:AF42" si="1">IF(AND($AA35="",AD35=""),"",$AA35-AD35)</f>
        <v>-65134.400000000001</v>
      </c>
      <c r="AG35" s="21">
        <v>22025</v>
      </c>
      <c r="AH35" s="17">
        <f>IF(AG35=0,"",IFERROR(AG35/AG$19,""))</f>
        <v>8.6580706013473258E-2</v>
      </c>
      <c r="AI35" s="50">
        <f t="shared" ref="AI35:AI42" si="2">IF(AND($AA35="",AG35=""),"",$AA35-AG35)</f>
        <v>-2364.4000000000015</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v>1170</v>
      </c>
      <c r="W36" s="21"/>
      <c r="X36" s="21"/>
      <c r="Y36" s="21"/>
      <c r="Z36" s="21">
        <v>1463</v>
      </c>
      <c r="AA36" s="21">
        <f t="shared" si="0"/>
        <v>2633</v>
      </c>
      <c r="AB36" s="17">
        <f>IF(AA36=0,"",IFERROR(AA36/AA$19,""))</f>
        <v>9.5941884214798025E-3</v>
      </c>
      <c r="AD36" s="21"/>
      <c r="AE36" s="17" t="str">
        <f>IF(AD36=0,"",IFERROR(AD36/AD$19,""))</f>
        <v/>
      </c>
      <c r="AF36" s="50">
        <f t="shared" si="1"/>
        <v>2633</v>
      </c>
      <c r="AG36" s="21"/>
      <c r="AH36" s="17" t="str">
        <f>IF(AG36=0,"",IFERROR(AG36/AG$19,""))</f>
        <v/>
      </c>
      <c r="AI36" s="50">
        <f t="shared" si="2"/>
        <v>2633</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v>152</v>
      </c>
      <c r="AA38" s="30">
        <f t="shared" si="0"/>
        <v>152</v>
      </c>
      <c r="AB38" s="31">
        <f>IF(AA38=0,"",IFERROR(AA38/AA$19,""))</f>
        <v>5.5386123815606909E-4</v>
      </c>
      <c r="AD38" s="30"/>
      <c r="AE38" s="31" t="str">
        <f>IF(AD38=0,"",IFERROR(AD38/AD$19,""))</f>
        <v/>
      </c>
      <c r="AF38" s="51">
        <f t="shared" si="1"/>
        <v>152</v>
      </c>
      <c r="AG38" s="30"/>
      <c r="AH38" s="31" t="str">
        <f>IF(AG38=0,"",IFERROR(AG38/AG$19,""))</f>
        <v/>
      </c>
      <c r="AI38" s="51">
        <f t="shared" si="2"/>
        <v>152</v>
      </c>
    </row>
    <row r="39" spans="1:35" x14ac:dyDescent="0.25">
      <c r="A39" s="6" t="s">
        <v>27</v>
      </c>
      <c r="B39" s="7"/>
      <c r="H39" s="15" t="s">
        <v>318</v>
      </c>
      <c r="I39" s="161" t="s">
        <v>1009</v>
      </c>
      <c r="J39" s="161" t="s">
        <v>78</v>
      </c>
      <c r="K39" s="162"/>
      <c r="L39" s="162"/>
      <c r="M39" s="162"/>
      <c r="N39" s="25" t="s">
        <v>1262</v>
      </c>
      <c r="O39" s="164">
        <v>1220</v>
      </c>
      <c r="P39" s="164"/>
      <c r="Q39" s="164">
        <v>1455</v>
      </c>
      <c r="R39" s="164">
        <v>924</v>
      </c>
      <c r="S39" s="164">
        <v>1610</v>
      </c>
      <c r="T39" s="164"/>
      <c r="U39" s="164">
        <v>-319</v>
      </c>
      <c r="V39" s="164">
        <v>5401</v>
      </c>
      <c r="W39" s="164">
        <v>-218.4</v>
      </c>
      <c r="X39" s="164"/>
      <c r="Y39" s="164">
        <v>4638</v>
      </c>
      <c r="Z39" s="164">
        <v>7735</v>
      </c>
      <c r="AA39" s="164">
        <f t="shared" si="0"/>
        <v>22445.599999999999</v>
      </c>
      <c r="AB39" s="175">
        <f>IF(AA39=0,"",IFERROR(AA39/AA$19,""))</f>
        <v>8.1787814520762253E-2</v>
      </c>
      <c r="AD39" s="164">
        <v>84795</v>
      </c>
      <c r="AE39" s="175">
        <f>IF(AD39=0,"",IFERROR(AD39/AD$19,""))</f>
        <v>0.24986574081236201</v>
      </c>
      <c r="AF39" s="165">
        <f t="shared" si="1"/>
        <v>-62349.4</v>
      </c>
      <c r="AG39" s="164">
        <v>22025</v>
      </c>
      <c r="AH39" s="175">
        <f>IF(AG39=0,"",IFERROR(AG39/AG$19,""))</f>
        <v>8.6580706013473258E-2</v>
      </c>
      <c r="AI39" s="165">
        <f t="shared" si="2"/>
        <v>420.59999999999854</v>
      </c>
    </row>
    <row r="40" spans="1:35" x14ac:dyDescent="0.25">
      <c r="A40" s="6" t="s">
        <v>28</v>
      </c>
      <c r="B40" s="7"/>
      <c r="H40" s="15" t="s">
        <v>763</v>
      </c>
      <c r="I40" s="161" t="s">
        <v>1009</v>
      </c>
      <c r="J40" s="161" t="s">
        <v>1009</v>
      </c>
      <c r="K40" s="162"/>
      <c r="L40" s="162">
        <v>947100</v>
      </c>
      <c r="M40" s="162">
        <v>999991</v>
      </c>
      <c r="N40" s="162" t="s">
        <v>1351</v>
      </c>
      <c r="O40" s="38">
        <v>1</v>
      </c>
      <c r="P40" s="38"/>
      <c r="Q40" s="38">
        <v>1</v>
      </c>
      <c r="R40" s="38">
        <v>2</v>
      </c>
      <c r="S40" s="38">
        <v>2</v>
      </c>
      <c r="T40" s="38"/>
      <c r="U40" s="38">
        <v>1</v>
      </c>
      <c r="V40" s="38">
        <v>4</v>
      </c>
      <c r="W40" s="38">
        <v>1</v>
      </c>
      <c r="X40" s="38"/>
      <c r="Y40" s="38">
        <v>5</v>
      </c>
      <c r="Z40" s="38">
        <v>8</v>
      </c>
      <c r="AA40" s="38">
        <f t="shared" si="0"/>
        <v>25</v>
      </c>
      <c r="AB40" s="39"/>
      <c r="AD40" s="38">
        <v>365</v>
      </c>
      <c r="AE40" s="39"/>
      <c r="AF40" s="132">
        <f t="shared" si="1"/>
        <v>-340</v>
      </c>
      <c r="AG40" s="38">
        <v>21</v>
      </c>
      <c r="AH40" s="39"/>
      <c r="AI40" s="132">
        <f t="shared" si="2"/>
        <v>4</v>
      </c>
    </row>
    <row r="41" spans="1:35" x14ac:dyDescent="0.25">
      <c r="A41" s="6" t="s">
        <v>29</v>
      </c>
      <c r="B41" s="7"/>
      <c r="H41" s="15" t="s">
        <v>297</v>
      </c>
      <c r="I41" s="161" t="s">
        <v>1009</v>
      </c>
      <c r="J41" s="161" t="s">
        <v>1009</v>
      </c>
      <c r="K41" s="162"/>
      <c r="L41" s="162">
        <v>946100</v>
      </c>
      <c r="M41" s="162">
        <v>991501</v>
      </c>
      <c r="N41" s="162" t="s">
        <v>1263</v>
      </c>
      <c r="O41" s="38">
        <v>44</v>
      </c>
      <c r="P41" s="38"/>
      <c r="Q41" s="38">
        <v>33</v>
      </c>
      <c r="R41" s="38">
        <v>26</v>
      </c>
      <c r="S41" s="38">
        <v>48</v>
      </c>
      <c r="T41" s="38"/>
      <c r="U41" s="38">
        <v>23</v>
      </c>
      <c r="V41" s="38">
        <v>31</v>
      </c>
      <c r="W41" s="38"/>
      <c r="X41" s="38"/>
      <c r="Y41" s="38">
        <v>67</v>
      </c>
      <c r="Z41" s="38">
        <v>139</v>
      </c>
      <c r="AA41" s="38">
        <f t="shared" si="0"/>
        <v>411</v>
      </c>
      <c r="AB41" s="39">
        <f>IF(AA41=0,"",IFERROR(AA41/AA$84,""))</f>
        <v>9.6343178621659628E-2</v>
      </c>
      <c r="AD41" s="38">
        <v>1748</v>
      </c>
      <c r="AE41" s="39">
        <f>IF(AD41=0,"",IFERROR(AD41/AD$84,""))</f>
        <v>0.34545454545454546</v>
      </c>
      <c r="AF41" s="132">
        <f t="shared" si="1"/>
        <v>-1337</v>
      </c>
      <c r="AG41" s="38">
        <v>214</v>
      </c>
      <c r="AH41" s="39">
        <f>IF(AG41=0,"",IFERROR(AG41/AG$84,""))</f>
        <v>5.0258337247534056E-2</v>
      </c>
      <c r="AI41" s="132">
        <f t="shared" si="2"/>
        <v>197</v>
      </c>
    </row>
    <row r="42" spans="1:35" x14ac:dyDescent="0.25">
      <c r="A42" s="6" t="s">
        <v>30</v>
      </c>
      <c r="B42" s="7" t="s">
        <v>78</v>
      </c>
      <c r="H42" s="15" t="s">
        <v>313</v>
      </c>
      <c r="I42" s="161" t="s">
        <v>1009</v>
      </c>
      <c r="J42" s="161" t="s">
        <v>78</v>
      </c>
      <c r="K42" s="162"/>
      <c r="L42" s="162"/>
      <c r="M42" s="162"/>
      <c r="N42" s="170" t="s">
        <v>1264</v>
      </c>
      <c r="O42" s="176">
        <v>27.727272727272702</v>
      </c>
      <c r="P42" s="176"/>
      <c r="Q42" s="176">
        <v>44.090909090909101</v>
      </c>
      <c r="R42" s="176">
        <v>35.538461538461497</v>
      </c>
      <c r="S42" s="176">
        <v>33.5416666666667</v>
      </c>
      <c r="T42" s="176"/>
      <c r="U42" s="176">
        <v>-13.869565217391299</v>
      </c>
      <c r="V42" s="176">
        <v>174.22580645161301</v>
      </c>
      <c r="W42" s="176"/>
      <c r="X42" s="176"/>
      <c r="Y42" s="176">
        <v>69.223880597014897</v>
      </c>
      <c r="Z42" s="176">
        <v>55.647482014388501</v>
      </c>
      <c r="AA42" s="176">
        <f>IFERROR(AA39/AA41,"")</f>
        <v>54.612165450121651</v>
      </c>
      <c r="AB42" s="176"/>
      <c r="AD42" s="176">
        <v>48.509725400457697</v>
      </c>
      <c r="AE42" s="176"/>
      <c r="AF42" s="177">
        <f t="shared" si="1"/>
        <v>6.1024400496639544</v>
      </c>
      <c r="AG42" s="176">
        <v>102.920560747664</v>
      </c>
      <c r="AH42" s="176"/>
      <c r="AI42" s="177">
        <f t="shared" si="2"/>
        <v>-48.308395297542347</v>
      </c>
    </row>
    <row r="43" spans="1:35" x14ac:dyDescent="0.25">
      <c r="A43" s="6" t="s">
        <v>31</v>
      </c>
      <c r="B43" s="7" t="s">
        <v>78</v>
      </c>
      <c r="H43" s="15"/>
      <c r="I43" s="161"/>
      <c r="J43" s="161"/>
      <c r="K43" s="162"/>
      <c r="L43" s="162"/>
      <c r="M43" s="162"/>
      <c r="N43" s="182" t="s">
        <v>345</v>
      </c>
      <c r="O43" s="179">
        <f t="shared" ref="O43:AA43" si="3">ROUND(IFERROR(O39/O41,0),2)</f>
        <v>27.73</v>
      </c>
      <c r="P43" s="184">
        <f t="shared" si="3"/>
        <v>0</v>
      </c>
      <c r="Q43" s="184">
        <f t="shared" si="3"/>
        <v>44.09</v>
      </c>
      <c r="R43" s="184">
        <f t="shared" si="3"/>
        <v>35.54</v>
      </c>
      <c r="S43" s="184">
        <f t="shared" si="3"/>
        <v>33.54</v>
      </c>
      <c r="T43" s="184">
        <f t="shared" si="3"/>
        <v>0</v>
      </c>
      <c r="U43" s="184">
        <f t="shared" si="3"/>
        <v>-13.87</v>
      </c>
      <c r="V43" s="184">
        <f t="shared" si="3"/>
        <v>174.23</v>
      </c>
      <c r="W43" s="184">
        <f t="shared" si="3"/>
        <v>0</v>
      </c>
      <c r="X43" s="184">
        <f t="shared" si="3"/>
        <v>0</v>
      </c>
      <c r="Y43" s="184">
        <f t="shared" si="3"/>
        <v>69.22</v>
      </c>
      <c r="Z43" s="184">
        <f t="shared" si="3"/>
        <v>55.65</v>
      </c>
      <c r="AA43" s="184">
        <f t="shared" si="3"/>
        <v>54.61</v>
      </c>
      <c r="AB43" s="183"/>
      <c r="AD43" s="179">
        <f>ROUND(IFERROR(AD39/AD41,0),2)</f>
        <v>48.51</v>
      </c>
      <c r="AE43" s="184"/>
      <c r="AF43" s="180"/>
      <c r="AG43" s="179">
        <f>ROUND(IFERROR(AG39/AG41,0),2)</f>
        <v>102.92</v>
      </c>
      <c r="AH43" s="184"/>
      <c r="AI43" s="180"/>
    </row>
    <row r="44" spans="1:35" x14ac:dyDescent="0.25">
      <c r="A44" s="6" t="s">
        <v>32</v>
      </c>
      <c r="B44" s="7"/>
      <c r="G44" s="181">
        <f>COUNTIF(O44:AI44,FALSE)</f>
        <v>0</v>
      </c>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b">
        <f t="shared" si="4"/>
        <v>1</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v>16592</v>
      </c>
      <c r="P45" s="21">
        <v>24138.5</v>
      </c>
      <c r="Q45" s="21">
        <v>4879.07</v>
      </c>
      <c r="R45" s="21">
        <v>1354.25</v>
      </c>
      <c r="S45" s="21">
        <v>3357</v>
      </c>
      <c r="T45" s="21"/>
      <c r="U45" s="21">
        <v>651</v>
      </c>
      <c r="V45" s="21"/>
      <c r="W45" s="21">
        <v>5795.51</v>
      </c>
      <c r="X45" s="21">
        <v>13310.1</v>
      </c>
      <c r="Y45" s="21">
        <v>1047.2</v>
      </c>
      <c r="Z45" s="21">
        <v>28285</v>
      </c>
      <c r="AA45" s="21">
        <f t="shared" ref="AA45:AA51" si="5">SUM(O45:Z45)</f>
        <v>99409.63</v>
      </c>
      <c r="AB45" s="17">
        <f>IF(AA45=0,"",IFERROR(AA45/AA$19,""))</f>
        <v>0.36223118918708364</v>
      </c>
      <c r="AD45" s="21">
        <v>123346.235115</v>
      </c>
      <c r="AE45" s="17">
        <f>IF(AD45=0,"",IFERROR(AD45/AD$19,""))</f>
        <v>0.3634648082248394</v>
      </c>
      <c r="AF45" s="50">
        <f t="shared" ref="AF45:AF52" si="6">IF(AND($AA45="",AD45=""),"",$AA45-AD45)</f>
        <v>-23936.605114999998</v>
      </c>
      <c r="AG45" s="21">
        <v>171272.93</v>
      </c>
      <c r="AH45" s="17">
        <f>IF(AG45=0,"",IFERROR(AG45/AG$19,""))</f>
        <v>0.67327723951855545</v>
      </c>
      <c r="AI45" s="50">
        <f t="shared" ref="AI45:AI52" si="7">IF(AND($AA45="",AG45=""),"",$AA45-AG45)</f>
        <v>-71863.299999999988</v>
      </c>
    </row>
    <row r="46" spans="1:35" x14ac:dyDescent="0.25">
      <c r="A46" s="6" t="s">
        <v>34</v>
      </c>
      <c r="B46" s="7"/>
      <c r="H46" s="149" t="s">
        <v>301</v>
      </c>
      <c r="I46" s="161" t="s">
        <v>1123</v>
      </c>
      <c r="J46" s="161" t="s">
        <v>78</v>
      </c>
      <c r="K46" s="162"/>
      <c r="L46" s="162">
        <v>462200</v>
      </c>
      <c r="M46" s="162"/>
      <c r="N46" s="162" t="s">
        <v>1266</v>
      </c>
      <c r="O46" s="21"/>
      <c r="P46" s="21"/>
      <c r="Q46" s="21">
        <v>50</v>
      </c>
      <c r="R46" s="21">
        <v>873</v>
      </c>
      <c r="S46" s="21"/>
      <c r="T46" s="21">
        <v>73</v>
      </c>
      <c r="U46" s="21"/>
      <c r="V46" s="21"/>
      <c r="W46" s="21">
        <v>741</v>
      </c>
      <c r="X46" s="21"/>
      <c r="Y46" s="21"/>
      <c r="Z46" s="21">
        <v>-180</v>
      </c>
      <c r="AA46" s="21">
        <f t="shared" si="5"/>
        <v>1557</v>
      </c>
      <c r="AB46" s="17">
        <f>IF(AA46=0,"",IFERROR(AA46/AA$19,""))</f>
        <v>5.6734338671644707E-3</v>
      </c>
      <c r="AD46" s="21">
        <v>1220.53943</v>
      </c>
      <c r="AE46" s="17">
        <f>IF(AD46=0,"",IFERROR(AD46/AD$19,""))</f>
        <v>3.5965680625938802E-3</v>
      </c>
      <c r="AF46" s="50">
        <f t="shared" si="6"/>
        <v>336.46056999999996</v>
      </c>
      <c r="AG46" s="21">
        <v>4141</v>
      </c>
      <c r="AH46" s="17">
        <f>IF(AG46=0,"",IFERROR(AG46/AG$19,""))</f>
        <v>1.6278352036403758E-2</v>
      </c>
      <c r="AI46" s="50">
        <f t="shared" si="7"/>
        <v>-2584</v>
      </c>
    </row>
    <row r="47" spans="1:35" x14ac:dyDescent="0.25">
      <c r="A47" s="6" t="s">
        <v>35</v>
      </c>
      <c r="B47" s="7"/>
      <c r="H47" s="149" t="s">
        <v>305</v>
      </c>
      <c r="I47" s="161" t="s">
        <v>1123</v>
      </c>
      <c r="J47" s="161" t="s">
        <v>78</v>
      </c>
      <c r="K47" s="162"/>
      <c r="L47" s="162">
        <v>462300</v>
      </c>
      <c r="M47" s="162"/>
      <c r="N47" s="162" t="s">
        <v>1267</v>
      </c>
      <c r="O47" s="21"/>
      <c r="P47" s="21"/>
      <c r="Q47" s="21">
        <v>250</v>
      </c>
      <c r="R47" s="21">
        <v>-48</v>
      </c>
      <c r="S47" s="21"/>
      <c r="T47" s="21"/>
      <c r="U47" s="21"/>
      <c r="V47" s="21"/>
      <c r="W47" s="21"/>
      <c r="X47" s="21"/>
      <c r="Y47" s="21"/>
      <c r="Z47" s="21">
        <v>654</v>
      </c>
      <c r="AA47" s="21">
        <f t="shared" si="5"/>
        <v>856</v>
      </c>
      <c r="AB47" s="17">
        <f>IF(AA47=0,"",IFERROR(AA47/AA$19,""))</f>
        <v>3.1191132885631258E-3</v>
      </c>
      <c r="AD47" s="21">
        <v>45.015599999999999</v>
      </c>
      <c r="AE47" s="17">
        <f>IF(AD47=0,"",IFERROR(AD47/AD$19,""))</f>
        <v>1.3264763538077673E-4</v>
      </c>
      <c r="AF47" s="50">
        <f t="shared" si="6"/>
        <v>810.98440000000005</v>
      </c>
      <c r="AG47" s="21">
        <v>211</v>
      </c>
      <c r="AH47" s="17">
        <f>IF(AG47=0,"",IFERROR(AG47/AG$19,""))</f>
        <v>8.2944512911885845E-4</v>
      </c>
      <c r="AI47" s="50">
        <f t="shared" si="7"/>
        <v>645</v>
      </c>
    </row>
    <row r="48" spans="1:35" x14ac:dyDescent="0.25">
      <c r="A48" s="6" t="s">
        <v>36</v>
      </c>
      <c r="B48" s="7"/>
      <c r="H48" s="149" t="s">
        <v>303</v>
      </c>
      <c r="I48" s="161" t="s">
        <v>1123</v>
      </c>
      <c r="J48" s="161" t="s">
        <v>78</v>
      </c>
      <c r="K48" s="162"/>
      <c r="L48" s="162">
        <v>462400</v>
      </c>
      <c r="M48" s="162"/>
      <c r="N48" s="162" t="s">
        <v>1268</v>
      </c>
      <c r="O48" s="30"/>
      <c r="P48" s="30"/>
      <c r="Q48" s="30"/>
      <c r="R48" s="30">
        <v>433</v>
      </c>
      <c r="S48" s="30"/>
      <c r="T48" s="30"/>
      <c r="U48" s="30"/>
      <c r="V48" s="30"/>
      <c r="W48" s="30"/>
      <c r="X48" s="30"/>
      <c r="Y48" s="30"/>
      <c r="Z48" s="30">
        <v>588</v>
      </c>
      <c r="AA48" s="30">
        <f t="shared" si="5"/>
        <v>1021</v>
      </c>
      <c r="AB48" s="31">
        <f>IF(AA48=0,"",IFERROR(AA48/AA$19,""))</f>
        <v>3.7203442378772799E-3</v>
      </c>
      <c r="AD48" s="30">
        <v>1094.4598550000001</v>
      </c>
      <c r="AE48" s="31">
        <f>IF(AD48=0,"",IFERROR(AD48/AD$19,""))</f>
        <v>3.2250489115981523E-3</v>
      </c>
      <c r="AF48" s="51">
        <f t="shared" si="6"/>
        <v>-73.459855000000061</v>
      </c>
      <c r="AG48" s="30">
        <v>851</v>
      </c>
      <c r="AH48" s="31">
        <f>IF(AG48=0,"",IFERROR(AG48/AG$19,""))</f>
        <v>3.3452976534604196E-3</v>
      </c>
      <c r="AI48" s="51">
        <f t="shared" si="7"/>
        <v>170</v>
      </c>
    </row>
    <row r="49" spans="1:35" x14ac:dyDescent="0.25">
      <c r="A49" s="6" t="s">
        <v>37</v>
      </c>
      <c r="B49" s="7"/>
      <c r="H49" s="15" t="s">
        <v>319</v>
      </c>
      <c r="I49" s="161" t="s">
        <v>1009</v>
      </c>
      <c r="J49" s="161" t="s">
        <v>78</v>
      </c>
      <c r="K49" s="162"/>
      <c r="L49" s="162"/>
      <c r="M49" s="162"/>
      <c r="N49" s="25" t="s">
        <v>1269</v>
      </c>
      <c r="O49" s="164">
        <v>16592</v>
      </c>
      <c r="P49" s="164">
        <v>24138.5</v>
      </c>
      <c r="Q49" s="164">
        <v>5179.07</v>
      </c>
      <c r="R49" s="164">
        <v>2612.25</v>
      </c>
      <c r="S49" s="164">
        <v>3357</v>
      </c>
      <c r="T49" s="164">
        <v>73</v>
      </c>
      <c r="U49" s="164">
        <v>651</v>
      </c>
      <c r="V49" s="164"/>
      <c r="W49" s="164">
        <v>6536.51</v>
      </c>
      <c r="X49" s="164">
        <v>13310.1</v>
      </c>
      <c r="Y49" s="164">
        <v>1047.2</v>
      </c>
      <c r="Z49" s="164">
        <v>29347</v>
      </c>
      <c r="AA49" s="164">
        <f t="shared" si="5"/>
        <v>102843.63</v>
      </c>
      <c r="AB49" s="175">
        <f>IF(AA49=0,"",IFERROR(AA49/AA$19,""))</f>
        <v>0.37474408058068848</v>
      </c>
      <c r="AD49" s="164">
        <v>125706.25</v>
      </c>
      <c r="AE49" s="175">
        <f>IF(AD49=0,"",IFERROR(AD49/AD$19,""))</f>
        <v>0.37041907283441222</v>
      </c>
      <c r="AF49" s="165">
        <f t="shared" si="6"/>
        <v>-22862.619999999995</v>
      </c>
      <c r="AG49" s="164">
        <v>176475.93</v>
      </c>
      <c r="AH49" s="175">
        <f>IF(AG49=0,"",IFERROR(AG49/AG$19,""))</f>
        <v>0.6937303343375385</v>
      </c>
      <c r="AI49" s="165">
        <f t="shared" si="7"/>
        <v>-73632.299999999988</v>
      </c>
    </row>
    <row r="50" spans="1:35" x14ac:dyDescent="0.25">
      <c r="A50" s="6" t="s">
        <v>38</v>
      </c>
      <c r="B50" s="7"/>
      <c r="H50" s="15" t="s">
        <v>764</v>
      </c>
      <c r="I50" s="161" t="s">
        <v>1009</v>
      </c>
      <c r="J50" s="161" t="s">
        <v>1009</v>
      </c>
      <c r="K50" s="162"/>
      <c r="L50" s="162">
        <v>947200</v>
      </c>
      <c r="M50" s="162">
        <v>999992</v>
      </c>
      <c r="N50" s="162" t="s">
        <v>1352</v>
      </c>
      <c r="O50" s="38">
        <v>9</v>
      </c>
      <c r="P50" s="38">
        <v>10</v>
      </c>
      <c r="Q50" s="38">
        <v>5</v>
      </c>
      <c r="R50" s="38">
        <v>9</v>
      </c>
      <c r="S50" s="38">
        <v>3</v>
      </c>
      <c r="T50" s="38"/>
      <c r="U50" s="38">
        <v>3</v>
      </c>
      <c r="V50" s="38"/>
      <c r="W50" s="38">
        <v>3</v>
      </c>
      <c r="X50" s="38">
        <v>12</v>
      </c>
      <c r="Y50" s="38">
        <v>4</v>
      </c>
      <c r="Z50" s="38">
        <v>10</v>
      </c>
      <c r="AA50" s="38">
        <f t="shared" si="5"/>
        <v>68</v>
      </c>
      <c r="AB50" s="39"/>
      <c r="AD50" s="38">
        <v>365</v>
      </c>
      <c r="AE50" s="39"/>
      <c r="AF50" s="132">
        <f t="shared" si="6"/>
        <v>-297</v>
      </c>
      <c r="AG50" s="38">
        <v>99</v>
      </c>
      <c r="AH50" s="39"/>
      <c r="AI50" s="132">
        <f t="shared" si="7"/>
        <v>-31</v>
      </c>
    </row>
    <row r="51" spans="1:35" x14ac:dyDescent="0.25">
      <c r="A51" s="6" t="s">
        <v>39</v>
      </c>
      <c r="B51" s="7"/>
      <c r="H51" s="15" t="s">
        <v>298</v>
      </c>
      <c r="I51" s="161" t="s">
        <v>1009</v>
      </c>
      <c r="J51" s="161" t="s">
        <v>1009</v>
      </c>
      <c r="K51" s="162"/>
      <c r="L51" s="162">
        <v>946200</v>
      </c>
      <c r="M51" s="162">
        <v>991502</v>
      </c>
      <c r="N51" s="162" t="s">
        <v>1270</v>
      </c>
      <c r="O51" s="38">
        <v>460</v>
      </c>
      <c r="P51" s="38">
        <v>413</v>
      </c>
      <c r="Q51" s="38">
        <v>329</v>
      </c>
      <c r="R51" s="38">
        <v>114</v>
      </c>
      <c r="S51" s="38">
        <v>34</v>
      </c>
      <c r="T51" s="38">
        <v>1</v>
      </c>
      <c r="U51" s="38">
        <v>13</v>
      </c>
      <c r="V51" s="38"/>
      <c r="W51" s="38">
        <v>160</v>
      </c>
      <c r="X51" s="38">
        <v>70</v>
      </c>
      <c r="Y51" s="38">
        <v>19</v>
      </c>
      <c r="Z51" s="38">
        <v>344</v>
      </c>
      <c r="AA51" s="38">
        <f t="shared" si="5"/>
        <v>1957</v>
      </c>
      <c r="AB51" s="39">
        <f>IF(AA51=0,"",IFERROR(AA51/AA$84,""))</f>
        <v>0.45874355368026254</v>
      </c>
      <c r="AD51" s="38">
        <v>1818</v>
      </c>
      <c r="AE51" s="39">
        <f>IF(AD51=0,"",IFERROR(AD51/AD$84,""))</f>
        <v>0.35928853754940709</v>
      </c>
      <c r="AF51" s="132">
        <f t="shared" si="6"/>
        <v>139</v>
      </c>
      <c r="AG51" s="38">
        <v>2878</v>
      </c>
      <c r="AH51" s="39">
        <f>IF(AG51=0,"",IFERROR(AG51/AG$84,""))</f>
        <v>0.67590418036636923</v>
      </c>
      <c r="AI51" s="132">
        <f t="shared" si="7"/>
        <v>-921</v>
      </c>
    </row>
    <row r="52" spans="1:35" x14ac:dyDescent="0.25">
      <c r="A52" s="6" t="s">
        <v>40</v>
      </c>
      <c r="B52" s="7"/>
      <c r="H52" s="15" t="s">
        <v>315</v>
      </c>
      <c r="I52" s="161" t="s">
        <v>1009</v>
      </c>
      <c r="J52" s="161" t="s">
        <v>78</v>
      </c>
      <c r="K52" s="162"/>
      <c r="L52" s="162"/>
      <c r="M52" s="162"/>
      <c r="N52" s="170" t="s">
        <v>1271</v>
      </c>
      <c r="O52" s="176">
        <v>36.0695652173913</v>
      </c>
      <c r="P52" s="176">
        <v>58.446731234866803</v>
      </c>
      <c r="Q52" s="176">
        <v>15.741854103343501</v>
      </c>
      <c r="R52" s="176">
        <v>22.914473684210499</v>
      </c>
      <c r="S52" s="176">
        <v>98.735294117647101</v>
      </c>
      <c r="T52" s="176">
        <v>73</v>
      </c>
      <c r="U52" s="176">
        <v>50.076923076923102</v>
      </c>
      <c r="V52" s="176"/>
      <c r="W52" s="176">
        <v>40.853187499999997</v>
      </c>
      <c r="X52" s="176">
        <v>190.14428571428601</v>
      </c>
      <c r="Y52" s="176">
        <v>55.115789473684202</v>
      </c>
      <c r="Z52" s="176">
        <v>85.311046511627893</v>
      </c>
      <c r="AA52" s="176">
        <f>IFERROR(AA49/AA51,"")</f>
        <v>52.551676034747061</v>
      </c>
      <c r="AB52" s="176"/>
      <c r="AD52" s="176">
        <v>69.145352035203501</v>
      </c>
      <c r="AE52" s="176"/>
      <c r="AF52" s="177">
        <f t="shared" si="6"/>
        <v>-16.593676000456441</v>
      </c>
      <c r="AG52" s="176">
        <v>61.318947185545497</v>
      </c>
      <c r="AH52" s="176"/>
      <c r="AI52" s="177">
        <f t="shared" si="7"/>
        <v>-8.767271150798436</v>
      </c>
    </row>
    <row r="53" spans="1:35" x14ac:dyDescent="0.25">
      <c r="A53" s="6" t="s">
        <v>41</v>
      </c>
      <c r="B53" s="7"/>
      <c r="H53" s="15"/>
      <c r="I53" s="161"/>
      <c r="J53" s="161"/>
      <c r="K53" s="162"/>
      <c r="L53" s="162"/>
      <c r="M53" s="162"/>
      <c r="N53" s="182" t="s">
        <v>345</v>
      </c>
      <c r="O53" s="179">
        <f t="shared" ref="O53:AA53" si="8">ROUND(IFERROR(O49/O51,0),2)</f>
        <v>36.07</v>
      </c>
      <c r="P53" s="184">
        <f t="shared" si="8"/>
        <v>58.45</v>
      </c>
      <c r="Q53" s="184">
        <f t="shared" si="8"/>
        <v>15.74</v>
      </c>
      <c r="R53" s="184">
        <f t="shared" si="8"/>
        <v>22.91</v>
      </c>
      <c r="S53" s="184">
        <f t="shared" si="8"/>
        <v>98.74</v>
      </c>
      <c r="T53" s="184">
        <f t="shared" si="8"/>
        <v>73</v>
      </c>
      <c r="U53" s="184">
        <f t="shared" si="8"/>
        <v>50.08</v>
      </c>
      <c r="V53" s="184">
        <f t="shared" si="8"/>
        <v>0</v>
      </c>
      <c r="W53" s="184">
        <f t="shared" si="8"/>
        <v>40.85</v>
      </c>
      <c r="X53" s="184">
        <f t="shared" si="8"/>
        <v>190.14</v>
      </c>
      <c r="Y53" s="184">
        <f t="shared" si="8"/>
        <v>55.12</v>
      </c>
      <c r="Z53" s="184">
        <f t="shared" si="8"/>
        <v>85.31</v>
      </c>
      <c r="AA53" s="184">
        <f t="shared" si="8"/>
        <v>52.55</v>
      </c>
      <c r="AB53" s="183"/>
      <c r="AD53" s="179">
        <f>ROUND(IFERROR(AD49/AD51,0),2)</f>
        <v>69.150000000000006</v>
      </c>
      <c r="AE53" s="184"/>
      <c r="AF53" s="180"/>
      <c r="AG53" s="179">
        <f>ROUND(IFERROR(AG49/AG51,0),2)</f>
        <v>61.32</v>
      </c>
      <c r="AH53" s="184"/>
      <c r="AI53" s="180"/>
    </row>
    <row r="54" spans="1:35" x14ac:dyDescent="0.25">
      <c r="A54" s="6" t="s">
        <v>42</v>
      </c>
      <c r="B54" s="7"/>
      <c r="G54" s="181">
        <f>COUNTIF(O54:AI54,FALSE)</f>
        <v>0</v>
      </c>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b">
        <f t="shared" si="9"/>
        <v>1</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v>38265</v>
      </c>
      <c r="P55" s="21">
        <v>10655</v>
      </c>
      <c r="Q55" s="21">
        <v>14641</v>
      </c>
      <c r="R55" s="21">
        <v>1796</v>
      </c>
      <c r="S55" s="21">
        <v>8250</v>
      </c>
      <c r="T55" s="21">
        <v>8407.98</v>
      </c>
      <c r="U55" s="21"/>
      <c r="V55" s="21"/>
      <c r="W55" s="21">
        <v>-132.6</v>
      </c>
      <c r="X55" s="21"/>
      <c r="Y55" s="21"/>
      <c r="Z55" s="21">
        <v>1608.21</v>
      </c>
      <c r="AA55" s="21">
        <f t="shared" ref="AA55:AA61" si="10">SUM(O55:Z55)</f>
        <v>83490.59</v>
      </c>
      <c r="AB55" s="17">
        <f>IF(AA55=0,"",IFERROR(AA55/AA$19,""))</f>
        <v>0.30422501020908366</v>
      </c>
      <c r="AD55" s="21">
        <v>83034.272700000001</v>
      </c>
      <c r="AE55" s="17">
        <f>IF(AD55=0,"",IFERROR(AD55/AD$19,""))</f>
        <v>0.24467739915090733</v>
      </c>
      <c r="AF55" s="50">
        <f t="shared" ref="AF55:AF62" si="11">IF(AND($AA55="",AD55=""),"",$AA55-AD55)</f>
        <v>456.31729999999516</v>
      </c>
      <c r="AG55" s="21">
        <v>37692</v>
      </c>
      <c r="AH55" s="17">
        <f>IF(AG55=0,"",IFERROR(AG55/AG$19,""))</f>
        <v>0.14816798960544081</v>
      </c>
      <c r="AI55" s="50">
        <f t="shared" ref="AI55:AI62" si="12">IF(AND($AA55="",AG55=""),"",$AA55-AG55)</f>
        <v>45798.59</v>
      </c>
    </row>
    <row r="56" spans="1:35" x14ac:dyDescent="0.25">
      <c r="A56" s="6" t="s">
        <v>44</v>
      </c>
      <c r="B56" s="7"/>
      <c r="H56" s="15" t="s">
        <v>302</v>
      </c>
      <c r="I56" s="161" t="s">
        <v>1123</v>
      </c>
      <c r="J56" s="161" t="s">
        <v>78</v>
      </c>
      <c r="K56" s="162"/>
      <c r="L56" s="162">
        <v>463200</v>
      </c>
      <c r="M56" s="162"/>
      <c r="N56" s="162" t="s">
        <v>1273</v>
      </c>
      <c r="O56" s="21"/>
      <c r="P56" s="21"/>
      <c r="Q56" s="21">
        <v>1101</v>
      </c>
      <c r="R56" s="21"/>
      <c r="S56" s="21">
        <v>7276</v>
      </c>
      <c r="T56" s="21">
        <v>228</v>
      </c>
      <c r="U56" s="21"/>
      <c r="V56" s="21"/>
      <c r="W56" s="21"/>
      <c r="X56" s="21"/>
      <c r="Y56" s="21"/>
      <c r="Z56" s="21">
        <v>455</v>
      </c>
      <c r="AA56" s="21">
        <f t="shared" si="10"/>
        <v>9060</v>
      </c>
      <c r="AB56" s="17">
        <f>IF(AA56=0,"",IFERROR(AA56/AA$19,""))</f>
        <v>3.3013044853249907E-2</v>
      </c>
      <c r="AD56" s="21">
        <v>3174.8589000000002</v>
      </c>
      <c r="AE56" s="17">
        <f>IF(AD56=0,"",IFERROR(AD56/AD$19,""))</f>
        <v>9.3553684889819064E-3</v>
      </c>
      <c r="AF56" s="50">
        <f t="shared" si="11"/>
        <v>5885.1410999999998</v>
      </c>
      <c r="AG56" s="21">
        <v>15158</v>
      </c>
      <c r="AH56" s="17">
        <f>IF(AG56=0,"",IFERROR(AG56/AG$19,""))</f>
        <v>5.9586394631202161E-2</v>
      </c>
      <c r="AI56" s="50">
        <f t="shared" si="12"/>
        <v>-6098</v>
      </c>
    </row>
    <row r="57" spans="1:35" x14ac:dyDescent="0.25">
      <c r="A57" s="6" t="s">
        <v>45</v>
      </c>
      <c r="B57" s="7"/>
      <c r="H57" s="15" t="s">
        <v>306</v>
      </c>
      <c r="I57" s="161" t="s">
        <v>1123</v>
      </c>
      <c r="J57" s="161" t="s">
        <v>78</v>
      </c>
      <c r="K57" s="162"/>
      <c r="L57" s="162">
        <v>463300</v>
      </c>
      <c r="M57" s="162"/>
      <c r="N57" s="162" t="s">
        <v>1274</v>
      </c>
      <c r="O57" s="21">
        <v>2095</v>
      </c>
      <c r="P57" s="21"/>
      <c r="Q57" s="21"/>
      <c r="R57" s="21"/>
      <c r="S57" s="21">
        <v>500</v>
      </c>
      <c r="T57" s="21">
        <v>10</v>
      </c>
      <c r="U57" s="21"/>
      <c r="V57" s="21"/>
      <c r="W57" s="21"/>
      <c r="X57" s="21"/>
      <c r="Y57" s="21"/>
      <c r="Z57" s="21"/>
      <c r="AA57" s="21">
        <f t="shared" si="10"/>
        <v>2605</v>
      </c>
      <c r="AB57" s="17">
        <f>IF(AA57=0,"",IFERROR(AA57/AA$19,""))</f>
        <v>9.4921613512931567E-3</v>
      </c>
      <c r="AD57" s="21">
        <v>1216.8684000000001</v>
      </c>
      <c r="AE57" s="17">
        <f>IF(AD57=0,"",IFERROR(AD57/AD$19,""))</f>
        <v>3.5857506248853548E-3</v>
      </c>
      <c r="AF57" s="50">
        <f t="shared" si="11"/>
        <v>1388.1315999999999</v>
      </c>
      <c r="AG57" s="21">
        <v>603</v>
      </c>
      <c r="AH57" s="17">
        <f>IF(AG57=0,"",IFERROR(AG57/AG$19,""))</f>
        <v>2.3704048002780647E-3</v>
      </c>
      <c r="AI57" s="50">
        <f t="shared" si="12"/>
        <v>2002</v>
      </c>
    </row>
    <row r="58" spans="1:35" x14ac:dyDescent="0.25">
      <c r="A58" s="6" t="s">
        <v>46</v>
      </c>
      <c r="B58" s="7"/>
      <c r="H58" s="15" t="s">
        <v>304</v>
      </c>
      <c r="I58" s="161" t="s">
        <v>1123</v>
      </c>
      <c r="J58" s="161" t="s">
        <v>78</v>
      </c>
      <c r="K58" s="162"/>
      <c r="L58" s="162">
        <v>463400</v>
      </c>
      <c r="M58" s="162"/>
      <c r="N58" s="162" t="s">
        <v>1275</v>
      </c>
      <c r="O58" s="30">
        <v>1441</v>
      </c>
      <c r="P58" s="30"/>
      <c r="Q58" s="30">
        <v>-336</v>
      </c>
      <c r="R58" s="30"/>
      <c r="S58" s="30">
        <v>1736</v>
      </c>
      <c r="T58" s="30"/>
      <c r="U58" s="30"/>
      <c r="V58" s="30"/>
      <c r="W58" s="30"/>
      <c r="X58" s="30"/>
      <c r="Y58" s="30"/>
      <c r="Z58" s="30">
        <v>314.79000000000002</v>
      </c>
      <c r="AA58" s="30">
        <f t="shared" si="10"/>
        <v>3155.79</v>
      </c>
      <c r="AB58" s="31">
        <f>IF(AA58=0,"",IFERROR(AA58/AA$19,""))</f>
        <v>1.1499143136582507E-2</v>
      </c>
      <c r="AD58" s="30"/>
      <c r="AE58" s="31" t="str">
        <f>IF(AD58=0,"",IFERROR(AD58/AD$19,""))</f>
        <v/>
      </c>
      <c r="AF58" s="51">
        <f t="shared" si="11"/>
        <v>3155.79</v>
      </c>
      <c r="AG58" s="30">
        <v>104</v>
      </c>
      <c r="AH58" s="31">
        <f>IF(AG58=0,"",IFERROR(AG58/AG$19,""))</f>
        <v>4.0882603520550371E-4</v>
      </c>
      <c r="AI58" s="51">
        <f t="shared" si="12"/>
        <v>3051.79</v>
      </c>
    </row>
    <row r="59" spans="1:35" x14ac:dyDescent="0.25">
      <c r="H59" s="15" t="s">
        <v>320</v>
      </c>
      <c r="I59" s="161" t="s">
        <v>1009</v>
      </c>
      <c r="J59" s="161" t="s">
        <v>78</v>
      </c>
      <c r="K59" s="162"/>
      <c r="L59" s="162"/>
      <c r="M59" s="162"/>
      <c r="N59" s="25" t="s">
        <v>1276</v>
      </c>
      <c r="O59" s="164">
        <v>41801</v>
      </c>
      <c r="P59" s="164">
        <v>10655</v>
      </c>
      <c r="Q59" s="164">
        <v>15406</v>
      </c>
      <c r="R59" s="164">
        <v>1796</v>
      </c>
      <c r="S59" s="164">
        <v>17762</v>
      </c>
      <c r="T59" s="164">
        <v>8645.98</v>
      </c>
      <c r="U59" s="164"/>
      <c r="V59" s="164"/>
      <c r="W59" s="164">
        <v>-132.6</v>
      </c>
      <c r="X59" s="164"/>
      <c r="Y59" s="164"/>
      <c r="Z59" s="164">
        <v>2378</v>
      </c>
      <c r="AA59" s="164">
        <f t="shared" si="10"/>
        <v>98311.37999999999</v>
      </c>
      <c r="AB59" s="175">
        <f>IF(AA59=0,"",IFERROR(AA59/AA$19,""))</f>
        <v>0.35822935955020924</v>
      </c>
      <c r="AD59" s="164">
        <v>87426</v>
      </c>
      <c r="AE59" s="175">
        <f>IF(AD59=0,"",IFERROR(AD59/AD$19,""))</f>
        <v>0.25761851826477461</v>
      </c>
      <c r="AF59" s="165">
        <f t="shared" si="11"/>
        <v>10885.37999999999</v>
      </c>
      <c r="AG59" s="164">
        <v>53557</v>
      </c>
      <c r="AH59" s="175">
        <f>IF(AG59=0,"",IFERROR(AG59/AG$19,""))</f>
        <v>0.21053361507212656</v>
      </c>
      <c r="AI59" s="165">
        <f t="shared" si="12"/>
        <v>44754.37999999999</v>
      </c>
    </row>
    <row r="60" spans="1:35" x14ac:dyDescent="0.25">
      <c r="H60" s="15" t="s">
        <v>765</v>
      </c>
      <c r="I60" s="161" t="s">
        <v>1009</v>
      </c>
      <c r="J60" s="161" t="s">
        <v>1009</v>
      </c>
      <c r="K60" s="162"/>
      <c r="L60" s="162">
        <v>947300</v>
      </c>
      <c r="M60" s="162">
        <v>999993</v>
      </c>
      <c r="N60" s="162" t="s">
        <v>1353</v>
      </c>
      <c r="O60" s="38">
        <v>7</v>
      </c>
      <c r="P60" s="38">
        <v>3</v>
      </c>
      <c r="Q60" s="38">
        <v>8</v>
      </c>
      <c r="R60" s="38">
        <v>4</v>
      </c>
      <c r="S60" s="38">
        <v>5</v>
      </c>
      <c r="T60" s="38"/>
      <c r="U60" s="38"/>
      <c r="V60" s="38">
        <v>1</v>
      </c>
      <c r="W60" s="38">
        <v>3</v>
      </c>
      <c r="X60" s="38">
        <v>1</v>
      </c>
      <c r="Y60" s="38">
        <v>4</v>
      </c>
      <c r="Z60" s="38">
        <v>7</v>
      </c>
      <c r="AA60" s="38">
        <f t="shared" si="10"/>
        <v>43</v>
      </c>
      <c r="AB60" s="39"/>
      <c r="AD60" s="38">
        <v>365</v>
      </c>
      <c r="AE60" s="39"/>
      <c r="AF60" s="132">
        <f t="shared" si="11"/>
        <v>-322</v>
      </c>
      <c r="AG60" s="38">
        <v>6</v>
      </c>
      <c r="AH60" s="39"/>
      <c r="AI60" s="132">
        <f t="shared" si="12"/>
        <v>37</v>
      </c>
    </row>
    <row r="61" spans="1:35" x14ac:dyDescent="0.25">
      <c r="H61" s="15" t="s">
        <v>299</v>
      </c>
      <c r="I61" s="161" t="s">
        <v>1009</v>
      </c>
      <c r="J61" s="161" t="s">
        <v>1009</v>
      </c>
      <c r="K61" s="162"/>
      <c r="L61" s="162">
        <v>946300</v>
      </c>
      <c r="M61" s="162">
        <v>991503</v>
      </c>
      <c r="N61" s="162" t="s">
        <v>1277</v>
      </c>
      <c r="O61" s="38">
        <v>561</v>
      </c>
      <c r="P61" s="38">
        <v>98</v>
      </c>
      <c r="Q61" s="38">
        <v>119</v>
      </c>
      <c r="R61" s="38">
        <v>36</v>
      </c>
      <c r="S61" s="38">
        <v>318</v>
      </c>
      <c r="T61" s="38">
        <v>151</v>
      </c>
      <c r="U61" s="38"/>
      <c r="V61" s="38">
        <v>8</v>
      </c>
      <c r="W61" s="38"/>
      <c r="X61" s="38"/>
      <c r="Y61" s="38"/>
      <c r="Z61" s="38">
        <v>28</v>
      </c>
      <c r="AA61" s="38">
        <f t="shared" si="10"/>
        <v>1319</v>
      </c>
      <c r="AB61" s="39">
        <f>IF(AA61=0,"",IFERROR(AA61/AA$84,""))</f>
        <v>0.30918893577121426</v>
      </c>
      <c r="AD61" s="38">
        <v>981</v>
      </c>
      <c r="AE61" s="39">
        <f>IF(AD61=0,"",IFERROR(AD61/AD$84,""))</f>
        <v>0.19387351778656126</v>
      </c>
      <c r="AF61" s="132">
        <f t="shared" si="11"/>
        <v>338</v>
      </c>
      <c r="AG61" s="38">
        <v>980</v>
      </c>
      <c r="AH61" s="39">
        <f>IF(AG61=0,"",IFERROR(AG61/AG$84,""))</f>
        <v>0.23015500234852043</v>
      </c>
      <c r="AI61" s="132">
        <f t="shared" si="12"/>
        <v>339</v>
      </c>
    </row>
    <row r="62" spans="1:35" x14ac:dyDescent="0.25">
      <c r="H62" s="149" t="s">
        <v>317</v>
      </c>
      <c r="I62" s="161" t="s">
        <v>1009</v>
      </c>
      <c r="J62" s="161" t="s">
        <v>78</v>
      </c>
      <c r="K62" s="162"/>
      <c r="L62" s="162"/>
      <c r="M62" s="162"/>
      <c r="N62" s="170" t="s">
        <v>1278</v>
      </c>
      <c r="O62" s="176">
        <v>74.511586452762899</v>
      </c>
      <c r="P62" s="176">
        <v>108.724489795918</v>
      </c>
      <c r="Q62" s="176">
        <v>129.46218487395001</v>
      </c>
      <c r="R62" s="176">
        <v>49.8888888888889</v>
      </c>
      <c r="S62" s="176">
        <v>55.855345911949698</v>
      </c>
      <c r="T62" s="176">
        <v>57.258145695364199</v>
      </c>
      <c r="U62" s="176"/>
      <c r="V62" s="176"/>
      <c r="W62" s="176"/>
      <c r="X62" s="176"/>
      <c r="Y62" s="176"/>
      <c r="Z62" s="176">
        <v>84.928571428571402</v>
      </c>
      <c r="AA62" s="176">
        <f>IFERROR(AA59/AA61,"")</f>
        <v>74.534783927217575</v>
      </c>
      <c r="AB62" s="176"/>
      <c r="AD62" s="176">
        <v>89.119266055045898</v>
      </c>
      <c r="AE62" s="176"/>
      <c r="AF62" s="177">
        <f t="shared" si="11"/>
        <v>-14.584482127828323</v>
      </c>
      <c r="AG62" s="176">
        <v>54.65</v>
      </c>
      <c r="AH62" s="176"/>
      <c r="AI62" s="177">
        <f t="shared" si="12"/>
        <v>19.884783927217576</v>
      </c>
    </row>
    <row r="63" spans="1:35" x14ac:dyDescent="0.25">
      <c r="H63" s="15"/>
      <c r="I63" s="161"/>
      <c r="J63" s="161"/>
      <c r="K63" s="162"/>
      <c r="L63" s="162"/>
      <c r="M63" s="162"/>
      <c r="N63" s="182" t="s">
        <v>345</v>
      </c>
      <c r="O63" s="179">
        <f t="shared" ref="O63:AA63" si="13">ROUND(IFERROR(O59/O61,0),2)</f>
        <v>74.510000000000005</v>
      </c>
      <c r="P63" s="184">
        <f t="shared" si="13"/>
        <v>108.72</v>
      </c>
      <c r="Q63" s="184">
        <f t="shared" si="13"/>
        <v>129.46</v>
      </c>
      <c r="R63" s="184">
        <f t="shared" si="13"/>
        <v>49.89</v>
      </c>
      <c r="S63" s="184">
        <f t="shared" si="13"/>
        <v>55.86</v>
      </c>
      <c r="T63" s="184">
        <f t="shared" si="13"/>
        <v>57.26</v>
      </c>
      <c r="U63" s="184">
        <f t="shared" si="13"/>
        <v>0</v>
      </c>
      <c r="V63" s="184">
        <f t="shared" si="13"/>
        <v>0</v>
      </c>
      <c r="W63" s="184">
        <f t="shared" si="13"/>
        <v>0</v>
      </c>
      <c r="X63" s="184">
        <f t="shared" si="13"/>
        <v>0</v>
      </c>
      <c r="Y63" s="184">
        <f t="shared" si="13"/>
        <v>0</v>
      </c>
      <c r="Z63" s="184">
        <f t="shared" si="13"/>
        <v>84.93</v>
      </c>
      <c r="AA63" s="184">
        <f t="shared" si="13"/>
        <v>74.53</v>
      </c>
      <c r="AB63" s="183"/>
      <c r="AD63" s="179">
        <f>ROUND(IFERROR(AD59/AD61,0),2)</f>
        <v>89.12</v>
      </c>
      <c r="AE63" s="184"/>
      <c r="AF63" s="180"/>
      <c r="AG63" s="179">
        <f>ROUND(IFERROR(AG59/AG61,0),2)</f>
        <v>54.65</v>
      </c>
      <c r="AH63" s="184"/>
      <c r="AI63" s="180"/>
    </row>
    <row r="64" spans="1:35" x14ac:dyDescent="0.25">
      <c r="G64" s="181">
        <f>COUNTIF(O64:AI64,FALSE)</f>
        <v>0</v>
      </c>
      <c r="H64" s="149"/>
      <c r="I64" s="161"/>
      <c r="J64" s="161"/>
      <c r="K64" s="162"/>
      <c r="L64" s="162"/>
      <c r="M64" s="162"/>
      <c r="N64" s="8" t="s">
        <v>807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b">
        <f t="shared" si="14"/>
        <v>1</v>
      </c>
      <c r="AB64" s="321"/>
      <c r="AC64" s="322"/>
      <c r="AD64" s="319"/>
      <c r="AE64" s="320" t="b">
        <f>ROUND(AD62,2)=ROUND(AD63,2)</f>
        <v>1</v>
      </c>
      <c r="AF64" s="321"/>
      <c r="AG64" s="319"/>
      <c r="AH64" s="320" t="b">
        <f>ROUND(AG62,2)=ROUND(AG63,2)</f>
        <v>1</v>
      </c>
      <c r="AI64" s="321"/>
    </row>
    <row r="65" spans="3:35" x14ac:dyDescent="0.25">
      <c r="H65" s="149" t="s">
        <v>790</v>
      </c>
      <c r="I65" s="161" t="s">
        <v>1009</v>
      </c>
      <c r="J65" s="161" t="s">
        <v>1009</v>
      </c>
      <c r="K65" s="162"/>
      <c r="L65" s="162">
        <v>471110</v>
      </c>
      <c r="M65" s="162">
        <v>201017</v>
      </c>
      <c r="N65" s="162" t="s">
        <v>1293</v>
      </c>
      <c r="O65" s="21"/>
      <c r="P65" s="21"/>
      <c r="Q65" s="21">
        <v>6795</v>
      </c>
      <c r="R65" s="21">
        <v>5630</v>
      </c>
      <c r="S65" s="21"/>
      <c r="T65" s="21"/>
      <c r="U65" s="21"/>
      <c r="V65" s="21"/>
      <c r="W65" s="21">
        <v>1730</v>
      </c>
      <c r="X65" s="21"/>
      <c r="Y65" s="21">
        <v>8273.1</v>
      </c>
      <c r="Z65" s="21">
        <v>7377.3</v>
      </c>
      <c r="AA65" s="21">
        <f t="shared" ref="AA65:AA70" si="15">SUM(O65:Z65)</f>
        <v>29805.399999999998</v>
      </c>
      <c r="AB65" s="17">
        <f>IF(AA65=0,"",IFERROR(AA65/AA$19,""))</f>
        <v>0.10860562991932171</v>
      </c>
      <c r="AD65" s="21">
        <v>39561.650999999998</v>
      </c>
      <c r="AE65" s="17">
        <f>IF(AD65=0,"",IFERROR(AD65/AD$19,""))</f>
        <v>0.11657646364614803</v>
      </c>
      <c r="AF65" s="50">
        <f t="shared" ref="AF65:AF71" si="16">IF(AND($AA65="",AD65=""),"",$AA65-AD65)</f>
        <v>-9756.2510000000002</v>
      </c>
      <c r="AG65" s="21">
        <v>1535</v>
      </c>
      <c r="AH65" s="17">
        <f>IF(AG65=0,"",IFERROR(AG65/AG$19,""))</f>
        <v>6.0341150388504633E-3</v>
      </c>
      <c r="AI65" s="50">
        <f t="shared" ref="AI65:AI71" si="17">IF(AND($AA65="",AG65=""),"",$AA65-AG65)</f>
        <v>28270.399999999998</v>
      </c>
    </row>
    <row r="66" spans="3:35" x14ac:dyDescent="0.25">
      <c r="H66" s="149" t="s">
        <v>808</v>
      </c>
      <c r="I66" s="161" t="s">
        <v>1009</v>
      </c>
      <c r="J66" s="161" t="s">
        <v>1009</v>
      </c>
      <c r="K66" s="162"/>
      <c r="L66" s="162">
        <v>471210</v>
      </c>
      <c r="M66" s="162" t="s">
        <v>1294</v>
      </c>
      <c r="N66" s="162" t="s">
        <v>1295</v>
      </c>
      <c r="O66" s="21"/>
      <c r="P66" s="21"/>
      <c r="Q66" s="21"/>
      <c r="R66" s="21">
        <v>850</v>
      </c>
      <c r="S66" s="21"/>
      <c r="T66" s="21"/>
      <c r="U66" s="21"/>
      <c r="V66" s="21"/>
      <c r="W66" s="21"/>
      <c r="X66" s="21"/>
      <c r="Y66" s="21">
        <v>4948</v>
      </c>
      <c r="Z66" s="21">
        <v>3694.96</v>
      </c>
      <c r="AA66" s="21">
        <f t="shared" si="15"/>
        <v>9492.9599999999991</v>
      </c>
      <c r="AB66" s="17">
        <f>IF(AA66=0,"",IFERROR(AA66/AA$19,""))</f>
        <v>3.4590674864250243E-2</v>
      </c>
      <c r="AD66" s="21">
        <v>1058.9045000000001</v>
      </c>
      <c r="AE66" s="17">
        <f>IF(AD66=0,"",IFERROR(AD66/AD$19,""))</f>
        <v>3.1202778152254712E-3</v>
      </c>
      <c r="AF66" s="50">
        <f t="shared" si="16"/>
        <v>8434.0554999999986</v>
      </c>
      <c r="AG66" s="21">
        <v>615</v>
      </c>
      <c r="AH66" s="17">
        <f>IF(AG66=0,"",IFERROR(AG66/AG$19,""))</f>
        <v>2.4175770351094689E-3</v>
      </c>
      <c r="AI66" s="50">
        <f t="shared" si="17"/>
        <v>8877.9599999999991</v>
      </c>
    </row>
    <row r="67" spans="3:35" x14ac:dyDescent="0.25">
      <c r="H67" s="149" t="s">
        <v>809</v>
      </c>
      <c r="I67" s="161" t="s">
        <v>1009</v>
      </c>
      <c r="J67" s="161" t="s">
        <v>1009</v>
      </c>
      <c r="K67" s="162"/>
      <c r="L67" s="162">
        <v>471310</v>
      </c>
      <c r="M67" s="162" t="s">
        <v>1294</v>
      </c>
      <c r="N67" s="162" t="s">
        <v>1296</v>
      </c>
      <c r="O67" s="21"/>
      <c r="P67" s="21"/>
      <c r="Q67" s="21"/>
      <c r="R67" s="21"/>
      <c r="S67" s="21"/>
      <c r="T67" s="21"/>
      <c r="U67" s="21"/>
      <c r="V67" s="21"/>
      <c r="W67" s="21"/>
      <c r="X67" s="21"/>
      <c r="Y67" s="21">
        <v>20</v>
      </c>
      <c r="Z67" s="21">
        <v>510</v>
      </c>
      <c r="AA67" s="21">
        <f t="shared" si="15"/>
        <v>530</v>
      </c>
      <c r="AB67" s="17">
        <f>IF(AA67=0,"",IFERROR(AA67/AA$19,""))</f>
        <v>1.9312266856757671E-3</v>
      </c>
      <c r="AD67" s="21">
        <v>814.44449999999995</v>
      </c>
      <c r="AE67" s="17">
        <f>IF(AD67=0,"",IFERROR(AD67/AD$19,""))</f>
        <v>2.3999266270777024E-3</v>
      </c>
      <c r="AF67" s="50">
        <f t="shared" si="16"/>
        <v>-284.44449999999995</v>
      </c>
      <c r="AG67" s="21">
        <v>127</v>
      </c>
      <c r="AH67" s="17">
        <f>IF(AG67=0,"",IFERROR(AG67/AG$19,""))</f>
        <v>4.9923948529902857E-4</v>
      </c>
      <c r="AI67" s="50">
        <f t="shared" si="17"/>
        <v>403</v>
      </c>
    </row>
    <row r="68" spans="3:35" x14ac:dyDescent="0.25">
      <c r="H68" s="149" t="s">
        <v>810</v>
      </c>
      <c r="I68" s="161" t="s">
        <v>1009</v>
      </c>
      <c r="J68" s="161" t="s">
        <v>1009</v>
      </c>
      <c r="K68" s="162"/>
      <c r="L68" s="162">
        <v>471410</v>
      </c>
      <c r="M68" s="162" t="s">
        <v>1294</v>
      </c>
      <c r="N68" s="162" t="s">
        <v>1297</v>
      </c>
      <c r="O68" s="30"/>
      <c r="P68" s="30"/>
      <c r="Q68" s="30">
        <v>2338</v>
      </c>
      <c r="R68" s="30"/>
      <c r="S68" s="30"/>
      <c r="T68" s="30"/>
      <c r="U68" s="30"/>
      <c r="V68" s="30"/>
      <c r="W68" s="30">
        <v>144</v>
      </c>
      <c r="X68" s="30"/>
      <c r="Y68" s="30"/>
      <c r="Z68" s="30">
        <v>72</v>
      </c>
      <c r="AA68" s="30">
        <f t="shared" si="15"/>
        <v>2554</v>
      </c>
      <c r="AB68" s="31">
        <f>IF(AA68=0,"",IFERROR(AA68/AA$19,""))</f>
        <v>9.3063263305960559E-3</v>
      </c>
      <c r="AD68" s="30"/>
      <c r="AE68" s="31" t="str">
        <f>IF(AD68=0,"",IFERROR(AD68/AD$19,""))</f>
        <v/>
      </c>
      <c r="AF68" s="51">
        <f t="shared" si="16"/>
        <v>2554</v>
      </c>
      <c r="AG68" s="30">
        <v>52</v>
      </c>
      <c r="AH68" s="31">
        <f>IF(AG68=0,"",IFERROR(AG68/AG$19,""))</f>
        <v>2.0441301760275185E-4</v>
      </c>
      <c r="AI68" s="51">
        <f t="shared" si="17"/>
        <v>2502</v>
      </c>
    </row>
    <row r="69" spans="3:35" x14ac:dyDescent="0.25">
      <c r="H69" s="149" t="s">
        <v>811</v>
      </c>
      <c r="I69" s="161" t="s">
        <v>1009</v>
      </c>
      <c r="J69" s="161" t="s">
        <v>78</v>
      </c>
      <c r="K69" s="162"/>
      <c r="L69" s="162"/>
      <c r="M69" s="162"/>
      <c r="N69" s="25" t="s">
        <v>1298</v>
      </c>
      <c r="O69" s="164"/>
      <c r="P69" s="164"/>
      <c r="Q69" s="164">
        <v>9133</v>
      </c>
      <c r="R69" s="164">
        <v>6480</v>
      </c>
      <c r="S69" s="164"/>
      <c r="T69" s="164"/>
      <c r="U69" s="164"/>
      <c r="V69" s="164"/>
      <c r="W69" s="164">
        <v>1874</v>
      </c>
      <c r="X69" s="164"/>
      <c r="Y69" s="164">
        <v>13241.1</v>
      </c>
      <c r="Z69" s="164">
        <v>11654.26</v>
      </c>
      <c r="AA69" s="164">
        <f t="shared" si="15"/>
        <v>42382.36</v>
      </c>
      <c r="AB69" s="175">
        <f>IF(AA69=0,"",IFERROR(AA69/AA$19,""))</f>
        <v>0.15443385779984378</v>
      </c>
      <c r="AD69" s="164">
        <v>41435</v>
      </c>
      <c r="AE69" s="175">
        <f>IF(AD69=0,"",IFERROR(AD69/AD$19,""))</f>
        <v>0.12209666808845121</v>
      </c>
      <c r="AF69" s="165">
        <f t="shared" si="16"/>
        <v>947.36000000000058</v>
      </c>
      <c r="AG69" s="164">
        <v>2329</v>
      </c>
      <c r="AH69" s="175">
        <f>IF(AG69=0,"",IFERROR(AG69/AG$19,""))</f>
        <v>9.1553445768617122E-3</v>
      </c>
      <c r="AI69" s="165">
        <f t="shared" si="17"/>
        <v>40053.360000000001</v>
      </c>
    </row>
    <row r="70" spans="3:35" x14ac:dyDescent="0.25">
      <c r="H70" s="149" t="s">
        <v>812</v>
      </c>
      <c r="I70" s="161" t="s">
        <v>1009</v>
      </c>
      <c r="J70" s="161" t="s">
        <v>1009</v>
      </c>
      <c r="K70" s="162"/>
      <c r="L70" s="162">
        <v>946700</v>
      </c>
      <c r="M70" s="162">
        <v>991508</v>
      </c>
      <c r="N70" s="162" t="s">
        <v>1299</v>
      </c>
      <c r="O70" s="38"/>
      <c r="P70" s="38"/>
      <c r="Q70" s="38">
        <v>45</v>
      </c>
      <c r="R70" s="38">
        <v>65</v>
      </c>
      <c r="S70" s="38"/>
      <c r="T70" s="38"/>
      <c r="U70" s="38"/>
      <c r="V70" s="38">
        <v>18</v>
      </c>
      <c r="W70" s="38">
        <v>105</v>
      </c>
      <c r="X70" s="38"/>
      <c r="Y70" s="38">
        <v>75</v>
      </c>
      <c r="Z70" s="38">
        <v>81</v>
      </c>
      <c r="AA70" s="38">
        <f t="shared" si="15"/>
        <v>389</v>
      </c>
      <c r="AB70" s="39">
        <f>IF(AA70=0,"",IFERROR(AA70/AA$84,""))</f>
        <v>9.1186122831692445E-2</v>
      </c>
      <c r="AD70" s="38">
        <v>513</v>
      </c>
      <c r="AE70" s="39">
        <f>IF(AD70=0,"",IFERROR(AD70/AD$84,""))</f>
        <v>0.10138339920948616</v>
      </c>
      <c r="AF70" s="132">
        <f t="shared" si="16"/>
        <v>-124</v>
      </c>
      <c r="AG70" s="38">
        <v>186</v>
      </c>
      <c r="AH70" s="39">
        <f>IF(AG70=0,"",IFERROR(AG70/AG$84,""))</f>
        <v>4.3682480037576327E-2</v>
      </c>
      <c r="AI70" s="132">
        <f t="shared" si="17"/>
        <v>203</v>
      </c>
    </row>
    <row r="71" spans="3:35" x14ac:dyDescent="0.25">
      <c r="H71" s="149" t="s">
        <v>813</v>
      </c>
      <c r="I71" s="161" t="s">
        <v>1009</v>
      </c>
      <c r="J71" s="161" t="s">
        <v>78</v>
      </c>
      <c r="K71" s="162"/>
      <c r="L71" s="162"/>
      <c r="M71" s="162"/>
      <c r="N71" s="170" t="s">
        <v>1300</v>
      </c>
      <c r="O71" s="176"/>
      <c r="P71" s="176"/>
      <c r="Q71" s="176">
        <v>202.955555555556</v>
      </c>
      <c r="R71" s="176">
        <v>99.692307692307693</v>
      </c>
      <c r="S71" s="176"/>
      <c r="T71" s="176"/>
      <c r="U71" s="176"/>
      <c r="V71" s="176"/>
      <c r="W71" s="176">
        <v>17.847619047618998</v>
      </c>
      <c r="X71" s="176"/>
      <c r="Y71" s="176">
        <v>176.548</v>
      </c>
      <c r="Z71" s="176">
        <v>143.87975308642001</v>
      </c>
      <c r="AA71" s="176">
        <f>IFERROR(AA69/AA70,"")</f>
        <v>108.95208226221079</v>
      </c>
      <c r="AB71" s="176"/>
      <c r="AD71" s="176">
        <v>80.769980506822606</v>
      </c>
      <c r="AE71" s="176"/>
      <c r="AF71" s="177">
        <f t="shared" si="16"/>
        <v>28.182101755388189</v>
      </c>
      <c r="AG71" s="176">
        <v>12.5215053763441</v>
      </c>
      <c r="AH71" s="176"/>
      <c r="AI71" s="177">
        <f t="shared" si="17"/>
        <v>96.430576885866699</v>
      </c>
    </row>
    <row r="72" spans="3:35" x14ac:dyDescent="0.25">
      <c r="H72" s="15"/>
      <c r="I72" s="161"/>
      <c r="J72" s="161"/>
      <c r="K72" s="162"/>
      <c r="L72" s="162"/>
      <c r="M72" s="162"/>
      <c r="N72" s="182" t="s">
        <v>345</v>
      </c>
      <c r="O72" s="179">
        <f t="shared" ref="O72:AA72" si="18">ROUND(IFERROR(O69/O70,0),2)</f>
        <v>0</v>
      </c>
      <c r="P72" s="184">
        <f t="shared" si="18"/>
        <v>0</v>
      </c>
      <c r="Q72" s="184">
        <f t="shared" si="18"/>
        <v>202.96</v>
      </c>
      <c r="R72" s="184">
        <f t="shared" si="18"/>
        <v>99.69</v>
      </c>
      <c r="S72" s="184">
        <f t="shared" si="18"/>
        <v>0</v>
      </c>
      <c r="T72" s="184">
        <f t="shared" si="18"/>
        <v>0</v>
      </c>
      <c r="U72" s="184">
        <f t="shared" si="18"/>
        <v>0</v>
      </c>
      <c r="V72" s="184">
        <f t="shared" si="18"/>
        <v>0</v>
      </c>
      <c r="W72" s="184">
        <f t="shared" si="18"/>
        <v>17.850000000000001</v>
      </c>
      <c r="X72" s="184">
        <f t="shared" si="18"/>
        <v>0</v>
      </c>
      <c r="Y72" s="184">
        <f t="shared" si="18"/>
        <v>176.55</v>
      </c>
      <c r="Z72" s="184">
        <f t="shared" si="18"/>
        <v>143.88</v>
      </c>
      <c r="AA72" s="184">
        <f t="shared" si="18"/>
        <v>108.95</v>
      </c>
      <c r="AB72" s="183"/>
      <c r="AD72" s="179">
        <f>ROUND(IFERROR(AD69/AD70,0),2)</f>
        <v>80.77</v>
      </c>
      <c r="AE72" s="184"/>
      <c r="AF72" s="180"/>
      <c r="AG72" s="179">
        <f>ROUND(IFERROR(AG69/AG70,0),2)</f>
        <v>12.52</v>
      </c>
      <c r="AH72" s="184"/>
      <c r="AI72" s="180"/>
    </row>
    <row r="73" spans="3:35" x14ac:dyDescent="0.25">
      <c r="G73" s="181">
        <f>COUNTIF(O73:AI73,FALSE)</f>
        <v>0</v>
      </c>
      <c r="H73" s="149"/>
      <c r="I73" s="161"/>
      <c r="J73" s="161"/>
      <c r="K73" s="162"/>
      <c r="L73" s="162"/>
      <c r="M73" s="162"/>
      <c r="N73" s="8" t="s">
        <v>814</v>
      </c>
      <c r="O73" s="319" t="b">
        <f t="shared" ref="O73:AA73" si="19">ROUND(O71,2)=ROUND(O72,2)</f>
        <v>1</v>
      </c>
      <c r="P73" s="320" t="b">
        <f t="shared" si="19"/>
        <v>1</v>
      </c>
      <c r="Q73" s="320" t="b">
        <f t="shared" si="19"/>
        <v>1</v>
      </c>
      <c r="R73" s="320" t="b">
        <f t="shared" si="19"/>
        <v>1</v>
      </c>
      <c r="S73" s="320" t="b">
        <f t="shared" si="19"/>
        <v>1</v>
      </c>
      <c r="T73" s="320" t="b">
        <f t="shared" si="19"/>
        <v>1</v>
      </c>
      <c r="U73" s="320" t="b">
        <f t="shared" si="19"/>
        <v>1</v>
      </c>
      <c r="V73" s="320" t="b">
        <f t="shared" si="19"/>
        <v>1</v>
      </c>
      <c r="W73" s="320" t="b">
        <f t="shared" si="19"/>
        <v>1</v>
      </c>
      <c r="X73" s="320" t="b">
        <f t="shared" si="19"/>
        <v>1</v>
      </c>
      <c r="Y73" s="320" t="b">
        <f t="shared" si="19"/>
        <v>1</v>
      </c>
      <c r="Z73" s="320" t="b">
        <f t="shared" si="19"/>
        <v>1</v>
      </c>
      <c r="AA73" s="320" t="b">
        <f t="shared" si="19"/>
        <v>1</v>
      </c>
      <c r="AB73" s="321"/>
      <c r="AC73" s="322"/>
      <c r="AD73" s="319"/>
      <c r="AE73" s="320" t="b">
        <f>ROUND(AD71,2)=ROUND(AD72,2)</f>
        <v>1</v>
      </c>
      <c r="AF73" s="321"/>
      <c r="AG73" s="319"/>
      <c r="AH73" s="320" t="b">
        <f>ROUND(AG71,2)=ROUND(AG72,2)</f>
        <v>1</v>
      </c>
      <c r="AI73" s="321"/>
    </row>
    <row r="74" spans="3:35" x14ac:dyDescent="0.25">
      <c r="H74" s="149" t="s">
        <v>789</v>
      </c>
      <c r="I74" s="161" t="s">
        <v>1009</v>
      </c>
      <c r="J74" s="161" t="s">
        <v>1009</v>
      </c>
      <c r="K74" s="162"/>
      <c r="L74" s="162">
        <v>470110</v>
      </c>
      <c r="M74" s="162">
        <v>201016</v>
      </c>
      <c r="N74" s="162" t="s">
        <v>1301</v>
      </c>
      <c r="O74" s="21"/>
      <c r="P74" s="21"/>
      <c r="Q74" s="21"/>
      <c r="R74" s="21"/>
      <c r="S74" s="21"/>
      <c r="T74" s="21"/>
      <c r="U74" s="21"/>
      <c r="V74" s="21"/>
      <c r="W74" s="21"/>
      <c r="X74" s="21"/>
      <c r="Y74" s="21"/>
      <c r="Z74" s="21">
        <v>8454</v>
      </c>
      <c r="AA74" s="21">
        <f>SUM(O74:Z74)</f>
        <v>8454</v>
      </c>
      <c r="AB74" s="17">
        <f>IF(AA74=0,"",IFERROR(AA74/AA$19,""))</f>
        <v>3.0804887548496106E-2</v>
      </c>
      <c r="AD74" s="21"/>
      <c r="AE74" s="17" t="str">
        <f>IF(AD74=0,"",IFERROR(AD74/AD$19,""))</f>
        <v/>
      </c>
      <c r="AF74" s="50">
        <f>IF(AND($AA74="",AD74=""),"",$AA74-AD74)</f>
        <v>8454</v>
      </c>
      <c r="AG74" s="21"/>
      <c r="AH74" s="17" t="str">
        <f>IF(AG74=0,"",IFERROR(AG74/AG$19,""))</f>
        <v/>
      </c>
      <c r="AI74" s="50">
        <f>IF(AND($AA74="",AG74=""),"",$AA74-AG74)</f>
        <v>8454</v>
      </c>
    </row>
    <row r="75" spans="3:35" x14ac:dyDescent="0.25">
      <c r="C75" s="32"/>
      <c r="H75" s="149" t="s">
        <v>815</v>
      </c>
      <c r="I75" s="161" t="s">
        <v>1009</v>
      </c>
      <c r="J75" s="161" t="s">
        <v>78</v>
      </c>
      <c r="K75" s="162"/>
      <c r="L75" s="162"/>
      <c r="M75" s="162"/>
      <c r="N75" s="25" t="s">
        <v>1302</v>
      </c>
      <c r="O75" s="164"/>
      <c r="P75" s="164"/>
      <c r="Q75" s="164"/>
      <c r="R75" s="164"/>
      <c r="S75" s="164"/>
      <c r="T75" s="164"/>
      <c r="U75" s="164"/>
      <c r="V75" s="164"/>
      <c r="W75" s="164"/>
      <c r="X75" s="164"/>
      <c r="Y75" s="164"/>
      <c r="Z75" s="164">
        <v>8454</v>
      </c>
      <c r="AA75" s="164">
        <f>SUM(O75:Z75)</f>
        <v>8454</v>
      </c>
      <c r="AB75" s="175">
        <f>IF(AA75=0,"",IFERROR(AA75/AA$19,""))</f>
        <v>3.0804887548496106E-2</v>
      </c>
      <c r="AD75" s="164"/>
      <c r="AE75" s="175" t="str">
        <f>IF(AD75=0,"",IFERROR(AD75/AD$19,""))</f>
        <v/>
      </c>
      <c r="AF75" s="165">
        <f>IF(AND($AA75="",AD75=""),"",$AA75-AD75)</f>
        <v>8454</v>
      </c>
      <c r="AG75" s="164"/>
      <c r="AH75" s="175" t="str">
        <f>IF(AG75=0,"",IFERROR(AG75/AG$19,""))</f>
        <v/>
      </c>
      <c r="AI75" s="165">
        <f>IF(AND($AA75="",AG75=""),"",$AA75-AG75)</f>
        <v>8454</v>
      </c>
    </row>
    <row r="76" spans="3:35" x14ac:dyDescent="0.25">
      <c r="C76" s="32"/>
      <c r="H76" s="149" t="s">
        <v>816</v>
      </c>
      <c r="I76" s="161" t="s">
        <v>1009</v>
      </c>
      <c r="J76" s="161" t="s">
        <v>1009</v>
      </c>
      <c r="K76" s="162"/>
      <c r="L76" s="162">
        <v>946600</v>
      </c>
      <c r="M76" s="162">
        <v>991507</v>
      </c>
      <c r="N76" s="162" t="s">
        <v>1303</v>
      </c>
      <c r="O76" s="38"/>
      <c r="P76" s="38"/>
      <c r="Q76" s="38"/>
      <c r="R76" s="38"/>
      <c r="S76" s="38"/>
      <c r="T76" s="38"/>
      <c r="U76" s="38"/>
      <c r="V76" s="38"/>
      <c r="W76" s="38"/>
      <c r="X76" s="38"/>
      <c r="Y76" s="38"/>
      <c r="Z76" s="38">
        <v>190</v>
      </c>
      <c r="AA76" s="38">
        <f>SUM(O76:Z76)</f>
        <v>190</v>
      </c>
      <c r="AB76" s="39">
        <f>IF(AA76=0,"",IFERROR(AA76/AA$84,""))</f>
        <v>4.4538209095171123E-2</v>
      </c>
      <c r="AD76" s="38"/>
      <c r="AE76" s="39" t="str">
        <f>IF(AD76=0,"",IFERROR(AD76/AD$84,""))</f>
        <v/>
      </c>
      <c r="AF76" s="132">
        <f>IF(AND($AA76="",AD76=""),"",$AA76-AD76)</f>
        <v>190</v>
      </c>
      <c r="AG76" s="38"/>
      <c r="AH76" s="39" t="str">
        <f>IF(AG76=0,"",IFERROR(AG76/AG$84,""))</f>
        <v/>
      </c>
      <c r="AI76" s="132">
        <f>IF(AND($AA76="",AG76=""),"",$AA76-AG76)</f>
        <v>190</v>
      </c>
    </row>
    <row r="77" spans="3:35" x14ac:dyDescent="0.25">
      <c r="C77" s="32"/>
      <c r="H77" s="149" t="s">
        <v>817</v>
      </c>
      <c r="I77" s="161" t="s">
        <v>1009</v>
      </c>
      <c r="J77" s="161" t="s">
        <v>78</v>
      </c>
      <c r="K77" s="162"/>
      <c r="L77" s="162"/>
      <c r="M77" s="162"/>
      <c r="N77" s="170" t="s">
        <v>1304</v>
      </c>
      <c r="O77" s="176"/>
      <c r="P77" s="176"/>
      <c r="Q77" s="176"/>
      <c r="R77" s="176"/>
      <c r="S77" s="176"/>
      <c r="T77" s="176"/>
      <c r="U77" s="176"/>
      <c r="V77" s="176"/>
      <c r="W77" s="176"/>
      <c r="X77" s="176"/>
      <c r="Y77" s="176"/>
      <c r="Z77" s="176">
        <v>44.494736842105297</v>
      </c>
      <c r="AA77" s="176">
        <f>IFERROR(AA75/AA76,"")</f>
        <v>44.494736842105262</v>
      </c>
      <c r="AB77" s="176"/>
      <c r="AD77" s="176"/>
      <c r="AE77" s="176"/>
      <c r="AF77" s="177">
        <f>IF(AND($AA77="",AD77=""),"",$AA77-AD77)</f>
        <v>44.494736842105262</v>
      </c>
      <c r="AG77" s="176"/>
      <c r="AH77" s="176"/>
      <c r="AI77" s="177">
        <f>IF(AND($AA77="",AG77=""),"",$AA77-AG77)</f>
        <v>44.494736842105262</v>
      </c>
    </row>
    <row r="78" spans="3:35" x14ac:dyDescent="0.25">
      <c r="C78" s="32"/>
      <c r="H78" s="15"/>
      <c r="I78" s="161"/>
      <c r="J78" s="161"/>
      <c r="K78" s="162"/>
      <c r="L78" s="162"/>
      <c r="M78" s="162"/>
      <c r="N78" s="182" t="s">
        <v>345</v>
      </c>
      <c r="O78" s="179">
        <f t="shared" ref="O78:AA78" si="20">ROUND(IFERROR(O75/O76,0),2)</f>
        <v>0</v>
      </c>
      <c r="P78" s="184">
        <f t="shared" si="20"/>
        <v>0</v>
      </c>
      <c r="Q78" s="184">
        <f t="shared" si="20"/>
        <v>0</v>
      </c>
      <c r="R78" s="184">
        <f t="shared" si="20"/>
        <v>0</v>
      </c>
      <c r="S78" s="184">
        <f t="shared" si="20"/>
        <v>0</v>
      </c>
      <c r="T78" s="184">
        <f t="shared" si="20"/>
        <v>0</v>
      </c>
      <c r="U78" s="184">
        <f t="shared" si="20"/>
        <v>0</v>
      </c>
      <c r="V78" s="184">
        <f t="shared" si="20"/>
        <v>0</v>
      </c>
      <c r="W78" s="184">
        <f t="shared" si="20"/>
        <v>0</v>
      </c>
      <c r="X78" s="184">
        <f t="shared" si="20"/>
        <v>0</v>
      </c>
      <c r="Y78" s="184">
        <f t="shared" si="20"/>
        <v>0</v>
      </c>
      <c r="Z78" s="184">
        <f t="shared" si="20"/>
        <v>44.49</v>
      </c>
      <c r="AA78" s="184">
        <f t="shared" si="20"/>
        <v>44.49</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1">ROUND(O77,2)=ROUND(O78,2)</f>
        <v>1</v>
      </c>
      <c r="P79" s="320" t="b">
        <f t="shared" si="21"/>
        <v>1</v>
      </c>
      <c r="Q79" s="320" t="b">
        <f t="shared" si="21"/>
        <v>1</v>
      </c>
      <c r="R79" s="320" t="b">
        <f t="shared" si="21"/>
        <v>1</v>
      </c>
      <c r="S79" s="320" t="b">
        <f t="shared" si="21"/>
        <v>1</v>
      </c>
      <c r="T79" s="320" t="b">
        <f t="shared" si="21"/>
        <v>1</v>
      </c>
      <c r="U79" s="320" t="b">
        <f t="shared" si="21"/>
        <v>1</v>
      </c>
      <c r="V79" s="320" t="b">
        <f t="shared" si="21"/>
        <v>1</v>
      </c>
      <c r="W79" s="320" t="b">
        <f t="shared" si="21"/>
        <v>1</v>
      </c>
      <c r="X79" s="320" t="b">
        <f t="shared" si="21"/>
        <v>1</v>
      </c>
      <c r="Y79" s="320" t="b">
        <f t="shared" si="21"/>
        <v>1</v>
      </c>
      <c r="Z79" s="320" t="b">
        <f t="shared" si="21"/>
        <v>1</v>
      </c>
      <c r="AA79" s="320" t="b">
        <f t="shared" si="21"/>
        <v>1</v>
      </c>
      <c r="AB79" s="321"/>
      <c r="AC79" s="322"/>
      <c r="AD79" s="319"/>
      <c r="AE79" s="320" t="b">
        <f>ROUND(AD77,2)=ROUND(AD78,2)</f>
        <v>1</v>
      </c>
      <c r="AF79" s="321"/>
      <c r="AG79" s="319"/>
      <c r="AH79" s="320" t="b">
        <f>ROUND(AG77,2)=ROUND(AG78,2)</f>
        <v>1</v>
      </c>
      <c r="AI79" s="321"/>
    </row>
    <row r="80" spans="3:35" x14ac:dyDescent="0.25">
      <c r="C80" s="32"/>
      <c r="H80" s="15" t="s">
        <v>486</v>
      </c>
      <c r="I80" s="161" t="s">
        <v>1058</v>
      </c>
      <c r="J80" s="161" t="s">
        <v>78</v>
      </c>
      <c r="K80" s="162"/>
      <c r="L80" s="162"/>
      <c r="M80" s="162"/>
      <c r="N80" s="162" t="s">
        <v>1213</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s">
        <v>1064</v>
      </c>
      <c r="J82" s="161" t="s">
        <v>78</v>
      </c>
      <c r="L82" s="162"/>
      <c r="M82" s="162"/>
      <c r="N82" s="162" t="s">
        <v>1214</v>
      </c>
      <c r="O82" s="171">
        <v>59613</v>
      </c>
      <c r="P82" s="171">
        <v>34793.5</v>
      </c>
      <c r="Q82" s="171">
        <v>31173.07</v>
      </c>
      <c r="R82" s="171">
        <v>11812.25</v>
      </c>
      <c r="S82" s="171">
        <v>22729</v>
      </c>
      <c r="T82" s="171">
        <v>8718.98</v>
      </c>
      <c r="U82" s="171">
        <v>332</v>
      </c>
      <c r="V82" s="171">
        <v>5401</v>
      </c>
      <c r="W82" s="171">
        <v>8059.51</v>
      </c>
      <c r="X82" s="171">
        <v>13310.1</v>
      </c>
      <c r="Y82" s="171">
        <v>18926.3</v>
      </c>
      <c r="Z82" s="171">
        <v>59568.26</v>
      </c>
      <c r="AA82" s="171">
        <f>SUM(O82:Z82)</f>
        <v>274436.97000000003</v>
      </c>
      <c r="AB82" s="172">
        <f>IF(AA82=0,"",IFERROR(AA82/AA$19,""))</f>
        <v>1</v>
      </c>
      <c r="AD82" s="171">
        <v>339362.25</v>
      </c>
      <c r="AE82" s="172">
        <f>IF(AD82=0,"",IFERROR(AD82/AD$19,""))</f>
        <v>1</v>
      </c>
      <c r="AF82" s="173">
        <f>IF(AND($AA82="",AD82=""),"",$AA82-AD82)</f>
        <v>-64925.27999999997</v>
      </c>
      <c r="AG82" s="171">
        <v>254386.93</v>
      </c>
      <c r="AH82" s="172">
        <f>IF(AG82=0,"",IFERROR(AG82/AG$19,""))</f>
        <v>1</v>
      </c>
      <c r="AI82" s="173">
        <f>IF(AND($AA82="",AG82=""),"",$AA82-AG82)</f>
        <v>20050.040000000037</v>
      </c>
    </row>
    <row r="83" spans="3:35" x14ac:dyDescent="0.25">
      <c r="C83" s="32"/>
      <c r="H83" s="149" t="s">
        <v>818</v>
      </c>
      <c r="I83" s="161" t="s">
        <v>1009</v>
      </c>
      <c r="J83" s="161" t="s">
        <v>1009</v>
      </c>
      <c r="L83" s="162">
        <v>947600</v>
      </c>
      <c r="M83" s="162">
        <v>991570</v>
      </c>
      <c r="N83" s="162" t="s">
        <v>1487</v>
      </c>
      <c r="O83" s="171">
        <v>1113</v>
      </c>
      <c r="P83" s="171">
        <v>1113</v>
      </c>
      <c r="Q83" s="171">
        <v>1113</v>
      </c>
      <c r="R83" s="171">
        <v>1113</v>
      </c>
      <c r="S83" s="171">
        <v>1113</v>
      </c>
      <c r="T83" s="171"/>
      <c r="U83" s="171">
        <v>1113</v>
      </c>
      <c r="V83" s="171">
        <v>1113</v>
      </c>
      <c r="W83" s="171">
        <v>1113</v>
      </c>
      <c r="X83" s="171">
        <v>1113</v>
      </c>
      <c r="Y83" s="171">
        <v>1113</v>
      </c>
      <c r="Z83" s="171">
        <v>1113</v>
      </c>
      <c r="AA83" s="171">
        <f>SUM(O83:Z83)</f>
        <v>12243</v>
      </c>
      <c r="AB83" s="172"/>
      <c r="AD83" s="171"/>
      <c r="AE83" s="172"/>
      <c r="AF83" s="173">
        <f>IF(AND($AA83="",AD83=""),"",$AA83-AD83)</f>
        <v>12243</v>
      </c>
      <c r="AG83" s="171">
        <v>13356</v>
      </c>
      <c r="AH83" s="172"/>
      <c r="AI83" s="173">
        <f>IF(AND($AA83="",AG83=""),"",$AA83-AG83)</f>
        <v>-1113</v>
      </c>
    </row>
    <row r="84" spans="3:35" x14ac:dyDescent="0.25">
      <c r="C84" s="32"/>
      <c r="H84" s="149" t="s">
        <v>331</v>
      </c>
      <c r="I84" s="161" t="s">
        <v>1010</v>
      </c>
      <c r="J84" s="161" t="s">
        <v>78</v>
      </c>
      <c r="L84" s="162">
        <v>946000</v>
      </c>
      <c r="M84" s="162"/>
      <c r="N84" s="162" t="s">
        <v>1196</v>
      </c>
      <c r="O84" s="171">
        <v>1065</v>
      </c>
      <c r="P84" s="171">
        <v>511</v>
      </c>
      <c r="Q84" s="171">
        <v>526</v>
      </c>
      <c r="R84" s="171">
        <v>241</v>
      </c>
      <c r="S84" s="171">
        <v>400</v>
      </c>
      <c r="T84" s="171">
        <v>152</v>
      </c>
      <c r="U84" s="171">
        <v>36</v>
      </c>
      <c r="V84" s="171">
        <v>57</v>
      </c>
      <c r="W84" s="171">
        <v>265</v>
      </c>
      <c r="X84" s="171">
        <v>70</v>
      </c>
      <c r="Y84" s="171">
        <v>161</v>
      </c>
      <c r="Z84" s="171">
        <v>782</v>
      </c>
      <c r="AA84" s="171">
        <f>SUM(O84:Z84)</f>
        <v>4266</v>
      </c>
      <c r="AB84" s="172">
        <f>IF(AA84=0,"",IFERROR(AA84/AA$20,""))</f>
        <v>1</v>
      </c>
      <c r="AD84" s="171">
        <v>5060</v>
      </c>
      <c r="AE84" s="172">
        <f>IF(AD84=0,"",IFERROR(AD84/AD$20,""))</f>
        <v>1</v>
      </c>
      <c r="AF84" s="173">
        <f>IF(AND($AA84="",AD84=""),"",$AA84-AD84)</f>
        <v>-794</v>
      </c>
      <c r="AG84" s="171">
        <v>4258</v>
      </c>
      <c r="AH84" s="172">
        <f>IF(AG84=0,"",IFERROR(AG84/AG$20,""))</f>
        <v>1</v>
      </c>
      <c r="AI84" s="173">
        <f>IF(AND($AA84="",AG84=""),"",$AA84-AG84)</f>
        <v>8</v>
      </c>
    </row>
    <row r="85" spans="3:35" x14ac:dyDescent="0.25">
      <c r="C85" s="32"/>
      <c r="H85" s="149" t="s">
        <v>311</v>
      </c>
      <c r="I85" s="161" t="s">
        <v>1009</v>
      </c>
      <c r="J85" s="161" t="s">
        <v>78</v>
      </c>
      <c r="L85" s="162"/>
      <c r="M85" s="162"/>
      <c r="N85" s="162" t="s">
        <v>1355</v>
      </c>
      <c r="O85" s="176">
        <v>55.974647887323897</v>
      </c>
      <c r="P85" s="176">
        <v>68.089041095890394</v>
      </c>
      <c r="Q85" s="176">
        <v>59.264391634981003</v>
      </c>
      <c r="R85" s="176">
        <v>49.013485477178399</v>
      </c>
      <c r="S85" s="176">
        <v>56.822499999999998</v>
      </c>
      <c r="T85" s="176">
        <v>57.361710526315797</v>
      </c>
      <c r="U85" s="176">
        <v>9.2222222222222197</v>
      </c>
      <c r="V85" s="176">
        <v>94.754385964912302</v>
      </c>
      <c r="W85" s="176">
        <v>30.413245283018899</v>
      </c>
      <c r="X85" s="176">
        <v>190.14428571428601</v>
      </c>
      <c r="Y85" s="176">
        <v>117.55465838509301</v>
      </c>
      <c r="Z85" s="176">
        <v>76.174245524296694</v>
      </c>
      <c r="AA85" s="176">
        <f>IFERROR(AA82/AA84,"")</f>
        <v>64.331216596343182</v>
      </c>
      <c r="AB85" s="176"/>
      <c r="AD85" s="176">
        <v>67.067638339920904</v>
      </c>
      <c r="AE85" s="176"/>
      <c r="AF85" s="177">
        <f>IF(AND($AA85="",AD85=""),"",$AA85-AD85)</f>
        <v>-2.7364217435777221</v>
      </c>
      <c r="AG85" s="176">
        <v>59.743290277125404</v>
      </c>
      <c r="AH85" s="176"/>
      <c r="AI85" s="177">
        <f>IF(AND($AA85="",AG85=""),"",$AA85-AG85)</f>
        <v>4.5879263192177788</v>
      </c>
    </row>
    <row r="86" spans="3:35" x14ac:dyDescent="0.25">
      <c r="C86" s="32"/>
      <c r="H86" s="149" t="s">
        <v>819</v>
      </c>
      <c r="I86" s="161" t="s">
        <v>1009</v>
      </c>
      <c r="J86" s="161" t="s">
        <v>78</v>
      </c>
      <c r="L86" s="162"/>
      <c r="M86" s="162"/>
      <c r="N86" s="162" t="s">
        <v>1488</v>
      </c>
      <c r="O86" s="176">
        <v>53.560646900269496</v>
      </c>
      <c r="P86" s="176">
        <v>31.261006289308199</v>
      </c>
      <c r="Q86" s="176">
        <v>28.008149146451</v>
      </c>
      <c r="R86" s="176">
        <v>10.612982929020699</v>
      </c>
      <c r="S86" s="176">
        <v>20.421383647798699</v>
      </c>
      <c r="T86" s="176"/>
      <c r="U86" s="176">
        <v>0.29829290206648701</v>
      </c>
      <c r="V86" s="176">
        <v>4.8526504941599304</v>
      </c>
      <c r="W86" s="176">
        <v>7.2412488769092498</v>
      </c>
      <c r="X86" s="176">
        <v>11.958760107816699</v>
      </c>
      <c r="Y86" s="176">
        <v>17.004761904761899</v>
      </c>
      <c r="Z86" s="176">
        <v>53.520449236298298</v>
      </c>
      <c r="AA86" s="176">
        <f>IFERROR(AA82/AA83,"")</f>
        <v>22.415827003185495</v>
      </c>
      <c r="AB86" s="176"/>
      <c r="AD86" s="176"/>
      <c r="AE86" s="176"/>
      <c r="AF86" s="177">
        <f>IF(AND($AA86="",AD86=""),"",$AA86-AD86)</f>
        <v>22.415827003185495</v>
      </c>
      <c r="AG86" s="176">
        <v>19.046640461215901</v>
      </c>
      <c r="AH86" s="176"/>
      <c r="AI86" s="177">
        <f>IF(AND($AA86="",AG86=""),"",$AA86-AG86)</f>
        <v>3.3691865419695937</v>
      </c>
    </row>
    <row r="87" spans="3:35" x14ac:dyDescent="0.25">
      <c r="C87" s="32"/>
      <c r="H87" s="149"/>
      <c r="I87" s="161"/>
      <c r="J87" s="161"/>
      <c r="L87" s="162"/>
      <c r="M87" s="162"/>
      <c r="N87" s="162"/>
      <c r="O87" s="41"/>
      <c r="P87" s="41"/>
      <c r="Q87" s="41"/>
      <c r="R87" s="41"/>
      <c r="S87" s="41"/>
      <c r="T87" s="41"/>
      <c r="U87" s="41"/>
      <c r="V87" s="45"/>
      <c r="W87" s="45"/>
      <c r="X87" s="45"/>
      <c r="Y87" s="45"/>
      <c r="Z87" s="45"/>
      <c r="AA87" s="45"/>
      <c r="AB87" s="42"/>
      <c r="AD87" s="41"/>
      <c r="AE87" s="45"/>
      <c r="AF87" s="42"/>
      <c r="AG87" s="41"/>
      <c r="AH87" s="45"/>
      <c r="AI87" s="42"/>
    </row>
    <row r="88" spans="3:35" x14ac:dyDescent="0.25">
      <c r="C88" s="32"/>
      <c r="H88" s="149"/>
      <c r="I88" s="161"/>
      <c r="J88" s="161"/>
      <c r="L88" s="162"/>
      <c r="M88" s="162"/>
      <c r="N88" s="8" t="s">
        <v>334</v>
      </c>
      <c r="O88" s="43"/>
      <c r="P88" s="46"/>
      <c r="Q88" s="46"/>
      <c r="R88" s="46"/>
      <c r="S88" s="46"/>
      <c r="T88" s="46"/>
      <c r="U88" s="46"/>
      <c r="V88" s="46"/>
      <c r="W88" s="46"/>
      <c r="X88" s="46"/>
      <c r="Y88" s="46"/>
      <c r="Z88" s="46"/>
      <c r="AA88" s="46"/>
      <c r="AB88" s="44"/>
      <c r="AD88" s="43"/>
      <c r="AE88" s="46"/>
      <c r="AF88" s="44"/>
      <c r="AG88" s="43"/>
      <c r="AH88" s="46"/>
      <c r="AI88" s="44"/>
    </row>
    <row r="89" spans="3:35" hidden="1" outlineLevel="1" x14ac:dyDescent="0.25">
      <c r="C89" s="32"/>
      <c r="H89" s="149" t="s">
        <v>332</v>
      </c>
      <c r="I89" s="161" t="s">
        <v>1064</v>
      </c>
      <c r="J89" s="161" t="s">
        <v>78</v>
      </c>
      <c r="L89" s="162"/>
      <c r="M89" s="162"/>
      <c r="N89" s="162" t="s">
        <v>1311</v>
      </c>
      <c r="O89" s="21"/>
      <c r="P89" s="21"/>
      <c r="Q89" s="21"/>
      <c r="R89" s="21"/>
      <c r="S89" s="21"/>
      <c r="T89" s="21"/>
      <c r="U89" s="21"/>
      <c r="V89" s="21"/>
      <c r="W89" s="21"/>
      <c r="X89" s="21"/>
      <c r="Y89" s="21"/>
      <c r="Z89" s="21"/>
      <c r="AA89" s="21">
        <f>SUM(O89:Z89)</f>
        <v>0</v>
      </c>
      <c r="AB89" s="17"/>
      <c r="AD89" s="21"/>
      <c r="AE89" s="17"/>
      <c r="AF89" s="50">
        <f t="shared" ref="AF89:AF94" si="22">IF(AND($AA89="",AD89=""),"",$AA89-AD89)</f>
        <v>0</v>
      </c>
      <c r="AG89" s="21"/>
      <c r="AH89" s="17"/>
      <c r="AI89" s="50">
        <f t="shared" ref="AI89:AI94" si="23">IF(AND($AA89="",AG89=""),"",$AA89-AG89)</f>
        <v>0</v>
      </c>
    </row>
    <row r="90" spans="3:35" hidden="1" outlineLevel="1" x14ac:dyDescent="0.25">
      <c r="C90" s="32"/>
      <c r="H90" s="149" t="s">
        <v>333</v>
      </c>
      <c r="I90" s="161" t="s">
        <v>1064</v>
      </c>
      <c r="J90" s="161" t="s">
        <v>78</v>
      </c>
      <c r="L90" s="162"/>
      <c r="M90" s="162"/>
      <c r="N90" s="162" t="s">
        <v>1312</v>
      </c>
      <c r="O90" s="21"/>
      <c r="P90" s="21"/>
      <c r="Q90" s="21"/>
      <c r="R90" s="21"/>
      <c r="S90" s="21"/>
      <c r="T90" s="21"/>
      <c r="U90" s="21"/>
      <c r="V90" s="21"/>
      <c r="W90" s="21"/>
      <c r="X90" s="21"/>
      <c r="Y90" s="21"/>
      <c r="Z90" s="21"/>
      <c r="AA90" s="21">
        <f>SUM(O90:Z90)</f>
        <v>0</v>
      </c>
      <c r="AB90" s="17"/>
      <c r="AD90" s="21"/>
      <c r="AE90" s="17"/>
      <c r="AF90" s="50">
        <f t="shared" si="22"/>
        <v>0</v>
      </c>
      <c r="AG90" s="21"/>
      <c r="AH90" s="17"/>
      <c r="AI90" s="50">
        <f t="shared" si="23"/>
        <v>0</v>
      </c>
    </row>
    <row r="91" spans="3:35" hidden="1" outlineLevel="1" x14ac:dyDescent="0.25">
      <c r="C91" s="32"/>
      <c r="H91" s="149" t="s">
        <v>774</v>
      </c>
      <c r="I91" s="161" t="s">
        <v>1064</v>
      </c>
      <c r="J91" s="161" t="s">
        <v>78</v>
      </c>
      <c r="L91" s="162"/>
      <c r="M91" s="162"/>
      <c r="N91" s="162" t="s">
        <v>1489</v>
      </c>
      <c r="O91" s="21"/>
      <c r="P91" s="21"/>
      <c r="Q91" s="21"/>
      <c r="R91" s="21"/>
      <c r="S91" s="21"/>
      <c r="T91" s="21"/>
      <c r="U91" s="21"/>
      <c r="V91" s="21"/>
      <c r="W91" s="21"/>
      <c r="X91" s="21"/>
      <c r="Y91" s="21"/>
      <c r="Z91" s="21"/>
      <c r="AA91" s="21">
        <f>SUM(O91:Z91)</f>
        <v>0</v>
      </c>
      <c r="AB91" s="17"/>
      <c r="AD91" s="21">
        <v>1521</v>
      </c>
      <c r="AE91" s="17"/>
      <c r="AF91" s="50">
        <f t="shared" si="22"/>
        <v>-1521</v>
      </c>
      <c r="AG91" s="21">
        <v>249.48</v>
      </c>
      <c r="AH91" s="17"/>
      <c r="AI91" s="50">
        <f t="shared" si="23"/>
        <v>-249.48</v>
      </c>
    </row>
    <row r="92" spans="3:35" collapsed="1" x14ac:dyDescent="0.25">
      <c r="C92" s="32"/>
      <c r="H92" s="149"/>
      <c r="I92" s="161"/>
      <c r="J92" s="161"/>
      <c r="L92" s="162"/>
      <c r="M92" s="162"/>
      <c r="N92" s="26" t="s">
        <v>335</v>
      </c>
      <c r="O92" s="178" t="str">
        <f t="shared" ref="O92:AA92" si="24">IFERROR(O$84/O89,"")</f>
        <v/>
      </c>
      <c r="P92" s="178" t="str">
        <f t="shared" si="24"/>
        <v/>
      </c>
      <c r="Q92" s="178" t="str">
        <f t="shared" si="24"/>
        <v/>
      </c>
      <c r="R92" s="178" t="str">
        <f t="shared" si="24"/>
        <v/>
      </c>
      <c r="S92" s="178" t="str">
        <f t="shared" si="24"/>
        <v/>
      </c>
      <c r="T92" s="178" t="str">
        <f t="shared" si="24"/>
        <v/>
      </c>
      <c r="U92" s="178" t="str">
        <f t="shared" si="24"/>
        <v/>
      </c>
      <c r="V92" s="178" t="str">
        <f t="shared" si="24"/>
        <v/>
      </c>
      <c r="W92" s="178" t="str">
        <f t="shared" si="24"/>
        <v/>
      </c>
      <c r="X92" s="178" t="str">
        <f t="shared" si="24"/>
        <v/>
      </c>
      <c r="Y92" s="178" t="str">
        <f t="shared" si="24"/>
        <v/>
      </c>
      <c r="Z92" s="178" t="str">
        <f t="shared" si="24"/>
        <v/>
      </c>
      <c r="AA92" s="178" t="str">
        <f t="shared" si="24"/>
        <v/>
      </c>
      <c r="AB92" s="139"/>
      <c r="AD92" s="178" t="str">
        <f>IFERROR(AD$84/AD89,"")</f>
        <v/>
      </c>
      <c r="AE92" s="139"/>
      <c r="AF92" s="140" t="str">
        <f t="shared" si="22"/>
        <v/>
      </c>
      <c r="AG92" s="178" t="str">
        <f>IFERROR(AG$84/AG89,"")</f>
        <v/>
      </c>
      <c r="AH92" s="139"/>
      <c r="AI92" s="140" t="str">
        <f t="shared" si="23"/>
        <v/>
      </c>
    </row>
    <row r="93" spans="3:35" x14ac:dyDescent="0.25">
      <c r="C93" s="32"/>
      <c r="H93" s="149"/>
      <c r="I93" s="161"/>
      <c r="J93" s="161"/>
      <c r="L93" s="162"/>
      <c r="M93" s="162"/>
      <c r="N93" s="26" t="s">
        <v>336</v>
      </c>
      <c r="O93" s="178" t="str">
        <f t="shared" ref="O93:AA93" si="25">IFERROR(O$84/O90,"")</f>
        <v/>
      </c>
      <c r="P93" s="178" t="str">
        <f t="shared" si="25"/>
        <v/>
      </c>
      <c r="Q93" s="178" t="str">
        <f t="shared" si="25"/>
        <v/>
      </c>
      <c r="R93" s="178" t="str">
        <f t="shared" si="25"/>
        <v/>
      </c>
      <c r="S93" s="178" t="str">
        <f t="shared" si="25"/>
        <v/>
      </c>
      <c r="T93" s="178" t="str">
        <f t="shared" si="25"/>
        <v/>
      </c>
      <c r="U93" s="178" t="str">
        <f t="shared" si="25"/>
        <v/>
      </c>
      <c r="V93" s="178" t="str">
        <f t="shared" si="25"/>
        <v/>
      </c>
      <c r="W93" s="178" t="str">
        <f t="shared" si="25"/>
        <v/>
      </c>
      <c r="X93" s="178" t="str">
        <f t="shared" si="25"/>
        <v/>
      </c>
      <c r="Y93" s="178" t="str">
        <f t="shared" si="25"/>
        <v/>
      </c>
      <c r="Z93" s="178" t="str">
        <f t="shared" si="25"/>
        <v/>
      </c>
      <c r="AA93" s="178" t="str">
        <f t="shared" si="25"/>
        <v/>
      </c>
      <c r="AB93" s="139"/>
      <c r="AD93" s="178" t="str">
        <f>IFERROR(AD$84/AD90,"")</f>
        <v/>
      </c>
      <c r="AE93" s="139"/>
      <c r="AF93" s="140" t="str">
        <f t="shared" si="22"/>
        <v/>
      </c>
      <c r="AG93" s="178" t="str">
        <f>IFERROR(AG$84/AG90,"")</f>
        <v/>
      </c>
      <c r="AH93" s="139"/>
      <c r="AI93" s="140" t="str">
        <f t="shared" si="23"/>
        <v/>
      </c>
    </row>
    <row r="94" spans="3:35" x14ac:dyDescent="0.25">
      <c r="C94" s="32"/>
      <c r="H94" s="149"/>
      <c r="I94" s="161"/>
      <c r="J94" s="161"/>
      <c r="L94" s="162"/>
      <c r="M94" s="162"/>
      <c r="N94" s="26" t="s">
        <v>775</v>
      </c>
      <c r="O94" s="178" t="str">
        <f t="shared" ref="O94:AA94" si="26">IFERROR(O$84/O91,"")</f>
        <v/>
      </c>
      <c r="P94" s="178" t="str">
        <f t="shared" si="26"/>
        <v/>
      </c>
      <c r="Q94" s="178" t="str">
        <f t="shared" si="26"/>
        <v/>
      </c>
      <c r="R94" s="178" t="str">
        <f t="shared" si="26"/>
        <v/>
      </c>
      <c r="S94" s="178" t="str">
        <f t="shared" si="26"/>
        <v/>
      </c>
      <c r="T94" s="178" t="str">
        <f t="shared" si="26"/>
        <v/>
      </c>
      <c r="U94" s="178" t="str">
        <f t="shared" si="26"/>
        <v/>
      </c>
      <c r="V94" s="178" t="str">
        <f t="shared" si="26"/>
        <v/>
      </c>
      <c r="W94" s="178" t="str">
        <f t="shared" si="26"/>
        <v/>
      </c>
      <c r="X94" s="178" t="str">
        <f t="shared" si="26"/>
        <v/>
      </c>
      <c r="Y94" s="178" t="str">
        <f t="shared" si="26"/>
        <v/>
      </c>
      <c r="Z94" s="178" t="str">
        <f t="shared" si="26"/>
        <v/>
      </c>
      <c r="AA94" s="178" t="str">
        <f t="shared" si="26"/>
        <v/>
      </c>
      <c r="AB94" s="139"/>
      <c r="AD94" s="178">
        <f>IFERROR(AD$84/AD91,"")</f>
        <v>3.326758711374096</v>
      </c>
      <c r="AE94" s="139"/>
      <c r="AF94" s="140" t="e">
        <f t="shared" si="22"/>
        <v>#VALUE!</v>
      </c>
      <c r="AG94" s="178">
        <f>IFERROR(AG$84/AG91,"")</f>
        <v>17.067500400833733</v>
      </c>
      <c r="AH94" s="139"/>
      <c r="AI94" s="140" t="e">
        <f t="shared" si="23"/>
        <v>#VALUE!</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v>461200</v>
      </c>
      <c r="M98" s="162"/>
      <c r="N98" s="162" t="s">
        <v>1259</v>
      </c>
      <c r="O98" s="21"/>
      <c r="P98" s="21"/>
      <c r="Q98" s="21"/>
      <c r="R98" s="21"/>
      <c r="S98" s="21"/>
      <c r="T98" s="21"/>
      <c r="U98" s="21"/>
      <c r="V98" s="21">
        <v>1170</v>
      </c>
      <c r="W98" s="21"/>
      <c r="X98" s="21"/>
      <c r="Y98" s="21"/>
      <c r="Z98" s="21">
        <v>1463</v>
      </c>
      <c r="AA98" s="21">
        <f>SUM(O98:Z98)</f>
        <v>2633</v>
      </c>
      <c r="AB98" s="17">
        <f>IF(AA98=0,"",IFERROR(AA98/AA$19,""))</f>
        <v>9.5941884214798025E-3</v>
      </c>
      <c r="AD98" s="21"/>
      <c r="AE98" s="17" t="str">
        <f>IF(AD98=0,"",IFERROR(AD98/AD$19,""))</f>
        <v/>
      </c>
      <c r="AF98" s="50">
        <f>IF(AND($AA98="",AD98=""),"",$AA98-AD98)</f>
        <v>2633</v>
      </c>
      <c r="AG98" s="21"/>
      <c r="AH98" s="17" t="str">
        <f>IF(AG98=0,"",IFERROR(AG98/AG$19,""))</f>
        <v/>
      </c>
      <c r="AI98" s="50">
        <f>IF(AND($AA98="",AG98=""),"",$AA98-AG98)</f>
        <v>2633</v>
      </c>
    </row>
    <row r="99" spans="3:35" x14ac:dyDescent="0.25">
      <c r="C99" s="32"/>
      <c r="H99" s="149" t="s">
        <v>301</v>
      </c>
      <c r="I99" s="161"/>
      <c r="J99" s="161"/>
      <c r="L99" s="162">
        <v>462200</v>
      </c>
      <c r="M99" s="162"/>
      <c r="N99" s="162" t="s">
        <v>1266</v>
      </c>
      <c r="O99" s="21"/>
      <c r="P99" s="21"/>
      <c r="Q99" s="21">
        <v>50</v>
      </c>
      <c r="R99" s="21">
        <v>873</v>
      </c>
      <c r="S99" s="21"/>
      <c r="T99" s="21">
        <v>73</v>
      </c>
      <c r="U99" s="21"/>
      <c r="V99" s="21"/>
      <c r="W99" s="21">
        <v>741</v>
      </c>
      <c r="X99" s="21"/>
      <c r="Y99" s="21"/>
      <c r="Z99" s="21">
        <v>-180</v>
      </c>
      <c r="AA99" s="21">
        <f>SUM(O99:Z99)</f>
        <v>1557</v>
      </c>
      <c r="AB99" s="17">
        <f>IF(AA99=0,"",IFERROR(AA99/AA$19,""))</f>
        <v>5.6734338671644707E-3</v>
      </c>
      <c r="AD99" s="21">
        <v>1220.53943</v>
      </c>
      <c r="AE99" s="17">
        <f>IF(AD99=0,"",IFERROR(AD99/AD$19,""))</f>
        <v>3.5965680625938802E-3</v>
      </c>
      <c r="AF99" s="50">
        <f>IF(AND($AA99="",AD99=""),"",$AA99-AD99)</f>
        <v>336.46056999999996</v>
      </c>
      <c r="AG99" s="21">
        <v>4141</v>
      </c>
      <c r="AH99" s="17">
        <f>IF(AG99=0,"",IFERROR(AG99/AG$19,""))</f>
        <v>1.6278352036403758E-2</v>
      </c>
      <c r="AI99" s="50">
        <f>IF(AND($AA99="",AG99=""),"",$AA99-AG99)</f>
        <v>-2584</v>
      </c>
    </row>
    <row r="100" spans="3:35" x14ac:dyDescent="0.25">
      <c r="C100" s="32"/>
      <c r="H100" s="149" t="s">
        <v>302</v>
      </c>
      <c r="I100" s="161"/>
      <c r="J100" s="161"/>
      <c r="L100" s="162">
        <v>463200</v>
      </c>
      <c r="M100" s="162"/>
      <c r="N100" s="162" t="s">
        <v>1273</v>
      </c>
      <c r="O100" s="21"/>
      <c r="P100" s="21"/>
      <c r="Q100" s="21">
        <v>1101</v>
      </c>
      <c r="R100" s="21"/>
      <c r="S100" s="21">
        <v>7276</v>
      </c>
      <c r="T100" s="21">
        <v>228</v>
      </c>
      <c r="U100" s="21"/>
      <c r="V100" s="21"/>
      <c r="W100" s="21"/>
      <c r="X100" s="21"/>
      <c r="Y100" s="21"/>
      <c r="Z100" s="21">
        <v>455</v>
      </c>
      <c r="AA100" s="21">
        <f>SUM(O100:Z100)</f>
        <v>9060</v>
      </c>
      <c r="AB100" s="17">
        <f>IF(AA100=0,"",IFERROR(AA100/AA$19,""))</f>
        <v>3.3013044853249907E-2</v>
      </c>
      <c r="AD100" s="21">
        <v>3174.8589000000002</v>
      </c>
      <c r="AE100" s="17">
        <f>IF(AD100=0,"",IFERROR(AD100/AD$19,""))</f>
        <v>9.3553684889819064E-3</v>
      </c>
      <c r="AF100" s="50">
        <f>IF(AND($AA100="",AD100=""),"",$AA100-AD100)</f>
        <v>5885.1410999999998</v>
      </c>
      <c r="AG100" s="21">
        <v>15158</v>
      </c>
      <c r="AH100" s="17">
        <f>IF(AG100=0,"",IFERROR(AG100/AG$19,""))</f>
        <v>5.9586394631202161E-2</v>
      </c>
      <c r="AI100" s="50">
        <f>IF(AND($AA100="",AG100=""),"",$AA100-AG100)</f>
        <v>-6098</v>
      </c>
    </row>
    <row r="101" spans="3:35" x14ac:dyDescent="0.25">
      <c r="C101" s="32"/>
      <c r="H101" s="149" t="s">
        <v>808</v>
      </c>
      <c r="I101" s="161"/>
      <c r="J101" s="161"/>
      <c r="L101" s="162">
        <v>471210</v>
      </c>
      <c r="M101" s="162"/>
      <c r="N101" s="162" t="s">
        <v>1295</v>
      </c>
      <c r="O101" s="21"/>
      <c r="P101" s="21"/>
      <c r="Q101" s="21"/>
      <c r="R101" s="21">
        <v>850</v>
      </c>
      <c r="S101" s="21"/>
      <c r="T101" s="21"/>
      <c r="U101" s="21"/>
      <c r="V101" s="21"/>
      <c r="W101" s="21"/>
      <c r="X101" s="21"/>
      <c r="Y101" s="21">
        <v>4948</v>
      </c>
      <c r="Z101" s="21">
        <v>3694.96</v>
      </c>
      <c r="AA101" s="21">
        <f>SUM(O101:Z101)</f>
        <v>9492.9599999999991</v>
      </c>
      <c r="AB101" s="17">
        <f>IF(AA101=0,"",IFERROR(AA101/AA$19,""))</f>
        <v>3.4590674864250243E-2</v>
      </c>
      <c r="AD101" s="21">
        <v>1058.9045000000001</v>
      </c>
      <c r="AE101" s="17">
        <f>IF(AD101=0,"",IFERROR(AD101/AD$19,""))</f>
        <v>3.1202778152254712E-3</v>
      </c>
      <c r="AF101" s="50">
        <f>IF(AND($AA101="",AD101=""),"",$AA101-AD101)</f>
        <v>8434.0554999999986</v>
      </c>
      <c r="AG101" s="21">
        <v>615</v>
      </c>
      <c r="AH101" s="17">
        <f>IF(AG101=0,"",IFERROR(AG101/AG$19,""))</f>
        <v>2.4175770351094689E-3</v>
      </c>
      <c r="AI101" s="50">
        <f>IF(AND($AA101="",AG101=""),"",$AA101-AG101)</f>
        <v>8877.9599999999991</v>
      </c>
    </row>
    <row r="102" spans="3:35" x14ac:dyDescent="0.25">
      <c r="C102" s="32"/>
      <c r="H102" s="149" t="s">
        <v>340</v>
      </c>
      <c r="I102" s="161"/>
      <c r="J102" s="161"/>
      <c r="L102" s="162"/>
      <c r="M102" s="162"/>
      <c r="N102" s="25" t="s">
        <v>1313</v>
      </c>
      <c r="O102" s="164"/>
      <c r="P102" s="164"/>
      <c r="Q102" s="164">
        <v>1151</v>
      </c>
      <c r="R102" s="164">
        <v>1723</v>
      </c>
      <c r="S102" s="164">
        <v>7276</v>
      </c>
      <c r="T102" s="164">
        <v>301</v>
      </c>
      <c r="U102" s="164"/>
      <c r="V102" s="164">
        <v>1170</v>
      </c>
      <c r="W102" s="164">
        <v>741</v>
      </c>
      <c r="X102" s="164"/>
      <c r="Y102" s="164">
        <v>4948</v>
      </c>
      <c r="Z102" s="164">
        <v>5432.96</v>
      </c>
      <c r="AA102" s="164">
        <f>SUM(O102:Z102)</f>
        <v>22742.959999999999</v>
      </c>
      <c r="AB102" s="175">
        <f>IF(AA102=0,"",IFERROR(AA102/AA$19,""))</f>
        <v>8.2871342006144419E-2</v>
      </c>
      <c r="AD102" s="164">
        <v>5454.3028299999996</v>
      </c>
      <c r="AE102" s="175">
        <f>IF(AD102=0,"",IFERROR(AD102/AD$19,""))</f>
        <v>1.6072214366801257E-2</v>
      </c>
      <c r="AF102" s="165">
        <f>IF(AND($AA102="",AD102=""),"",$AA102-AD102)</f>
        <v>17288.657169999999</v>
      </c>
      <c r="AG102" s="164">
        <v>19914</v>
      </c>
      <c r="AH102" s="175">
        <f>IF(AG102=0,"",IFERROR(AG102/AG$19,""))</f>
        <v>7.8282323702715387E-2</v>
      </c>
      <c r="AI102" s="165">
        <f>IF(AND($AA102="",AG102=""),"",$AA102-AG102)</f>
        <v>2828.9599999999991</v>
      </c>
    </row>
    <row r="103" spans="3:35" x14ac:dyDescent="0.25">
      <c r="C103" s="32"/>
      <c r="H103" s="149"/>
      <c r="I103" s="161"/>
      <c r="J103" s="161"/>
      <c r="L103" s="162"/>
      <c r="M103" s="162"/>
      <c r="N103" s="8"/>
      <c r="O103" s="41"/>
      <c r="P103" s="45"/>
      <c r="Q103" s="45"/>
      <c r="R103" s="45"/>
      <c r="S103" s="45"/>
      <c r="T103" s="45"/>
      <c r="U103" s="45"/>
      <c r="V103" s="45"/>
      <c r="W103" s="45"/>
      <c r="X103" s="45"/>
      <c r="Y103" s="45"/>
      <c r="Z103" s="45"/>
      <c r="AA103" s="45"/>
      <c r="AB103" s="42"/>
      <c r="AD103" s="41"/>
      <c r="AE103" s="45"/>
      <c r="AF103" s="42"/>
      <c r="AG103" s="41"/>
      <c r="AH103" s="45"/>
      <c r="AI103" s="42"/>
    </row>
    <row r="104" spans="3:35" x14ac:dyDescent="0.25">
      <c r="C104" s="32"/>
      <c r="H104" s="149"/>
      <c r="I104" s="161"/>
      <c r="J104" s="161"/>
      <c r="L104" s="162"/>
      <c r="M104" s="162"/>
      <c r="N104" s="8" t="s">
        <v>339</v>
      </c>
      <c r="O104" s="43"/>
      <c r="P104" s="46"/>
      <c r="Q104" s="46"/>
      <c r="R104" s="46"/>
      <c r="S104" s="46"/>
      <c r="T104" s="46"/>
      <c r="U104" s="46"/>
      <c r="V104" s="46"/>
      <c r="W104" s="46"/>
      <c r="X104" s="46"/>
      <c r="Y104" s="46"/>
      <c r="Z104" s="46"/>
      <c r="AA104" s="46"/>
      <c r="AB104" s="44"/>
      <c r="AD104" s="43"/>
      <c r="AE104" s="46"/>
      <c r="AF104" s="44"/>
      <c r="AG104" s="43"/>
      <c r="AH104" s="46"/>
      <c r="AI104" s="44"/>
    </row>
    <row r="105" spans="3:35" x14ac:dyDescent="0.25">
      <c r="C105" s="32"/>
      <c r="H105" s="149" t="s">
        <v>295</v>
      </c>
      <c r="I105" s="161"/>
      <c r="J105" s="161"/>
      <c r="L105" s="162">
        <v>461300</v>
      </c>
      <c r="M105" s="162"/>
      <c r="N105" s="162" t="s">
        <v>1260</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305</v>
      </c>
      <c r="I106" s="161"/>
      <c r="J106" s="161"/>
      <c r="L106" s="162">
        <v>462300</v>
      </c>
      <c r="M106" s="162"/>
      <c r="N106" s="162" t="s">
        <v>1267</v>
      </c>
      <c r="O106" s="21"/>
      <c r="P106" s="21"/>
      <c r="Q106" s="21">
        <v>250</v>
      </c>
      <c r="R106" s="21">
        <v>-48</v>
      </c>
      <c r="S106" s="21"/>
      <c r="T106" s="21"/>
      <c r="U106" s="21"/>
      <c r="V106" s="21"/>
      <c r="W106" s="21"/>
      <c r="X106" s="21"/>
      <c r="Y106" s="21"/>
      <c r="Z106" s="21">
        <v>654</v>
      </c>
      <c r="AA106" s="21">
        <f>SUM(O106:Z106)</f>
        <v>856</v>
      </c>
      <c r="AB106" s="17">
        <f>IF(AA106=0,"",IFERROR(AA106/AA$19,""))</f>
        <v>3.1191132885631258E-3</v>
      </c>
      <c r="AD106" s="21">
        <v>45.015599999999999</v>
      </c>
      <c r="AE106" s="17">
        <f>IF(AD106=0,"",IFERROR(AD106/AD$19,""))</f>
        <v>1.3264763538077673E-4</v>
      </c>
      <c r="AF106" s="50">
        <f>IF(AND($AA106="",AD106=""),"",$AA106-AD106)</f>
        <v>810.98440000000005</v>
      </c>
      <c r="AG106" s="21">
        <v>211</v>
      </c>
      <c r="AH106" s="17">
        <f>IF(AG106=0,"",IFERROR(AG106/AG$19,""))</f>
        <v>8.2944512911885845E-4</v>
      </c>
      <c r="AI106" s="50">
        <f>IF(AND($AA106="",AG106=""),"",$AA106-AG106)</f>
        <v>645</v>
      </c>
    </row>
    <row r="107" spans="3:35" x14ac:dyDescent="0.25">
      <c r="C107" s="32"/>
      <c r="H107" s="149" t="s">
        <v>306</v>
      </c>
      <c r="I107" s="161"/>
      <c r="J107" s="161"/>
      <c r="L107" s="162">
        <v>463300</v>
      </c>
      <c r="M107" s="162"/>
      <c r="N107" s="162" t="s">
        <v>1274</v>
      </c>
      <c r="O107" s="21">
        <v>2095</v>
      </c>
      <c r="P107" s="21"/>
      <c r="Q107" s="21"/>
      <c r="R107" s="21"/>
      <c r="S107" s="21">
        <v>500</v>
      </c>
      <c r="T107" s="21">
        <v>10</v>
      </c>
      <c r="U107" s="21"/>
      <c r="V107" s="21"/>
      <c r="W107" s="21"/>
      <c r="X107" s="21"/>
      <c r="Y107" s="21"/>
      <c r="Z107" s="21"/>
      <c r="AA107" s="21">
        <f>SUM(O107:Z107)</f>
        <v>2605</v>
      </c>
      <c r="AB107" s="17">
        <f>IF(AA107=0,"",IFERROR(AA107/AA$19,""))</f>
        <v>9.4921613512931567E-3</v>
      </c>
      <c r="AD107" s="21">
        <v>1216.8684000000001</v>
      </c>
      <c r="AE107" s="17">
        <f>IF(AD107=0,"",IFERROR(AD107/AD$19,""))</f>
        <v>3.5857506248853548E-3</v>
      </c>
      <c r="AF107" s="50">
        <f>IF(AND($AA107="",AD107=""),"",$AA107-AD107)</f>
        <v>1388.1315999999999</v>
      </c>
      <c r="AG107" s="21">
        <v>603</v>
      </c>
      <c r="AH107" s="17">
        <f>IF(AG107=0,"",IFERROR(AG107/AG$19,""))</f>
        <v>2.3704048002780647E-3</v>
      </c>
      <c r="AI107" s="50">
        <f>IF(AND($AA107="",AG107=""),"",$AA107-AG107)</f>
        <v>2002</v>
      </c>
    </row>
    <row r="108" spans="3:35" x14ac:dyDescent="0.25">
      <c r="C108" s="32"/>
      <c r="H108" s="149" t="s">
        <v>809</v>
      </c>
      <c r="I108" s="161"/>
      <c r="J108" s="161"/>
      <c r="L108" s="162">
        <v>471310</v>
      </c>
      <c r="M108" s="162"/>
      <c r="N108" s="162" t="s">
        <v>1296</v>
      </c>
      <c r="O108" s="21"/>
      <c r="P108" s="21"/>
      <c r="Q108" s="21"/>
      <c r="R108" s="21"/>
      <c r="S108" s="21"/>
      <c r="T108" s="21"/>
      <c r="U108" s="21"/>
      <c r="V108" s="21"/>
      <c r="W108" s="21"/>
      <c r="X108" s="21"/>
      <c r="Y108" s="21">
        <v>20</v>
      </c>
      <c r="Z108" s="21">
        <v>510</v>
      </c>
      <c r="AA108" s="21">
        <f>SUM(O108:Z108)</f>
        <v>530</v>
      </c>
      <c r="AB108" s="17">
        <f>IF(AA108=0,"",IFERROR(AA108/AA$19,""))</f>
        <v>1.9312266856757671E-3</v>
      </c>
      <c r="AD108" s="21">
        <v>814.44449999999995</v>
      </c>
      <c r="AE108" s="17">
        <f>IF(AD108=0,"",IFERROR(AD108/AD$19,""))</f>
        <v>2.3999266270777024E-3</v>
      </c>
      <c r="AF108" s="50">
        <f>IF(AND($AA108="",AD108=""),"",$AA108-AD108)</f>
        <v>-284.44449999999995</v>
      </c>
      <c r="AG108" s="21">
        <v>127</v>
      </c>
      <c r="AH108" s="17">
        <f>IF(AG108=0,"",IFERROR(AG108/AG$19,""))</f>
        <v>4.9923948529902857E-4</v>
      </c>
      <c r="AI108" s="50">
        <f>IF(AND($AA108="",AG108=""),"",$AA108-AG108)</f>
        <v>403</v>
      </c>
    </row>
    <row r="109" spans="3:35" x14ac:dyDescent="0.25">
      <c r="C109" s="32"/>
      <c r="H109" s="149" t="s">
        <v>342</v>
      </c>
      <c r="I109" s="161"/>
      <c r="J109" s="161"/>
      <c r="L109" s="162"/>
      <c r="M109" s="162"/>
      <c r="N109" s="25" t="s">
        <v>1314</v>
      </c>
      <c r="O109" s="164">
        <v>2095</v>
      </c>
      <c r="P109" s="164"/>
      <c r="Q109" s="164">
        <v>250</v>
      </c>
      <c r="R109" s="164">
        <v>-48</v>
      </c>
      <c r="S109" s="164">
        <v>500</v>
      </c>
      <c r="T109" s="164">
        <v>10</v>
      </c>
      <c r="U109" s="164"/>
      <c r="V109" s="164"/>
      <c r="W109" s="164"/>
      <c r="X109" s="164"/>
      <c r="Y109" s="164">
        <v>20</v>
      </c>
      <c r="Z109" s="164">
        <v>1164</v>
      </c>
      <c r="AA109" s="164">
        <f>SUM(O109:Z109)</f>
        <v>3991</v>
      </c>
      <c r="AB109" s="175">
        <f>IF(AA109=0,"",IFERROR(AA109/AA$19,""))</f>
        <v>1.454250132553205E-2</v>
      </c>
      <c r="AD109" s="164">
        <v>2076.3285000000001</v>
      </c>
      <c r="AE109" s="175">
        <f>IF(AD109=0,"",IFERROR(AD109/AD$19,""))</f>
        <v>6.1183248873438343E-3</v>
      </c>
      <c r="AF109" s="165">
        <f>IF(AND($AA109="",AD109=""),"",$AA109-AD109)</f>
        <v>1914.6714999999999</v>
      </c>
      <c r="AG109" s="164">
        <v>941</v>
      </c>
      <c r="AH109" s="175">
        <f>IF(AG109=0,"",IFERROR(AG109/AG$19,""))</f>
        <v>3.6990894146959516E-3</v>
      </c>
      <c r="AI109" s="165">
        <f>IF(AND($AA109="",AG109=""),"",$AA109-AG109)</f>
        <v>3050</v>
      </c>
    </row>
    <row r="110" spans="3:35" x14ac:dyDescent="0.25">
      <c r="C110" s="32"/>
      <c r="H110" s="149"/>
      <c r="I110" s="161"/>
      <c r="J110" s="161"/>
      <c r="L110" s="162"/>
      <c r="M110" s="162"/>
      <c r="N110" s="8"/>
      <c r="O110" s="41"/>
      <c r="P110" s="45"/>
      <c r="Q110" s="45"/>
      <c r="R110" s="45"/>
      <c r="S110" s="45"/>
      <c r="T110" s="45"/>
      <c r="U110" s="45"/>
      <c r="V110" s="45"/>
      <c r="W110" s="45"/>
      <c r="X110" s="45"/>
      <c r="Y110" s="45"/>
      <c r="Z110" s="45"/>
      <c r="AA110" s="45"/>
      <c r="AB110" s="42"/>
      <c r="AD110" s="41"/>
      <c r="AE110" s="45"/>
      <c r="AF110" s="42"/>
      <c r="AG110" s="41"/>
      <c r="AH110" s="45"/>
      <c r="AI110" s="42"/>
    </row>
    <row r="111" spans="3:35" x14ac:dyDescent="0.25">
      <c r="C111" s="32"/>
      <c r="H111" s="149"/>
      <c r="I111" s="161"/>
      <c r="J111" s="161"/>
      <c r="L111" s="162"/>
      <c r="M111" s="162"/>
      <c r="N111" s="8" t="s">
        <v>338</v>
      </c>
      <c r="O111" s="43"/>
      <c r="P111" s="46"/>
      <c r="Q111" s="46"/>
      <c r="R111" s="46"/>
      <c r="S111" s="46"/>
      <c r="T111" s="46"/>
      <c r="U111" s="46"/>
      <c r="V111" s="46"/>
      <c r="W111" s="46"/>
      <c r="X111" s="46"/>
      <c r="Y111" s="46"/>
      <c r="Z111" s="46"/>
      <c r="AA111" s="46"/>
      <c r="AB111" s="44"/>
      <c r="AD111" s="43"/>
      <c r="AE111" s="46"/>
      <c r="AF111" s="44"/>
      <c r="AG111" s="43"/>
      <c r="AH111" s="46"/>
      <c r="AI111" s="44"/>
    </row>
    <row r="112" spans="3:35" x14ac:dyDescent="0.25">
      <c r="C112" s="32"/>
      <c r="H112" s="149" t="s">
        <v>296</v>
      </c>
      <c r="I112" s="161"/>
      <c r="J112" s="161"/>
      <c r="L112" s="162">
        <v>461400</v>
      </c>
      <c r="M112" s="162"/>
      <c r="N112" s="162" t="s">
        <v>1261</v>
      </c>
      <c r="O112" s="21"/>
      <c r="P112" s="21"/>
      <c r="Q112" s="21"/>
      <c r="R112" s="21"/>
      <c r="S112" s="21"/>
      <c r="T112" s="21"/>
      <c r="U112" s="21"/>
      <c r="V112" s="21"/>
      <c r="W112" s="21"/>
      <c r="X112" s="21"/>
      <c r="Y112" s="21"/>
      <c r="Z112" s="21">
        <v>152</v>
      </c>
      <c r="AA112" s="21">
        <f>SUM(O112:Z112)</f>
        <v>152</v>
      </c>
      <c r="AB112" s="17">
        <f>IF(AA112=0,"",IFERROR(AA112/AA$19,""))</f>
        <v>5.5386123815606909E-4</v>
      </c>
      <c r="AD112" s="21"/>
      <c r="AE112" s="17" t="str">
        <f>IF(AD112=0,"",IFERROR(AD112/AD$19,""))</f>
        <v/>
      </c>
      <c r="AF112" s="50">
        <f>IF(AND($AA112="",AD112=""),"",$AA112-AD112)</f>
        <v>152</v>
      </c>
      <c r="AG112" s="21"/>
      <c r="AH112" s="17" t="str">
        <f>IF(AG112=0,"",IFERROR(AG112/AG$19,""))</f>
        <v/>
      </c>
      <c r="AI112" s="50">
        <f>IF(AND($AA112="",AG112=""),"",$AA112-AG112)</f>
        <v>152</v>
      </c>
    </row>
    <row r="113" spans="3:35" x14ac:dyDescent="0.25">
      <c r="C113" s="32"/>
      <c r="H113" s="149" t="s">
        <v>303</v>
      </c>
      <c r="I113" s="161"/>
      <c r="J113" s="161"/>
      <c r="L113" s="162">
        <v>462400</v>
      </c>
      <c r="M113" s="162"/>
      <c r="N113" s="162" t="s">
        <v>1268</v>
      </c>
      <c r="O113" s="21"/>
      <c r="P113" s="21"/>
      <c r="Q113" s="21"/>
      <c r="R113" s="21">
        <v>433</v>
      </c>
      <c r="S113" s="21"/>
      <c r="T113" s="21"/>
      <c r="U113" s="21"/>
      <c r="V113" s="21"/>
      <c r="W113" s="21"/>
      <c r="X113" s="21"/>
      <c r="Y113" s="21"/>
      <c r="Z113" s="21">
        <v>588</v>
      </c>
      <c r="AA113" s="21">
        <f>SUM(O113:Z113)</f>
        <v>1021</v>
      </c>
      <c r="AB113" s="17">
        <f>IF(AA113=0,"",IFERROR(AA113/AA$19,""))</f>
        <v>3.7203442378772799E-3</v>
      </c>
      <c r="AD113" s="21">
        <v>1094.4598550000001</v>
      </c>
      <c r="AE113" s="17">
        <f>IF(AD113=0,"",IFERROR(AD113/AD$19,""))</f>
        <v>3.2250489115981523E-3</v>
      </c>
      <c r="AF113" s="50">
        <f>IF(AND($AA113="",AD113=""),"",$AA113-AD113)</f>
        <v>-73.459855000000061</v>
      </c>
      <c r="AG113" s="21">
        <v>851</v>
      </c>
      <c r="AH113" s="17">
        <f>IF(AG113=0,"",IFERROR(AG113/AG$19,""))</f>
        <v>3.3452976534604196E-3</v>
      </c>
      <c r="AI113" s="50">
        <f>IF(AND($AA113="",AG113=""),"",$AA113-AG113)</f>
        <v>170</v>
      </c>
    </row>
    <row r="114" spans="3:35" x14ac:dyDescent="0.25">
      <c r="C114" s="32"/>
      <c r="H114" s="149" t="s">
        <v>304</v>
      </c>
      <c r="I114" s="161"/>
      <c r="J114" s="161"/>
      <c r="L114" s="162">
        <v>463400</v>
      </c>
      <c r="M114" s="162"/>
      <c r="N114" s="162" t="s">
        <v>1275</v>
      </c>
      <c r="O114" s="21">
        <v>1441</v>
      </c>
      <c r="P114" s="21"/>
      <c r="Q114" s="21">
        <v>-336</v>
      </c>
      <c r="R114" s="21"/>
      <c r="S114" s="21">
        <v>1736</v>
      </c>
      <c r="T114" s="21"/>
      <c r="U114" s="21"/>
      <c r="V114" s="21"/>
      <c r="W114" s="21"/>
      <c r="X114" s="21"/>
      <c r="Y114" s="21"/>
      <c r="Z114" s="21">
        <v>314.79000000000002</v>
      </c>
      <c r="AA114" s="21">
        <f>SUM(O114:Z114)</f>
        <v>3155.79</v>
      </c>
      <c r="AB114" s="17">
        <f>IF(AA114=0,"",IFERROR(AA114/AA$19,""))</f>
        <v>1.1499143136582507E-2</v>
      </c>
      <c r="AD114" s="21"/>
      <c r="AE114" s="17" t="str">
        <f>IF(AD114=0,"",IFERROR(AD114/AD$19,""))</f>
        <v/>
      </c>
      <c r="AF114" s="50">
        <f>IF(AND($AA114="",AD114=""),"",$AA114-AD114)</f>
        <v>3155.79</v>
      </c>
      <c r="AG114" s="21">
        <v>104</v>
      </c>
      <c r="AH114" s="17">
        <f>IF(AG114=0,"",IFERROR(AG114/AG$19,""))</f>
        <v>4.0882603520550371E-4</v>
      </c>
      <c r="AI114" s="50">
        <f>IF(AND($AA114="",AG114=""),"",$AA114-AG114)</f>
        <v>3051.79</v>
      </c>
    </row>
    <row r="115" spans="3:35" x14ac:dyDescent="0.25">
      <c r="C115" s="32"/>
      <c r="H115" s="149" t="s">
        <v>810</v>
      </c>
      <c r="I115" s="161"/>
      <c r="J115" s="161"/>
      <c r="L115" s="162">
        <v>471410</v>
      </c>
      <c r="M115" s="162"/>
      <c r="N115" s="162" t="s">
        <v>1297</v>
      </c>
      <c r="O115" s="21"/>
      <c r="P115" s="21"/>
      <c r="Q115" s="21">
        <v>2338</v>
      </c>
      <c r="R115" s="21"/>
      <c r="S115" s="21"/>
      <c r="T115" s="21"/>
      <c r="U115" s="21"/>
      <c r="V115" s="21"/>
      <c r="W115" s="21">
        <v>144</v>
      </c>
      <c r="X115" s="21"/>
      <c r="Y115" s="21"/>
      <c r="Z115" s="21">
        <v>72</v>
      </c>
      <c r="AA115" s="21">
        <f>SUM(O115:Z115)</f>
        <v>2554</v>
      </c>
      <c r="AB115" s="17">
        <f>IF(AA115=0,"",IFERROR(AA115/AA$19,""))</f>
        <v>9.3063263305960559E-3</v>
      </c>
      <c r="AD115" s="21"/>
      <c r="AE115" s="17" t="str">
        <f>IF(AD115=0,"",IFERROR(AD115/AD$19,""))</f>
        <v/>
      </c>
      <c r="AF115" s="50">
        <f>IF(AND($AA115="",AD115=""),"",$AA115-AD115)</f>
        <v>2554</v>
      </c>
      <c r="AG115" s="21">
        <v>52</v>
      </c>
      <c r="AH115" s="17">
        <f>IF(AG115=0,"",IFERROR(AG115/AG$19,""))</f>
        <v>2.0441301760275185E-4</v>
      </c>
      <c r="AI115" s="50">
        <f>IF(AND($AA115="",AG115=""),"",$AA115-AG115)</f>
        <v>2502</v>
      </c>
    </row>
    <row r="116" spans="3:35" x14ac:dyDescent="0.25">
      <c r="C116" s="32"/>
      <c r="H116" s="149" t="s">
        <v>341</v>
      </c>
      <c r="I116" s="161"/>
      <c r="J116" s="161"/>
      <c r="L116" s="162"/>
      <c r="M116" s="162"/>
      <c r="N116" s="25" t="s">
        <v>1315</v>
      </c>
      <c r="O116" s="164">
        <v>1441</v>
      </c>
      <c r="P116" s="164"/>
      <c r="Q116" s="164">
        <v>2002</v>
      </c>
      <c r="R116" s="164">
        <v>433</v>
      </c>
      <c r="S116" s="164">
        <v>1736</v>
      </c>
      <c r="T116" s="164"/>
      <c r="U116" s="164"/>
      <c r="V116" s="164"/>
      <c r="W116" s="164">
        <v>144</v>
      </c>
      <c r="X116" s="164"/>
      <c r="Y116" s="164"/>
      <c r="Z116" s="164">
        <v>1126.79</v>
      </c>
      <c r="AA116" s="164">
        <f>SUM(O116:Z116)</f>
        <v>6882.79</v>
      </c>
      <c r="AB116" s="175">
        <f>IF(AA116=0,"",IFERROR(AA116/AA$19,""))</f>
        <v>2.5079674943211911E-2</v>
      </c>
      <c r="AD116" s="164">
        <v>1094.4598550000001</v>
      </c>
      <c r="AE116" s="175">
        <f>IF(AD116=0,"",IFERROR(AD116/AD$19,""))</f>
        <v>3.2250489115981523E-3</v>
      </c>
      <c r="AF116" s="165">
        <f>IF(AND($AA116="",AD116=""),"",$AA116-AD116)</f>
        <v>5788.3301449999999</v>
      </c>
      <c r="AG116" s="164">
        <v>1007</v>
      </c>
      <c r="AH116" s="175">
        <f>IF(AG116=0,"",IFERROR(AG116/AG$19,""))</f>
        <v>3.958536706268675E-3</v>
      </c>
      <c r="AI116" s="165">
        <f>IF(AND($AA116="",AG116=""),"",$AA116-AG116)</f>
        <v>5875.79</v>
      </c>
    </row>
    <row r="117" spans="3:35" x14ac:dyDescent="0.25">
      <c r="C117" s="32"/>
      <c r="H117" s="149"/>
      <c r="I117" s="161"/>
      <c r="J117" s="161"/>
      <c r="L117" s="162"/>
      <c r="M117" s="162"/>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5" t="s">
        <v>267</v>
      </c>
      <c r="I118" s="161"/>
      <c r="J118" s="161"/>
      <c r="L118" s="162"/>
      <c r="M118" s="162"/>
      <c r="N118" s="162" t="s">
        <v>1316</v>
      </c>
      <c r="O118" s="21">
        <f t="shared" ref="O118:Z118" si="27">O98+O105+O112</f>
        <v>0</v>
      </c>
      <c r="P118" s="21">
        <f t="shared" si="27"/>
        <v>0</v>
      </c>
      <c r="Q118" s="21">
        <f t="shared" si="27"/>
        <v>0</v>
      </c>
      <c r="R118" s="21">
        <f t="shared" si="27"/>
        <v>0</v>
      </c>
      <c r="S118" s="21">
        <f t="shared" si="27"/>
        <v>0</v>
      </c>
      <c r="T118" s="21">
        <f t="shared" si="27"/>
        <v>0</v>
      </c>
      <c r="U118" s="21">
        <f t="shared" si="27"/>
        <v>0</v>
      </c>
      <c r="V118" s="21">
        <f t="shared" si="27"/>
        <v>1170</v>
      </c>
      <c r="W118" s="21">
        <f t="shared" si="27"/>
        <v>0</v>
      </c>
      <c r="X118" s="21">
        <f t="shared" si="27"/>
        <v>0</v>
      </c>
      <c r="Y118" s="21">
        <f t="shared" si="27"/>
        <v>0</v>
      </c>
      <c r="Z118" s="21">
        <f t="shared" si="27"/>
        <v>1615</v>
      </c>
      <c r="AA118" s="21">
        <f>SUM(O118:Z118)</f>
        <v>2785</v>
      </c>
      <c r="AB118" s="17">
        <f>IF(AA118=0,"",IFERROR(AA118/AA$19,""))</f>
        <v>1.0148049659635871E-2</v>
      </c>
      <c r="AD118" s="21">
        <f>AD98+AD105+AD112</f>
        <v>0</v>
      </c>
      <c r="AE118" s="17" t="str">
        <f>IF(AD118=0,"",IFERROR(AD118/AD$19,""))</f>
        <v/>
      </c>
      <c r="AF118" s="50">
        <f>IF(AND($AA118="",AD118=""),"",$AA118-AD118)</f>
        <v>2785</v>
      </c>
      <c r="AG118" s="21">
        <f>AG98+AG105+AG112</f>
        <v>0</v>
      </c>
      <c r="AH118" s="17" t="str">
        <f>IF(AG118=0,"",IFERROR(AG118/AG$19,""))</f>
        <v/>
      </c>
      <c r="AI118" s="50">
        <f>IF(AND($AA118="",AG118=""),"",$AA118-AG118)</f>
        <v>2785</v>
      </c>
    </row>
    <row r="119" spans="3:35" x14ac:dyDescent="0.25">
      <c r="C119" s="32"/>
      <c r="H119" s="15" t="s">
        <v>268</v>
      </c>
      <c r="I119" s="161"/>
      <c r="J119" s="161"/>
      <c r="L119" s="162"/>
      <c r="M119" s="162"/>
      <c r="N119" s="162" t="s">
        <v>1317</v>
      </c>
      <c r="O119" s="21">
        <f t="shared" ref="O119:Z119" si="28">O99+O106+O113</f>
        <v>0</v>
      </c>
      <c r="P119" s="21">
        <f t="shared" si="28"/>
        <v>0</v>
      </c>
      <c r="Q119" s="21">
        <f t="shared" si="28"/>
        <v>300</v>
      </c>
      <c r="R119" s="21">
        <f t="shared" si="28"/>
        <v>1258</v>
      </c>
      <c r="S119" s="21">
        <f t="shared" si="28"/>
        <v>0</v>
      </c>
      <c r="T119" s="21">
        <f t="shared" si="28"/>
        <v>73</v>
      </c>
      <c r="U119" s="21">
        <f t="shared" si="28"/>
        <v>0</v>
      </c>
      <c r="V119" s="21">
        <f t="shared" si="28"/>
        <v>0</v>
      </c>
      <c r="W119" s="21">
        <f t="shared" si="28"/>
        <v>741</v>
      </c>
      <c r="X119" s="21">
        <f t="shared" si="28"/>
        <v>0</v>
      </c>
      <c r="Y119" s="21">
        <f t="shared" si="28"/>
        <v>0</v>
      </c>
      <c r="Z119" s="21">
        <f t="shared" si="28"/>
        <v>1062</v>
      </c>
      <c r="AA119" s="21">
        <f>SUM(O119:Z119)</f>
        <v>3434</v>
      </c>
      <c r="AB119" s="17">
        <f>IF(AA119=0,"",IFERROR(AA119/AA$19,""))</f>
        <v>1.2512891393604876E-2</v>
      </c>
      <c r="AD119" s="21">
        <f>AD99+AD106+AD113</f>
        <v>2360.014885</v>
      </c>
      <c r="AE119" s="17">
        <f>IF(AD119=0,"",IFERROR(AD119/AD$19,""))</f>
        <v>6.9542646095728088E-3</v>
      </c>
      <c r="AF119" s="50">
        <f>IF(AND($AA119="",AD119=""),"",$AA119-AD119)</f>
        <v>1073.985115</v>
      </c>
      <c r="AG119" s="21">
        <f>AG99+AG106+AG113</f>
        <v>5203</v>
      </c>
      <c r="AH119" s="17">
        <f>IF(AG119=0,"",IFERROR(AG119/AG$19,""))</f>
        <v>2.0453094818983036E-2</v>
      </c>
      <c r="AI119" s="50">
        <f>IF(AND($AA119="",AG119=""),"",$AA119-AG119)</f>
        <v>-1769</v>
      </c>
    </row>
    <row r="120" spans="3:35" x14ac:dyDescent="0.25">
      <c r="C120" s="32"/>
      <c r="H120" s="149" t="s">
        <v>269</v>
      </c>
      <c r="I120" s="161"/>
      <c r="J120" s="161"/>
      <c r="L120" s="162"/>
      <c r="M120" s="162"/>
      <c r="N120" s="162" t="s">
        <v>1318</v>
      </c>
      <c r="O120" s="21">
        <f t="shared" ref="O120:Z120" si="29">O100+O107+O114</f>
        <v>3536</v>
      </c>
      <c r="P120" s="21">
        <f t="shared" si="29"/>
        <v>0</v>
      </c>
      <c r="Q120" s="21">
        <f t="shared" si="29"/>
        <v>765</v>
      </c>
      <c r="R120" s="21">
        <f t="shared" si="29"/>
        <v>0</v>
      </c>
      <c r="S120" s="21">
        <f t="shared" si="29"/>
        <v>9512</v>
      </c>
      <c r="T120" s="21">
        <f t="shared" si="29"/>
        <v>238</v>
      </c>
      <c r="U120" s="21">
        <f t="shared" si="29"/>
        <v>0</v>
      </c>
      <c r="V120" s="21">
        <f t="shared" si="29"/>
        <v>0</v>
      </c>
      <c r="W120" s="21">
        <f t="shared" si="29"/>
        <v>0</v>
      </c>
      <c r="X120" s="21">
        <f t="shared" si="29"/>
        <v>0</v>
      </c>
      <c r="Y120" s="21">
        <f t="shared" si="29"/>
        <v>0</v>
      </c>
      <c r="Z120" s="21">
        <f t="shared" si="29"/>
        <v>769.79</v>
      </c>
      <c r="AA120" s="21">
        <f>SUM(O120:Z120)</f>
        <v>14820.79</v>
      </c>
      <c r="AB120" s="17">
        <f>IF(AA120=0,"",IFERROR(AA120/AA$19,""))</f>
        <v>5.4004349341125572E-2</v>
      </c>
      <c r="AD120" s="21">
        <f>AD100+AD107+AD114</f>
        <v>4391.7273000000005</v>
      </c>
      <c r="AE120" s="17">
        <f>IF(AD120=0,"",IFERROR(AD120/AD$19,""))</f>
        <v>1.2941119113867262E-2</v>
      </c>
      <c r="AF120" s="50">
        <f>IF(AND($AA120="",AD120=""),"",$AA120-AD120)</f>
        <v>10429.0627</v>
      </c>
      <c r="AG120" s="21">
        <f>AG100+AG107+AG114</f>
        <v>15865</v>
      </c>
      <c r="AH120" s="17">
        <f>IF(AG120=0,"",IFERROR(AG120/AG$19,""))</f>
        <v>6.2365625466685733E-2</v>
      </c>
      <c r="AI120" s="50">
        <f>IF(AND($AA120="",AG120=""),"",$AA120-AG120)</f>
        <v>-1044.2099999999991</v>
      </c>
    </row>
    <row r="121" spans="3:35" x14ac:dyDescent="0.25">
      <c r="C121" s="32"/>
      <c r="H121" s="149" t="s">
        <v>791</v>
      </c>
      <c r="I121" s="161"/>
      <c r="J121" s="161"/>
      <c r="L121" s="162"/>
      <c r="M121" s="162"/>
      <c r="N121" s="162" t="s">
        <v>1477</v>
      </c>
      <c r="O121" s="21">
        <f t="shared" ref="O121:Z121" si="30">O101+O108+O115</f>
        <v>0</v>
      </c>
      <c r="P121" s="21">
        <f t="shared" si="30"/>
        <v>0</v>
      </c>
      <c r="Q121" s="21">
        <f t="shared" si="30"/>
        <v>2338</v>
      </c>
      <c r="R121" s="21">
        <f t="shared" si="30"/>
        <v>850</v>
      </c>
      <c r="S121" s="21">
        <f t="shared" si="30"/>
        <v>0</v>
      </c>
      <c r="T121" s="21">
        <f t="shared" si="30"/>
        <v>0</v>
      </c>
      <c r="U121" s="21">
        <f t="shared" si="30"/>
        <v>0</v>
      </c>
      <c r="V121" s="21">
        <f t="shared" si="30"/>
        <v>0</v>
      </c>
      <c r="W121" s="21">
        <f t="shared" si="30"/>
        <v>144</v>
      </c>
      <c r="X121" s="21">
        <f t="shared" si="30"/>
        <v>0</v>
      </c>
      <c r="Y121" s="21">
        <f t="shared" si="30"/>
        <v>4968</v>
      </c>
      <c r="Z121" s="21">
        <f t="shared" si="30"/>
        <v>4276.96</v>
      </c>
      <c r="AA121" s="21">
        <f>SUM(O121:Z121)</f>
        <v>12576.96</v>
      </c>
      <c r="AB121" s="17">
        <f>IF(AA121=0,"",IFERROR(AA121/AA$19,""))</f>
        <v>4.5828227880522064E-2</v>
      </c>
      <c r="AD121" s="21">
        <f>AD101+AD108+AD115</f>
        <v>1873.3490000000002</v>
      </c>
      <c r="AE121" s="17">
        <f>IF(AD121=0,"",IFERROR(AD121/AD$19,""))</f>
        <v>5.5202044423031732E-3</v>
      </c>
      <c r="AF121" s="50">
        <f>IF(AND($AA121="",AD121=""),"",$AA121-AD121)</f>
        <v>10703.610999999999</v>
      </c>
      <c r="AG121" s="21">
        <f>AG101+AG108+AG115</f>
        <v>794</v>
      </c>
      <c r="AH121" s="17">
        <f>IF(AG121=0,"",IFERROR(AG121/AG$19,""))</f>
        <v>3.1212295380112494E-3</v>
      </c>
      <c r="AI121" s="50">
        <f>IF(AND($AA121="",AG121=""),"",$AA121-AG121)</f>
        <v>11782.96</v>
      </c>
    </row>
    <row r="122" spans="3:35" x14ac:dyDescent="0.25">
      <c r="C122" s="32"/>
      <c r="H122" s="15" t="s">
        <v>272</v>
      </c>
      <c r="I122" s="161"/>
      <c r="J122" s="161"/>
      <c r="L122" s="162"/>
      <c r="M122" s="162"/>
      <c r="N122" s="25" t="s">
        <v>1212</v>
      </c>
      <c r="O122" s="164">
        <f t="shared" ref="O122:Z122" si="31">SUM(O118:O121)</f>
        <v>3536</v>
      </c>
      <c r="P122" s="164">
        <f t="shared" si="31"/>
        <v>0</v>
      </c>
      <c r="Q122" s="164">
        <f t="shared" si="31"/>
        <v>3403</v>
      </c>
      <c r="R122" s="164">
        <f t="shared" si="31"/>
        <v>2108</v>
      </c>
      <c r="S122" s="164">
        <f t="shared" si="31"/>
        <v>9512</v>
      </c>
      <c r="T122" s="164">
        <f t="shared" si="31"/>
        <v>311</v>
      </c>
      <c r="U122" s="164">
        <f t="shared" si="31"/>
        <v>0</v>
      </c>
      <c r="V122" s="164">
        <f t="shared" si="31"/>
        <v>1170</v>
      </c>
      <c r="W122" s="164">
        <f t="shared" si="31"/>
        <v>885</v>
      </c>
      <c r="X122" s="164">
        <f t="shared" si="31"/>
        <v>0</v>
      </c>
      <c r="Y122" s="164">
        <f t="shared" si="31"/>
        <v>4968</v>
      </c>
      <c r="Z122" s="164">
        <f t="shared" si="31"/>
        <v>7723.75</v>
      </c>
      <c r="AA122" s="164">
        <f>SUM(O122:Z122)</f>
        <v>33616.75</v>
      </c>
      <c r="AB122" s="175">
        <f>IF(AA122=0,"",IFERROR(AA122/AA$19,""))</f>
        <v>0.12249351827488839</v>
      </c>
      <c r="AD122" s="164">
        <f>SUM(AD118:AD121)</f>
        <v>8625.0911850000011</v>
      </c>
      <c r="AE122" s="175">
        <f>IF(AD122=0,"",IFERROR(AD122/AD$19,""))</f>
        <v>2.5415588165743248E-2</v>
      </c>
      <c r="AF122" s="165">
        <f>IF(AND($AA122="",AD122=""),"",$AA122-AD122)</f>
        <v>24991.658814999999</v>
      </c>
      <c r="AG122" s="164">
        <f>SUM(AG118:AG121)</f>
        <v>21862</v>
      </c>
      <c r="AH122" s="175">
        <f>IF(AG122=0,"",IFERROR(AG122/AG$19,""))</f>
        <v>8.5939949823680015E-2</v>
      </c>
      <c r="AI122" s="165">
        <f>IF(AND($AA122="",AG122=""),"",$AA122-AG122)</f>
        <v>11754.75</v>
      </c>
    </row>
    <row r="123" spans="3:35" x14ac:dyDescent="0.25">
      <c r="C123" s="32"/>
      <c r="H123" s="149"/>
      <c r="I123" s="161"/>
      <c r="J123" s="161"/>
      <c r="O123" s="139">
        <f t="shared" ref="O123:AA123" si="32">O102+O109+O116-O122</f>
        <v>0</v>
      </c>
      <c r="P123" s="139">
        <f t="shared" si="32"/>
        <v>0</v>
      </c>
      <c r="Q123" s="139">
        <f t="shared" si="32"/>
        <v>0</v>
      </c>
      <c r="R123" s="139">
        <f t="shared" si="32"/>
        <v>0</v>
      </c>
      <c r="S123" s="139">
        <f t="shared" si="32"/>
        <v>0</v>
      </c>
      <c r="T123" s="139">
        <f t="shared" si="32"/>
        <v>0</v>
      </c>
      <c r="U123" s="139">
        <f t="shared" si="32"/>
        <v>0</v>
      </c>
      <c r="V123" s="139">
        <f t="shared" si="32"/>
        <v>0</v>
      </c>
      <c r="W123" s="139">
        <f t="shared" si="32"/>
        <v>0</v>
      </c>
      <c r="X123" s="139">
        <f t="shared" si="32"/>
        <v>0</v>
      </c>
      <c r="Y123" s="139">
        <f t="shared" si="32"/>
        <v>0</v>
      </c>
      <c r="Z123" s="139">
        <f t="shared" si="32"/>
        <v>0</v>
      </c>
      <c r="AA123" s="139">
        <f t="shared" si="32"/>
        <v>0</v>
      </c>
      <c r="AB123" s="17"/>
      <c r="AD123" s="139">
        <f>AD102+AD109+AD116-AD122</f>
        <v>0</v>
      </c>
      <c r="AE123" s="17"/>
      <c r="AF123" s="21"/>
      <c r="AG123" s="139">
        <f>AG102+AG109+AG116-AG122</f>
        <v>0</v>
      </c>
      <c r="AH123" s="17"/>
      <c r="AI123" s="21"/>
    </row>
    <row r="124" spans="3:35" x14ac:dyDescent="0.25">
      <c r="C124" s="32"/>
      <c r="H124" s="149"/>
      <c r="I124" s="161"/>
      <c r="J124" s="161"/>
      <c r="O124" s="41"/>
      <c r="P124" s="45"/>
      <c r="Q124" s="45"/>
      <c r="R124" s="45"/>
      <c r="S124" s="45"/>
      <c r="T124" s="45"/>
      <c r="U124" s="45"/>
      <c r="V124" s="45"/>
      <c r="W124" s="45"/>
      <c r="X124" s="45"/>
      <c r="Y124" s="45"/>
      <c r="Z124" s="45"/>
      <c r="AA124" s="45"/>
      <c r="AB124" s="42"/>
      <c r="AD124" s="41"/>
      <c r="AE124" s="45"/>
      <c r="AF124" s="42"/>
      <c r="AG124" s="41"/>
      <c r="AH124" s="45"/>
      <c r="AI124" s="42"/>
    </row>
    <row r="125" spans="3:35" ht="15.75" x14ac:dyDescent="0.25">
      <c r="C125" s="32"/>
      <c r="H125" s="149" t="s">
        <v>281</v>
      </c>
      <c r="I125" s="161"/>
      <c r="J125" s="161"/>
      <c r="N125" s="174" t="s">
        <v>1223</v>
      </c>
      <c r="O125" s="510"/>
      <c r="P125" s="466"/>
      <c r="Q125" s="466"/>
      <c r="R125" s="466"/>
      <c r="S125" s="466"/>
      <c r="T125" s="466"/>
      <c r="U125" s="466"/>
      <c r="V125" s="466"/>
      <c r="W125" s="466"/>
      <c r="X125" s="466"/>
      <c r="Y125" s="466"/>
      <c r="Z125" s="466"/>
      <c r="AA125" s="466"/>
      <c r="AB125" s="511"/>
      <c r="AD125" s="510"/>
      <c r="AE125" s="466"/>
      <c r="AF125" s="466"/>
      <c r="AG125" s="466"/>
      <c r="AH125" s="466"/>
      <c r="AI125" s="511"/>
    </row>
    <row r="126" spans="3:35" x14ac:dyDescent="0.25">
      <c r="C126" s="32"/>
      <c r="H126" s="149">
        <v>561100</v>
      </c>
      <c r="I126" s="161"/>
      <c r="J126" s="161"/>
      <c r="L126" s="162">
        <v>561100</v>
      </c>
      <c r="M126" s="162"/>
      <c r="N126" s="162" t="s">
        <v>1225</v>
      </c>
      <c r="O126" s="21">
        <v>11439.71</v>
      </c>
      <c r="P126" s="21">
        <v>7097.98</v>
      </c>
      <c r="Q126" s="21">
        <v>5665.08</v>
      </c>
      <c r="R126" s="21">
        <v>1979.62</v>
      </c>
      <c r="S126" s="21">
        <v>2706.16</v>
      </c>
      <c r="T126" s="21">
        <v>1715.23</v>
      </c>
      <c r="U126" s="21">
        <v>67.73</v>
      </c>
      <c r="V126" s="21">
        <v>863.12</v>
      </c>
      <c r="W126" s="21">
        <v>1463.7</v>
      </c>
      <c r="X126" s="21">
        <v>2827.05</v>
      </c>
      <c r="Y126" s="21">
        <v>2847.43</v>
      </c>
      <c r="Z126" s="21">
        <v>10576.38</v>
      </c>
      <c r="AA126" s="21">
        <f>SUM(O126:Z126)</f>
        <v>49249.189999999995</v>
      </c>
      <c r="AB126" s="311">
        <v>0.20450604189299401</v>
      </c>
      <c r="AD126" s="21">
        <v>72762.179999999993</v>
      </c>
      <c r="AE126" s="311">
        <v>0.220000015301274</v>
      </c>
      <c r="AF126" s="50">
        <f t="shared" ref="AF126:AF137" si="33">IF(AND($AA126="",AD126=""),"",$AA126-AD126)</f>
        <v>-23512.989999999998</v>
      </c>
      <c r="AG126" s="21">
        <v>50596.53</v>
      </c>
      <c r="AH126" s="311">
        <v>0.21759615194809401</v>
      </c>
      <c r="AI126" s="50">
        <f t="shared" ref="AI126:AI137" si="34">IF(AND($AA126="",AG126=""),"",$AA126-AG126)</f>
        <v>-1347.3400000000038</v>
      </c>
    </row>
    <row r="127" spans="3:35" x14ac:dyDescent="0.25">
      <c r="C127" s="32"/>
      <c r="H127" s="149" t="s">
        <v>756</v>
      </c>
      <c r="I127" s="161"/>
      <c r="J127" s="161"/>
      <c r="L127" s="162"/>
      <c r="M127" s="162"/>
      <c r="N127" s="467" t="s">
        <v>1321</v>
      </c>
      <c r="O127" s="172">
        <v>0.20400003566524599</v>
      </c>
      <c r="P127" s="172">
        <v>0.20400304654605</v>
      </c>
      <c r="Q127" s="172">
        <v>0.203999485777314</v>
      </c>
      <c r="R127" s="172">
        <v>0.20399515676121299</v>
      </c>
      <c r="S127" s="172">
        <v>0.204748430052205</v>
      </c>
      <c r="T127" s="172">
        <v>0.204000247384033</v>
      </c>
      <c r="U127" s="172">
        <v>0.20400602409638599</v>
      </c>
      <c r="V127" s="172">
        <v>0.203999054597022</v>
      </c>
      <c r="W127" s="172">
        <v>0.20401393265881601</v>
      </c>
      <c r="X127" s="172">
        <v>0.21239885500484601</v>
      </c>
      <c r="Y127" s="172">
        <v>0.203995472227993</v>
      </c>
      <c r="Z127" s="172">
        <v>0.20400192807300099</v>
      </c>
      <c r="AA127" s="172">
        <v>0.20450604189299401</v>
      </c>
      <c r="AB127" s="311"/>
      <c r="AD127" s="172">
        <v>0.220000015301274</v>
      </c>
      <c r="AE127" s="311"/>
      <c r="AF127" s="468">
        <f t="shared" si="33"/>
        <v>-1.5493973408279987E-2</v>
      </c>
      <c r="AG127" s="172">
        <v>0.21759615194809401</v>
      </c>
      <c r="AH127" s="311"/>
      <c r="AI127" s="468">
        <f t="shared" si="34"/>
        <v>-1.3090110055099996E-2</v>
      </c>
    </row>
    <row r="128" spans="3:35" x14ac:dyDescent="0.25">
      <c r="C128" s="32"/>
      <c r="H128" s="149" t="s">
        <v>636</v>
      </c>
      <c r="I128" s="161"/>
      <c r="J128" s="161"/>
      <c r="L128" s="162"/>
      <c r="M128" s="162"/>
      <c r="N128" s="162" t="s">
        <v>1226</v>
      </c>
      <c r="O128" s="21">
        <v>728.15</v>
      </c>
      <c r="P128" s="21"/>
      <c r="Q128" s="21">
        <v>677.35</v>
      </c>
      <c r="R128" s="21">
        <v>412.51</v>
      </c>
      <c r="S128" s="21">
        <v>1670.03</v>
      </c>
      <c r="T128" s="21">
        <v>55.08</v>
      </c>
      <c r="U128" s="21"/>
      <c r="V128" s="21">
        <v>214.11</v>
      </c>
      <c r="W128" s="21">
        <v>163.68</v>
      </c>
      <c r="X128" s="21"/>
      <c r="Y128" s="21">
        <v>905.48</v>
      </c>
      <c r="Z128" s="21">
        <v>1214.01</v>
      </c>
      <c r="AA128" s="21">
        <f>SUM(O128:Z128)</f>
        <v>6040.4</v>
      </c>
      <c r="AB128" s="311">
        <v>0.17968423479366699</v>
      </c>
      <c r="AD128" s="21">
        <v>1647.59</v>
      </c>
      <c r="AE128" s="311">
        <v>0.19102290800882701</v>
      </c>
      <c r="AF128" s="50">
        <f t="shared" si="33"/>
        <v>4392.8099999999995</v>
      </c>
      <c r="AG128" s="21">
        <v>4282.25</v>
      </c>
      <c r="AH128" s="311">
        <v>0.19587640655017799</v>
      </c>
      <c r="AI128" s="50">
        <f t="shared" si="34"/>
        <v>1758.1499999999996</v>
      </c>
    </row>
    <row r="129" spans="3:35" x14ac:dyDescent="0.25">
      <c r="C129" s="32"/>
      <c r="H129" s="149" t="s">
        <v>757</v>
      </c>
      <c r="I129" s="161"/>
      <c r="J129" s="161"/>
      <c r="L129" s="162"/>
      <c r="M129" s="162"/>
      <c r="N129" s="467" t="s">
        <v>1326</v>
      </c>
      <c r="O129" s="172">
        <v>0.20592477375565599</v>
      </c>
      <c r="P129" s="172"/>
      <c r="Q129" s="172">
        <v>0.199044960329121</v>
      </c>
      <c r="R129" s="172">
        <v>0.19568785578747599</v>
      </c>
      <c r="S129" s="172">
        <v>0.17557085786375101</v>
      </c>
      <c r="T129" s="172">
        <v>0.17710610932475901</v>
      </c>
      <c r="U129" s="172"/>
      <c r="V129" s="172">
        <v>0.183</v>
      </c>
      <c r="W129" s="172">
        <v>0.18494915254237301</v>
      </c>
      <c r="X129" s="172"/>
      <c r="Y129" s="172">
        <v>0.182262479871176</v>
      </c>
      <c r="Z129" s="172">
        <v>0.15717883152613699</v>
      </c>
      <c r="AA129" s="172">
        <v>0.17968423479366699</v>
      </c>
      <c r="AB129" s="311"/>
      <c r="AD129" s="172">
        <v>0.19102290800882701</v>
      </c>
      <c r="AE129" s="311"/>
      <c r="AF129" s="468">
        <f t="shared" si="33"/>
        <v>-1.1338673215160022E-2</v>
      </c>
      <c r="AG129" s="172">
        <v>0.19587640655017799</v>
      </c>
      <c r="AH129" s="311"/>
      <c r="AI129" s="468">
        <f t="shared" si="34"/>
        <v>-1.6192171756510998E-2</v>
      </c>
    </row>
    <row r="130" spans="3:35" x14ac:dyDescent="0.25">
      <c r="C130" s="32"/>
      <c r="H130" s="149" t="s">
        <v>755</v>
      </c>
      <c r="I130" s="161"/>
      <c r="J130" s="161"/>
      <c r="L130" s="162">
        <v>561300</v>
      </c>
      <c r="M130" s="162"/>
      <c r="N130" s="162" t="s">
        <v>1327</v>
      </c>
      <c r="O130" s="21"/>
      <c r="P130" s="21"/>
      <c r="Q130" s="21">
        <v>224.45</v>
      </c>
      <c r="R130" s="21">
        <v>335.99</v>
      </c>
      <c r="S130" s="21">
        <v>1331.51</v>
      </c>
      <c r="T130" s="21">
        <v>55.08</v>
      </c>
      <c r="U130" s="21"/>
      <c r="V130" s="21">
        <v>214.11</v>
      </c>
      <c r="W130" s="21">
        <v>135.6</v>
      </c>
      <c r="X130" s="21"/>
      <c r="Y130" s="21">
        <v>905.48</v>
      </c>
      <c r="Z130" s="21">
        <v>994.24</v>
      </c>
      <c r="AA130" s="21">
        <f>SUM(O130:Z130)</f>
        <v>4196.46</v>
      </c>
      <c r="AB130" s="311">
        <v>0.18451687906939099</v>
      </c>
      <c r="AD130" s="21">
        <v>998.14</v>
      </c>
      <c r="AE130" s="311">
        <v>0.183000473407891</v>
      </c>
      <c r="AF130" s="50">
        <f t="shared" si="33"/>
        <v>3198.32</v>
      </c>
      <c r="AG130" s="21">
        <v>3883.24</v>
      </c>
      <c r="AH130" s="311">
        <v>0.19500050215928499</v>
      </c>
      <c r="AI130" s="50">
        <f t="shared" si="34"/>
        <v>313.22000000000025</v>
      </c>
    </row>
    <row r="131" spans="3:35" x14ac:dyDescent="0.25">
      <c r="C131" s="32"/>
      <c r="H131" s="149" t="s">
        <v>758</v>
      </c>
      <c r="I131" s="161"/>
      <c r="J131" s="161"/>
      <c r="L131" s="162"/>
      <c r="M131" s="162"/>
      <c r="N131" s="467" t="s">
        <v>1328</v>
      </c>
      <c r="O131" s="172"/>
      <c r="P131" s="172"/>
      <c r="Q131" s="172">
        <v>0.19500434404865299</v>
      </c>
      <c r="R131" s="172">
        <v>0.19500290191526401</v>
      </c>
      <c r="S131" s="172">
        <v>0.18300027487630599</v>
      </c>
      <c r="T131" s="172">
        <v>0.182990033222591</v>
      </c>
      <c r="U131" s="172"/>
      <c r="V131" s="172">
        <v>0.183</v>
      </c>
      <c r="W131" s="172">
        <v>0.182995951417004</v>
      </c>
      <c r="X131" s="172"/>
      <c r="Y131" s="172">
        <v>0.182999191592563</v>
      </c>
      <c r="Z131" s="172">
        <v>0.18300153139356801</v>
      </c>
      <c r="AA131" s="172">
        <v>0.18451687906939099</v>
      </c>
      <c r="AB131" s="311"/>
      <c r="AD131" s="172">
        <v>0.183000473407891</v>
      </c>
      <c r="AE131" s="311"/>
      <c r="AF131" s="468">
        <f t="shared" si="33"/>
        <v>1.5164056614999921E-3</v>
      </c>
      <c r="AG131" s="172">
        <v>0.19500050215928499</v>
      </c>
      <c r="AH131" s="311"/>
      <c r="AI131" s="468">
        <f t="shared" si="34"/>
        <v>-1.0483623089894006E-2</v>
      </c>
    </row>
    <row r="132" spans="3:35" x14ac:dyDescent="0.25">
      <c r="C132" s="32"/>
      <c r="H132" s="149">
        <v>561400</v>
      </c>
      <c r="I132" s="161"/>
      <c r="J132" s="161"/>
      <c r="L132" s="162">
        <v>561400</v>
      </c>
      <c r="M132" s="162"/>
      <c r="N132" s="162" t="s">
        <v>1329</v>
      </c>
      <c r="O132" s="21">
        <v>439.95</v>
      </c>
      <c r="P132" s="21"/>
      <c r="Q132" s="21">
        <v>52.5</v>
      </c>
      <c r="R132" s="21">
        <v>-10.08</v>
      </c>
      <c r="S132" s="21"/>
      <c r="T132" s="21"/>
      <c r="U132" s="21"/>
      <c r="V132" s="21"/>
      <c r="W132" s="21"/>
      <c r="X132" s="21"/>
      <c r="Y132" s="21"/>
      <c r="Z132" s="21"/>
      <c r="AA132" s="21">
        <f>SUM(O132:Z132)</f>
        <v>482.37</v>
      </c>
      <c r="AB132" s="311">
        <v>0.120864445001253</v>
      </c>
      <c r="AD132" s="21">
        <v>436.04</v>
      </c>
      <c r="AE132" s="311">
        <v>0.210005305037233</v>
      </c>
      <c r="AF132" s="50">
        <f t="shared" si="33"/>
        <v>46.329999999999984</v>
      </c>
      <c r="AG132" s="21">
        <v>197.61</v>
      </c>
      <c r="AH132" s="311">
        <v>0.21</v>
      </c>
      <c r="AI132" s="50">
        <f t="shared" si="34"/>
        <v>284.76</v>
      </c>
    </row>
    <row r="133" spans="3:35" x14ac:dyDescent="0.25">
      <c r="C133" s="32"/>
      <c r="H133" s="149" t="s">
        <v>759</v>
      </c>
      <c r="I133" s="161"/>
      <c r="J133" s="161"/>
      <c r="L133" s="162"/>
      <c r="M133" s="162"/>
      <c r="N133" s="467" t="s">
        <v>1330</v>
      </c>
      <c r="O133" s="172">
        <v>0.21</v>
      </c>
      <c r="P133" s="172"/>
      <c r="Q133" s="172">
        <v>0.21</v>
      </c>
      <c r="R133" s="172">
        <v>0.21</v>
      </c>
      <c r="S133" s="172"/>
      <c r="T133" s="172"/>
      <c r="U133" s="172"/>
      <c r="V133" s="172"/>
      <c r="W133" s="172"/>
      <c r="X133" s="172"/>
      <c r="Y133" s="172"/>
      <c r="Z133" s="172"/>
      <c r="AA133" s="172">
        <v>0.120864445001253</v>
      </c>
      <c r="AB133" s="311"/>
      <c r="AD133" s="172">
        <v>0.210005305037233</v>
      </c>
      <c r="AE133" s="311"/>
      <c r="AF133" s="468">
        <f t="shared" si="33"/>
        <v>-8.9140860035979999E-2</v>
      </c>
      <c r="AG133" s="172">
        <v>0.21</v>
      </c>
      <c r="AH133" s="311"/>
      <c r="AI133" s="468">
        <f t="shared" si="34"/>
        <v>-8.9135554998746994E-2</v>
      </c>
    </row>
    <row r="134" spans="3:35" x14ac:dyDescent="0.25">
      <c r="H134" s="149">
        <v>561500</v>
      </c>
      <c r="I134" s="161"/>
      <c r="J134" s="161"/>
      <c r="L134" s="162">
        <v>561500</v>
      </c>
      <c r="M134" s="162"/>
      <c r="N134" s="162" t="s">
        <v>1331</v>
      </c>
      <c r="O134" s="21">
        <v>288.2</v>
      </c>
      <c r="P134" s="21"/>
      <c r="Q134" s="21">
        <v>400.4</v>
      </c>
      <c r="R134" s="21">
        <v>86.6</v>
      </c>
      <c r="S134" s="21">
        <v>338.52</v>
      </c>
      <c r="T134" s="21"/>
      <c r="U134" s="21"/>
      <c r="V134" s="21"/>
      <c r="W134" s="21">
        <v>28.08</v>
      </c>
      <c r="X134" s="21"/>
      <c r="Y134" s="21"/>
      <c r="Z134" s="21">
        <v>219.77</v>
      </c>
      <c r="AA134" s="21">
        <f>SUM(O134:Z134)</f>
        <v>1361.5699999999997</v>
      </c>
      <c r="AB134" s="311">
        <v>0.19782239469749899</v>
      </c>
      <c r="AD134" s="21">
        <v>213.41</v>
      </c>
      <c r="AE134" s="311">
        <v>0.19499116301529401</v>
      </c>
      <c r="AF134" s="50">
        <f t="shared" si="33"/>
        <v>1148.1599999999996</v>
      </c>
      <c r="AG134" s="21">
        <v>201.4</v>
      </c>
      <c r="AH134" s="311">
        <v>0.2</v>
      </c>
      <c r="AI134" s="50">
        <f t="shared" si="34"/>
        <v>1160.1699999999996</v>
      </c>
    </row>
    <row r="135" spans="3:35" x14ac:dyDescent="0.25">
      <c r="C135" s="32"/>
      <c r="H135" s="149" t="s">
        <v>760</v>
      </c>
      <c r="I135" s="161"/>
      <c r="J135" s="161"/>
      <c r="L135" s="162"/>
      <c r="M135" s="162"/>
      <c r="N135" s="467" t="s">
        <v>1332</v>
      </c>
      <c r="O135" s="172">
        <v>0.2</v>
      </c>
      <c r="P135" s="172"/>
      <c r="Q135" s="172">
        <v>0.2</v>
      </c>
      <c r="R135" s="172">
        <v>0.2</v>
      </c>
      <c r="S135" s="172">
        <v>0.19500000000000001</v>
      </c>
      <c r="T135" s="172"/>
      <c r="U135" s="172"/>
      <c r="V135" s="172"/>
      <c r="W135" s="172">
        <v>0.19500000000000001</v>
      </c>
      <c r="X135" s="172"/>
      <c r="Y135" s="172"/>
      <c r="Z135" s="172">
        <v>0.195040779559634</v>
      </c>
      <c r="AA135" s="172">
        <v>0.19782239469749899</v>
      </c>
      <c r="AB135" s="311"/>
      <c r="AD135" s="172">
        <v>0.19499116301529401</v>
      </c>
      <c r="AE135" s="311"/>
      <c r="AF135" s="468">
        <f t="shared" si="33"/>
        <v>2.8312316822049766E-3</v>
      </c>
      <c r="AG135" s="172">
        <v>0.2</v>
      </c>
      <c r="AH135" s="311"/>
      <c r="AI135" s="468">
        <f t="shared" si="34"/>
        <v>-2.1776053025010234E-3</v>
      </c>
    </row>
    <row r="136" spans="3:35" x14ac:dyDescent="0.25">
      <c r="C136" s="32"/>
      <c r="H136" s="149" t="s">
        <v>286</v>
      </c>
      <c r="I136" s="161"/>
      <c r="J136" s="161"/>
      <c r="L136" s="162"/>
      <c r="M136" s="162"/>
      <c r="N136" s="162" t="s">
        <v>1227</v>
      </c>
      <c r="O136" s="21">
        <v>12167.86</v>
      </c>
      <c r="P136" s="21">
        <v>7097.98</v>
      </c>
      <c r="Q136" s="21">
        <v>6342.43</v>
      </c>
      <c r="R136" s="21">
        <v>2392.13</v>
      </c>
      <c r="S136" s="21">
        <v>4376.1899999999996</v>
      </c>
      <c r="T136" s="21">
        <v>1770.31</v>
      </c>
      <c r="U136" s="21">
        <v>67.73</v>
      </c>
      <c r="V136" s="21">
        <v>1077.23</v>
      </c>
      <c r="W136" s="21">
        <v>1627.38</v>
      </c>
      <c r="X136" s="21">
        <v>2827.05</v>
      </c>
      <c r="Y136" s="21">
        <v>3752.91</v>
      </c>
      <c r="Z136" s="21">
        <v>11790.39</v>
      </c>
      <c r="AA136" s="21">
        <f>SUM(O136:Z136)</f>
        <v>55289.590000000011</v>
      </c>
      <c r="AB136" s="311">
        <v>0.20146553141145701</v>
      </c>
      <c r="AD136" s="21">
        <v>74409.77</v>
      </c>
      <c r="AE136" s="311">
        <v>0.219263545076095</v>
      </c>
      <c r="AF136" s="50">
        <f t="shared" si="33"/>
        <v>-19120.179999999993</v>
      </c>
      <c r="AG136" s="21">
        <v>54878.78</v>
      </c>
      <c r="AH136" s="311">
        <v>0.21572955811841399</v>
      </c>
      <c r="AI136" s="50">
        <f t="shared" si="34"/>
        <v>410.81000000001222</v>
      </c>
    </row>
    <row r="137" spans="3:35" x14ac:dyDescent="0.25">
      <c r="C137" s="32"/>
      <c r="H137" s="149"/>
      <c r="I137" s="161"/>
      <c r="J137" s="161"/>
      <c r="L137" s="162"/>
      <c r="M137" s="162"/>
      <c r="N137" s="467" t="s">
        <v>762</v>
      </c>
      <c r="O137" s="172">
        <f t="shared" ref="O137:AA137" si="35">IFERROR(O136/O82,"")</f>
        <v>0.20411420327780855</v>
      </c>
      <c r="P137" s="172">
        <f t="shared" si="35"/>
        <v>0.20400304654605025</v>
      </c>
      <c r="Q137" s="172">
        <f t="shared" si="35"/>
        <v>0.20345862630789974</v>
      </c>
      <c r="R137" s="172">
        <f t="shared" si="35"/>
        <v>0.20251264577028086</v>
      </c>
      <c r="S137" s="172">
        <f t="shared" si="35"/>
        <v>0.1925377271327379</v>
      </c>
      <c r="T137" s="172">
        <f t="shared" si="35"/>
        <v>0.20304095203796774</v>
      </c>
      <c r="U137" s="172">
        <f t="shared" si="35"/>
        <v>0.20400602409638555</v>
      </c>
      <c r="V137" s="172">
        <f t="shared" si="35"/>
        <v>0.19945010183299389</v>
      </c>
      <c r="W137" s="172">
        <f t="shared" si="35"/>
        <v>0.20192046414732409</v>
      </c>
      <c r="X137" s="172">
        <f t="shared" si="35"/>
        <v>0.21239885500484595</v>
      </c>
      <c r="Y137" s="172">
        <f t="shared" si="35"/>
        <v>0.19829073828482061</v>
      </c>
      <c r="Z137" s="172">
        <f t="shared" si="35"/>
        <v>0.19793074365442265</v>
      </c>
      <c r="AA137" s="172">
        <f t="shared" si="35"/>
        <v>0.20146553141145671</v>
      </c>
      <c r="AB137" s="311"/>
      <c r="AD137" s="172">
        <f>IFERROR(AD136/AD82,"")</f>
        <v>0.21926354507609494</v>
      </c>
      <c r="AE137" s="311"/>
      <c r="AF137" s="468">
        <f t="shared" si="33"/>
        <v>-1.7798013664638235E-2</v>
      </c>
      <c r="AG137" s="172">
        <f>IFERROR(AG136/AG82,"")</f>
        <v>0.21572955811841435</v>
      </c>
      <c r="AH137" s="311"/>
      <c r="AI137" s="468">
        <f t="shared" si="34"/>
        <v>-1.4264026706957644E-2</v>
      </c>
    </row>
    <row r="138" spans="3:35" x14ac:dyDescent="0.25">
      <c r="C138" s="32"/>
    </row>
    <row r="139" spans="3:35" x14ac:dyDescent="0.25">
      <c r="C139" s="32"/>
      <c r="H139" s="149"/>
      <c r="I139" s="161"/>
      <c r="J139" s="161"/>
      <c r="N139" s="26" t="str">
        <f>N82&amp;" - Check"</f>
        <v>Total Food &amp; Beverage Revenue - Check</v>
      </c>
      <c r="O139" s="139">
        <f t="shared" ref="O139:AA139" si="36">O39+O49+O59+O69+O75+O80-O82</f>
        <v>0</v>
      </c>
      <c r="P139" s="139">
        <f t="shared" si="36"/>
        <v>0</v>
      </c>
      <c r="Q139" s="139">
        <f t="shared" si="36"/>
        <v>0</v>
      </c>
      <c r="R139" s="139">
        <f t="shared" si="36"/>
        <v>0</v>
      </c>
      <c r="S139" s="139">
        <f t="shared" si="36"/>
        <v>0</v>
      </c>
      <c r="T139" s="139">
        <f t="shared" si="36"/>
        <v>0</v>
      </c>
      <c r="U139" s="139">
        <f t="shared" si="36"/>
        <v>0</v>
      </c>
      <c r="V139" s="139">
        <f t="shared" si="36"/>
        <v>0</v>
      </c>
      <c r="W139" s="139">
        <f t="shared" si="36"/>
        <v>0</v>
      </c>
      <c r="X139" s="139">
        <f t="shared" si="36"/>
        <v>0</v>
      </c>
      <c r="Y139" s="139">
        <f t="shared" si="36"/>
        <v>0</v>
      </c>
      <c r="Z139" s="139">
        <f t="shared" si="36"/>
        <v>0</v>
      </c>
      <c r="AA139" s="139">
        <f t="shared" si="36"/>
        <v>0</v>
      </c>
      <c r="AB139" s="17"/>
      <c r="AD139" s="139">
        <f>AD39+AD49+AD59+AD69+AD75+AD80-AD82</f>
        <v>0</v>
      </c>
      <c r="AE139" s="17"/>
      <c r="AF139" s="21"/>
      <c r="AG139" s="139">
        <f>AG39+AG49+AG59+AG69+AG75+AG80-AG82</f>
        <v>0</v>
      </c>
      <c r="AH139" s="17"/>
      <c r="AI139" s="21"/>
    </row>
    <row r="140" spans="3:35" x14ac:dyDescent="0.25">
      <c r="C140" s="32"/>
      <c r="H140" s="149"/>
      <c r="I140" s="161"/>
      <c r="J140" s="161"/>
      <c r="N140" s="26" t="str">
        <f>N84&amp;" - Check"</f>
        <v>Total Customers - Check</v>
      </c>
      <c r="O140" s="139">
        <f t="shared" ref="O140:AA140" si="37">O41+O51+O61+O70+O76-O84</f>
        <v>0</v>
      </c>
      <c r="P140" s="139">
        <f t="shared" si="37"/>
        <v>0</v>
      </c>
      <c r="Q140" s="139">
        <f t="shared" si="37"/>
        <v>0</v>
      </c>
      <c r="R140" s="139">
        <f t="shared" si="37"/>
        <v>0</v>
      </c>
      <c r="S140" s="139">
        <f t="shared" si="37"/>
        <v>0</v>
      </c>
      <c r="T140" s="139">
        <f t="shared" si="37"/>
        <v>0</v>
      </c>
      <c r="U140" s="139">
        <f t="shared" si="37"/>
        <v>0</v>
      </c>
      <c r="V140" s="139">
        <f t="shared" si="37"/>
        <v>0</v>
      </c>
      <c r="W140" s="139">
        <f t="shared" si="37"/>
        <v>0</v>
      </c>
      <c r="X140" s="139">
        <f t="shared" si="37"/>
        <v>0</v>
      </c>
      <c r="Y140" s="139">
        <f t="shared" si="37"/>
        <v>0</v>
      </c>
      <c r="Z140" s="139">
        <f t="shared" si="37"/>
        <v>0</v>
      </c>
      <c r="AA140" s="139">
        <f t="shared" si="37"/>
        <v>0</v>
      </c>
      <c r="AB140" s="17"/>
      <c r="AD140" s="139">
        <f>AD41+AD51+AD61+AD70+AD76-AD84</f>
        <v>0</v>
      </c>
      <c r="AE140" s="17"/>
      <c r="AF140" s="21"/>
      <c r="AG140" s="139">
        <f>AG41+AG51+AG61+AG70+AG76-AG84</f>
        <v>0</v>
      </c>
      <c r="AH140" s="17"/>
      <c r="AI140" s="21"/>
    </row>
    <row r="141" spans="3:35" x14ac:dyDescent="0.25">
      <c r="C141" s="32"/>
      <c r="H141" s="149"/>
      <c r="I141" s="161"/>
      <c r="J141" s="161"/>
      <c r="N141" s="26" t="str">
        <f>N86&amp;" - Check"</f>
        <v>Revenue per Square Foot - Check</v>
      </c>
      <c r="O141" s="178">
        <f t="shared" ref="O141:AA141" si="38">IFERROR(O$82/O84,"")-O86</f>
        <v>2.4140009870544503</v>
      </c>
      <c r="P141" s="178">
        <f t="shared" si="38"/>
        <v>36.82803480658221</v>
      </c>
      <c r="Q141" s="178">
        <f t="shared" si="38"/>
        <v>31.256242488529988</v>
      </c>
      <c r="R141" s="178">
        <f t="shared" si="38"/>
        <v>38.400502548157718</v>
      </c>
      <c r="S141" s="178">
        <f t="shared" si="38"/>
        <v>36.401116352201299</v>
      </c>
      <c r="T141" s="178">
        <f t="shared" si="38"/>
        <v>57.36171052631579</v>
      </c>
      <c r="U141" s="178">
        <f t="shared" si="38"/>
        <v>8.9239293201557341</v>
      </c>
      <c r="V141" s="178">
        <f t="shared" si="38"/>
        <v>89.901735470752342</v>
      </c>
      <c r="W141" s="178">
        <f t="shared" si="38"/>
        <v>23.171996406109621</v>
      </c>
      <c r="X141" s="178">
        <f t="shared" si="38"/>
        <v>178.18552560646904</v>
      </c>
      <c r="Y141" s="178">
        <f t="shared" si="38"/>
        <v>100.54989648033126</v>
      </c>
      <c r="Z141" s="178">
        <f t="shared" si="38"/>
        <v>22.653796287998382</v>
      </c>
      <c r="AA141" s="178">
        <f t="shared" si="38"/>
        <v>41.915389593157684</v>
      </c>
      <c r="AB141" s="17"/>
      <c r="AD141" s="178">
        <f>IFERROR(AD$82/AD84,"")-AD86</f>
        <v>67.067638339920947</v>
      </c>
      <c r="AE141" s="17"/>
      <c r="AF141" s="21"/>
      <c r="AG141" s="178">
        <f>IFERROR(AG$82/AG84,"")-AG86</f>
        <v>40.69664981590951</v>
      </c>
      <c r="AH141" s="17"/>
      <c r="AI141" s="21"/>
    </row>
    <row r="142" spans="3:35" x14ac:dyDescent="0.25">
      <c r="C142" s="32"/>
      <c r="H142" s="149"/>
      <c r="I142" s="161"/>
      <c r="J142" s="161"/>
      <c r="N142" s="26" t="s">
        <v>768</v>
      </c>
      <c r="O142" s="139">
        <f t="shared" ref="O142:AA142" si="39">(O126+O128)-O136</f>
        <v>0</v>
      </c>
      <c r="P142" s="139">
        <f t="shared" si="39"/>
        <v>0</v>
      </c>
      <c r="Q142" s="139">
        <f t="shared" si="39"/>
        <v>0</v>
      </c>
      <c r="R142" s="139">
        <f t="shared" si="39"/>
        <v>0</v>
      </c>
      <c r="S142" s="139">
        <f t="shared" si="39"/>
        <v>0</v>
      </c>
      <c r="T142" s="139">
        <f t="shared" si="39"/>
        <v>0</v>
      </c>
      <c r="U142" s="139">
        <f t="shared" si="39"/>
        <v>0</v>
      </c>
      <c r="V142" s="139">
        <f t="shared" si="39"/>
        <v>0</v>
      </c>
      <c r="W142" s="139">
        <f t="shared" si="39"/>
        <v>0</v>
      </c>
      <c r="X142" s="139">
        <f t="shared" si="39"/>
        <v>0</v>
      </c>
      <c r="Y142" s="139">
        <f t="shared" si="39"/>
        <v>0</v>
      </c>
      <c r="Z142" s="139">
        <f t="shared" si="39"/>
        <v>0</v>
      </c>
      <c r="AA142" s="139">
        <f t="shared" si="39"/>
        <v>0</v>
      </c>
      <c r="AB142" s="17"/>
      <c r="AD142" s="139">
        <f>(AD126+AD128)-AD136</f>
        <v>0</v>
      </c>
      <c r="AE142" s="17"/>
      <c r="AF142" s="21"/>
      <c r="AG142" s="139">
        <f>(AG126+AG128)-AG136</f>
        <v>0</v>
      </c>
      <c r="AH142" s="17"/>
      <c r="AI142" s="21"/>
    </row>
    <row r="143" spans="3:35" x14ac:dyDescent="0.25">
      <c r="C143" s="32"/>
    </row>
    <row r="144" spans="3:35" x14ac:dyDescent="0.25">
      <c r="C144" s="32"/>
    </row>
    <row r="145" spans="3:3" x14ac:dyDescent="0.25">
      <c r="C145" s="32"/>
    </row>
    <row r="146" spans="3:3" x14ac:dyDescent="0.25">
      <c r="C146" s="32"/>
    </row>
    <row r="147" spans="3:3" x14ac:dyDescent="0.25">
      <c r="C147" s="32"/>
    </row>
    <row r="148" spans="3:3" x14ac:dyDescent="0.25">
      <c r="C148" s="32"/>
    </row>
    <row r="149" spans="3:3" x14ac:dyDescent="0.25">
      <c r="C149" s="32"/>
    </row>
    <row r="165" spans="9: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203" spans="5:5" x14ac:dyDescent="0.25">
      <c r="E203" s="76"/>
    </row>
    <row r="207" spans="5:5" x14ac:dyDescent="0.25">
      <c r="E207" s="76"/>
    </row>
  </sheetData>
  <mergeCells count="2">
    <mergeCell ref="AD31:AE31"/>
    <mergeCell ref="AG31:AH31"/>
  </mergeCells>
  <conditionalFormatting sqref="AD43 AF43:AG43 O43:AA43">
    <cfRule type="expression" dxfId="59" priority="10">
      <formula>ROUND(O42,2)&lt;&gt;ROUND(O43,2)</formula>
    </cfRule>
  </conditionalFormatting>
  <conditionalFormatting sqref="O53:AA53 AD53 AF53:AG53">
    <cfRule type="expression" dxfId="58" priority="9">
      <formula>ROUND(O52,2)&lt;&gt;ROUND(O53,2)</formula>
    </cfRule>
  </conditionalFormatting>
  <conditionalFormatting sqref="O63:AA63 AD63 AF63:AG63">
    <cfRule type="expression" dxfId="57" priority="8">
      <formula>ROUND(O62,2)&lt;&gt;ROUND(O63,2)</formula>
    </cfRule>
  </conditionalFormatting>
  <conditionalFormatting sqref="O72:AA72 AD72 AF72:AG72">
    <cfRule type="expression" dxfId="56" priority="7">
      <formula>ROUND(O71,2)&lt;&gt;ROUND(O72,2)</formula>
    </cfRule>
  </conditionalFormatting>
  <conditionalFormatting sqref="AD78 AF78:AG78 O78:AA78">
    <cfRule type="expression" dxfId="55" priority="6">
      <formula>ROUND(O77,2)&lt;&gt;ROUND(O78,2)</formula>
    </cfRule>
  </conditionalFormatting>
  <conditionalFormatting sqref="AI43">
    <cfRule type="expression" dxfId="54" priority="5">
      <formula>ROUND(AI42,2)&lt;&gt;ROUND(AI43,2)</formula>
    </cfRule>
  </conditionalFormatting>
  <conditionalFormatting sqref="AI53">
    <cfRule type="expression" dxfId="53" priority="4">
      <formula>ROUND(AI52,2)&lt;&gt;ROUND(AI53,2)</formula>
    </cfRule>
  </conditionalFormatting>
  <conditionalFormatting sqref="AI63">
    <cfRule type="expression" dxfId="52" priority="3">
      <formula>ROUND(AI62,2)&lt;&gt;ROUND(AI63,2)</formula>
    </cfRule>
  </conditionalFormatting>
  <conditionalFormatting sqref="AI72">
    <cfRule type="expression" dxfId="51" priority="2">
      <formula>ROUND(AI71,2)&lt;&gt;ROUND(AI72,2)</formula>
    </cfRule>
  </conditionalFormatting>
  <conditionalFormatting sqref="AI78">
    <cfRule type="expression" dxfId="50" priority="1">
      <formula>ROUND(AI77,2)&lt;&gt;ROUND(AI78,2)</formula>
    </cfRule>
  </conditionalFormatting>
  <conditionalFormatting sqref="N43 N53 N63 N72 N78">
    <cfRule type="expression" dxfId="49" priority="11">
      <formula>$G44&lt;&gt;0</formula>
    </cfRule>
  </conditionalFormatting>
  <conditionalFormatting sqref="N79">
    <cfRule type="expression" dxfId="48" priority="12">
      <formula>#REF!&lt;&gt;0</formula>
    </cfRule>
  </conditionalFormatting>
  <dataValidations count="2">
    <dataValidation type="list" allowBlank="1" sqref="B29" xr:uid="{00000000-0002-0000-3100-000000000000}">
      <formula1>"SELF,ALL,BAS,DEP,BASMEMBERS,MEMBERS,NOEXPAND,GDEP"</formula1>
    </dataValidation>
    <dataValidation type="list" allowBlank="1" sqref="B28" xr:uid="{00000000-0002-0000-31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operties>
  <drawing r:id="rId3"/>
  <legacyDrawing r:id="rId4"/>
  <controls>
    <mc:AlternateContent xmlns:mc="http://schemas.openxmlformats.org/markup-compatibility/2006">
      <mc:Choice Requires="x14">
        <control shapeId="355331"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5331" r:id="rId5" name="FPMExcelClientSheetOptionstb1"/>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805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_xll.EVRNG(H35:H56)</f>
        <v>#NAME?</v>
      </c>
      <c r="G19" s="18" t="str">
        <f>$B$6</f>
        <v>D2248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D2248</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v>1220</v>
      </c>
      <c r="P35" s="333"/>
      <c r="Q35" s="333">
        <v>1455</v>
      </c>
      <c r="R35" s="333">
        <v>924</v>
      </c>
      <c r="S35" s="333">
        <v>1610</v>
      </c>
      <c r="T35" s="333"/>
      <c r="U35" s="333">
        <v>-319</v>
      </c>
      <c r="V35" s="333">
        <v>1870</v>
      </c>
      <c r="W35" s="333">
        <v>-218.4</v>
      </c>
      <c r="X35" s="333"/>
      <c r="Y35" s="333">
        <v>4638</v>
      </c>
      <c r="Z35" s="333">
        <v>6120</v>
      </c>
      <c r="AA35" s="310" t="e">
        <f t="shared" ref="AA35:AA56" ca="1" si="0">IF($I35="B1","",SUM(O35:Z35))</f>
        <v>#NAME?</v>
      </c>
      <c r="AB35" s="334" t="e">
        <f t="shared" ref="AB35:AB56" ca="1" si="1">IF(AA35=0,"",IFERROR(AA35/AA$19,""))</f>
        <v>#NAME?</v>
      </c>
      <c r="AC35" s="290"/>
      <c r="AD35" s="333">
        <v>84795</v>
      </c>
      <c r="AE35" s="334" t="str">
        <f t="shared" ref="AE35:AE56" ca="1" si="2">IF(AD35=0,"",IFERROR(AD35/AD$19,""))</f>
        <v/>
      </c>
      <c r="AF35" s="335" t="e">
        <f t="shared" ref="AF35:AF56" ca="1" si="3">IF(AND($AA35="",AD35=""),"",$AA35-AD35)</f>
        <v>#NAME?</v>
      </c>
      <c r="AG35" s="333">
        <v>22025</v>
      </c>
      <c r="AH35" s="334" t="str">
        <f ca="1">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v>16592</v>
      </c>
      <c r="P36" s="333">
        <v>24138.5</v>
      </c>
      <c r="Q36" s="333">
        <v>4879.07</v>
      </c>
      <c r="R36" s="333">
        <v>1354.25</v>
      </c>
      <c r="S36" s="333">
        <v>3357</v>
      </c>
      <c r="T36" s="333"/>
      <c r="U36" s="333">
        <v>651</v>
      </c>
      <c r="V36" s="333"/>
      <c r="W36" s="333">
        <v>5795.51</v>
      </c>
      <c r="X36" s="333">
        <v>13310.1</v>
      </c>
      <c r="Y36" s="333">
        <v>1047.2</v>
      </c>
      <c r="Z36" s="333">
        <v>28285</v>
      </c>
      <c r="AA36" s="310" t="e">
        <f t="shared" ca="1" si="0"/>
        <v>#NAME?</v>
      </c>
      <c r="AB36" s="334" t="e">
        <f t="shared" ca="1" si="1"/>
        <v>#NAME?</v>
      </c>
      <c r="AC36" s="290"/>
      <c r="AD36" s="333">
        <v>113885.235115</v>
      </c>
      <c r="AE36" s="334" t="str">
        <f t="shared" ca="1" si="2"/>
        <v/>
      </c>
      <c r="AF36" s="335" t="e">
        <f t="shared" ca="1" si="3"/>
        <v>#NAME?</v>
      </c>
      <c r="AG36" s="333">
        <v>166083.93</v>
      </c>
      <c r="AH36" s="334" t="str">
        <f t="shared" ref="AH36:AH56" ca="1"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v>38265</v>
      </c>
      <c r="P37" s="333">
        <v>10655</v>
      </c>
      <c r="Q37" s="333">
        <v>14641</v>
      </c>
      <c r="R37" s="333">
        <v>1796</v>
      </c>
      <c r="S37" s="333">
        <v>6750</v>
      </c>
      <c r="T37" s="333">
        <v>4664.9799999999996</v>
      </c>
      <c r="U37" s="333"/>
      <c r="V37" s="333"/>
      <c r="W37" s="333">
        <v>-132.6</v>
      </c>
      <c r="X37" s="333"/>
      <c r="Y37" s="333"/>
      <c r="Z37" s="333">
        <v>952</v>
      </c>
      <c r="AA37" s="310" t="e">
        <f t="shared" ca="1" si="0"/>
        <v>#NAME?</v>
      </c>
      <c r="AB37" s="334" t="e">
        <f t="shared" ca="1" si="1"/>
        <v>#NAME?</v>
      </c>
      <c r="AC37" s="290"/>
      <c r="AD37" s="333">
        <v>54007.263200000001</v>
      </c>
      <c r="AE37" s="334" t="str">
        <f t="shared" ca="1" si="2"/>
        <v/>
      </c>
      <c r="AF37" s="335" t="e">
        <f t="shared" ca="1" si="3"/>
        <v>#NAME?</v>
      </c>
      <c r="AG37" s="333">
        <v>16237</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c r="P38" s="333"/>
      <c r="Q38" s="333"/>
      <c r="R38" s="333"/>
      <c r="S38" s="333"/>
      <c r="T38" s="333"/>
      <c r="U38" s="333"/>
      <c r="V38" s="333"/>
      <c r="W38" s="333"/>
      <c r="X38" s="333"/>
      <c r="Y38" s="333"/>
      <c r="Z38" s="333">
        <v>8454</v>
      </c>
      <c r="AA38" s="310" t="e">
        <f t="shared" ca="1" si="0"/>
        <v>#NAME?</v>
      </c>
      <c r="AB38" s="334" t="e">
        <f t="shared" ca="1" si="1"/>
        <v>#NAME?</v>
      </c>
      <c r="AC38" s="290"/>
      <c r="AD38" s="333"/>
      <c r="AE38" s="334" t="str">
        <f t="shared" si="2"/>
        <v/>
      </c>
      <c r="AF38" s="335" t="e">
        <f t="shared" ca="1" si="3"/>
        <v>#NAME?</v>
      </c>
      <c r="AG38" s="333"/>
      <c r="AH38" s="334" t="str">
        <f t="shared"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v>6795</v>
      </c>
      <c r="R39" s="324">
        <v>5630</v>
      </c>
      <c r="S39" s="324"/>
      <c r="T39" s="324"/>
      <c r="U39" s="324"/>
      <c r="V39" s="324"/>
      <c r="W39" s="324">
        <v>1730</v>
      </c>
      <c r="X39" s="324"/>
      <c r="Y39" s="324">
        <v>8273.1</v>
      </c>
      <c r="Z39" s="324">
        <v>5290.3</v>
      </c>
      <c r="AA39" s="324" t="e">
        <f t="shared" ca="1" si="0"/>
        <v>#NAME?</v>
      </c>
      <c r="AB39" s="325" t="e">
        <f t="shared" ca="1" si="1"/>
        <v>#NAME?</v>
      </c>
      <c r="AC39" s="290"/>
      <c r="AD39" s="324">
        <v>33006.110999999997</v>
      </c>
      <c r="AE39" s="325" t="str">
        <f t="shared" ca="1" si="2"/>
        <v/>
      </c>
      <c r="AF39" s="326" t="e">
        <f t="shared" ca="1" si="3"/>
        <v>#NAME?</v>
      </c>
      <c r="AG39" s="324">
        <v>1535</v>
      </c>
      <c r="AH39" s="325" t="str">
        <f t="shared" ca="1"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56077</v>
      </c>
      <c r="P40" s="134">
        <v>34793.5</v>
      </c>
      <c r="Q40" s="134">
        <v>27770.07</v>
      </c>
      <c r="R40" s="134">
        <v>9704.25</v>
      </c>
      <c r="S40" s="134">
        <v>11717</v>
      </c>
      <c r="T40" s="134">
        <v>4664.9799999999996</v>
      </c>
      <c r="U40" s="134">
        <v>332</v>
      </c>
      <c r="V40" s="134">
        <v>1870</v>
      </c>
      <c r="W40" s="134">
        <v>7174.51</v>
      </c>
      <c r="X40" s="134">
        <v>13310.1</v>
      </c>
      <c r="Y40" s="134">
        <v>13958.3</v>
      </c>
      <c r="Z40" s="134">
        <v>49101.3</v>
      </c>
      <c r="AA40" s="134" t="e">
        <f t="shared" ca="1" si="0"/>
        <v>#NAME?</v>
      </c>
      <c r="AB40" s="135" t="e">
        <f t="shared" ca="1" si="1"/>
        <v>#NAME?</v>
      </c>
      <c r="AC40" s="137"/>
      <c r="AD40" s="134">
        <v>285693.60931500001</v>
      </c>
      <c r="AE40" s="135" t="str">
        <f t="shared" ca="1" si="2"/>
        <v/>
      </c>
      <c r="AF40" s="136" t="e">
        <f t="shared" ca="1" si="3"/>
        <v>#NAME?</v>
      </c>
      <c r="AG40" s="134">
        <v>205880.93</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v>1170</v>
      </c>
      <c r="W42" s="333"/>
      <c r="X42" s="333"/>
      <c r="Y42" s="333"/>
      <c r="Z42" s="333">
        <v>1615</v>
      </c>
      <c r="AA42" s="310" t="e">
        <f t="shared" ca="1" si="0"/>
        <v>#NAME?</v>
      </c>
      <c r="AB42" s="334" t="e">
        <f t="shared" ca="1" si="1"/>
        <v>#NAME?</v>
      </c>
      <c r="AC42" s="290"/>
      <c r="AD42" s="333"/>
      <c r="AE42" s="334" t="str">
        <f t="shared" si="2"/>
        <v/>
      </c>
      <c r="AF42" s="335" t="e">
        <f t="shared" ca="1" si="3"/>
        <v>#NAME?</v>
      </c>
      <c r="AG42" s="333"/>
      <c r="AH42" s="334" t="str">
        <f t="shared" si="5"/>
        <v/>
      </c>
      <c r="AI42" s="336" t="e">
        <f t="shared" ca="1" si="6"/>
        <v>#NAME?</v>
      </c>
      <c r="AJ42" s="399">
        <f t="shared" ca="1" si="7"/>
        <v>0</v>
      </c>
      <c r="AK42" s="400">
        <f t="shared" ca="1" si="8"/>
        <v>0</v>
      </c>
      <c r="AL42" s="401">
        <f t="shared" ca="1" si="9"/>
        <v>0</v>
      </c>
      <c r="AM42" s="402">
        <f t="shared" ca="1" si="10"/>
        <v>0</v>
      </c>
      <c r="AN42" s="403">
        <f t="shared" ca="1" si="11"/>
        <v>0</v>
      </c>
    </row>
    <row r="43" spans="1:40" ht="15.75" thickBot="1" x14ac:dyDescent="0.3">
      <c r="A43" s="1" t="s">
        <v>108</v>
      </c>
      <c r="C43" s="496"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v>300</v>
      </c>
      <c r="R43" s="333">
        <v>1258</v>
      </c>
      <c r="S43" s="333"/>
      <c r="T43" s="333">
        <v>73</v>
      </c>
      <c r="U43" s="333"/>
      <c r="V43" s="333"/>
      <c r="W43" s="333">
        <v>741</v>
      </c>
      <c r="X43" s="333"/>
      <c r="Y43" s="333"/>
      <c r="Z43" s="333">
        <v>1062</v>
      </c>
      <c r="AA43" s="310" t="e">
        <f t="shared" ca="1" si="0"/>
        <v>#NAME?</v>
      </c>
      <c r="AB43" s="334" t="e">
        <f t="shared" ca="1" si="1"/>
        <v>#NAME?</v>
      </c>
      <c r="AC43" s="290"/>
      <c r="AD43" s="333">
        <v>2360.014885</v>
      </c>
      <c r="AE43" s="334" t="str">
        <f t="shared" ca="1" si="2"/>
        <v/>
      </c>
      <c r="AF43" s="335" t="e">
        <f t="shared" ca="1" si="3"/>
        <v>#NAME?</v>
      </c>
      <c r="AG43" s="333">
        <v>5203</v>
      </c>
      <c r="AH43" s="334" t="str">
        <f t="shared" ca="1" si="5"/>
        <v/>
      </c>
      <c r="AI43" s="336" t="e">
        <f t="shared" ca="1" si="6"/>
        <v>#NAME?</v>
      </c>
      <c r="AJ43" s="399">
        <f t="shared" ca="1" si="7"/>
        <v>0</v>
      </c>
      <c r="AK43" s="400">
        <f t="shared" ca="1" si="8"/>
        <v>0</v>
      </c>
      <c r="AL43" s="401">
        <f t="shared" ca="1" si="9"/>
        <v>0</v>
      </c>
      <c r="AM43" s="402">
        <f t="shared" ca="1" si="10"/>
        <v>0</v>
      </c>
      <c r="AN43" s="403">
        <f t="shared" ca="1" si="11"/>
        <v>0</v>
      </c>
    </row>
    <row r="44" spans="1:40" ht="16.5" thickTop="1" thickBot="1" x14ac:dyDescent="0.3">
      <c r="A44" s="1" t="s">
        <v>108</v>
      </c>
      <c r="C44" s="496"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v>3536</v>
      </c>
      <c r="P44" s="333"/>
      <c r="Q44" s="333">
        <v>765</v>
      </c>
      <c r="R44" s="333"/>
      <c r="S44" s="333">
        <v>1512</v>
      </c>
      <c r="T44" s="333"/>
      <c r="U44" s="333"/>
      <c r="V44" s="333"/>
      <c r="W44" s="333"/>
      <c r="X44" s="333"/>
      <c r="Y44" s="333"/>
      <c r="Z44" s="333">
        <v>716</v>
      </c>
      <c r="AA44" s="310" t="e">
        <f t="shared" ca="1" si="0"/>
        <v>#NAME?</v>
      </c>
      <c r="AB44" s="334" t="e">
        <f t="shared" ca="1" si="1"/>
        <v>#NAME?</v>
      </c>
      <c r="AC44" s="290"/>
      <c r="AD44" s="333">
        <v>2433.7368000000001</v>
      </c>
      <c r="AE44" s="334" t="str">
        <f t="shared" ca="1" si="2"/>
        <v/>
      </c>
      <c r="AF44" s="335" t="e">
        <f t="shared" ca="1" si="3"/>
        <v>#NAME?</v>
      </c>
      <c r="AG44" s="333">
        <v>15235</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ht="15.75" thickTop="1"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v>2338</v>
      </c>
      <c r="R45" s="324">
        <v>850</v>
      </c>
      <c r="S45" s="324"/>
      <c r="T45" s="324"/>
      <c r="U45" s="324"/>
      <c r="V45" s="324"/>
      <c r="W45" s="324">
        <v>144</v>
      </c>
      <c r="X45" s="324"/>
      <c r="Y45" s="324">
        <v>4968</v>
      </c>
      <c r="Z45" s="324">
        <v>2036.96</v>
      </c>
      <c r="AA45" s="324" t="e">
        <f t="shared" ca="1" si="0"/>
        <v>#NAME?</v>
      </c>
      <c r="AB45" s="325" t="e">
        <f t="shared" ca="1" si="1"/>
        <v>#NAME?</v>
      </c>
      <c r="AC45" s="290"/>
      <c r="AD45" s="324">
        <v>1628.8889999999999</v>
      </c>
      <c r="AE45" s="325" t="str">
        <f t="shared" ca="1" si="2"/>
        <v/>
      </c>
      <c r="AF45" s="326" t="e">
        <f t="shared" ca="1" si="3"/>
        <v>#NAME?</v>
      </c>
      <c r="AG45" s="324">
        <v>794</v>
      </c>
      <c r="AH45" s="325" t="str">
        <f t="shared" ca="1"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v>3536</v>
      </c>
      <c r="P46" s="134"/>
      <c r="Q46" s="134">
        <v>3403</v>
      </c>
      <c r="R46" s="134">
        <v>2108</v>
      </c>
      <c r="S46" s="134">
        <v>1512</v>
      </c>
      <c r="T46" s="134">
        <v>73</v>
      </c>
      <c r="U46" s="134"/>
      <c r="V46" s="134">
        <v>1170</v>
      </c>
      <c r="W46" s="134">
        <v>885</v>
      </c>
      <c r="X46" s="134"/>
      <c r="Y46" s="134">
        <v>4968</v>
      </c>
      <c r="Z46" s="134">
        <v>5429.96</v>
      </c>
      <c r="AA46" s="134" t="e">
        <f t="shared" ca="1" si="0"/>
        <v>#NAME?</v>
      </c>
      <c r="AB46" s="135" t="e">
        <f t="shared" ca="1" si="1"/>
        <v>#NAME?</v>
      </c>
      <c r="AC46" s="137"/>
      <c r="AD46" s="134">
        <v>6422.6406850000003</v>
      </c>
      <c r="AE46" s="135" t="str">
        <f t="shared" ca="1" si="2"/>
        <v/>
      </c>
      <c r="AF46" s="136" t="e">
        <f t="shared" ca="1" si="3"/>
        <v>#NAME?</v>
      </c>
      <c r="AG46" s="134">
        <v>21232</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v>59613</v>
      </c>
      <c r="P48" s="134">
        <v>34793.5</v>
      </c>
      <c r="Q48" s="134">
        <v>31173.07</v>
      </c>
      <c r="R48" s="134">
        <v>11812.25</v>
      </c>
      <c r="S48" s="134">
        <v>13229</v>
      </c>
      <c r="T48" s="134">
        <v>4737.9799999999996</v>
      </c>
      <c r="U48" s="134">
        <v>332</v>
      </c>
      <c r="V48" s="134">
        <v>3040</v>
      </c>
      <c r="W48" s="134">
        <v>8059.51</v>
      </c>
      <c r="X48" s="134">
        <v>13310.1</v>
      </c>
      <c r="Y48" s="134">
        <v>18926.3</v>
      </c>
      <c r="Z48" s="134">
        <v>54531.26</v>
      </c>
      <c r="AA48" s="134" t="e">
        <f t="shared" ca="1" si="0"/>
        <v>#NAME?</v>
      </c>
      <c r="AB48" s="135" t="e">
        <f t="shared" ca="1" si="1"/>
        <v>#NAME?</v>
      </c>
      <c r="AC48" s="137"/>
      <c r="AD48" s="134">
        <v>292116.25</v>
      </c>
      <c r="AE48" s="135" t="str">
        <f t="shared" ca="1" si="2"/>
        <v/>
      </c>
      <c r="AF48" s="136" t="e">
        <f t="shared" ca="1" si="3"/>
        <v>#NAME?</v>
      </c>
      <c r="AG48" s="134">
        <v>227112.93</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v>5180</v>
      </c>
      <c r="P50" s="333">
        <v>2870</v>
      </c>
      <c r="Q50" s="333">
        <v>2680</v>
      </c>
      <c r="R50" s="333">
        <v>1815.05</v>
      </c>
      <c r="S50" s="333">
        <v>-628.79999999999995</v>
      </c>
      <c r="T50" s="333">
        <v>970</v>
      </c>
      <c r="U50" s="333">
        <v>1135</v>
      </c>
      <c r="V50" s="333">
        <v>-53.4</v>
      </c>
      <c r="W50" s="333">
        <v>1120</v>
      </c>
      <c r="X50" s="333">
        <v>2474.15</v>
      </c>
      <c r="Y50" s="333">
        <v>989.03</v>
      </c>
      <c r="Z50" s="333">
        <v>3600</v>
      </c>
      <c r="AA50" s="310" t="e">
        <f t="shared" ca="1" si="0"/>
        <v>#NAME?</v>
      </c>
      <c r="AB50" s="334" t="e">
        <f t="shared" ca="1" si="1"/>
        <v>#NAME?</v>
      </c>
      <c r="AC50" s="290"/>
      <c r="AD50" s="333">
        <v>26325.98</v>
      </c>
      <c r="AE50" s="334" t="str">
        <f t="shared" ca="1" si="2"/>
        <v/>
      </c>
      <c r="AF50" s="335" t="e">
        <f t="shared" ca="1" si="3"/>
        <v>#NAME?</v>
      </c>
      <c r="AG50" s="333">
        <v>21595</v>
      </c>
      <c r="AH50" s="334" t="str">
        <f t="shared" ca="1"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v>10450</v>
      </c>
      <c r="P51" s="333">
        <v>5500</v>
      </c>
      <c r="Q51" s="333">
        <v>13850</v>
      </c>
      <c r="R51" s="333">
        <v>4150</v>
      </c>
      <c r="S51" s="333"/>
      <c r="T51" s="333">
        <v>1400</v>
      </c>
      <c r="U51" s="333">
        <v>750</v>
      </c>
      <c r="V51" s="333">
        <v>500</v>
      </c>
      <c r="W51" s="333">
        <v>580</v>
      </c>
      <c r="X51" s="333">
        <v>2390.5</v>
      </c>
      <c r="Y51" s="333">
        <v>4467.2700000000004</v>
      </c>
      <c r="Z51" s="333">
        <v>2175</v>
      </c>
      <c r="AA51" s="310" t="e">
        <f t="shared" ca="1" si="0"/>
        <v>#NAME?</v>
      </c>
      <c r="AB51" s="334" t="e">
        <f t="shared" ca="1" si="1"/>
        <v>#NAME?</v>
      </c>
      <c r="AC51" s="290"/>
      <c r="AD51" s="333">
        <v>108640.13</v>
      </c>
      <c r="AE51" s="334" t="str">
        <f t="shared" ca="1" si="2"/>
        <v/>
      </c>
      <c r="AF51" s="335" t="e">
        <f t="shared" ca="1" si="3"/>
        <v>#NAME?</v>
      </c>
      <c r="AG51" s="333">
        <v>91310</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_xll.EVRNG(#REF!)</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v>11988.78</v>
      </c>
      <c r="P52" s="333">
        <v>8780.9500000000007</v>
      </c>
      <c r="Q52" s="333">
        <v>6857.26</v>
      </c>
      <c r="R52" s="333">
        <v>3037.28</v>
      </c>
      <c r="S52" s="333">
        <v>2910.38</v>
      </c>
      <c r="T52" s="333">
        <v>1042.3599999999999</v>
      </c>
      <c r="U52" s="333">
        <v>143.22</v>
      </c>
      <c r="V52" s="333">
        <v>818.8</v>
      </c>
      <c r="W52" s="333">
        <v>1819.84</v>
      </c>
      <c r="X52" s="333">
        <v>3082.53</v>
      </c>
      <c r="Y52" s="333">
        <v>4074.43</v>
      </c>
      <c r="Z52" s="333">
        <v>12550.31</v>
      </c>
      <c r="AA52" s="310" t="e">
        <f t="shared" ca="1" si="0"/>
        <v>#NAME?</v>
      </c>
      <c r="AB52" s="334" t="e">
        <f t="shared" ca="1" si="1"/>
        <v>#NAME?</v>
      </c>
      <c r="AC52" s="290"/>
      <c r="AD52" s="333">
        <v>64265.574999999997</v>
      </c>
      <c r="AE52" s="334" t="str">
        <f t="shared" ca="1" si="2"/>
        <v/>
      </c>
      <c r="AF52" s="335" t="e">
        <f t="shared" ca="1" si="3"/>
        <v>#NAME?</v>
      </c>
      <c r="AG52" s="333">
        <v>51312.76</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v>600</v>
      </c>
      <c r="P53" s="333">
        <v>700</v>
      </c>
      <c r="Q53" s="333">
        <v>150</v>
      </c>
      <c r="R53" s="333">
        <v>150</v>
      </c>
      <c r="S53" s="333">
        <v>300</v>
      </c>
      <c r="T53" s="333"/>
      <c r="U53" s="333">
        <v>1045</v>
      </c>
      <c r="V53" s="333">
        <v>150</v>
      </c>
      <c r="W53" s="333">
        <v>300</v>
      </c>
      <c r="X53" s="333"/>
      <c r="Y53" s="333">
        <v>450</v>
      </c>
      <c r="Z53" s="333">
        <v>300</v>
      </c>
      <c r="AA53" s="310" t="e">
        <f t="shared" ca="1" si="0"/>
        <v>#NAME?</v>
      </c>
      <c r="AB53" s="334" t="e">
        <f t="shared" ca="1" si="1"/>
        <v>#NAME?</v>
      </c>
      <c r="AC53" s="290"/>
      <c r="AD53" s="333">
        <v>4404.71</v>
      </c>
      <c r="AE53" s="334" t="str">
        <f t="shared" ca="1" si="2"/>
        <v/>
      </c>
      <c r="AF53" s="335" t="e">
        <f t="shared" ca="1" si="3"/>
        <v>#NAME?</v>
      </c>
      <c r="AG53" s="333">
        <v>3585</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ht="15.75" thickBot="1" x14ac:dyDescent="0.3">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v>28218.78</v>
      </c>
      <c r="P55" s="36">
        <v>17850.95</v>
      </c>
      <c r="Q55" s="36">
        <v>23537.26</v>
      </c>
      <c r="R55" s="36">
        <v>9152.33</v>
      </c>
      <c r="S55" s="36">
        <v>2581.58</v>
      </c>
      <c r="T55" s="36">
        <v>3412.36</v>
      </c>
      <c r="U55" s="36">
        <v>3073.22</v>
      </c>
      <c r="V55" s="36">
        <v>1415.4</v>
      </c>
      <c r="W55" s="36">
        <v>3819.84</v>
      </c>
      <c r="X55" s="36">
        <v>7947.18</v>
      </c>
      <c r="Y55" s="36">
        <v>9980.73</v>
      </c>
      <c r="Z55" s="36">
        <v>18625.310000000001</v>
      </c>
      <c r="AA55" s="36" t="e">
        <f t="shared" ca="1" si="0"/>
        <v>#NAME?</v>
      </c>
      <c r="AB55" s="37" t="e">
        <f t="shared" ca="1" si="1"/>
        <v>#NAME?</v>
      </c>
      <c r="AC55" s="35"/>
      <c r="AD55" s="36">
        <v>203636.39499999999</v>
      </c>
      <c r="AE55" s="37" t="str">
        <f t="shared" ca="1" si="2"/>
        <v/>
      </c>
      <c r="AF55" s="58" t="e">
        <f t="shared" ca="1" si="3"/>
        <v>#NAME?</v>
      </c>
      <c r="AG55" s="36">
        <v>167802.76</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ht="16.5" thickTop="1" thickBot="1" x14ac:dyDescent="0.3">
      <c r="A56" s="6" t="s">
        <v>47</v>
      </c>
      <c r="B56" s="7" t="e">
        <f ca="1">_xll.EVRNG($A$125:$B$146)</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497">
        <v>87831.78</v>
      </c>
      <c r="P56" s="498">
        <v>52644.45</v>
      </c>
      <c r="Q56" s="498">
        <v>54710.33</v>
      </c>
      <c r="R56" s="498">
        <v>20964.580000000002</v>
      </c>
      <c r="S56" s="498">
        <v>15810.58</v>
      </c>
      <c r="T56" s="498">
        <v>8150.34</v>
      </c>
      <c r="U56" s="498">
        <v>3405.22</v>
      </c>
      <c r="V56" s="498">
        <v>4455.3999999999996</v>
      </c>
      <c r="W56" s="498">
        <v>11879.35</v>
      </c>
      <c r="X56" s="498">
        <v>21257.279999999999</v>
      </c>
      <c r="Y56" s="498">
        <v>28907.03</v>
      </c>
      <c r="Z56" s="498">
        <v>73156.570000000007</v>
      </c>
      <c r="AA56" s="498" t="e">
        <f t="shared" ca="1" si="0"/>
        <v>#NAME?</v>
      </c>
      <c r="AB56" s="499" t="e">
        <f t="shared" ca="1" si="1"/>
        <v>#NAME?</v>
      </c>
      <c r="AC56" s="500"/>
      <c r="AD56" s="498">
        <v>495752.64500000002</v>
      </c>
      <c r="AE56" s="499" t="str">
        <f t="shared" ca="1" si="2"/>
        <v/>
      </c>
      <c r="AF56" s="501" t="e">
        <f t="shared" ca="1" si="3"/>
        <v>#NAME?</v>
      </c>
      <c r="AG56" s="498">
        <v>394915.69</v>
      </c>
      <c r="AH56" s="499" t="str">
        <f t="shared" ca="1" si="5"/>
        <v/>
      </c>
      <c r="AI56" s="502" t="e">
        <f t="shared" ca="1" si="6"/>
        <v>#NAME?</v>
      </c>
      <c r="AJ56" s="503">
        <f t="shared" ca="1" si="7"/>
        <v>0</v>
      </c>
      <c r="AK56" s="504">
        <f t="shared" ca="1" si="8"/>
        <v>0</v>
      </c>
      <c r="AL56" s="505">
        <f t="shared" ca="1" si="9"/>
        <v>0</v>
      </c>
      <c r="AM56" s="506">
        <f t="shared" ca="1" si="10"/>
        <v>0</v>
      </c>
      <c r="AN56" s="507">
        <f t="shared" ca="1" si="11"/>
        <v>0</v>
      </c>
    </row>
    <row r="57" spans="1:40" ht="15.75" thickTop="1"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row>
    <row r="59" spans="1:40" x14ac:dyDescent="0.25">
      <c r="A59" s="3" t="s">
        <v>9</v>
      </c>
      <c r="B59" s="5" t="s">
        <v>10</v>
      </c>
      <c r="O59" s="166"/>
      <c r="P59" s="166"/>
      <c r="Q59" s="166"/>
      <c r="R59" s="166"/>
      <c r="S59" s="166"/>
      <c r="T59" s="166"/>
      <c r="U59" s="166"/>
      <c r="V59" s="166"/>
      <c r="W59" s="166"/>
      <c r="X59" s="166"/>
      <c r="Y59" s="166"/>
      <c r="Z59" s="166"/>
      <c r="AA59" s="166"/>
      <c r="AD59" s="166"/>
      <c r="AG59" s="166"/>
    </row>
    <row r="60" spans="1:40" x14ac:dyDescent="0.25">
      <c r="A60" s="6" t="s">
        <v>11</v>
      </c>
      <c r="B60" s="7" t="s">
        <v>21</v>
      </c>
    </row>
    <row r="61" spans="1:40" x14ac:dyDescent="0.25">
      <c r="A61" s="6" t="s">
        <v>12</v>
      </c>
      <c r="B61" s="7" t="s">
        <v>22</v>
      </c>
      <c r="O61" s="166"/>
      <c r="P61" s="166"/>
      <c r="Q61" s="166"/>
      <c r="R61" s="166"/>
      <c r="S61" s="166"/>
      <c r="T61" s="166"/>
      <c r="U61" s="166"/>
      <c r="V61" s="166"/>
      <c r="W61" s="166"/>
      <c r="X61" s="166"/>
      <c r="Y61" s="166"/>
      <c r="Z61" s="166"/>
      <c r="AA61" s="166"/>
      <c r="AD61" s="166"/>
      <c r="AG61" s="166"/>
    </row>
    <row r="62" spans="1:40" x14ac:dyDescent="0.25">
      <c r="A62" s="6" t="s">
        <v>13</v>
      </c>
      <c r="B62" s="7" t="e">
        <f ca="1">"DEP(COS_FB) AND "&amp;$E$6&amp;"=Y,COS_FB,COSOTH,DEP(COS_OTHR) AND "&amp;$E$6&amp;"=Y,COS_OTHR,500001"</f>
        <v>#NAME?</v>
      </c>
    </row>
    <row r="63" spans="1:40" x14ac:dyDescent="0.25">
      <c r="A63" s="6" t="s">
        <v>14</v>
      </c>
      <c r="B63" s="7"/>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H80" s="11"/>
      <c r="J80" s="1"/>
    </row>
    <row r="81" spans="1:10" hidden="1" x14ac:dyDescent="0.25">
      <c r="H81" s="11"/>
      <c r="J81" s="1"/>
    </row>
    <row r="82" spans="1:10" hidden="1" x14ac:dyDescent="0.25">
      <c r="A82" s="3" t="s">
        <v>0</v>
      </c>
      <c r="B82" s="5" t="s">
        <v>1</v>
      </c>
      <c r="H82" s="11"/>
      <c r="J82" s="1"/>
    </row>
    <row r="83" spans="1:10" x14ac:dyDescent="0.25">
      <c r="A83" s="6" t="s">
        <v>2</v>
      </c>
      <c r="B83" s="7" t="e">
        <f ca="1">_xll.EVRNG($B$2:$B$10)</f>
        <v>#NAME?</v>
      </c>
      <c r="H83" s="11"/>
      <c r="J83" s="1"/>
    </row>
    <row r="84" spans="1:10" x14ac:dyDescent="0.25">
      <c r="A84" s="6" t="s">
        <v>3</v>
      </c>
      <c r="B84" s="7" t="e">
        <f ca="1">_xll.EVRNG($O$16:$AN$18)</f>
        <v>#NAME?</v>
      </c>
      <c r="H84" s="11"/>
      <c r="J84" s="1"/>
    </row>
    <row r="85" spans="1:10" x14ac:dyDescent="0.25">
      <c r="A85" s="6" t="s">
        <v>4</v>
      </c>
      <c r="B85" s="7" t="e">
        <f ca="1">_xll.EVRNG(#REF!,#REF!,#REF!)</f>
        <v>#NAME?</v>
      </c>
      <c r="H85" s="11"/>
      <c r="J85" s="1"/>
    </row>
    <row r="86" spans="1:10" x14ac:dyDescent="0.25">
      <c r="A86" s="6" t="s">
        <v>5</v>
      </c>
      <c r="B86" s="7"/>
      <c r="H86" s="11"/>
      <c r="J86" s="1"/>
    </row>
    <row r="87" spans="1:10" x14ac:dyDescent="0.25">
      <c r="A87" s="6" t="s">
        <v>6</v>
      </c>
      <c r="B87" s="7"/>
    </row>
    <row r="88" spans="1:10" x14ac:dyDescent="0.25">
      <c r="A88" s="6" t="s">
        <v>7</v>
      </c>
      <c r="B88" s="7" t="e">
        <f ca="1">_xll.EVRNG(A102:F108)</f>
        <v>#NAME?</v>
      </c>
    </row>
    <row r="89" spans="1:10" x14ac:dyDescent="0.25">
      <c r="A89" s="6" t="s">
        <v>47</v>
      </c>
      <c r="B89" s="7" t="e">
        <f ca="1">_xll.EVRNG($A$125:$B$146)</f>
        <v>#NAME?</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row>
    <row r="113" spans="1:34" x14ac:dyDescent="0.25">
      <c r="A113" s="3" t="s">
        <v>0</v>
      </c>
      <c r="B113" s="5" t="s">
        <v>1</v>
      </c>
    </row>
    <row r="114" spans="1:34" x14ac:dyDescent="0.25">
      <c r="A114" s="6" t="s">
        <v>2</v>
      </c>
      <c r="B114" s="7" t="e">
        <f ca="1">_xll.EVRNG($B$2:$B$10)</f>
        <v>#NAME?</v>
      </c>
    </row>
    <row r="115" spans="1:34" x14ac:dyDescent="0.25">
      <c r="A115" s="6" t="s">
        <v>3</v>
      </c>
      <c r="B115" s="7" t="e">
        <f ca="1">_xll.EVRNG($O$16:$AN$18)</f>
        <v>#NAME?</v>
      </c>
    </row>
    <row r="116" spans="1:34" x14ac:dyDescent="0.25">
      <c r="A116" s="6" t="s">
        <v>4</v>
      </c>
      <c r="B116" s="7" t="e">
        <f ca="1">_xll.EVRNG(#REF!)</f>
        <v>#NAME?</v>
      </c>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7" t="e">
        <f ca="1">_xll.EVRNG($A$125:$B$146)</f>
        <v>#NAME?</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row>
    <row r="127" spans="1:34" x14ac:dyDescent="0.25">
      <c r="A127" s="6" t="s">
        <v>27</v>
      </c>
      <c r="B127" s="7"/>
      <c r="I127" s="76"/>
      <c r="J127" s="1"/>
      <c r="K127" s="76"/>
      <c r="L127" s="76"/>
      <c r="M127" s="76"/>
      <c r="O127" s="76"/>
      <c r="P127" s="76"/>
      <c r="Q127" s="76"/>
      <c r="R127" s="76"/>
      <c r="S127" s="76"/>
      <c r="T127" s="76"/>
      <c r="U127" s="76"/>
      <c r="V127" s="76"/>
      <c r="W127" s="76"/>
      <c r="X127" s="76"/>
      <c r="Y127" s="76"/>
      <c r="Z127" s="76"/>
      <c r="AA127" s="76"/>
      <c r="AD127" s="76"/>
      <c r="AF127" s="76"/>
      <c r="AH127" s="76"/>
    </row>
    <row r="128" spans="1:34" x14ac:dyDescent="0.25">
      <c r="A128" s="6" t="s">
        <v>28</v>
      </c>
      <c r="B128" s="7"/>
    </row>
    <row r="129" spans="1:34" x14ac:dyDescent="0.25">
      <c r="A129" s="6" t="s">
        <v>29</v>
      </c>
      <c r="B129" s="7"/>
    </row>
    <row r="130" spans="1:34" x14ac:dyDescent="0.25">
      <c r="A130" s="6" t="s">
        <v>30</v>
      </c>
      <c r="B130" s="7" t="s">
        <v>78</v>
      </c>
    </row>
    <row r="131" spans="1:34" x14ac:dyDescent="0.25">
      <c r="A131" s="6" t="s">
        <v>31</v>
      </c>
      <c r="B131" s="7" t="s">
        <v>78</v>
      </c>
      <c r="I131" s="76"/>
      <c r="J131" s="1"/>
      <c r="K131" s="76"/>
      <c r="L131" s="76"/>
      <c r="M131" s="76"/>
      <c r="O131" s="76"/>
      <c r="P131" s="76"/>
      <c r="Q131" s="76"/>
      <c r="R131" s="76"/>
      <c r="S131" s="76"/>
      <c r="T131" s="76"/>
      <c r="U131" s="76"/>
      <c r="V131" s="76"/>
      <c r="W131" s="76"/>
      <c r="X131" s="76"/>
      <c r="Y131" s="76"/>
      <c r="Z131" s="76"/>
      <c r="AA131" s="76"/>
      <c r="AD131" s="76"/>
      <c r="AF131" s="76"/>
      <c r="AH131" s="76"/>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5 B29 B62" xr:uid="{00000000-0002-0000-3200-000000000000}">
      <formula1>"SELF,ALL,BAS,DEP,BASMEMBERS,MEMBERS,NOEXPAND,GDEP"</formula1>
    </dataValidation>
    <dataValidation type="list" allowBlank="1" sqref="B94 B28 B61" xr:uid="{00000000-0002-0000-32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6177" r:id="rId7" name="FPMExcelClientSheetOptionstb1">
          <controlPr defaultSize="0" autoLine="0" autoPict="0" r:id="rId8">
            <anchor moveWithCells="1" sizeWithCells="1">
              <from>
                <xdr:col>0</xdr:col>
                <xdr:colOff>0</xdr:colOff>
                <xdr:row>24</xdr:row>
                <xdr:rowOff>0</xdr:rowOff>
              </from>
              <to>
                <xdr:col>0</xdr:col>
                <xdr:colOff>0</xdr:colOff>
                <xdr:row>24</xdr:row>
                <xdr:rowOff>0</xdr:rowOff>
              </to>
            </anchor>
          </controlPr>
        </control>
      </mc:Choice>
      <mc:Fallback>
        <control shapeId="306177" r:id="rId7" name="FPMExcelClientSheetOptionstb1"/>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75">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805</v>
      </c>
      <c r="C6" s="1" t="s">
        <v>1490</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1491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1492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1493</v>
      </c>
      <c r="G19" s="18" t="str">
        <f>$B$6</f>
        <v>D2248</v>
      </c>
      <c r="H19" s="18">
        <v>400000</v>
      </c>
      <c r="I19" s="19"/>
      <c r="J19" s="19"/>
      <c r="K19" s="18"/>
      <c r="L19" s="18"/>
      <c r="M19" s="18"/>
      <c r="N19" s="18" t="s">
        <v>1003</v>
      </c>
      <c r="O19" s="20">
        <v>87831.78</v>
      </c>
      <c r="P19" s="20">
        <v>52644.45</v>
      </c>
      <c r="Q19" s="20">
        <v>54710.33</v>
      </c>
      <c r="R19" s="20">
        <v>20964.580000000002</v>
      </c>
      <c r="S19" s="20">
        <v>15810.58</v>
      </c>
      <c r="T19" s="20">
        <v>8150.34</v>
      </c>
      <c r="U19" s="20">
        <v>3405.22</v>
      </c>
      <c r="V19" s="20">
        <v>4455.3999999999996</v>
      </c>
      <c r="W19" s="20">
        <v>11879.35</v>
      </c>
      <c r="X19" s="20">
        <v>21257.279999999999</v>
      </c>
      <c r="Y19" s="20">
        <v>28907.03</v>
      </c>
      <c r="Z19" s="20">
        <v>73156.570000000007</v>
      </c>
      <c r="AA19" s="20">
        <f>SUM(O19:Z19)</f>
        <v>383172.91</v>
      </c>
      <c r="AB19" s="18"/>
      <c r="AC19" s="18"/>
      <c r="AD19" s="20">
        <v>495752.64500000002</v>
      </c>
      <c r="AE19" s="18"/>
      <c r="AF19" s="18"/>
      <c r="AG19" s="20">
        <v>394915.69</v>
      </c>
      <c r="AH19" s="18"/>
      <c r="AI19" s="18"/>
    </row>
    <row r="20" spans="1:40" hidden="1" outlineLevel="1" x14ac:dyDescent="0.25">
      <c r="A20" s="6" t="s">
        <v>5</v>
      </c>
      <c r="B20" s="7"/>
      <c r="G20" s="18" t="str">
        <f>$B$6</f>
        <v>D2248</v>
      </c>
      <c r="H20" s="18">
        <v>946000</v>
      </c>
      <c r="I20" s="19"/>
      <c r="J20" s="19"/>
      <c r="K20" s="18"/>
      <c r="L20" s="19"/>
      <c r="M20" s="19"/>
      <c r="N20" s="18" t="s">
        <v>1196</v>
      </c>
      <c r="O20" s="20">
        <v>1065</v>
      </c>
      <c r="P20" s="20">
        <v>511</v>
      </c>
      <c r="Q20" s="20">
        <v>526</v>
      </c>
      <c r="R20" s="20">
        <v>241</v>
      </c>
      <c r="S20" s="20">
        <v>150</v>
      </c>
      <c r="T20" s="20">
        <v>152</v>
      </c>
      <c r="U20" s="20">
        <v>36</v>
      </c>
      <c r="V20" s="20">
        <v>0</v>
      </c>
      <c r="W20" s="20">
        <v>265</v>
      </c>
      <c r="X20" s="20">
        <v>70</v>
      </c>
      <c r="Y20" s="20">
        <v>161</v>
      </c>
      <c r="Z20" s="20">
        <v>750</v>
      </c>
      <c r="AA20" s="20">
        <f>SUM(O20:Z20)</f>
        <v>3927</v>
      </c>
      <c r="AB20" s="18"/>
      <c r="AC20" s="18"/>
      <c r="AD20" s="20">
        <v>4547</v>
      </c>
      <c r="AE20" s="18"/>
      <c r="AF20" s="18"/>
      <c r="AG20" s="20">
        <v>3941</v>
      </c>
      <c r="AH20" s="18"/>
      <c r="AI20" s="18"/>
    </row>
    <row r="21" spans="1:40" hidden="1" outlineLevel="1" x14ac:dyDescent="0.25">
      <c r="A21" s="6" t="s">
        <v>6</v>
      </c>
      <c r="B21" s="7"/>
      <c r="I21" s="1"/>
      <c r="J21" s="1"/>
    </row>
    <row r="22" spans="1:40" hidden="1" outlineLevel="1" x14ac:dyDescent="0.25">
      <c r="A22" s="6" t="s">
        <v>7</v>
      </c>
      <c r="B22" s="16" t="s">
        <v>1494</v>
      </c>
      <c r="I22" s="1"/>
      <c r="J22" s="1"/>
    </row>
    <row r="23" spans="1:40" hidden="1" outlineLevel="1" x14ac:dyDescent="0.25">
      <c r="A23" s="6" t="s">
        <v>47</v>
      </c>
      <c r="B23" s="16" t="s">
        <v>1495</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1496</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D2148=Y,REV_F,BEV,DEP(REV_BEV) AND D2148=Y,REV_BEV,ALLOW_FB,REV_FB,OTHR_REV,DEP(REV_OTHR) AND D2148=Y,REV_OTHR,400000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6" si="0">IF(AND(I35&gt;="T5"),"&gt;","")</f>
        <v>&gt;</v>
      </c>
      <c r="L35" s="162">
        <v>461100</v>
      </c>
      <c r="M35" s="162"/>
      <c r="N35" s="162" t="s">
        <v>1258</v>
      </c>
      <c r="O35" s="332">
        <v>1220</v>
      </c>
      <c r="P35" s="333"/>
      <c r="Q35" s="333">
        <v>1455</v>
      </c>
      <c r="R35" s="333">
        <v>924</v>
      </c>
      <c r="S35" s="333">
        <v>1610</v>
      </c>
      <c r="T35" s="333"/>
      <c r="U35" s="333">
        <v>-319</v>
      </c>
      <c r="V35" s="333">
        <v>1870</v>
      </c>
      <c r="W35" s="333">
        <v>-218.4</v>
      </c>
      <c r="X35" s="333"/>
      <c r="Y35" s="333">
        <v>4638</v>
      </c>
      <c r="Z35" s="333">
        <v>6120</v>
      </c>
      <c r="AA35" s="310">
        <f t="shared" ref="AA35:AA56" si="1">IF($I35="B1","",SUM(O35:Z35))</f>
        <v>17299.599999999999</v>
      </c>
      <c r="AB35" s="334">
        <f t="shared" ref="AB35:AB56" si="2">IF(AA35=0,"",IFERROR(AA35/AA$19,""))</f>
        <v>4.5148285665601987E-2</v>
      </c>
      <c r="AC35" s="290"/>
      <c r="AD35" s="333">
        <v>84795</v>
      </c>
      <c r="AE35" s="334">
        <f t="shared" ref="AE35:AE56" si="3">IF(AD35=0,"",IFERROR(AD35/AD$19,""))</f>
        <v>0.17104296034567804</v>
      </c>
      <c r="AF35" s="335">
        <f t="shared" ref="AF35:AF56" si="4">IF(AND($AA35="",AD35=""),"",$AA35-AD35)</f>
        <v>-67495.399999999994</v>
      </c>
      <c r="AG35" s="333">
        <v>22025</v>
      </c>
      <c r="AH35" s="334">
        <f t="shared" ref="AH35:AH56" si="5">IF(AG35=0,"",IFERROR(AG35/AG$19,""))</f>
        <v>5.5771397687440577E-2</v>
      </c>
      <c r="AI35" s="336">
        <f t="shared" ref="AI35:AI56" si="6">IF(AND($AA35="",AG35=""),"",$AA35-AG35)</f>
        <v>-4725.4000000000015</v>
      </c>
      <c r="AJ35" s="399">
        <f t="shared" ref="AJ35:AJ56" si="7">IFERROR(AA35/AA$20,0)</f>
        <v>4.4052966641201934</v>
      </c>
      <c r="AK35" s="400">
        <f t="shared" ref="AK35:AK56" si="8">IFERROR(AD35/AD$20,0)</f>
        <v>18.648559489773476</v>
      </c>
      <c r="AL35" s="401">
        <f t="shared" ref="AL35:AL56" si="9">IFERROR(AG35/AG$20,0)</f>
        <v>5.5886830753615833</v>
      </c>
      <c r="AM35" s="402" t="str">
        <f t="shared" ref="AM35:AM56" si="10">+IFERROR(ROUND(($AB35-AE35)*100,2)&amp;" pts.",0)</f>
        <v>-12.59 pts.</v>
      </c>
      <c r="AN35" s="403" t="str">
        <f t="shared" ref="AN35:AN56" si="11">+IFERROR(ROUND(($AB35-AH35)*100,2)&amp;" pts.",0)</f>
        <v>-1.06 pts.</v>
      </c>
    </row>
    <row r="36" spans="1:40" x14ac:dyDescent="0.25">
      <c r="H36" s="15" t="s">
        <v>261</v>
      </c>
      <c r="I36" s="161" t="s">
        <v>1058</v>
      </c>
      <c r="J36" s="161" t="s">
        <v>78</v>
      </c>
      <c r="K36" s="68" t="str">
        <f t="shared" si="0"/>
        <v>&gt;</v>
      </c>
      <c r="L36" s="162">
        <v>462100</v>
      </c>
      <c r="M36" s="162"/>
      <c r="N36" s="162" t="s">
        <v>1265</v>
      </c>
      <c r="O36" s="332">
        <v>16592</v>
      </c>
      <c r="P36" s="333">
        <v>24138.5</v>
      </c>
      <c r="Q36" s="333">
        <v>4879.07</v>
      </c>
      <c r="R36" s="333">
        <v>1354.25</v>
      </c>
      <c r="S36" s="333">
        <v>3357</v>
      </c>
      <c r="T36" s="333"/>
      <c r="U36" s="333">
        <v>651</v>
      </c>
      <c r="V36" s="333"/>
      <c r="W36" s="333">
        <v>5795.51</v>
      </c>
      <c r="X36" s="333">
        <v>13310.1</v>
      </c>
      <c r="Y36" s="333">
        <v>1047.2</v>
      </c>
      <c r="Z36" s="333">
        <v>28285</v>
      </c>
      <c r="AA36" s="310">
        <f t="shared" si="1"/>
        <v>99409.63</v>
      </c>
      <c r="AB36" s="334">
        <f t="shared" si="2"/>
        <v>0.25943804325832953</v>
      </c>
      <c r="AC36" s="290"/>
      <c r="AD36" s="333">
        <v>113885.235115</v>
      </c>
      <c r="AE36" s="334">
        <f t="shared" si="3"/>
        <v>0.22972189107533658</v>
      </c>
      <c r="AF36" s="335">
        <f t="shared" si="4"/>
        <v>-14475.605114999998</v>
      </c>
      <c r="AG36" s="333">
        <v>166083.93</v>
      </c>
      <c r="AH36" s="334">
        <f t="shared" si="5"/>
        <v>0.42055541019400872</v>
      </c>
      <c r="AI36" s="336">
        <f t="shared" si="6"/>
        <v>-66674.299999999988</v>
      </c>
      <c r="AJ36" s="399">
        <f t="shared" si="7"/>
        <v>25.314395212630508</v>
      </c>
      <c r="AK36" s="400">
        <f t="shared" si="8"/>
        <v>25.04623600505828</v>
      </c>
      <c r="AL36" s="401">
        <f t="shared" si="9"/>
        <v>42.142585638162899</v>
      </c>
      <c r="AM36" s="402" t="str">
        <f t="shared" si="10"/>
        <v>2.97 pts.</v>
      </c>
      <c r="AN36" s="403" t="str">
        <f t="shared" si="11"/>
        <v>-16.11 pts.</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32">
        <v>38265</v>
      </c>
      <c r="P37" s="333">
        <v>10655</v>
      </c>
      <c r="Q37" s="333">
        <v>14641</v>
      </c>
      <c r="R37" s="333">
        <v>1796</v>
      </c>
      <c r="S37" s="333">
        <v>6750</v>
      </c>
      <c r="T37" s="333">
        <v>4664.9799999999996</v>
      </c>
      <c r="U37" s="333"/>
      <c r="V37" s="333"/>
      <c r="W37" s="333">
        <v>-132.6</v>
      </c>
      <c r="X37" s="333"/>
      <c r="Y37" s="333"/>
      <c r="Z37" s="333">
        <v>952</v>
      </c>
      <c r="AA37" s="310">
        <f t="shared" si="1"/>
        <v>77591.37999999999</v>
      </c>
      <c r="AB37" s="334">
        <f t="shared" si="2"/>
        <v>0.20249703978290112</v>
      </c>
      <c r="AC37" s="290"/>
      <c r="AD37" s="333">
        <v>54007.263200000001</v>
      </c>
      <c r="AE37" s="334">
        <f t="shared" si="3"/>
        <v>0.10893993959427084</v>
      </c>
      <c r="AF37" s="335">
        <f t="shared" si="4"/>
        <v>23584.116799999989</v>
      </c>
      <c r="AG37" s="333">
        <v>16237</v>
      </c>
      <c r="AH37" s="334">
        <f t="shared" si="5"/>
        <v>4.1115104846809199E-2</v>
      </c>
      <c r="AI37" s="336">
        <f t="shared" si="6"/>
        <v>61354.37999999999</v>
      </c>
      <c r="AJ37" s="399">
        <f t="shared" si="7"/>
        <v>19.758436465495286</v>
      </c>
      <c r="AK37" s="400">
        <f t="shared" si="8"/>
        <v>11.877559533758522</v>
      </c>
      <c r="AL37" s="401">
        <f t="shared" si="9"/>
        <v>4.1200202994163915</v>
      </c>
      <c r="AM37" s="402" t="str">
        <f t="shared" si="10"/>
        <v>9.36 pts.</v>
      </c>
      <c r="AN37" s="403" t="str">
        <f t="shared" si="11"/>
        <v>16.14 pts.</v>
      </c>
    </row>
    <row r="38" spans="1:40" x14ac:dyDescent="0.25">
      <c r="A38" s="1" t="s">
        <v>105</v>
      </c>
      <c r="C38" s="26" t="s">
        <v>101</v>
      </c>
      <c r="D38" s="1" t="s">
        <v>106</v>
      </c>
      <c r="F38" s="1" t="s">
        <v>98</v>
      </c>
      <c r="H38" s="15" t="s">
        <v>789</v>
      </c>
      <c r="I38" s="161" t="s">
        <v>1009</v>
      </c>
      <c r="J38" s="161" t="s">
        <v>1009</v>
      </c>
      <c r="K38" s="68" t="str">
        <f t="shared" si="0"/>
        <v/>
      </c>
      <c r="L38" s="162">
        <v>470110</v>
      </c>
      <c r="M38" s="162">
        <v>201016</v>
      </c>
      <c r="N38" s="162" t="s">
        <v>1301</v>
      </c>
      <c r="O38" s="332"/>
      <c r="P38" s="333"/>
      <c r="Q38" s="333"/>
      <c r="R38" s="333"/>
      <c r="S38" s="333"/>
      <c r="T38" s="333"/>
      <c r="U38" s="333"/>
      <c r="V38" s="333"/>
      <c r="W38" s="333"/>
      <c r="X38" s="333"/>
      <c r="Y38" s="333"/>
      <c r="Z38" s="333">
        <v>8454</v>
      </c>
      <c r="AA38" s="310">
        <f t="shared" si="1"/>
        <v>8454</v>
      </c>
      <c r="AB38" s="334">
        <f t="shared" si="2"/>
        <v>2.2063146374309187E-2</v>
      </c>
      <c r="AC38" s="290"/>
      <c r="AD38" s="333"/>
      <c r="AE38" s="334" t="str">
        <f t="shared" si="3"/>
        <v/>
      </c>
      <c r="AF38" s="335">
        <f t="shared" si="4"/>
        <v>8454</v>
      </c>
      <c r="AG38" s="333"/>
      <c r="AH38" s="334" t="str">
        <f t="shared" si="5"/>
        <v/>
      </c>
      <c r="AI38" s="336">
        <f t="shared" si="6"/>
        <v>8454</v>
      </c>
      <c r="AJ38" s="399">
        <f t="shared" si="7"/>
        <v>2.1527883880825058</v>
      </c>
      <c r="AK38" s="400">
        <f t="shared" si="8"/>
        <v>0</v>
      </c>
      <c r="AL38" s="401">
        <f t="shared" si="9"/>
        <v>0</v>
      </c>
      <c r="AM38" s="402">
        <f t="shared" si="10"/>
        <v>0</v>
      </c>
      <c r="AN38" s="403">
        <f t="shared" si="11"/>
        <v>0</v>
      </c>
    </row>
    <row r="39" spans="1:40" x14ac:dyDescent="0.25">
      <c r="A39" s="1" t="s">
        <v>104</v>
      </c>
      <c r="C39" s="26" t="s">
        <v>101</v>
      </c>
      <c r="D39" s="1" t="s">
        <v>106</v>
      </c>
      <c r="F39" s="1" t="s">
        <v>98</v>
      </c>
      <c r="H39" s="15" t="s">
        <v>790</v>
      </c>
      <c r="I39" s="161" t="s">
        <v>1009</v>
      </c>
      <c r="J39" s="161" t="s">
        <v>1009</v>
      </c>
      <c r="K39" s="68" t="str">
        <f t="shared" si="0"/>
        <v/>
      </c>
      <c r="L39" s="162">
        <v>471110</v>
      </c>
      <c r="M39" s="162">
        <v>201017</v>
      </c>
      <c r="N39" s="162" t="s">
        <v>1293</v>
      </c>
      <c r="O39" s="323"/>
      <c r="P39" s="324"/>
      <c r="Q39" s="324">
        <v>6795</v>
      </c>
      <c r="R39" s="324">
        <v>5630</v>
      </c>
      <c r="S39" s="324"/>
      <c r="T39" s="324"/>
      <c r="U39" s="324"/>
      <c r="V39" s="324"/>
      <c r="W39" s="324">
        <v>1730</v>
      </c>
      <c r="X39" s="324"/>
      <c r="Y39" s="324">
        <v>8273.1</v>
      </c>
      <c r="Z39" s="324">
        <v>5290.3</v>
      </c>
      <c r="AA39" s="324">
        <f t="shared" si="1"/>
        <v>27718.399999999998</v>
      </c>
      <c r="AB39" s="325">
        <f t="shared" si="2"/>
        <v>7.2339143182121091E-2</v>
      </c>
      <c r="AC39" s="290"/>
      <c r="AD39" s="324">
        <v>33006.110999999997</v>
      </c>
      <c r="AE39" s="325">
        <f t="shared" si="3"/>
        <v>6.6577780941541917E-2</v>
      </c>
      <c r="AF39" s="326">
        <f t="shared" si="4"/>
        <v>-5287.7109999999993</v>
      </c>
      <c r="AG39" s="324">
        <v>1535</v>
      </c>
      <c r="AH39" s="325">
        <f t="shared" si="5"/>
        <v>3.886905582302896E-3</v>
      </c>
      <c r="AI39" s="327">
        <f t="shared" si="6"/>
        <v>26183.399999999998</v>
      </c>
      <c r="AJ39" s="409">
        <f t="shared" si="7"/>
        <v>7.0584160937102105</v>
      </c>
      <c r="AK39" s="410">
        <f t="shared" si="8"/>
        <v>7.2588764020233114</v>
      </c>
      <c r="AL39" s="411">
        <f t="shared" si="9"/>
        <v>0.38949505201725448</v>
      </c>
      <c r="AM39" s="412" t="str">
        <f t="shared" si="10"/>
        <v>0.58 pts.</v>
      </c>
      <c r="AN39" s="413" t="str">
        <f t="shared" si="11"/>
        <v>6.85 pts.</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v>56077</v>
      </c>
      <c r="P40" s="134">
        <v>34793.5</v>
      </c>
      <c r="Q40" s="134">
        <v>27770.07</v>
      </c>
      <c r="R40" s="134">
        <v>9704.25</v>
      </c>
      <c r="S40" s="134">
        <v>11717</v>
      </c>
      <c r="T40" s="134">
        <v>4664.9799999999996</v>
      </c>
      <c r="U40" s="134">
        <v>332</v>
      </c>
      <c r="V40" s="134">
        <v>1870</v>
      </c>
      <c r="W40" s="134">
        <v>7174.51</v>
      </c>
      <c r="X40" s="134">
        <v>13310.1</v>
      </c>
      <c r="Y40" s="134">
        <v>13958.3</v>
      </c>
      <c r="Z40" s="134">
        <v>49101.3</v>
      </c>
      <c r="AA40" s="134">
        <f t="shared" si="1"/>
        <v>230473.01</v>
      </c>
      <c r="AB40" s="135">
        <f t="shared" si="2"/>
        <v>0.60148565826326295</v>
      </c>
      <c r="AC40" s="137"/>
      <c r="AD40" s="134">
        <v>285693.60931500001</v>
      </c>
      <c r="AE40" s="135">
        <f t="shared" si="3"/>
        <v>0.57628257195682742</v>
      </c>
      <c r="AF40" s="136">
        <f t="shared" si="4"/>
        <v>-55220.599314999999</v>
      </c>
      <c r="AG40" s="134">
        <v>205880.93</v>
      </c>
      <c r="AH40" s="135">
        <f t="shared" si="5"/>
        <v>0.52132881831056144</v>
      </c>
      <c r="AI40" s="291">
        <f t="shared" si="6"/>
        <v>24592.080000000016</v>
      </c>
      <c r="AJ40" s="360">
        <f t="shared" si="7"/>
        <v>58.689332824038708</v>
      </c>
      <c r="AK40" s="361">
        <f t="shared" si="8"/>
        <v>62.831231430613592</v>
      </c>
      <c r="AL40" s="363">
        <f t="shared" si="9"/>
        <v>52.240784064958127</v>
      </c>
      <c r="AM40" s="405" t="str">
        <f t="shared" si="10"/>
        <v>2.52 pts.</v>
      </c>
      <c r="AN40" s="406" t="str">
        <f t="shared" si="11"/>
        <v>8.02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37"/>
      <c r="P41" s="38"/>
      <c r="Q41" s="38"/>
      <c r="R41" s="38"/>
      <c r="S41" s="38"/>
      <c r="T41" s="38"/>
      <c r="U41" s="38"/>
      <c r="V41" s="38"/>
      <c r="W41" s="38"/>
      <c r="X41" s="38"/>
      <c r="Y41" s="38"/>
      <c r="Z41" s="38"/>
      <c r="AA41" s="315" t="str">
        <f t="shared" si="1"/>
        <v/>
      </c>
      <c r="AB41" s="39" t="str">
        <f t="shared" si="2"/>
        <v/>
      </c>
      <c r="AC41" s="54"/>
      <c r="AD41" s="38"/>
      <c r="AE41" s="39" t="str">
        <f t="shared" si="3"/>
        <v/>
      </c>
      <c r="AF41" s="132" t="str">
        <f t="shared" si="4"/>
        <v/>
      </c>
      <c r="AG41" s="38"/>
      <c r="AH41" s="39" t="str">
        <f t="shared" si="5"/>
        <v/>
      </c>
      <c r="AI41" s="33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32"/>
      <c r="P42" s="333"/>
      <c r="Q42" s="333"/>
      <c r="R42" s="333"/>
      <c r="S42" s="333"/>
      <c r="T42" s="333"/>
      <c r="U42" s="333"/>
      <c r="V42" s="333">
        <v>1170</v>
      </c>
      <c r="W42" s="333"/>
      <c r="X42" s="333"/>
      <c r="Y42" s="333"/>
      <c r="Z42" s="333">
        <v>1615</v>
      </c>
      <c r="AA42" s="310">
        <f t="shared" si="1"/>
        <v>2785</v>
      </c>
      <c r="AB42" s="334">
        <f t="shared" si="2"/>
        <v>7.2682591261475143E-3</v>
      </c>
      <c r="AC42" s="290"/>
      <c r="AD42" s="333"/>
      <c r="AE42" s="334" t="str">
        <f t="shared" si="3"/>
        <v/>
      </c>
      <c r="AF42" s="335">
        <f t="shared" si="4"/>
        <v>2785</v>
      </c>
      <c r="AG42" s="333"/>
      <c r="AH42" s="334" t="str">
        <f t="shared" si="5"/>
        <v/>
      </c>
      <c r="AI42" s="336">
        <f t="shared" si="6"/>
        <v>2785</v>
      </c>
      <c r="AJ42" s="399">
        <f t="shared" si="7"/>
        <v>0.70919276801629738</v>
      </c>
      <c r="AK42" s="400">
        <f t="shared" si="8"/>
        <v>0</v>
      </c>
      <c r="AL42" s="401">
        <f t="shared" si="9"/>
        <v>0</v>
      </c>
      <c r="AM42" s="402">
        <f t="shared" si="10"/>
        <v>0</v>
      </c>
      <c r="AN42" s="403">
        <f t="shared" si="11"/>
        <v>0</v>
      </c>
    </row>
    <row r="43" spans="1:40" ht="15.75" thickBot="1" x14ac:dyDescent="0.3">
      <c r="A43" s="1" t="s">
        <v>108</v>
      </c>
      <c r="C43" s="496" t="s">
        <v>101</v>
      </c>
      <c r="D43" s="1" t="s">
        <v>106</v>
      </c>
      <c r="F43" s="1" t="s">
        <v>98</v>
      </c>
      <c r="H43" s="15" t="s">
        <v>268</v>
      </c>
      <c r="I43" s="161" t="s">
        <v>1058</v>
      </c>
      <c r="J43" s="161" t="s">
        <v>78</v>
      </c>
      <c r="K43" s="68" t="str">
        <f t="shared" si="0"/>
        <v>&gt;</v>
      </c>
      <c r="L43" s="162"/>
      <c r="M43" s="162"/>
      <c r="N43" s="162" t="s">
        <v>1317</v>
      </c>
      <c r="O43" s="332"/>
      <c r="P43" s="333"/>
      <c r="Q43" s="333">
        <v>300</v>
      </c>
      <c r="R43" s="333">
        <v>1258</v>
      </c>
      <c r="S43" s="333"/>
      <c r="T43" s="333">
        <v>73</v>
      </c>
      <c r="U43" s="333"/>
      <c r="V43" s="333"/>
      <c r="W43" s="333">
        <v>741</v>
      </c>
      <c r="X43" s="333"/>
      <c r="Y43" s="333"/>
      <c r="Z43" s="333">
        <v>1062</v>
      </c>
      <c r="AA43" s="310">
        <f t="shared" si="1"/>
        <v>3434</v>
      </c>
      <c r="AB43" s="334">
        <f t="shared" si="2"/>
        <v>8.9620114323844032E-3</v>
      </c>
      <c r="AC43" s="290"/>
      <c r="AD43" s="333">
        <v>2360.014885</v>
      </c>
      <c r="AE43" s="334">
        <f t="shared" si="3"/>
        <v>4.7604685699659758E-3</v>
      </c>
      <c r="AF43" s="335">
        <f t="shared" si="4"/>
        <v>1073.985115</v>
      </c>
      <c r="AG43" s="333">
        <v>5203</v>
      </c>
      <c r="AH43" s="334">
        <f t="shared" si="5"/>
        <v>1.3174964003076202E-2</v>
      </c>
      <c r="AI43" s="336">
        <f t="shared" si="6"/>
        <v>-1769</v>
      </c>
      <c r="AJ43" s="399">
        <f t="shared" si="7"/>
        <v>0.87445887445887449</v>
      </c>
      <c r="AK43" s="400">
        <f t="shared" si="8"/>
        <v>0.5190268055861007</v>
      </c>
      <c r="AL43" s="401">
        <f t="shared" si="9"/>
        <v>1.3202232935803095</v>
      </c>
      <c r="AM43" s="402" t="str">
        <f t="shared" si="10"/>
        <v>0.42 pts.</v>
      </c>
      <c r="AN43" s="403" t="str">
        <f t="shared" si="11"/>
        <v>-0.42 pts.</v>
      </c>
    </row>
    <row r="44" spans="1:40" ht="16.5" thickTop="1" thickBot="1" x14ac:dyDescent="0.3">
      <c r="A44" s="1" t="s">
        <v>108</v>
      </c>
      <c r="C44" s="496" t="s">
        <v>101</v>
      </c>
      <c r="D44" s="1" t="s">
        <v>107</v>
      </c>
      <c r="F44" s="1" t="s">
        <v>99</v>
      </c>
      <c r="H44" s="15" t="s">
        <v>269</v>
      </c>
      <c r="I44" s="161" t="s">
        <v>1058</v>
      </c>
      <c r="J44" s="161" t="s">
        <v>78</v>
      </c>
      <c r="K44" s="68" t="str">
        <f t="shared" si="0"/>
        <v>&gt;</v>
      </c>
      <c r="L44" s="162"/>
      <c r="M44" s="162"/>
      <c r="N44" s="162" t="s">
        <v>1318</v>
      </c>
      <c r="O44" s="332">
        <v>3536</v>
      </c>
      <c r="P44" s="333"/>
      <c r="Q44" s="333">
        <v>765</v>
      </c>
      <c r="R44" s="333"/>
      <c r="S44" s="333">
        <v>1512</v>
      </c>
      <c r="T44" s="333"/>
      <c r="U44" s="333"/>
      <c r="V44" s="333"/>
      <c r="W44" s="333"/>
      <c r="X44" s="333"/>
      <c r="Y44" s="333"/>
      <c r="Z44" s="333">
        <v>716</v>
      </c>
      <c r="AA44" s="310">
        <f t="shared" si="1"/>
        <v>6529</v>
      </c>
      <c r="AB44" s="334">
        <f t="shared" si="2"/>
        <v>1.703930478801333E-2</v>
      </c>
      <c r="AC44" s="290"/>
      <c r="AD44" s="333">
        <v>2433.7368000000001</v>
      </c>
      <c r="AE44" s="334">
        <f t="shared" si="3"/>
        <v>4.9091756232586513E-3</v>
      </c>
      <c r="AF44" s="335">
        <f t="shared" si="4"/>
        <v>4095.2631999999999</v>
      </c>
      <c r="AG44" s="333">
        <v>15235</v>
      </c>
      <c r="AH44" s="334">
        <f t="shared" si="5"/>
        <v>3.8577854427612128E-2</v>
      </c>
      <c r="AI44" s="336">
        <f t="shared" si="6"/>
        <v>-8706</v>
      </c>
      <c r="AJ44" s="399">
        <f t="shared" si="7"/>
        <v>1.6625923096511332</v>
      </c>
      <c r="AK44" s="400">
        <f t="shared" si="8"/>
        <v>0.53524011436111729</v>
      </c>
      <c r="AL44" s="401">
        <f t="shared" si="9"/>
        <v>3.8657701091093633</v>
      </c>
      <c r="AM44" s="402" t="str">
        <f t="shared" si="10"/>
        <v>1.21 pts.</v>
      </c>
      <c r="AN44" s="403" t="str">
        <f t="shared" si="11"/>
        <v>-2.15 pts.</v>
      </c>
    </row>
    <row r="45" spans="1:40" ht="15.75" thickTop="1" x14ac:dyDescent="0.25">
      <c r="H45" s="15" t="s">
        <v>791</v>
      </c>
      <c r="I45" s="161" t="s">
        <v>1058</v>
      </c>
      <c r="J45" s="161" t="s">
        <v>78</v>
      </c>
      <c r="K45" s="68" t="str">
        <f t="shared" si="0"/>
        <v>&gt;</v>
      </c>
      <c r="L45" s="162"/>
      <c r="M45" s="162"/>
      <c r="N45" s="162" t="s">
        <v>1477</v>
      </c>
      <c r="O45" s="323"/>
      <c r="P45" s="324"/>
      <c r="Q45" s="324">
        <v>2338</v>
      </c>
      <c r="R45" s="324">
        <v>850</v>
      </c>
      <c r="S45" s="324"/>
      <c r="T45" s="324"/>
      <c r="U45" s="324"/>
      <c r="V45" s="324"/>
      <c r="W45" s="324">
        <v>144</v>
      </c>
      <c r="X45" s="324"/>
      <c r="Y45" s="324">
        <v>4968</v>
      </c>
      <c r="Z45" s="324">
        <v>2036.96</v>
      </c>
      <c r="AA45" s="324">
        <f t="shared" si="1"/>
        <v>10336.959999999999</v>
      </c>
      <c r="AB45" s="325">
        <f t="shared" si="2"/>
        <v>2.6977272479936015E-2</v>
      </c>
      <c r="AC45" s="290"/>
      <c r="AD45" s="324">
        <v>1628.8889999999999</v>
      </c>
      <c r="AE45" s="325">
        <f t="shared" si="3"/>
        <v>3.2856889749927603E-3</v>
      </c>
      <c r="AF45" s="326">
        <f t="shared" si="4"/>
        <v>8708.0709999999999</v>
      </c>
      <c r="AG45" s="324">
        <v>794</v>
      </c>
      <c r="AH45" s="325">
        <f t="shared" si="5"/>
        <v>2.0105557213996737E-3</v>
      </c>
      <c r="AI45" s="327">
        <f t="shared" si="6"/>
        <v>9542.9599999999991</v>
      </c>
      <c r="AJ45" s="409">
        <f t="shared" si="7"/>
        <v>2.6322790934555638</v>
      </c>
      <c r="AK45" s="410">
        <f t="shared" si="8"/>
        <v>0.35823378051462501</v>
      </c>
      <c r="AL45" s="411">
        <f t="shared" si="9"/>
        <v>0.20147170768840394</v>
      </c>
      <c r="AM45" s="412" t="str">
        <f t="shared" si="10"/>
        <v>2.37 pts.</v>
      </c>
      <c r="AN45" s="413" t="str">
        <f t="shared" si="11"/>
        <v>2.5 pts.</v>
      </c>
    </row>
    <row r="46" spans="1:40" x14ac:dyDescent="0.25">
      <c r="H46" s="15" t="s">
        <v>272</v>
      </c>
      <c r="I46" s="479" t="s">
        <v>1064</v>
      </c>
      <c r="J46" s="479" t="s">
        <v>78</v>
      </c>
      <c r="K46" s="480" t="str">
        <f t="shared" si="0"/>
        <v/>
      </c>
      <c r="L46" s="170"/>
      <c r="M46" s="170"/>
      <c r="N46" s="170" t="s">
        <v>1212</v>
      </c>
      <c r="O46" s="224">
        <v>3536</v>
      </c>
      <c r="P46" s="134"/>
      <c r="Q46" s="134">
        <v>3403</v>
      </c>
      <c r="R46" s="134">
        <v>2108</v>
      </c>
      <c r="S46" s="134">
        <v>1512</v>
      </c>
      <c r="T46" s="134">
        <v>73</v>
      </c>
      <c r="U46" s="134"/>
      <c r="V46" s="134">
        <v>1170</v>
      </c>
      <c r="W46" s="134">
        <v>885</v>
      </c>
      <c r="X46" s="134"/>
      <c r="Y46" s="134">
        <v>4968</v>
      </c>
      <c r="Z46" s="134">
        <v>5429.96</v>
      </c>
      <c r="AA46" s="134">
        <f t="shared" si="1"/>
        <v>23084.959999999999</v>
      </c>
      <c r="AB46" s="135">
        <f t="shared" si="2"/>
        <v>6.0246847826481265E-2</v>
      </c>
      <c r="AC46" s="137"/>
      <c r="AD46" s="134">
        <v>6422.6406850000003</v>
      </c>
      <c r="AE46" s="135">
        <f t="shared" si="3"/>
        <v>1.2955333168217387E-2</v>
      </c>
      <c r="AF46" s="136">
        <f t="shared" si="4"/>
        <v>16662.319315000001</v>
      </c>
      <c r="AG46" s="134">
        <v>21232</v>
      </c>
      <c r="AH46" s="135">
        <f t="shared" si="5"/>
        <v>5.3763374152088005E-2</v>
      </c>
      <c r="AI46" s="291">
        <f t="shared" si="6"/>
        <v>1852.9599999999991</v>
      </c>
      <c r="AJ46" s="360">
        <f t="shared" si="7"/>
        <v>5.8785230455818684</v>
      </c>
      <c r="AK46" s="361">
        <f t="shared" si="8"/>
        <v>1.4125007004618431</v>
      </c>
      <c r="AL46" s="363">
        <f t="shared" si="9"/>
        <v>5.3874651103780771</v>
      </c>
      <c r="AM46" s="405" t="str">
        <f t="shared" si="10"/>
        <v>4.73 pts.</v>
      </c>
      <c r="AN46" s="406" t="str">
        <f t="shared" si="11"/>
        <v>0.65 pts.</v>
      </c>
    </row>
    <row r="47" spans="1:40" x14ac:dyDescent="0.25">
      <c r="A47" s="4"/>
      <c r="H47" s="15" t="s">
        <v>486</v>
      </c>
      <c r="I47" s="161" t="s">
        <v>1058</v>
      </c>
      <c r="J47" s="161" t="s">
        <v>78</v>
      </c>
      <c r="K47" s="68" t="str">
        <f t="shared" si="0"/>
        <v>&gt;</v>
      </c>
      <c r="L47" s="162"/>
      <c r="M47" s="162"/>
      <c r="N47" s="162" t="s">
        <v>1213</v>
      </c>
      <c r="O47" s="330"/>
      <c r="P47" s="47"/>
      <c r="Q47" s="47"/>
      <c r="R47" s="47"/>
      <c r="S47" s="47"/>
      <c r="T47" s="47"/>
      <c r="U47" s="47"/>
      <c r="V47" s="47"/>
      <c r="W47" s="47"/>
      <c r="X47" s="47"/>
      <c r="Y47" s="47"/>
      <c r="Z47" s="47"/>
      <c r="AA47" s="47">
        <f t="shared" si="1"/>
        <v>0</v>
      </c>
      <c r="AB47" s="48" t="str">
        <f t="shared" si="2"/>
        <v/>
      </c>
      <c r="AC47" s="54"/>
      <c r="AD47" s="47"/>
      <c r="AE47" s="48" t="str">
        <f t="shared" si="3"/>
        <v/>
      </c>
      <c r="AF47" s="150">
        <f t="shared" si="4"/>
        <v>0</v>
      </c>
      <c r="AG47" s="47"/>
      <c r="AH47" s="48" t="str">
        <f t="shared" si="5"/>
        <v/>
      </c>
      <c r="AI47" s="331">
        <f t="shared" si="6"/>
        <v>0</v>
      </c>
      <c r="AJ47" s="420">
        <f t="shared" si="7"/>
        <v>0</v>
      </c>
      <c r="AK47" s="421">
        <f t="shared" si="8"/>
        <v>0</v>
      </c>
      <c r="AL47" s="422">
        <f t="shared" si="9"/>
        <v>0</v>
      </c>
      <c r="AM47" s="423">
        <f t="shared" si="10"/>
        <v>0</v>
      </c>
      <c r="AN47" s="424">
        <f t="shared" si="11"/>
        <v>0</v>
      </c>
    </row>
    <row r="48" spans="1:40" x14ac:dyDescent="0.25">
      <c r="H48" s="15" t="s">
        <v>273</v>
      </c>
      <c r="I48" s="479" t="s">
        <v>1064</v>
      </c>
      <c r="J48" s="479" t="s">
        <v>78</v>
      </c>
      <c r="K48" s="480" t="str">
        <f t="shared" si="0"/>
        <v/>
      </c>
      <c r="L48" s="170"/>
      <c r="M48" s="170"/>
      <c r="N48" s="170" t="s">
        <v>1214</v>
      </c>
      <c r="O48" s="224">
        <v>59613</v>
      </c>
      <c r="P48" s="134">
        <v>34793.5</v>
      </c>
      <c r="Q48" s="134">
        <v>31173.07</v>
      </c>
      <c r="R48" s="134">
        <v>11812.25</v>
      </c>
      <c r="S48" s="134">
        <v>13229</v>
      </c>
      <c r="T48" s="134">
        <v>4737.9799999999996</v>
      </c>
      <c r="U48" s="134">
        <v>332</v>
      </c>
      <c r="V48" s="134">
        <v>3040</v>
      </c>
      <c r="W48" s="134">
        <v>8059.51</v>
      </c>
      <c r="X48" s="134">
        <v>13310.1</v>
      </c>
      <c r="Y48" s="134">
        <v>18926.3</v>
      </c>
      <c r="Z48" s="134">
        <v>54531.26</v>
      </c>
      <c r="AA48" s="134">
        <f t="shared" si="1"/>
        <v>253557.97000000003</v>
      </c>
      <c r="AB48" s="135">
        <f t="shared" si="2"/>
        <v>0.66173250608974432</v>
      </c>
      <c r="AC48" s="137"/>
      <c r="AD48" s="134">
        <v>292116.25</v>
      </c>
      <c r="AE48" s="135">
        <f t="shared" si="3"/>
        <v>0.5892379051250447</v>
      </c>
      <c r="AF48" s="136">
        <f t="shared" si="4"/>
        <v>-38558.27999999997</v>
      </c>
      <c r="AG48" s="134">
        <v>227112.93</v>
      </c>
      <c r="AH48" s="135">
        <f t="shared" si="5"/>
        <v>0.57509219246264942</v>
      </c>
      <c r="AI48" s="291">
        <f t="shared" si="6"/>
        <v>26445.040000000037</v>
      </c>
      <c r="AJ48" s="360">
        <f t="shared" si="7"/>
        <v>64.567855869620587</v>
      </c>
      <c r="AK48" s="361">
        <f t="shared" si="8"/>
        <v>64.243732131075433</v>
      </c>
      <c r="AL48" s="363">
        <f t="shared" si="9"/>
        <v>57.628249175336208</v>
      </c>
      <c r="AM48" s="405" t="str">
        <f t="shared" si="10"/>
        <v>7.25 pts.</v>
      </c>
      <c r="AN48" s="406" t="str">
        <f t="shared" si="11"/>
        <v>8.66 pts.</v>
      </c>
    </row>
    <row r="49" spans="1:40" x14ac:dyDescent="0.25">
      <c r="A49" s="3" t="s">
        <v>0</v>
      </c>
      <c r="B49" s="5" t="s">
        <v>1</v>
      </c>
      <c r="H49" s="15" t="s">
        <v>279</v>
      </c>
      <c r="I49" s="479" t="s">
        <v>1011</v>
      </c>
      <c r="J49" s="479" t="s">
        <v>78</v>
      </c>
      <c r="K49" s="480" t="str">
        <f t="shared" si="0"/>
        <v/>
      </c>
      <c r="L49" s="170"/>
      <c r="M49" s="170"/>
      <c r="N49" s="170" t="s">
        <v>1215</v>
      </c>
      <c r="O49" s="337"/>
      <c r="P49" s="38"/>
      <c r="Q49" s="38"/>
      <c r="R49" s="38"/>
      <c r="S49" s="38"/>
      <c r="T49" s="38"/>
      <c r="U49" s="38"/>
      <c r="V49" s="38"/>
      <c r="W49" s="38"/>
      <c r="X49" s="38"/>
      <c r="Y49" s="38"/>
      <c r="Z49" s="38"/>
      <c r="AA49" s="315" t="str">
        <f t="shared" si="1"/>
        <v/>
      </c>
      <c r="AB49" s="39" t="str">
        <f t="shared" si="2"/>
        <v/>
      </c>
      <c r="AC49" s="54"/>
      <c r="AD49" s="38"/>
      <c r="AE49" s="39" t="str">
        <f t="shared" si="3"/>
        <v/>
      </c>
      <c r="AF49" s="132" t="str">
        <f t="shared" si="4"/>
        <v/>
      </c>
      <c r="AG49" s="38"/>
      <c r="AH49" s="39" t="str">
        <f t="shared" si="5"/>
        <v/>
      </c>
      <c r="AI49" s="338" t="str">
        <f t="shared" si="6"/>
        <v/>
      </c>
      <c r="AJ49" s="353">
        <f t="shared" si="7"/>
        <v>0</v>
      </c>
      <c r="AK49" s="354">
        <f t="shared" si="8"/>
        <v>0</v>
      </c>
      <c r="AL49" s="356">
        <f t="shared" si="9"/>
        <v>0</v>
      </c>
      <c r="AM49" s="390">
        <f t="shared" si="10"/>
        <v>0</v>
      </c>
      <c r="AN49" s="404">
        <f t="shared" si="11"/>
        <v>0</v>
      </c>
    </row>
    <row r="50" spans="1:40" x14ac:dyDescent="0.25">
      <c r="A50" s="6" t="s">
        <v>2</v>
      </c>
      <c r="B50" s="16" t="s">
        <v>1491</v>
      </c>
      <c r="H50" s="15" t="s">
        <v>274</v>
      </c>
      <c r="I50" s="161" t="s">
        <v>1058</v>
      </c>
      <c r="J50" s="161" t="s">
        <v>78</v>
      </c>
      <c r="K50" s="68" t="str">
        <f t="shared" si="0"/>
        <v>&gt;</v>
      </c>
      <c r="L50" s="162">
        <v>468300</v>
      </c>
      <c r="M50" s="162"/>
      <c r="N50" s="162" t="s">
        <v>1216</v>
      </c>
      <c r="O50" s="332">
        <v>5180</v>
      </c>
      <c r="P50" s="333">
        <v>2870</v>
      </c>
      <c r="Q50" s="333">
        <v>2680</v>
      </c>
      <c r="R50" s="333">
        <v>1815.05</v>
      </c>
      <c r="S50" s="333">
        <v>-628.79999999999995</v>
      </c>
      <c r="T50" s="333">
        <v>970</v>
      </c>
      <c r="U50" s="333">
        <v>1135</v>
      </c>
      <c r="V50" s="333">
        <v>-53.4</v>
      </c>
      <c r="W50" s="333">
        <v>1120</v>
      </c>
      <c r="X50" s="333">
        <v>2474.15</v>
      </c>
      <c r="Y50" s="333">
        <v>989.03</v>
      </c>
      <c r="Z50" s="333">
        <v>3600</v>
      </c>
      <c r="AA50" s="310">
        <f t="shared" si="1"/>
        <v>22151.03</v>
      </c>
      <c r="AB50" s="334">
        <f t="shared" si="2"/>
        <v>5.7809488671837474E-2</v>
      </c>
      <c r="AC50" s="290"/>
      <c r="AD50" s="333">
        <v>26325.98</v>
      </c>
      <c r="AE50" s="334">
        <f t="shared" si="3"/>
        <v>5.3103055052787458E-2</v>
      </c>
      <c r="AF50" s="335">
        <f t="shared" si="4"/>
        <v>-4174.9500000000007</v>
      </c>
      <c r="AG50" s="333">
        <v>21595</v>
      </c>
      <c r="AH50" s="334">
        <f t="shared" si="5"/>
        <v>5.4682557687186342E-2</v>
      </c>
      <c r="AI50" s="336">
        <f t="shared" si="6"/>
        <v>556.02999999999884</v>
      </c>
      <c r="AJ50" s="399">
        <f t="shared" si="7"/>
        <v>5.6407002801120445</v>
      </c>
      <c r="AK50" s="400">
        <f t="shared" si="8"/>
        <v>5.7897470859907632</v>
      </c>
      <c r="AL50" s="401">
        <f t="shared" si="9"/>
        <v>5.4795737122557728</v>
      </c>
      <c r="AM50" s="402" t="str">
        <f t="shared" si="10"/>
        <v>0.47 pts.</v>
      </c>
      <c r="AN50" s="403" t="str">
        <f t="shared" si="11"/>
        <v>0.31 pts.</v>
      </c>
    </row>
    <row r="51" spans="1:40" x14ac:dyDescent="0.25">
      <c r="A51" s="6" t="s">
        <v>3</v>
      </c>
      <c r="B51" s="16" t="s">
        <v>1492</v>
      </c>
      <c r="H51" s="15" t="s">
        <v>275</v>
      </c>
      <c r="I51" s="161" t="s">
        <v>1058</v>
      </c>
      <c r="J51" s="161" t="s">
        <v>78</v>
      </c>
      <c r="K51" s="68" t="str">
        <f t="shared" si="0"/>
        <v>&gt;</v>
      </c>
      <c r="L51" s="162">
        <v>468350</v>
      </c>
      <c r="M51" s="162"/>
      <c r="N51" s="162" t="s">
        <v>1217</v>
      </c>
      <c r="O51" s="332">
        <v>10450</v>
      </c>
      <c r="P51" s="333">
        <v>5500</v>
      </c>
      <c r="Q51" s="333">
        <v>13850</v>
      </c>
      <c r="R51" s="333">
        <v>4150</v>
      </c>
      <c r="S51" s="333"/>
      <c r="T51" s="333">
        <v>1400</v>
      </c>
      <c r="U51" s="333">
        <v>750</v>
      </c>
      <c r="V51" s="333">
        <v>500</v>
      </c>
      <c r="W51" s="333">
        <v>580</v>
      </c>
      <c r="X51" s="333">
        <v>2390.5</v>
      </c>
      <c r="Y51" s="333">
        <v>4467.2700000000004</v>
      </c>
      <c r="Z51" s="333">
        <v>2175</v>
      </c>
      <c r="AA51" s="310">
        <f t="shared" si="1"/>
        <v>46212.770000000004</v>
      </c>
      <c r="AB51" s="334">
        <f t="shared" si="2"/>
        <v>0.12060552506177957</v>
      </c>
      <c r="AC51" s="290"/>
      <c r="AD51" s="333">
        <v>108640.13</v>
      </c>
      <c r="AE51" s="334">
        <f t="shared" si="3"/>
        <v>0.21914180609162459</v>
      </c>
      <c r="AF51" s="335">
        <f t="shared" si="4"/>
        <v>-62427.360000000001</v>
      </c>
      <c r="AG51" s="333">
        <v>91310</v>
      </c>
      <c r="AH51" s="334">
        <f t="shared" si="5"/>
        <v>0.2312139079609625</v>
      </c>
      <c r="AI51" s="336">
        <f t="shared" si="6"/>
        <v>-45097.229999999996</v>
      </c>
      <c r="AJ51" s="399">
        <f t="shared" si="7"/>
        <v>11.767957728545964</v>
      </c>
      <c r="AK51" s="400">
        <f t="shared" si="8"/>
        <v>23.892705080272709</v>
      </c>
      <c r="AL51" s="401">
        <f t="shared" si="9"/>
        <v>23.169246384166456</v>
      </c>
      <c r="AM51" s="402" t="str">
        <f t="shared" si="10"/>
        <v>-9.85 pts.</v>
      </c>
      <c r="AN51" s="403" t="str">
        <f t="shared" si="11"/>
        <v>-11.06 pts.</v>
      </c>
    </row>
    <row r="52" spans="1:40" x14ac:dyDescent="0.25">
      <c r="A52" s="6" t="s">
        <v>4</v>
      </c>
      <c r="B52" s="7"/>
      <c r="H52" s="15" t="s">
        <v>282</v>
      </c>
      <c r="I52" s="161" t="s">
        <v>1058</v>
      </c>
      <c r="J52" s="161" t="s">
        <v>78</v>
      </c>
      <c r="K52" s="68" t="str">
        <f t="shared" si="0"/>
        <v>&gt;</v>
      </c>
      <c r="L52" s="162"/>
      <c r="M52" s="162"/>
      <c r="N52" s="162" t="s">
        <v>1219</v>
      </c>
      <c r="O52" s="332">
        <v>11988.78</v>
      </c>
      <c r="P52" s="333">
        <v>8780.9500000000007</v>
      </c>
      <c r="Q52" s="333">
        <v>6857.26</v>
      </c>
      <c r="R52" s="333">
        <v>3037.28</v>
      </c>
      <c r="S52" s="333">
        <v>2910.38</v>
      </c>
      <c r="T52" s="333">
        <v>1042.3599999999999</v>
      </c>
      <c r="U52" s="333">
        <v>143.22</v>
      </c>
      <c r="V52" s="333">
        <v>818.8</v>
      </c>
      <c r="W52" s="333">
        <v>1819.84</v>
      </c>
      <c r="X52" s="333">
        <v>3082.53</v>
      </c>
      <c r="Y52" s="333">
        <v>4074.43</v>
      </c>
      <c r="Z52" s="333">
        <v>12550.31</v>
      </c>
      <c r="AA52" s="310">
        <f t="shared" si="1"/>
        <v>57106.14</v>
      </c>
      <c r="AB52" s="334">
        <f t="shared" si="2"/>
        <v>0.14903490959212123</v>
      </c>
      <c r="AC52" s="290"/>
      <c r="AD52" s="333">
        <v>64265.574999999997</v>
      </c>
      <c r="AE52" s="334">
        <f t="shared" si="3"/>
        <v>0.12963233912750985</v>
      </c>
      <c r="AF52" s="335">
        <f t="shared" si="4"/>
        <v>-7159.4349999999977</v>
      </c>
      <c r="AG52" s="333">
        <v>51312.76</v>
      </c>
      <c r="AH52" s="334">
        <f t="shared" si="5"/>
        <v>0.12993345491033795</v>
      </c>
      <c r="AI52" s="336">
        <f t="shared" si="6"/>
        <v>5793.3799999999974</v>
      </c>
      <c r="AJ52" s="399">
        <f t="shared" si="7"/>
        <v>14.541925133689839</v>
      </c>
      <c r="AK52" s="400">
        <f t="shared" si="8"/>
        <v>14.133621068836595</v>
      </c>
      <c r="AL52" s="401">
        <f t="shared" si="9"/>
        <v>13.020238518142603</v>
      </c>
      <c r="AM52" s="402" t="str">
        <f t="shared" si="10"/>
        <v>1.94 pts.</v>
      </c>
      <c r="AN52" s="403" t="str">
        <f t="shared" si="11"/>
        <v>1.91 pts.</v>
      </c>
    </row>
    <row r="53" spans="1:40" x14ac:dyDescent="0.25">
      <c r="A53" s="6" t="s">
        <v>5</v>
      </c>
      <c r="B53" s="7"/>
      <c r="F53" s="152"/>
      <c r="H53" s="15" t="s">
        <v>283</v>
      </c>
      <c r="I53" s="161" t="s">
        <v>1058</v>
      </c>
      <c r="J53" s="161" t="s">
        <v>78</v>
      </c>
      <c r="K53" s="68" t="str">
        <f t="shared" si="0"/>
        <v>&gt;</v>
      </c>
      <c r="L53" s="162"/>
      <c r="M53" s="162"/>
      <c r="N53" s="162" t="s">
        <v>1220</v>
      </c>
      <c r="O53" s="332">
        <v>600</v>
      </c>
      <c r="P53" s="333">
        <v>700</v>
      </c>
      <c r="Q53" s="333">
        <v>150</v>
      </c>
      <c r="R53" s="333">
        <v>150</v>
      </c>
      <c r="S53" s="333">
        <v>300</v>
      </c>
      <c r="T53" s="333"/>
      <c r="U53" s="333">
        <v>1045</v>
      </c>
      <c r="V53" s="333">
        <v>150</v>
      </c>
      <c r="W53" s="333">
        <v>300</v>
      </c>
      <c r="X53" s="333"/>
      <c r="Y53" s="333">
        <v>450</v>
      </c>
      <c r="Z53" s="333">
        <v>300</v>
      </c>
      <c r="AA53" s="310">
        <f t="shared" si="1"/>
        <v>4145</v>
      </c>
      <c r="AB53" s="334">
        <f t="shared" si="2"/>
        <v>1.0817570584517575E-2</v>
      </c>
      <c r="AC53" s="290"/>
      <c r="AD53" s="333">
        <v>4404.71</v>
      </c>
      <c r="AE53" s="334">
        <f t="shared" si="3"/>
        <v>8.8848946030333324E-3</v>
      </c>
      <c r="AF53" s="335">
        <f t="shared" si="4"/>
        <v>-259.71000000000004</v>
      </c>
      <c r="AG53" s="333">
        <v>3585</v>
      </c>
      <c r="AH53" s="334">
        <f t="shared" si="5"/>
        <v>9.0778869788637664E-3</v>
      </c>
      <c r="AI53" s="336">
        <f t="shared" si="6"/>
        <v>560</v>
      </c>
      <c r="AJ53" s="399">
        <f t="shared" si="7"/>
        <v>1.0555131143366439</v>
      </c>
      <c r="AK53" s="400">
        <f t="shared" si="8"/>
        <v>0.96870683967451066</v>
      </c>
      <c r="AL53" s="401">
        <f t="shared" si="9"/>
        <v>0.90966759705658462</v>
      </c>
      <c r="AM53" s="402" t="str">
        <f t="shared" si="10"/>
        <v>0.19 pts.</v>
      </c>
      <c r="AN53" s="403" t="str">
        <f t="shared" si="11"/>
        <v>0.17 pts.</v>
      </c>
    </row>
    <row r="54" spans="1:40" x14ac:dyDescent="0.25">
      <c r="A54" s="6" t="s">
        <v>6</v>
      </c>
      <c r="B54" s="7"/>
      <c r="F54" s="152"/>
      <c r="H54" s="15" t="s">
        <v>473</v>
      </c>
      <c r="I54" s="161" t="s">
        <v>1009</v>
      </c>
      <c r="J54" s="161" t="s">
        <v>1009</v>
      </c>
      <c r="K54" s="68" t="str">
        <f t="shared" si="0"/>
        <v/>
      </c>
      <c r="L54" s="162">
        <v>468990</v>
      </c>
      <c r="M54" s="162">
        <v>206022</v>
      </c>
      <c r="N54" s="162" t="s">
        <v>1222</v>
      </c>
      <c r="O54" s="323"/>
      <c r="P54" s="324"/>
      <c r="Q54" s="324"/>
      <c r="R54" s="324"/>
      <c r="S54" s="324"/>
      <c r="T54" s="324"/>
      <c r="U54" s="324"/>
      <c r="V54" s="324"/>
      <c r="W54" s="324"/>
      <c r="X54" s="324"/>
      <c r="Y54" s="324"/>
      <c r="Z54" s="324"/>
      <c r="AA54" s="324">
        <f t="shared" si="1"/>
        <v>0</v>
      </c>
      <c r="AB54" s="325" t="str">
        <f t="shared" si="2"/>
        <v/>
      </c>
      <c r="AC54" s="290"/>
      <c r="AD54" s="324"/>
      <c r="AE54" s="325" t="str">
        <f t="shared" si="3"/>
        <v/>
      </c>
      <c r="AF54" s="326">
        <f t="shared" si="4"/>
        <v>0</v>
      </c>
      <c r="AG54" s="324"/>
      <c r="AH54" s="325" t="str">
        <f t="shared" si="5"/>
        <v/>
      </c>
      <c r="AI54" s="327">
        <f t="shared" si="6"/>
        <v>0</v>
      </c>
      <c r="AJ54" s="409">
        <f t="shared" si="7"/>
        <v>0</v>
      </c>
      <c r="AK54" s="410">
        <f t="shared" si="8"/>
        <v>0</v>
      </c>
      <c r="AL54" s="411">
        <f t="shared" si="9"/>
        <v>0</v>
      </c>
      <c r="AM54" s="412">
        <f t="shared" si="10"/>
        <v>0</v>
      </c>
      <c r="AN54" s="413">
        <f t="shared" si="11"/>
        <v>0</v>
      </c>
    </row>
    <row r="55" spans="1:40" ht="15.75" thickBot="1" x14ac:dyDescent="0.3">
      <c r="A55" s="6" t="s">
        <v>7</v>
      </c>
      <c r="B55" s="16" t="s">
        <v>1497</v>
      </c>
      <c r="F55" s="152"/>
      <c r="H55" s="15" t="s">
        <v>277</v>
      </c>
      <c r="I55" s="479" t="s">
        <v>1064</v>
      </c>
      <c r="J55" s="479" t="s">
        <v>78</v>
      </c>
      <c r="K55" s="480" t="str">
        <f t="shared" si="0"/>
        <v/>
      </c>
      <c r="L55" s="170"/>
      <c r="M55" s="170"/>
      <c r="N55" s="170" t="s">
        <v>1221</v>
      </c>
      <c r="O55" s="225">
        <v>28218.78</v>
      </c>
      <c r="P55" s="36">
        <v>17850.95</v>
      </c>
      <c r="Q55" s="36">
        <v>23537.26</v>
      </c>
      <c r="R55" s="36">
        <v>9152.33</v>
      </c>
      <c r="S55" s="36">
        <v>2581.58</v>
      </c>
      <c r="T55" s="36">
        <v>3412.36</v>
      </c>
      <c r="U55" s="36">
        <v>3073.22</v>
      </c>
      <c r="V55" s="36">
        <v>1415.4</v>
      </c>
      <c r="W55" s="36">
        <v>3819.84</v>
      </c>
      <c r="X55" s="36">
        <v>7947.18</v>
      </c>
      <c r="Y55" s="36">
        <v>9980.73</v>
      </c>
      <c r="Z55" s="36">
        <v>18625.310000000001</v>
      </c>
      <c r="AA55" s="36">
        <f t="shared" si="1"/>
        <v>129614.93999999999</v>
      </c>
      <c r="AB55" s="37">
        <f t="shared" si="2"/>
        <v>0.33826749391025579</v>
      </c>
      <c r="AC55" s="35"/>
      <c r="AD55" s="36">
        <v>203636.39499999999</v>
      </c>
      <c r="AE55" s="37">
        <f t="shared" si="3"/>
        <v>0.41076209487495519</v>
      </c>
      <c r="AF55" s="58">
        <f t="shared" si="4"/>
        <v>-74021.455000000002</v>
      </c>
      <c r="AG55" s="36">
        <v>167802.76</v>
      </c>
      <c r="AH55" s="37">
        <f t="shared" si="5"/>
        <v>0.42490780753735058</v>
      </c>
      <c r="AI55" s="292">
        <f t="shared" si="6"/>
        <v>-38187.820000000022</v>
      </c>
      <c r="AJ55" s="372">
        <f t="shared" si="7"/>
        <v>33.006096256684486</v>
      </c>
      <c r="AK55" s="373">
        <f t="shared" si="8"/>
        <v>44.784780074774574</v>
      </c>
      <c r="AL55" s="375">
        <f t="shared" si="9"/>
        <v>42.578726211621415</v>
      </c>
      <c r="AM55" s="407" t="str">
        <f t="shared" si="10"/>
        <v>-7.25 pts.</v>
      </c>
      <c r="AN55" s="408" t="str">
        <f t="shared" si="11"/>
        <v>-8.66 pts.</v>
      </c>
    </row>
    <row r="56" spans="1:40" ht="16.5" thickTop="1" thickBot="1" x14ac:dyDescent="0.3">
      <c r="A56" s="6" t="s">
        <v>47</v>
      </c>
      <c r="B56" s="16" t="s">
        <v>1495</v>
      </c>
      <c r="H56" s="15" t="s">
        <v>280</v>
      </c>
      <c r="I56" s="479" t="s">
        <v>1012</v>
      </c>
      <c r="J56" s="479" t="s">
        <v>78</v>
      </c>
      <c r="K56" s="480" t="str">
        <f t="shared" si="0"/>
        <v/>
      </c>
      <c r="L56" s="170">
        <v>400000</v>
      </c>
      <c r="M56" s="170"/>
      <c r="N56" s="170" t="s">
        <v>1003</v>
      </c>
      <c r="O56" s="497">
        <v>87831.78</v>
      </c>
      <c r="P56" s="498">
        <v>52644.45</v>
      </c>
      <c r="Q56" s="498">
        <v>54710.33</v>
      </c>
      <c r="R56" s="498">
        <v>20964.580000000002</v>
      </c>
      <c r="S56" s="498">
        <v>15810.58</v>
      </c>
      <c r="T56" s="498">
        <v>8150.34</v>
      </c>
      <c r="U56" s="498">
        <v>3405.22</v>
      </c>
      <c r="V56" s="498">
        <v>4455.3999999999996</v>
      </c>
      <c r="W56" s="498">
        <v>11879.35</v>
      </c>
      <c r="X56" s="498">
        <v>21257.279999999999</v>
      </c>
      <c r="Y56" s="498">
        <v>28907.03</v>
      </c>
      <c r="Z56" s="498">
        <v>73156.570000000007</v>
      </c>
      <c r="AA56" s="498">
        <f t="shared" si="1"/>
        <v>383172.91</v>
      </c>
      <c r="AB56" s="499">
        <f t="shared" si="2"/>
        <v>1</v>
      </c>
      <c r="AC56" s="500"/>
      <c r="AD56" s="498">
        <v>495752.64500000002</v>
      </c>
      <c r="AE56" s="499">
        <f t="shared" si="3"/>
        <v>1</v>
      </c>
      <c r="AF56" s="501">
        <f t="shared" si="4"/>
        <v>-112579.73500000004</v>
      </c>
      <c r="AG56" s="498">
        <v>394915.69</v>
      </c>
      <c r="AH56" s="499">
        <f t="shared" si="5"/>
        <v>1</v>
      </c>
      <c r="AI56" s="502">
        <f t="shared" si="6"/>
        <v>-11742.780000000028</v>
      </c>
      <c r="AJ56" s="503">
        <f t="shared" si="7"/>
        <v>97.573952126305059</v>
      </c>
      <c r="AK56" s="504">
        <f t="shared" si="8"/>
        <v>109.02851220585002</v>
      </c>
      <c r="AL56" s="505">
        <f t="shared" si="9"/>
        <v>100.20697538695762</v>
      </c>
      <c r="AM56" s="506" t="str">
        <f t="shared" si="10"/>
        <v>0 pts.</v>
      </c>
      <c r="AN56" s="507" t="str">
        <f t="shared" si="11"/>
        <v>0 pts.</v>
      </c>
    </row>
    <row r="57" spans="1:40" ht="15.75" thickTop="1"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row>
    <row r="59" spans="1:40" x14ac:dyDescent="0.25">
      <c r="A59" s="3" t="s">
        <v>9</v>
      </c>
      <c r="B59" s="5" t="s">
        <v>10</v>
      </c>
      <c r="O59" s="166"/>
      <c r="P59" s="166"/>
      <c r="Q59" s="166"/>
      <c r="R59" s="166"/>
      <c r="S59" s="166"/>
      <c r="T59" s="166"/>
      <c r="U59" s="166"/>
      <c r="V59" s="166"/>
      <c r="W59" s="166"/>
      <c r="X59" s="166"/>
      <c r="Y59" s="166"/>
      <c r="Z59" s="166"/>
      <c r="AA59" s="166"/>
      <c r="AD59" s="166"/>
      <c r="AG59" s="166"/>
    </row>
    <row r="60" spans="1:40" x14ac:dyDescent="0.25">
      <c r="A60" s="6" t="s">
        <v>11</v>
      </c>
      <c r="B60" s="7" t="s">
        <v>21</v>
      </c>
    </row>
    <row r="61" spans="1:40" x14ac:dyDescent="0.25">
      <c r="A61" s="6" t="s">
        <v>12</v>
      </c>
      <c r="B61" s="7" t="s">
        <v>22</v>
      </c>
      <c r="O61" s="166"/>
      <c r="P61" s="166"/>
      <c r="Q61" s="166"/>
      <c r="R61" s="166"/>
      <c r="S61" s="166"/>
      <c r="T61" s="166"/>
      <c r="U61" s="166"/>
      <c r="V61" s="166"/>
      <c r="W61" s="166"/>
      <c r="X61" s="166"/>
      <c r="Y61" s="166"/>
      <c r="Z61" s="166"/>
      <c r="AA61" s="166"/>
      <c r="AD61" s="166"/>
      <c r="AG61" s="166"/>
    </row>
    <row r="62" spans="1:40" x14ac:dyDescent="0.25">
      <c r="A62" s="6" t="s">
        <v>13</v>
      </c>
      <c r="B62" s="7" t="str">
        <f>"DEP(COS_FB) AND "&amp;$E$6&amp;"=Y,COS_FB,COSOTH,DEP(COS_OTHR) AND "&amp;$E$6&amp;"=Y,COS_OTHR,500001"</f>
        <v>DEP(COS_FB) AND D2148=Y,COS_FB,COSOTH,DEP(COS_OTHR) AND D2148=Y,COS_OTHR,500001</v>
      </c>
    </row>
    <row r="63" spans="1:40" x14ac:dyDescent="0.25">
      <c r="A63" s="6" t="s">
        <v>14</v>
      </c>
      <c r="B63" s="7"/>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H80" s="11"/>
      <c r="J80" s="1"/>
    </row>
    <row r="81" spans="1:10" hidden="1" x14ac:dyDescent="0.25">
      <c r="H81" s="11"/>
      <c r="J81" s="1"/>
    </row>
    <row r="82" spans="1:10" hidden="1" x14ac:dyDescent="0.25">
      <c r="A82" s="3" t="s">
        <v>0</v>
      </c>
      <c r="B82" s="5" t="s">
        <v>1</v>
      </c>
      <c r="H82" s="11"/>
      <c r="J82" s="1"/>
    </row>
    <row r="83" spans="1:10" x14ac:dyDescent="0.25">
      <c r="A83" s="6" t="s">
        <v>2</v>
      </c>
      <c r="B83" s="16" t="s">
        <v>1491</v>
      </c>
      <c r="H83" s="11"/>
      <c r="J83" s="1"/>
    </row>
    <row r="84" spans="1:10" x14ac:dyDescent="0.25">
      <c r="A84" s="6" t="s">
        <v>3</v>
      </c>
      <c r="B84" s="16" t="s">
        <v>1492</v>
      </c>
      <c r="H84" s="11"/>
      <c r="J84" s="1"/>
    </row>
    <row r="85" spans="1:10" x14ac:dyDescent="0.25">
      <c r="A85" s="6" t="s">
        <v>4</v>
      </c>
      <c r="B85" s="7"/>
      <c r="H85" s="11"/>
      <c r="J85" s="1"/>
    </row>
    <row r="86" spans="1:10" x14ac:dyDescent="0.25">
      <c r="A86" s="6" t="s">
        <v>5</v>
      </c>
      <c r="B86" s="7"/>
      <c r="H86" s="11"/>
      <c r="J86" s="1"/>
    </row>
    <row r="87" spans="1:10" x14ac:dyDescent="0.25">
      <c r="A87" s="6" t="s">
        <v>6</v>
      </c>
      <c r="B87" s="7"/>
    </row>
    <row r="88" spans="1:10" x14ac:dyDescent="0.25">
      <c r="A88" s="6" t="s">
        <v>7</v>
      </c>
      <c r="B88" s="16" t="s">
        <v>1498</v>
      </c>
    </row>
    <row r="89" spans="1:10" x14ac:dyDescent="0.25">
      <c r="A89" s="6" t="s">
        <v>47</v>
      </c>
      <c r="B89" s="16" t="s">
        <v>1495</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row>
    <row r="113" spans="1:34" x14ac:dyDescent="0.25">
      <c r="A113" s="3" t="s">
        <v>0</v>
      </c>
      <c r="B113" s="5" t="s">
        <v>1</v>
      </c>
    </row>
    <row r="114" spans="1:34" x14ac:dyDescent="0.25">
      <c r="A114" s="6" t="s">
        <v>2</v>
      </c>
      <c r="B114" s="16" t="s">
        <v>1491</v>
      </c>
    </row>
    <row r="115" spans="1:34" x14ac:dyDescent="0.25">
      <c r="A115" s="6" t="s">
        <v>3</v>
      </c>
      <c r="B115" s="16" t="s">
        <v>1492</v>
      </c>
    </row>
    <row r="116" spans="1:34" x14ac:dyDescent="0.25">
      <c r="A116" s="6" t="s">
        <v>4</v>
      </c>
      <c r="B116" s="7"/>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16" t="s">
        <v>1495</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row>
    <row r="127" spans="1:34" x14ac:dyDescent="0.25">
      <c r="A127" s="6" t="s">
        <v>27</v>
      </c>
      <c r="B127" s="7"/>
      <c r="I127" s="76"/>
      <c r="J127" s="1"/>
      <c r="K127" s="76"/>
      <c r="L127" s="76"/>
      <c r="M127" s="76"/>
      <c r="O127" s="76"/>
      <c r="P127" s="76"/>
      <c r="Q127" s="76"/>
      <c r="R127" s="76"/>
      <c r="S127" s="76"/>
      <c r="T127" s="76"/>
      <c r="U127" s="76"/>
      <c r="V127" s="76"/>
      <c r="W127" s="76"/>
      <c r="X127" s="76"/>
      <c r="Y127" s="76"/>
      <c r="Z127" s="76"/>
      <c r="AA127" s="76"/>
      <c r="AD127" s="76"/>
      <c r="AF127" s="76"/>
      <c r="AH127" s="76"/>
    </row>
    <row r="128" spans="1:34" x14ac:dyDescent="0.25">
      <c r="A128" s="6" t="s">
        <v>28</v>
      </c>
      <c r="B128" s="7"/>
    </row>
    <row r="129" spans="1:34" x14ac:dyDescent="0.25">
      <c r="A129" s="6" t="s">
        <v>29</v>
      </c>
      <c r="B129" s="7"/>
    </row>
    <row r="130" spans="1:34" x14ac:dyDescent="0.25">
      <c r="A130" s="6" t="s">
        <v>30</v>
      </c>
      <c r="B130" s="7" t="s">
        <v>78</v>
      </c>
    </row>
    <row r="131" spans="1:34" x14ac:dyDescent="0.25">
      <c r="A131" s="6" t="s">
        <v>31</v>
      </c>
      <c r="B131" s="7" t="s">
        <v>78</v>
      </c>
      <c r="I131" s="76"/>
      <c r="J131" s="1"/>
      <c r="K131" s="76"/>
      <c r="L131" s="76"/>
      <c r="M131" s="76"/>
      <c r="O131" s="76"/>
      <c r="P131" s="76"/>
      <c r="Q131" s="76"/>
      <c r="R131" s="76"/>
      <c r="S131" s="76"/>
      <c r="T131" s="76"/>
      <c r="U131" s="76"/>
      <c r="V131" s="76"/>
      <c r="W131" s="76"/>
      <c r="X131" s="76"/>
      <c r="Y131" s="76"/>
      <c r="Z131" s="76"/>
      <c r="AA131" s="76"/>
      <c r="AD131" s="76"/>
      <c r="AF131" s="76"/>
      <c r="AH131" s="76"/>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4 B28 B61" xr:uid="{00000000-0002-0000-3300-000000000000}">
      <formula1>"ACCOUNT,BUSINESSUNIT,CATEGORY,DATASRC,DEPARTMENT,INTCO,MEASURES,RPTCURRENCY,TIME"</formula1>
    </dataValidation>
    <dataValidation type="list" allowBlank="1" sqref="B95 B29 B62" xr:uid="{00000000-0002-0000-33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operties>
  <drawing r:id="rId3"/>
  <legacyDrawing r:id="rId4"/>
  <controls>
    <mc:AlternateContent xmlns:mc="http://schemas.openxmlformats.org/markup-compatibility/2006">
      <mc:Choice Requires="x14">
        <control shapeId="35635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6358" r:id="rId5" name="FPMExcelClientSheetOptionstb1"/>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7.855468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805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_xll.EVRNG(H35:H112)</f>
        <v>#NAME?</v>
      </c>
      <c r="G19" s="18" t="str">
        <f>$B$6</f>
        <v>D2248</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D2248</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SUM(R20:AC20)</f>
        <v>#NAME?</v>
      </c>
      <c r="AE20" s="18"/>
      <c r="AF20" s="18"/>
      <c r="AG20" s="20" t="e">
        <f ca="1">SUM(U20:AF20)</f>
        <v>#NAME?</v>
      </c>
      <c r="AH20" s="18"/>
      <c r="AI20" s="18"/>
    </row>
    <row r="21" spans="1:35" hidden="1" outlineLevel="1" x14ac:dyDescent="0.25">
      <c r="A21" s="6" t="s">
        <v>6</v>
      </c>
      <c r="B21" s="7"/>
      <c r="G21" s="18" t="s">
        <v>254</v>
      </c>
      <c r="H21" s="18">
        <v>901000</v>
      </c>
      <c r="I21" s="19"/>
      <c r="J21" s="19"/>
      <c r="K21" s="18"/>
      <c r="L21" s="18"/>
      <c r="M21" s="18"/>
      <c r="N21" s="18" t="e">
        <f ca="1">_xll.EVDES(H21)</f>
        <v>#NAME?</v>
      </c>
      <c r="O21" s="20" t="e">
        <f ca="1">_xll.EVGTS($B$1,1,$B$3,$B$5,$B$7,$B$9,O$16,O$17,O$18,$G$21,$H$21)</f>
        <v>#NAME?</v>
      </c>
      <c r="P21" s="20" t="e">
        <f ca="1">_xll.EVGTS($B$1,1,$B$3,$B$5,$B$7,$B$9,P$16,P$17,P$18,$G$21,$H$21)</f>
        <v>#NAME?</v>
      </c>
      <c r="Q21" s="20" t="e">
        <f ca="1">_xll.EVGTS($B$1,1,$B$3,$B$5,$B$7,$B$9,Q$16,Q$17,Q$18,$G$21,$H$21)</f>
        <v>#NAME?</v>
      </c>
      <c r="R21" s="20" t="e">
        <f ca="1">_xll.EVGTS($B$1,1,$B$3,$B$5,$B$7,$B$9,R$16,R$17,R$18,$G$21,$H$21)</f>
        <v>#NAME?</v>
      </c>
      <c r="S21" s="20" t="e">
        <f ca="1">_xll.EVGTS($B$1,1,$B$3,$B$5,$B$7,$B$9,S$16,S$17,S$18,$G$21,$H$21)</f>
        <v>#NAME?</v>
      </c>
      <c r="T21" s="20" t="e">
        <f ca="1">_xll.EVGTS($B$1,1,$B$3,$B$5,$B$7,$B$9,T$16,T$17,T$18,$G$21,$H$21)</f>
        <v>#NAME?</v>
      </c>
      <c r="U21" s="20" t="e">
        <f ca="1">_xll.EVGTS($B$1,1,$B$3,$B$5,$B$7,$B$9,U$16,U$17,U$18,$G$21,$H$21)</f>
        <v>#NAME?</v>
      </c>
      <c r="V21" s="20" t="e">
        <f ca="1">_xll.EVGTS($B$1,1,$B$3,$B$5,$B$7,$B$9,V$16,V$17,V$18,$G$21,$H$21)</f>
        <v>#NAME?</v>
      </c>
      <c r="W21" s="20" t="e">
        <f ca="1">_xll.EVGTS($B$1,1,$B$3,$B$5,$B$7,$B$9,W$16,W$17,W$18,$G$21,$H$21)</f>
        <v>#NAME?</v>
      </c>
      <c r="X21" s="20" t="e">
        <f ca="1">_xll.EVGTS($B$1,1,$B$3,$B$5,$B$7,$B$9,X$16,X$17,X$18,$G$21,$H$21)</f>
        <v>#NAME?</v>
      </c>
      <c r="Y21" s="20" t="e">
        <f ca="1">_xll.EVGTS($B$1,1,$B$3,$B$5,$B$7,$B$9,Y$16,Y$17,Y$18,$G$21,$H$21)</f>
        <v>#NAME?</v>
      </c>
      <c r="Z21" s="20" t="e">
        <f ca="1">_xll.EVGTS($B$1,1,$B$3,$B$5,$B$7,$B$9,Z$16,Z$17,Z$18,$G$21,$H$21)</f>
        <v>#NAME?</v>
      </c>
      <c r="AA21" s="20" t="e">
        <f ca="1">_xll.EVGTS($B$1,1,$B$3,$B$5,$B$7,$B$9,AA$16,AA$17,AA$18,$G$21,$H$21)</f>
        <v>#NAME?</v>
      </c>
      <c r="AB21" s="18"/>
      <c r="AC21" s="18"/>
      <c r="AD21" s="20" t="e">
        <f ca="1">_xll.EVGTS($B$1,1,$B$3,$B$5,$B$7,$B$9,AD$16,AD$17,AD$18,$G$21,$H$21)</f>
        <v>#NAME?</v>
      </c>
      <c r="AE21" s="18"/>
      <c r="AF21" s="18"/>
      <c r="AG21" s="20" t="e">
        <f ca="1">_xll.EVGTS($B$1,1,$B$3,$B$5,$B$7,$B$9,AG$16,AG$17,AG$18,$G$21,$H$21)</f>
        <v>#NAME?</v>
      </c>
      <c r="AH21" s="18"/>
      <c r="AI21" s="18"/>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1220</v>
      </c>
      <c r="P35" s="21"/>
      <c r="Q35" s="21">
        <v>1455</v>
      </c>
      <c r="R35" s="21">
        <v>924</v>
      </c>
      <c r="S35" s="21">
        <v>1610</v>
      </c>
      <c r="T35" s="21"/>
      <c r="U35" s="21">
        <v>-319</v>
      </c>
      <c r="V35" s="21">
        <v>1870</v>
      </c>
      <c r="W35" s="21">
        <v>-218.4</v>
      </c>
      <c r="X35" s="21"/>
      <c r="Y35" s="21">
        <v>4638</v>
      </c>
      <c r="Z35" s="21">
        <v>6120</v>
      </c>
      <c r="AA35" s="21">
        <f t="shared" ref="AA35:AA41" si="0">SUM(O35:Z35)</f>
        <v>17299.599999999999</v>
      </c>
      <c r="AB35" s="17" t="str">
        <f ca="1">IF(AA35=0,"",IFERROR(AA35/AA$19,""))</f>
        <v/>
      </c>
      <c r="AD35" s="21">
        <v>84795</v>
      </c>
      <c r="AE35" s="17" t="str">
        <f ca="1">IF(AD35=0,"",IFERROR(AD35/AD$19,""))</f>
        <v/>
      </c>
      <c r="AF35" s="50">
        <f t="shared" ref="AF35:AF42" si="1">IF(AND($AA35="",AD35=""),"",$AA35-AD35)</f>
        <v>-67495.399999999994</v>
      </c>
      <c r="AG35" s="21">
        <v>22025</v>
      </c>
      <c r="AH35" s="17" t="str">
        <f ca="1">IF(AG35=0,"",IFERROR(AG35/AG$19,""))</f>
        <v/>
      </c>
      <c r="AI35" s="50">
        <f t="shared" ref="AI35:AI42" si="2">IF(AND($AA35="",AG35=""),"",$AA35-AG35)</f>
        <v>-4725.4000000000015</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v>1170</v>
      </c>
      <c r="W36" s="21"/>
      <c r="X36" s="21"/>
      <c r="Y36" s="21"/>
      <c r="Z36" s="21">
        <v>1463</v>
      </c>
      <c r="AA36" s="21">
        <f t="shared" si="0"/>
        <v>2633</v>
      </c>
      <c r="AB36" s="17" t="str">
        <f ca="1">IF(AA36=0,"",IFERROR(AA36/AA$19,""))</f>
        <v/>
      </c>
      <c r="AD36" s="21"/>
      <c r="AE36" s="17" t="str">
        <f>IF(AD36=0,"",IFERROR(AD36/AD$19,""))</f>
        <v/>
      </c>
      <c r="AF36" s="50">
        <f t="shared" si="1"/>
        <v>2633</v>
      </c>
      <c r="AG36" s="21"/>
      <c r="AH36" s="17" t="str">
        <f t="shared" ref="AH36:AH75" si="3">IF(AG36=0,"",IFERROR(AG36/AG$19,""))</f>
        <v/>
      </c>
      <c r="AI36" s="50">
        <f t="shared" si="2"/>
        <v>2633</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v>152</v>
      </c>
      <c r="AA38" s="30">
        <f t="shared" si="0"/>
        <v>152</v>
      </c>
      <c r="AB38" s="31" t="str">
        <f ca="1">IF(AA38=0,"",IFERROR(AA38/AA$19,""))</f>
        <v/>
      </c>
      <c r="AD38" s="30"/>
      <c r="AE38" s="31" t="str">
        <f>IF(AD38=0,"",IFERROR(AD38/AD$19,""))</f>
        <v/>
      </c>
      <c r="AF38" s="51">
        <f t="shared" si="1"/>
        <v>152</v>
      </c>
      <c r="AG38" s="30"/>
      <c r="AH38" s="31" t="str">
        <f t="shared" si="3"/>
        <v/>
      </c>
      <c r="AI38" s="51">
        <f t="shared" si="2"/>
        <v>152</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1220</v>
      </c>
      <c r="P39" s="164"/>
      <c r="Q39" s="164">
        <v>1455</v>
      </c>
      <c r="R39" s="164">
        <v>924</v>
      </c>
      <c r="S39" s="164">
        <v>1610</v>
      </c>
      <c r="T39" s="164"/>
      <c r="U39" s="164">
        <v>-319</v>
      </c>
      <c r="V39" s="164">
        <v>3040</v>
      </c>
      <c r="W39" s="164">
        <v>-218.4</v>
      </c>
      <c r="X39" s="164"/>
      <c r="Y39" s="164">
        <v>4638</v>
      </c>
      <c r="Z39" s="164">
        <v>7735</v>
      </c>
      <c r="AA39" s="164">
        <f t="shared" si="0"/>
        <v>20084.599999999999</v>
      </c>
      <c r="AB39" s="175" t="str">
        <f ca="1">IF(AA39=0,"",IFERROR(AA39/AA$19,""))</f>
        <v/>
      </c>
      <c r="AD39" s="164">
        <v>84795</v>
      </c>
      <c r="AE39" s="175" t="str">
        <f ca="1">IF(AD39=0,"",IFERROR(AD39/AD$19,""))</f>
        <v/>
      </c>
      <c r="AF39" s="165">
        <f t="shared" si="1"/>
        <v>-64710.400000000001</v>
      </c>
      <c r="AG39" s="164">
        <v>22025</v>
      </c>
      <c r="AH39" s="175" t="str">
        <f t="shared" ca="1" si="3"/>
        <v/>
      </c>
      <c r="AI39" s="165">
        <f t="shared" si="2"/>
        <v>-1940.4000000000015</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44</v>
      </c>
      <c r="P41" s="38"/>
      <c r="Q41" s="38">
        <v>33</v>
      </c>
      <c r="R41" s="38">
        <v>26</v>
      </c>
      <c r="S41" s="38">
        <v>48</v>
      </c>
      <c r="T41" s="38"/>
      <c r="U41" s="38">
        <v>23</v>
      </c>
      <c r="V41" s="38"/>
      <c r="W41" s="38"/>
      <c r="X41" s="38"/>
      <c r="Y41" s="38">
        <v>67</v>
      </c>
      <c r="Z41" s="38">
        <v>139</v>
      </c>
      <c r="AA41" s="38">
        <f t="shared" si="0"/>
        <v>380</v>
      </c>
      <c r="AB41" s="39">
        <f>IF(AA41=0,"",IFERROR(AA41/AA$83,""))</f>
        <v>9.6765979118920292E-2</v>
      </c>
      <c r="AD41" s="38">
        <v>1748</v>
      </c>
      <c r="AE41" s="39">
        <f>IF(AD41=0,"",IFERROR(AD41/AD$83,""))</f>
        <v>0.3844292940400264</v>
      </c>
      <c r="AF41" s="132">
        <f t="shared" si="1"/>
        <v>-1368</v>
      </c>
      <c r="AG41" s="38">
        <v>214</v>
      </c>
      <c r="AH41" s="39">
        <f>IF(AG41=0,"",IFERROR(AG41/AG$83,""))</f>
        <v>5.4300938848008122E-2</v>
      </c>
      <c r="AI41" s="132">
        <f t="shared" si="2"/>
        <v>166</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27.727272727272702</v>
      </c>
      <c r="P42" s="176"/>
      <c r="Q42" s="176">
        <v>44.090909090909101</v>
      </c>
      <c r="R42" s="176">
        <v>35.538461538461497</v>
      </c>
      <c r="S42" s="176">
        <v>33.5416666666667</v>
      </c>
      <c r="T42" s="176"/>
      <c r="U42" s="176">
        <v>-13.869565217391299</v>
      </c>
      <c r="V42" s="176"/>
      <c r="W42" s="176"/>
      <c r="X42" s="176"/>
      <c r="Y42" s="176">
        <v>69.223880597014897</v>
      </c>
      <c r="Z42" s="176">
        <v>55.647482014388501</v>
      </c>
      <c r="AA42" s="176">
        <f>IFERROR(AA39/AA41,"")</f>
        <v>52.854210526315782</v>
      </c>
      <c r="AB42" s="176"/>
      <c r="AD42" s="176">
        <v>48.509725400457697</v>
      </c>
      <c r="AE42" s="176"/>
      <c r="AF42" s="177">
        <f t="shared" si="1"/>
        <v>4.3444851258580854</v>
      </c>
      <c r="AG42" s="176">
        <v>102.920560747664</v>
      </c>
      <c r="AH42" s="176"/>
      <c r="AI42" s="177">
        <f t="shared" si="2"/>
        <v>-50.066350221348216</v>
      </c>
    </row>
    <row r="43" spans="1:35" x14ac:dyDescent="0.25">
      <c r="A43" s="6" t="s">
        <v>31</v>
      </c>
      <c r="B43" s="7" t="s">
        <v>78</v>
      </c>
      <c r="H43" s="15"/>
      <c r="I43" s="161"/>
      <c r="J43" s="161"/>
      <c r="K43" s="162"/>
      <c r="L43" s="162"/>
      <c r="M43" s="162"/>
      <c r="N43" s="182" t="s">
        <v>345</v>
      </c>
      <c r="O43" s="179">
        <f t="shared" ref="O43:AA43" si="4">ROUND(IFERROR(O39/O41,0),2)</f>
        <v>27.73</v>
      </c>
      <c r="P43" s="184">
        <f t="shared" si="4"/>
        <v>0</v>
      </c>
      <c r="Q43" s="184">
        <f t="shared" si="4"/>
        <v>44.09</v>
      </c>
      <c r="R43" s="184">
        <f t="shared" si="4"/>
        <v>35.54</v>
      </c>
      <c r="S43" s="184">
        <f t="shared" si="4"/>
        <v>33.54</v>
      </c>
      <c r="T43" s="184">
        <f t="shared" si="4"/>
        <v>0</v>
      </c>
      <c r="U43" s="184">
        <f t="shared" si="4"/>
        <v>-13.87</v>
      </c>
      <c r="V43" s="184">
        <f t="shared" si="4"/>
        <v>0</v>
      </c>
      <c r="W43" s="184">
        <f t="shared" si="4"/>
        <v>0</v>
      </c>
      <c r="X43" s="184">
        <f t="shared" si="4"/>
        <v>0</v>
      </c>
      <c r="Y43" s="184">
        <f t="shared" si="4"/>
        <v>69.22</v>
      </c>
      <c r="Z43" s="184">
        <f t="shared" si="4"/>
        <v>55.65</v>
      </c>
      <c r="AA43" s="184">
        <f t="shared" si="4"/>
        <v>52.85</v>
      </c>
      <c r="AB43" s="183"/>
      <c r="AD43" s="179">
        <f>ROUND(IFERROR(AD39/AD41,0),2)</f>
        <v>48.51</v>
      </c>
      <c r="AE43" s="184"/>
      <c r="AF43" s="180"/>
      <c r="AG43" s="179">
        <f>ROUND(IFERROR(AG39/AG41,0),2)</f>
        <v>102.92</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16592</v>
      </c>
      <c r="P45" s="21">
        <v>24138.5</v>
      </c>
      <c r="Q45" s="21">
        <v>4879.07</v>
      </c>
      <c r="R45" s="21">
        <v>1354.25</v>
      </c>
      <c r="S45" s="21">
        <v>3357</v>
      </c>
      <c r="T45" s="21"/>
      <c r="U45" s="21">
        <v>651</v>
      </c>
      <c r="V45" s="21"/>
      <c r="W45" s="21">
        <v>5795.51</v>
      </c>
      <c r="X45" s="21">
        <v>13310.1</v>
      </c>
      <c r="Y45" s="21">
        <v>1047.2</v>
      </c>
      <c r="Z45" s="21">
        <v>28285</v>
      </c>
      <c r="AA45" s="21">
        <f t="shared" ref="AA45:AA51" si="6">SUM(O45:Z45)</f>
        <v>99409.63</v>
      </c>
      <c r="AB45" s="17" t="str">
        <f ca="1">IF(AA45=0,"",IFERROR(AA45/AA$19,""))</f>
        <v/>
      </c>
      <c r="AD45" s="21">
        <v>113885.235115</v>
      </c>
      <c r="AE45" s="17" t="str">
        <f ca="1">IF(AD45=0,"",IFERROR(AD45/AD$19,""))</f>
        <v/>
      </c>
      <c r="AF45" s="50">
        <f t="shared" ref="AF45:AF52" si="7">IF(AND($AA45="",AD45=""),"",$AA45-AD45)</f>
        <v>-14475.605114999998</v>
      </c>
      <c r="AG45" s="21">
        <v>166083.93</v>
      </c>
      <c r="AH45" s="17" t="str">
        <f t="shared" ca="1" si="3"/>
        <v/>
      </c>
      <c r="AI45" s="50">
        <f t="shared" ref="AI45:AI52" si="8">IF(AND($AA45="",AG45=""),"",$AA45-AG45)</f>
        <v>-66674.299999999988</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v>50</v>
      </c>
      <c r="R46" s="21">
        <v>873</v>
      </c>
      <c r="S46" s="21"/>
      <c r="T46" s="21">
        <v>73</v>
      </c>
      <c r="U46" s="21"/>
      <c r="V46" s="21"/>
      <c r="W46" s="21">
        <v>741</v>
      </c>
      <c r="X46" s="21"/>
      <c r="Y46" s="21"/>
      <c r="Z46" s="21">
        <v>-180</v>
      </c>
      <c r="AA46" s="21">
        <f t="shared" si="6"/>
        <v>1557</v>
      </c>
      <c r="AB46" s="17" t="str">
        <f ca="1">IF(AA46=0,"",IFERROR(AA46/AA$19,""))</f>
        <v/>
      </c>
      <c r="AD46" s="21">
        <v>1220.53943</v>
      </c>
      <c r="AE46" s="17" t="str">
        <f ca="1">IF(AD46=0,"",IFERROR(AD46/AD$19,""))</f>
        <v/>
      </c>
      <c r="AF46" s="50">
        <f t="shared" si="7"/>
        <v>336.46056999999996</v>
      </c>
      <c r="AG46" s="21">
        <v>4141</v>
      </c>
      <c r="AH46" s="17" t="str">
        <f t="shared" ca="1" si="3"/>
        <v/>
      </c>
      <c r="AI46" s="50">
        <f t="shared" si="8"/>
        <v>-2584</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v>250</v>
      </c>
      <c r="R47" s="21">
        <v>-48</v>
      </c>
      <c r="S47" s="21"/>
      <c r="T47" s="21"/>
      <c r="U47" s="21"/>
      <c r="V47" s="21"/>
      <c r="W47" s="21"/>
      <c r="X47" s="21"/>
      <c r="Y47" s="21"/>
      <c r="Z47" s="21">
        <v>654</v>
      </c>
      <c r="AA47" s="21">
        <f t="shared" si="6"/>
        <v>856</v>
      </c>
      <c r="AB47" s="17" t="str">
        <f ca="1">IF(AA47=0,"",IFERROR(AA47/AA$19,""))</f>
        <v/>
      </c>
      <c r="AD47" s="21">
        <v>45.015599999999999</v>
      </c>
      <c r="AE47" s="17" t="str">
        <f ca="1">IF(AD47=0,"",IFERROR(AD47/AD$19,""))</f>
        <v/>
      </c>
      <c r="AF47" s="50">
        <f t="shared" si="7"/>
        <v>810.98440000000005</v>
      </c>
      <c r="AG47" s="21">
        <v>211</v>
      </c>
      <c r="AH47" s="17" t="str">
        <f t="shared" ca="1" si="3"/>
        <v/>
      </c>
      <c r="AI47" s="50">
        <f t="shared" si="8"/>
        <v>645</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v>433</v>
      </c>
      <c r="S48" s="30"/>
      <c r="T48" s="30"/>
      <c r="U48" s="30"/>
      <c r="V48" s="30"/>
      <c r="W48" s="30"/>
      <c r="X48" s="30"/>
      <c r="Y48" s="30"/>
      <c r="Z48" s="30">
        <v>588</v>
      </c>
      <c r="AA48" s="30">
        <f t="shared" si="6"/>
        <v>1021</v>
      </c>
      <c r="AB48" s="31" t="str">
        <f ca="1">IF(AA48=0,"",IFERROR(AA48/AA$19,""))</f>
        <v/>
      </c>
      <c r="AD48" s="30">
        <v>1094.4598550000001</v>
      </c>
      <c r="AE48" s="31" t="str">
        <f ca="1">IF(AD48=0,"",IFERROR(AD48/AD$19,""))</f>
        <v/>
      </c>
      <c r="AF48" s="51">
        <f t="shared" si="7"/>
        <v>-73.459855000000061</v>
      </c>
      <c r="AG48" s="30">
        <v>851</v>
      </c>
      <c r="AH48" s="31" t="str">
        <f t="shared" ca="1" si="3"/>
        <v/>
      </c>
      <c r="AI48" s="51">
        <f t="shared" si="8"/>
        <v>170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v>16592</v>
      </c>
      <c r="P49" s="164">
        <v>24138.5</v>
      </c>
      <c r="Q49" s="164">
        <v>5179.07</v>
      </c>
      <c r="R49" s="164">
        <v>2612.25</v>
      </c>
      <c r="S49" s="164">
        <v>3357</v>
      </c>
      <c r="T49" s="164">
        <v>73</v>
      </c>
      <c r="U49" s="164">
        <v>651</v>
      </c>
      <c r="V49" s="164"/>
      <c r="W49" s="164">
        <v>6536.51</v>
      </c>
      <c r="X49" s="164">
        <v>13310.1</v>
      </c>
      <c r="Y49" s="164">
        <v>1047.2</v>
      </c>
      <c r="Z49" s="164">
        <v>29347</v>
      </c>
      <c r="AA49" s="164">
        <f t="shared" si="6"/>
        <v>102843.63</v>
      </c>
      <c r="AB49" s="175" t="str">
        <f ca="1">IF(AA49=0,"",IFERROR(AA49/AA$19,""))</f>
        <v/>
      </c>
      <c r="AD49" s="164">
        <v>116245.25</v>
      </c>
      <c r="AE49" s="175" t="str">
        <f ca="1">IF(AD49=0,"",IFERROR(AD49/AD$19,""))</f>
        <v/>
      </c>
      <c r="AF49" s="165">
        <f t="shared" si="7"/>
        <v>-13401.619999999995</v>
      </c>
      <c r="AG49" s="164">
        <v>171286.93</v>
      </c>
      <c r="AH49" s="175" t="str">
        <f t="shared" ca="1" si="3"/>
        <v/>
      </c>
      <c r="AI49" s="165">
        <f t="shared" si="8"/>
        <v>-68443.299999999988</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v>460</v>
      </c>
      <c r="P51" s="38">
        <v>413</v>
      </c>
      <c r="Q51" s="38">
        <v>329</v>
      </c>
      <c r="R51" s="38">
        <v>114</v>
      </c>
      <c r="S51" s="38">
        <v>34</v>
      </c>
      <c r="T51" s="38">
        <v>1</v>
      </c>
      <c r="U51" s="38">
        <v>13</v>
      </c>
      <c r="V51" s="38"/>
      <c r="W51" s="38">
        <v>160</v>
      </c>
      <c r="X51" s="38">
        <v>70</v>
      </c>
      <c r="Y51" s="38">
        <v>19</v>
      </c>
      <c r="Z51" s="38">
        <v>344</v>
      </c>
      <c r="AA51" s="38">
        <f t="shared" si="6"/>
        <v>1957</v>
      </c>
      <c r="AB51" s="39">
        <f>IF(AA51=0,"",IFERROR(AA51/AA$83,""))</f>
        <v>0.49834479246243951</v>
      </c>
      <c r="AD51" s="38">
        <v>1677</v>
      </c>
      <c r="AE51" s="39">
        <f>IF(AD51=0,"",IFERROR(AD51/AD$83,""))</f>
        <v>0.3688146030349681</v>
      </c>
      <c r="AF51" s="132">
        <f t="shared" si="7"/>
        <v>280</v>
      </c>
      <c r="AG51" s="38">
        <v>2807</v>
      </c>
      <c r="AH51" s="39">
        <f>IF(AG51=0,"",IFERROR(AG51/AG$83,""))</f>
        <v>0.71225577264653639</v>
      </c>
      <c r="AI51" s="132">
        <f t="shared" si="8"/>
        <v>-850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v>36.0695652173913</v>
      </c>
      <c r="P52" s="176">
        <v>58.446731234866803</v>
      </c>
      <c r="Q52" s="176">
        <v>15.741854103343501</v>
      </c>
      <c r="R52" s="176">
        <v>22.914473684210499</v>
      </c>
      <c r="S52" s="176">
        <v>98.735294117647101</v>
      </c>
      <c r="T52" s="176">
        <v>73</v>
      </c>
      <c r="U52" s="176">
        <v>50.076923076923102</v>
      </c>
      <c r="V52" s="176"/>
      <c r="W52" s="176">
        <v>40.853187499999997</v>
      </c>
      <c r="X52" s="176">
        <v>190.14428571428601</v>
      </c>
      <c r="Y52" s="176">
        <v>55.115789473684202</v>
      </c>
      <c r="Z52" s="176">
        <v>85.311046511627893</v>
      </c>
      <c r="AA52" s="176">
        <f>IFERROR(AA49/AA51,"")</f>
        <v>52.551676034747061</v>
      </c>
      <c r="AB52" s="176"/>
      <c r="AD52" s="176">
        <v>69.317382230172896</v>
      </c>
      <c r="AE52" s="176"/>
      <c r="AF52" s="177">
        <f t="shared" si="7"/>
        <v>-16.765706195425835</v>
      </c>
      <c r="AG52" s="176">
        <v>61.021350195938702</v>
      </c>
      <c r="AH52" s="176"/>
      <c r="AI52" s="177">
        <f t="shared" si="8"/>
        <v>-8.4696741611916408</v>
      </c>
    </row>
    <row r="53" spans="1:35" x14ac:dyDescent="0.25">
      <c r="A53" s="6" t="s">
        <v>41</v>
      </c>
      <c r="B53" s="7"/>
      <c r="H53" s="15"/>
      <c r="I53" s="161"/>
      <c r="J53" s="161"/>
      <c r="K53" s="162"/>
      <c r="L53" s="162"/>
      <c r="M53" s="162"/>
      <c r="N53" s="182" t="s">
        <v>345</v>
      </c>
      <c r="O53" s="179">
        <f t="shared" ref="O53:AA53" si="9">ROUND(IFERROR(O49/O51,0),2)</f>
        <v>36.07</v>
      </c>
      <c r="P53" s="184">
        <f t="shared" si="9"/>
        <v>58.45</v>
      </c>
      <c r="Q53" s="184">
        <f t="shared" si="9"/>
        <v>15.74</v>
      </c>
      <c r="R53" s="184">
        <f t="shared" si="9"/>
        <v>22.91</v>
      </c>
      <c r="S53" s="184">
        <f t="shared" si="9"/>
        <v>98.74</v>
      </c>
      <c r="T53" s="184">
        <f t="shared" si="9"/>
        <v>73</v>
      </c>
      <c r="U53" s="184">
        <f t="shared" si="9"/>
        <v>50.08</v>
      </c>
      <c r="V53" s="184">
        <f t="shared" si="9"/>
        <v>0</v>
      </c>
      <c r="W53" s="184">
        <f t="shared" si="9"/>
        <v>40.85</v>
      </c>
      <c r="X53" s="184">
        <f t="shared" si="9"/>
        <v>190.14</v>
      </c>
      <c r="Y53" s="184">
        <f t="shared" si="9"/>
        <v>55.12</v>
      </c>
      <c r="Z53" s="184">
        <f t="shared" si="9"/>
        <v>85.31</v>
      </c>
      <c r="AA53" s="184">
        <f t="shared" si="9"/>
        <v>52.55</v>
      </c>
      <c r="AB53" s="183"/>
      <c r="AD53" s="179">
        <f>ROUND(IFERROR(AD49/AD51,0),2)</f>
        <v>69.319999999999993</v>
      </c>
      <c r="AE53" s="184"/>
      <c r="AF53" s="180"/>
      <c r="AG53" s="179">
        <f>ROUND(IFERROR(AG49/AG51,0),2)</f>
        <v>61.02</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b">
        <f t="shared" si="10"/>
        <v>1</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38265</v>
      </c>
      <c r="P55" s="21">
        <v>10655</v>
      </c>
      <c r="Q55" s="21">
        <v>14641</v>
      </c>
      <c r="R55" s="21">
        <v>1796</v>
      </c>
      <c r="S55" s="21">
        <v>6750</v>
      </c>
      <c r="T55" s="21">
        <v>4664.9799999999996</v>
      </c>
      <c r="U55" s="21"/>
      <c r="V55" s="21"/>
      <c r="W55" s="21">
        <v>-132.6</v>
      </c>
      <c r="X55" s="21"/>
      <c r="Y55" s="21"/>
      <c r="Z55" s="21">
        <v>952</v>
      </c>
      <c r="AA55" s="21">
        <f t="shared" ref="AA55:AA61" si="11">SUM(O55:Z55)</f>
        <v>77591.37999999999</v>
      </c>
      <c r="AB55" s="17" t="str">
        <f ca="1">IF(AA55=0,"",IFERROR(AA55/AA$19,""))</f>
        <v/>
      </c>
      <c r="AD55" s="21">
        <v>54007.263200000001</v>
      </c>
      <c r="AE55" s="17" t="str">
        <f ca="1">IF(AD55=0,"",IFERROR(AD55/AD$19,""))</f>
        <v/>
      </c>
      <c r="AF55" s="50">
        <f t="shared" ref="AF55:AF62" si="12">IF(AND($AA55="",AD55=""),"",$AA55-AD55)</f>
        <v>23584.116799999989</v>
      </c>
      <c r="AG55" s="21">
        <v>16237</v>
      </c>
      <c r="AH55" s="17" t="str">
        <f t="shared" ca="1" si="3"/>
        <v/>
      </c>
      <c r="AI55" s="50">
        <f t="shared" ref="AI55:AI62" si="13">IF(AND($AA55="",AG55=""),"",$AA55-AG55)</f>
        <v>61354.37999999999</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v>1101</v>
      </c>
      <c r="R56" s="21"/>
      <c r="S56" s="21">
        <v>476</v>
      </c>
      <c r="T56" s="21"/>
      <c r="U56" s="21"/>
      <c r="V56" s="21"/>
      <c r="W56" s="21"/>
      <c r="X56" s="21"/>
      <c r="Y56" s="21"/>
      <c r="Z56" s="21">
        <v>455</v>
      </c>
      <c r="AA56" s="21">
        <f t="shared" si="11"/>
        <v>2032</v>
      </c>
      <c r="AB56" s="17" t="str">
        <f ca="1">IF(AA56=0,"",IFERROR(AA56/AA$19,""))</f>
        <v/>
      </c>
      <c r="AD56" s="21">
        <v>1216.8684000000001</v>
      </c>
      <c r="AE56" s="17" t="str">
        <f ca="1">IF(AD56=0,"",IFERROR(AD56/AD$19,""))</f>
        <v/>
      </c>
      <c r="AF56" s="50">
        <f t="shared" si="12"/>
        <v>815.13159999999993</v>
      </c>
      <c r="AG56" s="21">
        <v>14528</v>
      </c>
      <c r="AH56" s="17" t="str">
        <f t="shared" ca="1" si="3"/>
        <v/>
      </c>
      <c r="AI56" s="50">
        <f t="shared" si="13"/>
        <v>-12496</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v>2095</v>
      </c>
      <c r="P57" s="21"/>
      <c r="Q57" s="21"/>
      <c r="R57" s="21"/>
      <c r="S57" s="21"/>
      <c r="T57" s="21"/>
      <c r="U57" s="21"/>
      <c r="V57" s="21"/>
      <c r="W57" s="21"/>
      <c r="X57" s="21"/>
      <c r="Y57" s="21"/>
      <c r="Z57" s="21"/>
      <c r="AA57" s="21">
        <f t="shared" si="11"/>
        <v>2095</v>
      </c>
      <c r="AB57" s="17" t="str">
        <f ca="1">IF(AA57=0,"",IFERROR(AA57/AA$19,""))</f>
        <v/>
      </c>
      <c r="AD57" s="21">
        <v>1216.8684000000001</v>
      </c>
      <c r="AE57" s="17" t="str">
        <f ca="1">IF(AD57=0,"",IFERROR(AD57/AD$19,""))</f>
        <v/>
      </c>
      <c r="AF57" s="50">
        <f t="shared" si="12"/>
        <v>878.13159999999993</v>
      </c>
      <c r="AG57" s="21">
        <v>603</v>
      </c>
      <c r="AH57" s="17" t="str">
        <f t="shared" ca="1" si="3"/>
        <v/>
      </c>
      <c r="AI57" s="50">
        <f t="shared" si="13"/>
        <v>1492</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v>1441</v>
      </c>
      <c r="P58" s="30"/>
      <c r="Q58" s="30">
        <v>-336</v>
      </c>
      <c r="R58" s="30"/>
      <c r="S58" s="30">
        <v>1036</v>
      </c>
      <c r="T58" s="30"/>
      <c r="U58" s="30"/>
      <c r="V58" s="30"/>
      <c r="W58" s="30"/>
      <c r="X58" s="30"/>
      <c r="Y58" s="30"/>
      <c r="Z58" s="30">
        <v>261</v>
      </c>
      <c r="AA58" s="30">
        <f t="shared" si="11"/>
        <v>2402</v>
      </c>
      <c r="AB58" s="31" t="str">
        <f ca="1">IF(AA58=0,"",IFERROR(AA58/AA$19,""))</f>
        <v/>
      </c>
      <c r="AD58" s="30"/>
      <c r="AE58" s="31" t="str">
        <f>IF(AD58=0,"",IFERROR(AD58/AD$19,""))</f>
        <v/>
      </c>
      <c r="AF58" s="51">
        <f t="shared" si="12"/>
        <v>2402</v>
      </c>
      <c r="AG58" s="30">
        <v>104</v>
      </c>
      <c r="AH58" s="31" t="str">
        <f t="shared" ca="1" si="3"/>
        <v/>
      </c>
      <c r="AI58" s="51">
        <f t="shared" si="13"/>
        <v>2298</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v>41801</v>
      </c>
      <c r="P59" s="164">
        <v>10655</v>
      </c>
      <c r="Q59" s="164">
        <v>15406</v>
      </c>
      <c r="R59" s="164">
        <v>1796</v>
      </c>
      <c r="S59" s="164">
        <v>8262</v>
      </c>
      <c r="T59" s="164">
        <v>4664.9799999999996</v>
      </c>
      <c r="U59" s="164"/>
      <c r="V59" s="164"/>
      <c r="W59" s="164">
        <v>-132.6</v>
      </c>
      <c r="X59" s="164"/>
      <c r="Y59" s="164"/>
      <c r="Z59" s="164">
        <v>1668</v>
      </c>
      <c r="AA59" s="164">
        <f t="shared" si="11"/>
        <v>84120.37999999999</v>
      </c>
      <c r="AB59" s="175" t="str">
        <f ca="1">IF(AA59=0,"",IFERROR(AA59/AA$19,""))</f>
        <v/>
      </c>
      <c r="AD59" s="164">
        <v>56441</v>
      </c>
      <c r="AE59" s="175" t="str">
        <f ca="1">IF(AD59=0,"",IFERROR(AD59/AD$19,""))</f>
        <v/>
      </c>
      <c r="AF59" s="165">
        <f t="shared" si="12"/>
        <v>27679.37999999999</v>
      </c>
      <c r="AG59" s="164">
        <v>31472</v>
      </c>
      <c r="AH59" s="175" t="str">
        <f t="shared" ca="1" si="3"/>
        <v/>
      </c>
      <c r="AI59" s="165">
        <f t="shared" si="13"/>
        <v>52648.37999999999</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v>561</v>
      </c>
      <c r="P61" s="38">
        <v>98</v>
      </c>
      <c r="Q61" s="38">
        <v>119</v>
      </c>
      <c r="R61" s="38">
        <v>36</v>
      </c>
      <c r="S61" s="38">
        <v>68</v>
      </c>
      <c r="T61" s="38">
        <v>151</v>
      </c>
      <c r="U61" s="38"/>
      <c r="V61" s="38"/>
      <c r="W61" s="38"/>
      <c r="X61" s="38"/>
      <c r="Y61" s="38"/>
      <c r="Z61" s="38">
        <v>20</v>
      </c>
      <c r="AA61" s="38">
        <f t="shared" si="11"/>
        <v>1053</v>
      </c>
      <c r="AB61" s="39">
        <f>IF(AA61=0,"",IFERROR(AA61/AA$83,""))</f>
        <v>0.26814362108479756</v>
      </c>
      <c r="AD61" s="38">
        <v>689</v>
      </c>
      <c r="AE61" s="39">
        <f>IF(AD61=0,"",IFERROR(AD61/AD$83,""))</f>
        <v>0.15152848031669233</v>
      </c>
      <c r="AF61" s="132">
        <f t="shared" si="12"/>
        <v>364</v>
      </c>
      <c r="AG61" s="38">
        <v>734</v>
      </c>
      <c r="AH61" s="39">
        <f>IF(AG61=0,"",IFERROR(AG61/AG$83,""))</f>
        <v>0.18624714539456991</v>
      </c>
      <c r="AI61" s="132">
        <f t="shared" si="13"/>
        <v>319</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v>74.511586452762899</v>
      </c>
      <c r="P62" s="176">
        <v>108.724489795918</v>
      </c>
      <c r="Q62" s="176">
        <v>129.46218487395001</v>
      </c>
      <c r="R62" s="176">
        <v>49.8888888888889</v>
      </c>
      <c r="S62" s="176">
        <v>121.5</v>
      </c>
      <c r="T62" s="176">
        <v>30.893907284768201</v>
      </c>
      <c r="U62" s="176"/>
      <c r="V62" s="176"/>
      <c r="W62" s="176"/>
      <c r="X62" s="176"/>
      <c r="Y62" s="176"/>
      <c r="Z62" s="176">
        <v>83.4</v>
      </c>
      <c r="AA62" s="176">
        <f>IFERROR(AA59/AA61,"")</f>
        <v>79.886400759734087</v>
      </c>
      <c r="AB62" s="176"/>
      <c r="AD62" s="176">
        <v>81.917271407837404</v>
      </c>
      <c r="AE62" s="176"/>
      <c r="AF62" s="177">
        <f t="shared" si="12"/>
        <v>-2.030870648103317</v>
      </c>
      <c r="AG62" s="176">
        <v>42.877384196185297</v>
      </c>
      <c r="AH62" s="176"/>
      <c r="AI62" s="177">
        <f t="shared" si="13"/>
        <v>37.009016563548791</v>
      </c>
    </row>
    <row r="63" spans="1:35" x14ac:dyDescent="0.25">
      <c r="H63" s="15"/>
      <c r="I63" s="161"/>
      <c r="J63" s="161"/>
      <c r="K63" s="162"/>
      <c r="L63" s="162"/>
      <c r="M63" s="162"/>
      <c r="N63" s="182" t="s">
        <v>345</v>
      </c>
      <c r="O63" s="179">
        <f t="shared" ref="O63:AA63" si="14">ROUND(IFERROR(O59/O61,0),2)</f>
        <v>74.510000000000005</v>
      </c>
      <c r="P63" s="184">
        <f t="shared" si="14"/>
        <v>108.72</v>
      </c>
      <c r="Q63" s="184">
        <f t="shared" si="14"/>
        <v>129.46</v>
      </c>
      <c r="R63" s="184">
        <f t="shared" si="14"/>
        <v>49.89</v>
      </c>
      <c r="S63" s="184">
        <f t="shared" si="14"/>
        <v>121.5</v>
      </c>
      <c r="T63" s="184">
        <f t="shared" si="14"/>
        <v>30.89</v>
      </c>
      <c r="U63" s="184">
        <f t="shared" si="14"/>
        <v>0</v>
      </c>
      <c r="V63" s="184">
        <f t="shared" si="14"/>
        <v>0</v>
      </c>
      <c r="W63" s="184">
        <f t="shared" si="14"/>
        <v>0</v>
      </c>
      <c r="X63" s="184">
        <f t="shared" si="14"/>
        <v>0</v>
      </c>
      <c r="Y63" s="184">
        <f t="shared" si="14"/>
        <v>0</v>
      </c>
      <c r="Z63" s="184">
        <f t="shared" si="14"/>
        <v>83.4</v>
      </c>
      <c r="AA63" s="184">
        <f t="shared" si="14"/>
        <v>79.89</v>
      </c>
      <c r="AB63" s="183"/>
      <c r="AD63" s="179">
        <f>ROUND(IFERROR(AD59/AD61,0),2)</f>
        <v>81.92</v>
      </c>
      <c r="AE63" s="184"/>
      <c r="AF63" s="180"/>
      <c r="AG63" s="179">
        <f>ROUND(IFERROR(AG59/AG61,0),2)</f>
        <v>42.88</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b">
        <f t="shared" si="15"/>
        <v>1</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v>6795</v>
      </c>
      <c r="R65" s="21">
        <v>5630</v>
      </c>
      <c r="S65" s="21"/>
      <c r="T65" s="21"/>
      <c r="U65" s="21"/>
      <c r="V65" s="21"/>
      <c r="W65" s="21">
        <v>1730</v>
      </c>
      <c r="X65" s="21"/>
      <c r="Y65" s="21">
        <v>8273.1</v>
      </c>
      <c r="Z65" s="21">
        <v>5290.3</v>
      </c>
      <c r="AA65" s="21">
        <f t="shared" ref="AA65:AA70" si="16">SUM(O65:Z65)</f>
        <v>27718.399999999998</v>
      </c>
      <c r="AB65" s="17" t="str">
        <f ca="1">IF(AA65=0,"",IFERROR(AA65/AA$19,""))</f>
        <v/>
      </c>
      <c r="AD65" s="21">
        <v>33006.110999999997</v>
      </c>
      <c r="AE65" s="17" t="str">
        <f ca="1">IF(AD65=0,"",IFERROR(AD65/AD$19,""))</f>
        <v/>
      </c>
      <c r="AF65" s="50">
        <f t="shared" ref="AF65:AF71" si="17">IF(AND($AA65="",AD65=""),"",$AA65-AD65)</f>
        <v>-5287.7109999999993</v>
      </c>
      <c r="AG65" s="21">
        <v>1535</v>
      </c>
      <c r="AH65" s="17" t="str">
        <f t="shared" ca="1" si="3"/>
        <v/>
      </c>
      <c r="AI65" s="50">
        <f t="shared" ref="AI65:AI71" si="18">IF(AND($AA65="",AG65=""),"",$AA65-AG65)</f>
        <v>26183.399999999998</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v>850</v>
      </c>
      <c r="S66" s="21"/>
      <c r="T66" s="21"/>
      <c r="U66" s="21"/>
      <c r="V66" s="21"/>
      <c r="W66" s="21"/>
      <c r="X66" s="21"/>
      <c r="Y66" s="21">
        <v>4948</v>
      </c>
      <c r="Z66" s="21">
        <v>1454.96</v>
      </c>
      <c r="AA66" s="21">
        <f t="shared" si="16"/>
        <v>7252.96</v>
      </c>
      <c r="AB66" s="17" t="str">
        <f ca="1">IF(AA66=0,"",IFERROR(AA66/AA$19,""))</f>
        <v/>
      </c>
      <c r="AD66" s="21">
        <v>814.44449999999995</v>
      </c>
      <c r="AE66" s="17" t="str">
        <f ca="1">IF(AD66=0,"",IFERROR(AD66/AD$19,""))</f>
        <v/>
      </c>
      <c r="AF66" s="50">
        <f t="shared" si="17"/>
        <v>6438.5155000000004</v>
      </c>
      <c r="AG66" s="21">
        <v>615</v>
      </c>
      <c r="AH66" s="17" t="str">
        <f t="shared" ca="1" si="3"/>
        <v/>
      </c>
      <c r="AI66" s="50">
        <f t="shared" si="18"/>
        <v>6637.96</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v>20</v>
      </c>
      <c r="Z67" s="21">
        <v>510</v>
      </c>
      <c r="AA67" s="21">
        <f t="shared" si="16"/>
        <v>530</v>
      </c>
      <c r="AB67" s="17" t="str">
        <f ca="1">IF(AA67=0,"",IFERROR(AA67/AA$19,""))</f>
        <v/>
      </c>
      <c r="AD67" s="21">
        <v>814.44449999999995</v>
      </c>
      <c r="AE67" s="17" t="str">
        <f ca="1">IF(AD67=0,"",IFERROR(AD67/AD$19,""))</f>
        <v/>
      </c>
      <c r="AF67" s="50">
        <f t="shared" si="17"/>
        <v>-284.44449999999995</v>
      </c>
      <c r="AG67" s="21">
        <v>127</v>
      </c>
      <c r="AH67" s="17" t="str">
        <f t="shared" ca="1" si="3"/>
        <v/>
      </c>
      <c r="AI67" s="50">
        <f t="shared" si="18"/>
        <v>403</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v>2338</v>
      </c>
      <c r="R68" s="30"/>
      <c r="S68" s="30"/>
      <c r="T68" s="30"/>
      <c r="U68" s="30"/>
      <c r="V68" s="30"/>
      <c r="W68" s="30">
        <v>144</v>
      </c>
      <c r="X68" s="30"/>
      <c r="Y68" s="30"/>
      <c r="Z68" s="30">
        <v>72</v>
      </c>
      <c r="AA68" s="30">
        <f t="shared" si="16"/>
        <v>2554</v>
      </c>
      <c r="AB68" s="31" t="str">
        <f ca="1">IF(AA68=0,"",IFERROR(AA68/AA$19,""))</f>
        <v/>
      </c>
      <c r="AD68" s="30"/>
      <c r="AE68" s="31" t="str">
        <f>IF(AD68=0,"",IFERROR(AD68/AD$19,""))</f>
        <v/>
      </c>
      <c r="AF68" s="51">
        <f t="shared" si="17"/>
        <v>2554</v>
      </c>
      <c r="AG68" s="30">
        <v>52</v>
      </c>
      <c r="AH68" s="31" t="str">
        <f t="shared" ca="1" si="3"/>
        <v/>
      </c>
      <c r="AI68" s="51">
        <f t="shared" si="18"/>
        <v>2502</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v>9133</v>
      </c>
      <c r="R69" s="164">
        <v>6480</v>
      </c>
      <c r="S69" s="164"/>
      <c r="T69" s="164"/>
      <c r="U69" s="164"/>
      <c r="V69" s="164"/>
      <c r="W69" s="164">
        <v>1874</v>
      </c>
      <c r="X69" s="164"/>
      <c r="Y69" s="164">
        <v>13241.1</v>
      </c>
      <c r="Z69" s="164">
        <v>7327.26</v>
      </c>
      <c r="AA69" s="164">
        <f t="shared" si="16"/>
        <v>38055.360000000001</v>
      </c>
      <c r="AB69" s="175" t="str">
        <f ca="1">IF(AA69=0,"",IFERROR(AA69/AA$19,""))</f>
        <v/>
      </c>
      <c r="AD69" s="164">
        <v>34635</v>
      </c>
      <c r="AE69" s="175" t="str">
        <f ca="1">IF(AD69=0,"",IFERROR(AD69/AD$19,""))</f>
        <v/>
      </c>
      <c r="AF69" s="165">
        <f t="shared" si="17"/>
        <v>3420.3600000000006</v>
      </c>
      <c r="AG69" s="164">
        <v>2329</v>
      </c>
      <c r="AH69" s="175" t="str">
        <f t="shared" ca="1" si="3"/>
        <v/>
      </c>
      <c r="AI69" s="165">
        <f t="shared" si="18"/>
        <v>35726.36</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v>45</v>
      </c>
      <c r="R70" s="38">
        <v>65</v>
      </c>
      <c r="S70" s="38"/>
      <c r="T70" s="38"/>
      <c r="U70" s="38"/>
      <c r="V70" s="38"/>
      <c r="W70" s="38">
        <v>105</v>
      </c>
      <c r="X70" s="38"/>
      <c r="Y70" s="38">
        <v>75</v>
      </c>
      <c r="Z70" s="38">
        <v>57</v>
      </c>
      <c r="AA70" s="38">
        <f t="shared" si="16"/>
        <v>347</v>
      </c>
      <c r="AB70" s="39">
        <f>IF(AA70=0,"",IFERROR(AA70/AA$83,""))</f>
        <v>8.8362617774382479E-2</v>
      </c>
      <c r="AD70" s="38">
        <v>433</v>
      </c>
      <c r="AE70" s="39">
        <f>IF(AD70=0,"",IFERROR(AD70/AD$83,""))</f>
        <v>9.5227622608313175E-2</v>
      </c>
      <c r="AF70" s="132">
        <f t="shared" si="17"/>
        <v>-86</v>
      </c>
      <c r="AG70" s="38">
        <v>186</v>
      </c>
      <c r="AH70" s="39">
        <f>IF(AG70=0,"",IFERROR(AG70/AG$83,""))</f>
        <v>4.7196143110885561E-2</v>
      </c>
      <c r="AI70" s="132">
        <f t="shared" si="18"/>
        <v>161</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v>202.955555555556</v>
      </c>
      <c r="R71" s="176">
        <v>99.692307692307693</v>
      </c>
      <c r="S71" s="176"/>
      <c r="T71" s="176"/>
      <c r="U71" s="176"/>
      <c r="V71" s="176"/>
      <c r="W71" s="176">
        <v>17.847619047618998</v>
      </c>
      <c r="X71" s="176"/>
      <c r="Y71" s="176">
        <v>176.548</v>
      </c>
      <c r="Z71" s="176">
        <v>128.54842105263199</v>
      </c>
      <c r="AA71" s="176">
        <f>IFERROR(AA69/AA70,"")</f>
        <v>109.66962536023055</v>
      </c>
      <c r="AB71" s="176"/>
      <c r="AD71" s="176">
        <v>79.988452655889105</v>
      </c>
      <c r="AE71" s="176"/>
      <c r="AF71" s="177">
        <f t="shared" si="17"/>
        <v>29.681172704341449</v>
      </c>
      <c r="AG71" s="176">
        <v>12.5215053763441</v>
      </c>
      <c r="AH71" s="176"/>
      <c r="AI71" s="177">
        <f t="shared" si="18"/>
        <v>97.14811998388646</v>
      </c>
    </row>
    <row r="72" spans="3:35" x14ac:dyDescent="0.25">
      <c r="H72" s="15"/>
      <c r="I72" s="161"/>
      <c r="J72" s="161"/>
      <c r="K72" s="162"/>
      <c r="L72" s="162"/>
      <c r="M72" s="162"/>
      <c r="N72" s="182" t="s">
        <v>345</v>
      </c>
      <c r="O72" s="179">
        <f t="shared" ref="O72:AA72" si="19">ROUND(IFERROR(O69/O70,0),2)</f>
        <v>0</v>
      </c>
      <c r="P72" s="184">
        <f t="shared" si="19"/>
        <v>0</v>
      </c>
      <c r="Q72" s="184">
        <f t="shared" si="19"/>
        <v>202.96</v>
      </c>
      <c r="R72" s="184">
        <f t="shared" si="19"/>
        <v>99.69</v>
      </c>
      <c r="S72" s="184">
        <f t="shared" si="19"/>
        <v>0</v>
      </c>
      <c r="T72" s="184">
        <f t="shared" si="19"/>
        <v>0</v>
      </c>
      <c r="U72" s="184">
        <f t="shared" si="19"/>
        <v>0</v>
      </c>
      <c r="V72" s="184">
        <f t="shared" si="19"/>
        <v>0</v>
      </c>
      <c r="W72" s="184">
        <f t="shared" si="19"/>
        <v>17.850000000000001</v>
      </c>
      <c r="X72" s="184">
        <f t="shared" si="19"/>
        <v>0</v>
      </c>
      <c r="Y72" s="184">
        <f t="shared" si="19"/>
        <v>176.55</v>
      </c>
      <c r="Z72" s="184">
        <f t="shared" si="19"/>
        <v>128.55000000000001</v>
      </c>
      <c r="AA72" s="184">
        <f t="shared" si="19"/>
        <v>109.67</v>
      </c>
      <c r="AB72" s="183"/>
      <c r="AD72" s="179">
        <f>ROUND(IFERROR(AD69/AD70,0),2)</f>
        <v>79.989999999999995</v>
      </c>
      <c r="AE72" s="184"/>
      <c r="AF72" s="180"/>
      <c r="AG72" s="179">
        <f>ROUND(IFERROR(AG69/AG70,0),2)</f>
        <v>12.52</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b">
        <f t="shared" si="20"/>
        <v>1</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v>8454</v>
      </c>
      <c r="AA74" s="21">
        <f>SUM(O74:Z74)</f>
        <v>8454</v>
      </c>
      <c r="AB74" s="17" t="str">
        <f ca="1">IF(AA74=0,"",IFERROR(AA74/AA$19,""))</f>
        <v/>
      </c>
      <c r="AD74" s="21"/>
      <c r="AE74" s="17" t="str">
        <f>IF(AD74=0,"",IFERROR(AD74/AD$19,""))</f>
        <v/>
      </c>
      <c r="AF74" s="50">
        <f>IF(AND($AA74="",AD74=""),"",$AA74-AD74)</f>
        <v>8454</v>
      </c>
      <c r="AG74" s="21"/>
      <c r="AH74" s="17" t="str">
        <f t="shared" si="3"/>
        <v/>
      </c>
      <c r="AI74" s="50">
        <f>IF(AND($AA74="",AG74=""),"",$AA74-AG74)</f>
        <v>8454</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v>8454</v>
      </c>
      <c r="AA75" s="164">
        <f>SUM(O75:Z75)</f>
        <v>8454</v>
      </c>
      <c r="AB75" s="175" t="str">
        <f ca="1">IF(AA75=0,"",IFERROR(AA75/AA$19,""))</f>
        <v/>
      </c>
      <c r="AD75" s="164"/>
      <c r="AE75" s="175" t="str">
        <f>IF(AD75=0,"",IFERROR(AD75/AD$19,""))</f>
        <v/>
      </c>
      <c r="AF75" s="165">
        <f>IF(AND($AA75="",AD75=""),"",$AA75-AD75)</f>
        <v>8454</v>
      </c>
      <c r="AG75" s="164"/>
      <c r="AH75" s="175" t="str">
        <f t="shared" si="3"/>
        <v/>
      </c>
      <c r="AI75" s="165">
        <f>IF(AND($AA75="",AG75=""),"",$AA75-AG75)</f>
        <v>8454</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v>190</v>
      </c>
      <c r="AA76" s="38">
        <f>SUM(O76:Z76)</f>
        <v>190</v>
      </c>
      <c r="AB76" s="39">
        <f>IF(AA76=0,"",IFERROR(AA76/AA$83,""))</f>
        <v>4.8382989559460146E-2</v>
      </c>
      <c r="AD76" s="38"/>
      <c r="AE76" s="39" t="str">
        <f>IF(AD76=0,"",IFERROR(AD76/AD$83,""))</f>
        <v/>
      </c>
      <c r="AF76" s="132">
        <f>IF(AND($AA76="",AD76=""),"",$AA76-AD76)</f>
        <v>190</v>
      </c>
      <c r="AG76" s="38"/>
      <c r="AH76" s="39" t="str">
        <f>IF(AG76=0,"",IFERROR(AG76/AG$83,""))</f>
        <v/>
      </c>
      <c r="AI76" s="132">
        <f>IF(AND($AA76="",AG76=""),"",$AA76-AG76)</f>
        <v>190</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v>44.494736842105297</v>
      </c>
      <c r="AA77" s="176">
        <f>IFERROR(AA75/AA76,"")</f>
        <v>44.494736842105262</v>
      </c>
      <c r="AB77" s="176"/>
      <c r="AD77" s="176"/>
      <c r="AE77" s="176"/>
      <c r="AF77" s="177">
        <f>IF(AND($AA77="",AD77=""),"",$AA77-AD77)</f>
        <v>44.494736842105262</v>
      </c>
      <c r="AG77" s="176"/>
      <c r="AH77" s="176"/>
      <c r="AI77" s="177">
        <f>IF(AND($AA77="",AG77=""),"",$AA77-AG77)</f>
        <v>44.494736842105262</v>
      </c>
    </row>
    <row r="78" spans="3:35" x14ac:dyDescent="0.25">
      <c r="C78" s="32"/>
      <c r="H78" s="15"/>
      <c r="I78" s="161"/>
      <c r="J78" s="161"/>
      <c r="K78" s="162"/>
      <c r="L78" s="162"/>
      <c r="M78" s="162"/>
      <c r="N78" s="182" t="s">
        <v>345</v>
      </c>
      <c r="O78" s="179">
        <f t="shared" ref="O78:AA78" si="21">ROUND(IFERROR(O75/O76,0),2)</f>
        <v>0</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44.49</v>
      </c>
      <c r="AA78" s="184">
        <f t="shared" si="21"/>
        <v>44.49</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b">
        <f t="shared" si="22"/>
        <v>1</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v>59613</v>
      </c>
      <c r="P82" s="171">
        <v>34793.5</v>
      </c>
      <c r="Q82" s="171">
        <v>31173.07</v>
      </c>
      <c r="R82" s="171">
        <v>11812.25</v>
      </c>
      <c r="S82" s="171">
        <v>13229</v>
      </c>
      <c r="T82" s="171">
        <v>4737.9799999999996</v>
      </c>
      <c r="U82" s="171">
        <v>332</v>
      </c>
      <c r="V82" s="171">
        <v>3040</v>
      </c>
      <c r="W82" s="171">
        <v>8059.51</v>
      </c>
      <c r="X82" s="171">
        <v>13310.1</v>
      </c>
      <c r="Y82" s="171">
        <v>18926.3</v>
      </c>
      <c r="Z82" s="171">
        <v>54531.26</v>
      </c>
      <c r="AA82" s="171">
        <f>SUM(O82:Z82)</f>
        <v>253557.97000000003</v>
      </c>
      <c r="AB82" s="172" t="str">
        <f ca="1">IF(AA82=0,"",IFERROR(AA82/AA$19,""))</f>
        <v/>
      </c>
      <c r="AD82" s="171">
        <v>292116.25</v>
      </c>
      <c r="AE82" s="172" t="str">
        <f ca="1">IF(AD82=0,"",IFERROR(AD82/AD$19,""))</f>
        <v/>
      </c>
      <c r="AF82" s="173">
        <f>IF(AND($AA82="",AD82=""),"",$AA82-AD82)</f>
        <v>-38558.27999999997</v>
      </c>
      <c r="AG82" s="171">
        <v>227112.93</v>
      </c>
      <c r="AH82" s="172" t="str">
        <f t="shared" ref="AH82:AH92" ca="1" si="23">IF(AG82=0,"",IFERROR(AG82/AG$19,""))</f>
        <v/>
      </c>
      <c r="AI82" s="173">
        <f>IF(AND($AA82="",AG82=""),"",$AA82-AG82)</f>
        <v>26445.040000000037</v>
      </c>
    </row>
    <row r="83" spans="3:35" x14ac:dyDescent="0.25">
      <c r="C83" s="32"/>
      <c r="H83" s="149" t="s">
        <v>331</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v>1065</v>
      </c>
      <c r="P83" s="171">
        <v>511</v>
      </c>
      <c r="Q83" s="171">
        <v>526</v>
      </c>
      <c r="R83" s="171">
        <v>241</v>
      </c>
      <c r="S83" s="171">
        <v>150</v>
      </c>
      <c r="T83" s="171">
        <v>152</v>
      </c>
      <c r="U83" s="171">
        <v>36</v>
      </c>
      <c r="V83" s="171"/>
      <c r="W83" s="171">
        <v>265</v>
      </c>
      <c r="X83" s="171">
        <v>70</v>
      </c>
      <c r="Y83" s="171">
        <v>161</v>
      </c>
      <c r="Z83" s="171">
        <v>750</v>
      </c>
      <c r="AA83" s="171">
        <f>SUM(O83:Z83)</f>
        <v>3927</v>
      </c>
      <c r="AB83" s="172" t="str">
        <f ca="1">IF(AA83=0,"",IFERROR(AA83/AA$20,""))</f>
        <v/>
      </c>
      <c r="AD83" s="171">
        <v>4547</v>
      </c>
      <c r="AE83" s="172" t="str">
        <f ca="1">IF(AD83=0,"",IFERROR(AD83/AD$20,""))</f>
        <v/>
      </c>
      <c r="AF83" s="173">
        <f>IF(AND($AA83="",AD83=""),"",$AA83-AD83)</f>
        <v>-620</v>
      </c>
      <c r="AG83" s="171">
        <v>3941</v>
      </c>
      <c r="AH83" s="172" t="str">
        <f ca="1">IF(AG83=0,"",IFERROR(AG83/AG$20,""))</f>
        <v/>
      </c>
      <c r="AI83" s="173">
        <f>IF(AND($AA83="",AG83=""),"",$AA83-AG83)</f>
        <v>-14</v>
      </c>
    </row>
    <row r="84" spans="3:35" x14ac:dyDescent="0.25">
      <c r="C84" s="32"/>
      <c r="H84" s="149" t="s">
        <v>311</v>
      </c>
      <c r="I84" s="161" t="e">
        <f ca="1">_xll.EVPRO($B$1,$H84,"STYLE")</f>
        <v>#NAME?</v>
      </c>
      <c r="J84" s="161" t="e">
        <f ca="1">_xll.EVPRO($B$1,$H84,"CALC")</f>
        <v>#NAME?</v>
      </c>
      <c r="L84" s="162"/>
      <c r="M84" s="162"/>
      <c r="N84" s="162" t="e">
        <f ca="1">IF(_xll.EVDES(H84,$B$1)="#NODATA","",_xll.EVDES(H84,$B$1))</f>
        <v>#NAME?</v>
      </c>
      <c r="O84" s="176">
        <v>55.974647887323897</v>
      </c>
      <c r="P84" s="176">
        <v>68.089041095890394</v>
      </c>
      <c r="Q84" s="176">
        <v>59.264391634981003</v>
      </c>
      <c r="R84" s="176">
        <v>49.013485477178399</v>
      </c>
      <c r="S84" s="176">
        <v>88.1933333333333</v>
      </c>
      <c r="T84" s="176">
        <v>31.170921052631599</v>
      </c>
      <c r="U84" s="176">
        <v>9.2222222222222197</v>
      </c>
      <c r="V84" s="176"/>
      <c r="W84" s="176">
        <v>30.413245283018899</v>
      </c>
      <c r="X84" s="176">
        <v>190.14428571428601</v>
      </c>
      <c r="Y84" s="176">
        <v>117.55465838509301</v>
      </c>
      <c r="Z84" s="176">
        <v>72.708346666666699</v>
      </c>
      <c r="AA84" s="176">
        <f>IFERROR(AA82/AA83,"")</f>
        <v>64.567855869620587</v>
      </c>
      <c r="AB84" s="176"/>
      <c r="AD84" s="176">
        <v>64.243732131075404</v>
      </c>
      <c r="AE84" s="176"/>
      <c r="AF84" s="177">
        <f>IF(AND($AA84="",AD84=""),"",$AA84-AD84)</f>
        <v>0.3241237385451825</v>
      </c>
      <c r="AG84" s="176">
        <v>57.628249175336201</v>
      </c>
      <c r="AH84" s="176"/>
      <c r="AI84" s="177">
        <f>IF(AND($AA84="",AG84=""),"",$AA84-AG84)</f>
        <v>6.9396066942843859</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t="e">
        <f ca="1">_xll.EVPRO($B$1,H88,"JDEID")</f>
        <v>#NAME?</v>
      </c>
      <c r="M88" s="162" t="str">
        <f>IF(AND(I88="N",J88="N"),_xll.EVPRO($B$1,H88,"PSFTID"),"")</f>
        <v/>
      </c>
      <c r="N88" s="162" t="e">
        <f ca="1">IF(_xll.EVDES(H88,$B$1)="#NODATA","",_xll.EVDES(H88,$B$1))</f>
        <v>#NAME?</v>
      </c>
      <c r="O88" s="21"/>
      <c r="P88" s="21"/>
      <c r="Q88" s="21"/>
      <c r="R88" s="21"/>
      <c r="S88" s="21"/>
      <c r="T88" s="21"/>
      <c r="U88" s="21"/>
      <c r="V88" s="21">
        <v>1170</v>
      </c>
      <c r="W88" s="21"/>
      <c r="X88" s="21"/>
      <c r="Y88" s="21"/>
      <c r="Z88" s="21">
        <v>1463</v>
      </c>
      <c r="AA88" s="21">
        <f>SUM(O88:Z88)</f>
        <v>2633</v>
      </c>
      <c r="AB88" s="17" t="str">
        <f ca="1">IF(AA88=0,"",IFERROR(AA88/AA$19,""))</f>
        <v/>
      </c>
      <c r="AD88" s="21"/>
      <c r="AE88" s="17" t="str">
        <f>IF(AD88=0,"",IFERROR(AD88/AD$19,""))</f>
        <v/>
      </c>
      <c r="AF88" s="50">
        <f>IF(AND($AA88="",AD88=""),"",$AA88-AD88)</f>
        <v>2633</v>
      </c>
      <c r="AG88" s="21"/>
      <c r="AH88" s="17" t="str">
        <f t="shared" si="23"/>
        <v/>
      </c>
      <c r="AI88" s="50">
        <f>IF(AND($AA88="",AG88=""),"",$AA88-AG88)</f>
        <v>2633</v>
      </c>
    </row>
    <row r="89" spans="3:35" x14ac:dyDescent="0.25">
      <c r="C89" s="32"/>
      <c r="H89" s="149" t="s">
        <v>301</v>
      </c>
      <c r="I89" s="161"/>
      <c r="J89" s="161"/>
      <c r="L89" s="162" t="e">
        <f ca="1">_xll.EVPRO($B$1,H89,"JDEID")</f>
        <v>#NAME?</v>
      </c>
      <c r="M89" s="162" t="str">
        <f>IF(AND(I89="N",J89="N"),_xll.EVPRO($B$1,H89,"PSFTID"),"")</f>
        <v/>
      </c>
      <c r="N89" s="162" t="e">
        <f ca="1">IF(_xll.EVDES(H89,$B$1)="#NODATA","",_xll.EVDES(H89,$B$1))</f>
        <v>#NAME?</v>
      </c>
      <c r="O89" s="21"/>
      <c r="P89" s="21"/>
      <c r="Q89" s="21">
        <v>50</v>
      </c>
      <c r="R89" s="21">
        <v>873</v>
      </c>
      <c r="S89" s="21"/>
      <c r="T89" s="21">
        <v>73</v>
      </c>
      <c r="U89" s="21"/>
      <c r="V89" s="21"/>
      <c r="W89" s="21">
        <v>741</v>
      </c>
      <c r="X89" s="21"/>
      <c r="Y89" s="21"/>
      <c r="Z89" s="21">
        <v>-180</v>
      </c>
      <c r="AA89" s="21">
        <f>SUM(O89:Z89)</f>
        <v>1557</v>
      </c>
      <c r="AB89" s="17" t="str">
        <f ca="1">IF(AA89=0,"",IFERROR(AA89/AA$19,""))</f>
        <v/>
      </c>
      <c r="AD89" s="21">
        <v>1220.53943</v>
      </c>
      <c r="AE89" s="17" t="str">
        <f ca="1">IF(AD89=0,"",IFERROR(AD89/AD$19,""))</f>
        <v/>
      </c>
      <c r="AF89" s="50">
        <f>IF(AND($AA89="",AD89=""),"",$AA89-AD89)</f>
        <v>336.46056999999996</v>
      </c>
      <c r="AG89" s="21">
        <v>4141</v>
      </c>
      <c r="AH89" s="17" t="str">
        <f t="shared" ca="1" si="23"/>
        <v/>
      </c>
      <c r="AI89" s="50">
        <f>IF(AND($AA89="",AG89=""),"",$AA89-AG89)</f>
        <v>-2584</v>
      </c>
    </row>
    <row r="90" spans="3:35" x14ac:dyDescent="0.25">
      <c r="C90" s="32"/>
      <c r="H90" s="149" t="s">
        <v>302</v>
      </c>
      <c r="I90" s="161"/>
      <c r="J90" s="161"/>
      <c r="L90" s="162" t="e">
        <f ca="1">_xll.EVPRO($B$1,H90,"JDEID")</f>
        <v>#NAME?</v>
      </c>
      <c r="M90" s="162" t="str">
        <f>IF(AND(I90="N",J90="N"),_xll.EVPRO($B$1,H90,"PSFTID"),"")</f>
        <v/>
      </c>
      <c r="N90" s="162" t="e">
        <f ca="1">IF(_xll.EVDES(H90,$B$1)="#NODATA","",_xll.EVDES(H90,$B$1))</f>
        <v>#NAME?</v>
      </c>
      <c r="O90" s="21"/>
      <c r="P90" s="21"/>
      <c r="Q90" s="21">
        <v>1101</v>
      </c>
      <c r="R90" s="21"/>
      <c r="S90" s="21">
        <v>476</v>
      </c>
      <c r="T90" s="21"/>
      <c r="U90" s="21"/>
      <c r="V90" s="21"/>
      <c r="W90" s="21"/>
      <c r="X90" s="21"/>
      <c r="Y90" s="21"/>
      <c r="Z90" s="21">
        <v>455</v>
      </c>
      <c r="AA90" s="21">
        <f>SUM(O90:Z90)</f>
        <v>2032</v>
      </c>
      <c r="AB90" s="17" t="str">
        <f ca="1">IF(AA90=0,"",IFERROR(AA90/AA$19,""))</f>
        <v/>
      </c>
      <c r="AD90" s="21">
        <v>1216.8684000000001</v>
      </c>
      <c r="AE90" s="17" t="str">
        <f ca="1">IF(AD90=0,"",IFERROR(AD90/AD$19,""))</f>
        <v/>
      </c>
      <c r="AF90" s="50">
        <f>IF(AND($AA90="",AD90=""),"",$AA90-AD90)</f>
        <v>815.13159999999993</v>
      </c>
      <c r="AG90" s="21">
        <v>14528</v>
      </c>
      <c r="AH90" s="17" t="str">
        <f t="shared" ca="1" si="23"/>
        <v/>
      </c>
      <c r="AI90" s="50">
        <f>IF(AND($AA90="",AG90=""),"",$AA90-AG90)</f>
        <v>-12496</v>
      </c>
    </row>
    <row r="91" spans="3:35" x14ac:dyDescent="0.25">
      <c r="C91" s="32"/>
      <c r="H91" s="149" t="s">
        <v>808</v>
      </c>
      <c r="I91" s="161"/>
      <c r="J91" s="161"/>
      <c r="L91" s="162" t="e">
        <f ca="1">_xll.EVPRO($B$1,H91,"JDEID")</f>
        <v>#NAME?</v>
      </c>
      <c r="M91" s="162" t="str">
        <f>IF(AND(I91="N",J91="N"),_xll.EVPRO($B$1,H91,"PSFTID"),"")</f>
        <v/>
      </c>
      <c r="N91" s="162" t="e">
        <f ca="1">IF(_xll.EVDES(H91,$B$1)="#NODATA","",_xll.EVDES(H91,$B$1))</f>
        <v>#NAME?</v>
      </c>
      <c r="O91" s="21"/>
      <c r="P91" s="21"/>
      <c r="Q91" s="21"/>
      <c r="R91" s="21">
        <v>850</v>
      </c>
      <c r="S91" s="21"/>
      <c r="T91" s="21"/>
      <c r="U91" s="21"/>
      <c r="V91" s="21"/>
      <c r="W91" s="21"/>
      <c r="X91" s="21"/>
      <c r="Y91" s="21">
        <v>4948</v>
      </c>
      <c r="Z91" s="21">
        <v>1454.96</v>
      </c>
      <c r="AA91" s="21">
        <f>SUM(O91:Z91)</f>
        <v>7252.96</v>
      </c>
      <c r="AB91" s="17" t="str">
        <f ca="1">IF(AA91=0,"",IFERROR(AA91/AA$19,""))</f>
        <v/>
      </c>
      <c r="AD91" s="21">
        <v>814.44449999999995</v>
      </c>
      <c r="AE91" s="17" t="str">
        <f ca="1">IF(AD91=0,"",IFERROR(AD91/AD$19,""))</f>
        <v/>
      </c>
      <c r="AF91" s="50">
        <f>IF(AND($AA91="",AD91=""),"",$AA91-AD91)</f>
        <v>6438.5155000000004</v>
      </c>
      <c r="AG91" s="21">
        <v>615</v>
      </c>
      <c r="AH91" s="17" t="str">
        <f t="shared" ca="1" si="23"/>
        <v/>
      </c>
      <c r="AI91" s="50">
        <f>IF(AND($AA91="",AG91=""),"",$AA91-AG91)</f>
        <v>6637.96</v>
      </c>
    </row>
    <row r="92" spans="3:35" x14ac:dyDescent="0.25">
      <c r="C92" s="32"/>
      <c r="H92" s="149" t="s">
        <v>340</v>
      </c>
      <c r="I92" s="161"/>
      <c r="J92" s="161"/>
      <c r="L92" s="162" t="e">
        <f ca="1">_xll.EVPRO($B$1,H92,"JDEID")</f>
        <v>#NAME?</v>
      </c>
      <c r="M92" s="162" t="str">
        <f>IF(AND(I92="N",J92="N"),_xll.EVPRO($B$1,H92,"PSFTID"),"")</f>
        <v/>
      </c>
      <c r="N92" s="25" t="e">
        <f ca="1">IF(_xll.EVDES(H92,$B$1)="#NODATA","",_xll.EVDES(H92,$B$1))</f>
        <v>#NAME?</v>
      </c>
      <c r="O92" s="164"/>
      <c r="P92" s="164"/>
      <c r="Q92" s="164">
        <v>1151</v>
      </c>
      <c r="R92" s="164">
        <v>1723</v>
      </c>
      <c r="S92" s="164">
        <v>476</v>
      </c>
      <c r="T92" s="164">
        <v>73</v>
      </c>
      <c r="U92" s="164"/>
      <c r="V92" s="164">
        <v>1170</v>
      </c>
      <c r="W92" s="164">
        <v>741</v>
      </c>
      <c r="X92" s="164"/>
      <c r="Y92" s="164">
        <v>4948</v>
      </c>
      <c r="Z92" s="164">
        <v>3192.96</v>
      </c>
      <c r="AA92" s="164">
        <f>SUM(O92:Z92)</f>
        <v>13474.96</v>
      </c>
      <c r="AB92" s="175" t="str">
        <f ca="1">IF(AA92=0,"",IFERROR(AA92/AA$19,""))</f>
        <v/>
      </c>
      <c r="AD92" s="164">
        <v>3251.8523300000002</v>
      </c>
      <c r="AE92" s="175" t="str">
        <f ca="1">IF(AD92=0,"",IFERROR(AD92/AD$19,""))</f>
        <v/>
      </c>
      <c r="AF92" s="165">
        <f>IF(AND($AA92="",AD92=""),"",$AA92-AD92)</f>
        <v>10223.107669999999</v>
      </c>
      <c r="AG92" s="164">
        <v>19284</v>
      </c>
      <c r="AH92" s="175" t="str">
        <f t="shared" ca="1" si="23"/>
        <v/>
      </c>
      <c r="AI92" s="165">
        <f>IF(AND($AA92="",AG92=""),"",$AA92-AG92)</f>
        <v>-5809.0400000000009</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t="e">
        <f ca="1">_xll.EVPRO($B$1,H95,"JDEID")</f>
        <v>#NAME?</v>
      </c>
      <c r="M95" s="162" t="str">
        <f>IF(AND(I95="N",J95="N"),_xll.EVPRO($B$1,H95,"PSFTID"),"")</f>
        <v/>
      </c>
      <c r="N95" s="162" t="e">
        <f ca="1">IF(_xll.EVDES(H95,$B$1)="#NODATA","",_xll.EVDES(H95,$B$1))</f>
        <v>#NAME?</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t="e">
        <f ca="1">_xll.EVPRO($B$1,H96,"JDEID")</f>
        <v>#NAME?</v>
      </c>
      <c r="M96" s="162" t="str">
        <f>IF(AND(I96="N",J96="N"),_xll.EVPRO($B$1,H96,"PSFTID"),"")</f>
        <v/>
      </c>
      <c r="N96" s="162" t="e">
        <f ca="1">IF(_xll.EVDES(H96,$B$1)="#NODATA","",_xll.EVDES(H96,$B$1))</f>
        <v>#NAME?</v>
      </c>
      <c r="O96" s="21"/>
      <c r="P96" s="21"/>
      <c r="Q96" s="21">
        <v>250</v>
      </c>
      <c r="R96" s="21">
        <v>-48</v>
      </c>
      <c r="S96" s="21"/>
      <c r="T96" s="21"/>
      <c r="U96" s="21"/>
      <c r="V96" s="21"/>
      <c r="W96" s="21"/>
      <c r="X96" s="21"/>
      <c r="Y96" s="21"/>
      <c r="Z96" s="21">
        <v>654</v>
      </c>
      <c r="AA96" s="21">
        <f>SUM(O96:Z96)</f>
        <v>856</v>
      </c>
      <c r="AB96" s="17" t="str">
        <f ca="1">IF(AA96=0,"",IFERROR(AA96/AA$19,""))</f>
        <v/>
      </c>
      <c r="AD96" s="21">
        <v>45.015599999999999</v>
      </c>
      <c r="AE96" s="17" t="str">
        <f ca="1">IF(AD96=0,"",IFERROR(AD96/AD$19,""))</f>
        <v/>
      </c>
      <c r="AF96" s="50">
        <f>IF(AND($AA96="",AD96=""),"",$AA96-AD96)</f>
        <v>810.98440000000005</v>
      </c>
      <c r="AG96" s="21">
        <v>211</v>
      </c>
      <c r="AH96" s="17" t="str">
        <f ca="1">IF(AG96=0,"",IFERROR(AG96/AG$19,""))</f>
        <v/>
      </c>
      <c r="AI96" s="50">
        <f>IF(AND($AA96="",AG96=""),"",$AA96-AG96)</f>
        <v>645</v>
      </c>
    </row>
    <row r="97" spans="3:35" x14ac:dyDescent="0.25">
      <c r="C97" s="32"/>
      <c r="H97" s="149" t="s">
        <v>306</v>
      </c>
      <c r="I97" s="161"/>
      <c r="J97" s="161"/>
      <c r="L97" s="162" t="e">
        <f ca="1">_xll.EVPRO($B$1,H97,"JDEID")</f>
        <v>#NAME?</v>
      </c>
      <c r="M97" s="162" t="str">
        <f>IF(AND(I97="N",J97="N"),_xll.EVPRO($B$1,H97,"PSFTID"),"")</f>
        <v/>
      </c>
      <c r="N97" s="162" t="e">
        <f ca="1">IF(_xll.EVDES(H97,$B$1)="#NODATA","",_xll.EVDES(H97,$B$1))</f>
        <v>#NAME?</v>
      </c>
      <c r="O97" s="21">
        <v>2095</v>
      </c>
      <c r="P97" s="21"/>
      <c r="Q97" s="21"/>
      <c r="R97" s="21"/>
      <c r="S97" s="21"/>
      <c r="T97" s="21"/>
      <c r="U97" s="21"/>
      <c r="V97" s="21"/>
      <c r="W97" s="21"/>
      <c r="X97" s="21"/>
      <c r="Y97" s="21"/>
      <c r="Z97" s="21"/>
      <c r="AA97" s="21">
        <f>SUM(O97:Z97)</f>
        <v>2095</v>
      </c>
      <c r="AB97" s="17" t="str">
        <f ca="1">IF(AA97=0,"",IFERROR(AA97/AA$19,""))</f>
        <v/>
      </c>
      <c r="AD97" s="21">
        <v>1216.8684000000001</v>
      </c>
      <c r="AE97" s="17" t="str">
        <f ca="1">IF(AD97=0,"",IFERROR(AD97/AD$19,""))</f>
        <v/>
      </c>
      <c r="AF97" s="50">
        <f>IF(AND($AA97="",AD97=""),"",$AA97-AD97)</f>
        <v>878.13159999999993</v>
      </c>
      <c r="AG97" s="21">
        <v>603</v>
      </c>
      <c r="AH97" s="17" t="str">
        <f ca="1">IF(AG97=0,"",IFERROR(AG97/AG$19,""))</f>
        <v/>
      </c>
      <c r="AI97" s="50">
        <f>IF(AND($AA97="",AG97=""),"",$AA97-AG97)</f>
        <v>1492</v>
      </c>
    </row>
    <row r="98" spans="3:35" x14ac:dyDescent="0.25">
      <c r="C98" s="32"/>
      <c r="H98" s="149" t="s">
        <v>809</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v>20</v>
      </c>
      <c r="Z98" s="21">
        <v>510</v>
      </c>
      <c r="AA98" s="21">
        <f>SUM(O98:Z98)</f>
        <v>530</v>
      </c>
      <c r="AB98" s="17" t="str">
        <f ca="1">IF(AA98=0,"",IFERROR(AA98/AA$19,""))</f>
        <v/>
      </c>
      <c r="AD98" s="21">
        <v>814.44449999999995</v>
      </c>
      <c r="AE98" s="17" t="str">
        <f ca="1">IF(AD98=0,"",IFERROR(AD98/AD$19,""))</f>
        <v/>
      </c>
      <c r="AF98" s="50">
        <f>IF(AND($AA98="",AD98=""),"",$AA98-AD98)</f>
        <v>-284.44449999999995</v>
      </c>
      <c r="AG98" s="21">
        <v>127</v>
      </c>
      <c r="AH98" s="17" t="str">
        <f ca="1">IF(AG98=0,"",IFERROR(AG98/AG$19,""))</f>
        <v/>
      </c>
      <c r="AI98" s="50">
        <f>IF(AND($AA98="",AG98=""),"",$AA98-AG98)</f>
        <v>403</v>
      </c>
    </row>
    <row r="99" spans="3:35" x14ac:dyDescent="0.25">
      <c r="C99" s="32"/>
      <c r="H99" s="149" t="s">
        <v>342</v>
      </c>
      <c r="I99" s="161"/>
      <c r="J99" s="161"/>
      <c r="L99" s="162" t="e">
        <f ca="1">_xll.EVPRO($B$1,H99,"JDEID")</f>
        <v>#NAME?</v>
      </c>
      <c r="M99" s="162" t="str">
        <f>IF(AND(I99="N",J99="N"),_xll.EVPRO($B$1,H99,"PSFTID"),"")</f>
        <v/>
      </c>
      <c r="N99" s="25" t="e">
        <f ca="1">IF(_xll.EVDES(H99,$B$1)="#NODATA","",_xll.EVDES(H99,$B$1))</f>
        <v>#NAME?</v>
      </c>
      <c r="O99" s="164">
        <v>2095</v>
      </c>
      <c r="P99" s="164"/>
      <c r="Q99" s="164">
        <v>250</v>
      </c>
      <c r="R99" s="164">
        <v>-48</v>
      </c>
      <c r="S99" s="164"/>
      <c r="T99" s="164"/>
      <c r="U99" s="164"/>
      <c r="V99" s="164"/>
      <c r="W99" s="164"/>
      <c r="X99" s="164"/>
      <c r="Y99" s="164">
        <v>20</v>
      </c>
      <c r="Z99" s="164">
        <v>1164</v>
      </c>
      <c r="AA99" s="164">
        <f>SUM(O99:Z99)</f>
        <v>3481</v>
      </c>
      <c r="AB99" s="175" t="str">
        <f ca="1">IF(AA99=0,"",IFERROR(AA99/AA$19,""))</f>
        <v/>
      </c>
      <c r="AD99" s="164">
        <v>2076.3285000000001</v>
      </c>
      <c r="AE99" s="175" t="str">
        <f ca="1">IF(AD99=0,"",IFERROR(AD99/AD$19,""))</f>
        <v/>
      </c>
      <c r="AF99" s="165">
        <f>IF(AND($AA99="",AD99=""),"",$AA99-AD99)</f>
        <v>1404.6714999999999</v>
      </c>
      <c r="AG99" s="164">
        <v>941</v>
      </c>
      <c r="AH99" s="175" t="str">
        <f ca="1">IF(AG99=0,"",IFERROR(AG99/AG$19,""))</f>
        <v/>
      </c>
      <c r="AI99" s="165">
        <f>IF(AND($AA99="",AG99=""),"",$AA99-AG99)</f>
        <v>2540</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v>152</v>
      </c>
      <c r="AA102" s="21">
        <f>SUM(O102:Z102)</f>
        <v>152</v>
      </c>
      <c r="AB102" s="17" t="str">
        <f ca="1">IF(AA102=0,"",IFERROR(AA102/AA$19,""))</f>
        <v/>
      </c>
      <c r="AD102" s="21"/>
      <c r="AE102" s="17" t="str">
        <f>IF(AD102=0,"",IFERROR(AD102/AD$19,""))</f>
        <v/>
      </c>
      <c r="AF102" s="50">
        <f>IF(AND($AA102="",AD102=""),"",$AA102-AD102)</f>
        <v>152</v>
      </c>
      <c r="AG102" s="21"/>
      <c r="AH102" s="17" t="str">
        <f>IF(AG102=0,"",IFERROR(AG102/AG$19,""))</f>
        <v/>
      </c>
      <c r="AI102" s="50">
        <f>IF(AND($AA102="",AG102=""),"",$AA102-AG102)</f>
        <v>152</v>
      </c>
    </row>
    <row r="103" spans="3:35" x14ac:dyDescent="0.25">
      <c r="C103" s="32"/>
      <c r="H103" s="149" t="s">
        <v>303</v>
      </c>
      <c r="I103" s="161"/>
      <c r="J103" s="161"/>
      <c r="L103" s="162" t="e">
        <f ca="1">_xll.EVPRO($B$1,H103,"JDEID")</f>
        <v>#NAME?</v>
      </c>
      <c r="M103" s="162" t="str">
        <f>IF(AND(I103="N",J103="N"),_xll.EVPRO($B$1,H103,"PSFTID"),"")</f>
        <v/>
      </c>
      <c r="N103" s="162" t="e">
        <f ca="1">IF(_xll.EVDES(H103,$B$1)="#NODATA","",_xll.EVDES(H103,$B$1))</f>
        <v>#NAME?</v>
      </c>
      <c r="O103" s="21"/>
      <c r="P103" s="21"/>
      <c r="Q103" s="21"/>
      <c r="R103" s="21">
        <v>433</v>
      </c>
      <c r="S103" s="21"/>
      <c r="T103" s="21"/>
      <c r="U103" s="21"/>
      <c r="V103" s="21"/>
      <c r="W103" s="21"/>
      <c r="X103" s="21"/>
      <c r="Y103" s="21"/>
      <c r="Z103" s="21">
        <v>588</v>
      </c>
      <c r="AA103" s="21">
        <f>SUM(O103:Z103)</f>
        <v>1021</v>
      </c>
      <c r="AB103" s="17" t="str">
        <f ca="1">IF(AA103=0,"",IFERROR(AA103/AA$19,""))</f>
        <v/>
      </c>
      <c r="AD103" s="21">
        <v>1094.4598550000001</v>
      </c>
      <c r="AE103" s="17" t="str">
        <f ca="1">IF(AD103=0,"",IFERROR(AD103/AD$19,""))</f>
        <v/>
      </c>
      <c r="AF103" s="50">
        <f>IF(AND($AA103="",AD103=""),"",$AA103-AD103)</f>
        <v>-73.459855000000061</v>
      </c>
      <c r="AG103" s="21">
        <v>851</v>
      </c>
      <c r="AH103" s="17" t="str">
        <f ca="1">IF(AG103=0,"",IFERROR(AG103/AG$19,""))</f>
        <v/>
      </c>
      <c r="AI103" s="50">
        <f>IF(AND($AA103="",AG103=""),"",$AA103-AG103)</f>
        <v>170</v>
      </c>
    </row>
    <row r="104" spans="3:35" x14ac:dyDescent="0.25">
      <c r="C104" s="32"/>
      <c r="H104" s="149" t="s">
        <v>304</v>
      </c>
      <c r="I104" s="161"/>
      <c r="J104" s="161"/>
      <c r="L104" s="162" t="e">
        <f ca="1">_xll.EVPRO($B$1,H104,"JDEID")</f>
        <v>#NAME?</v>
      </c>
      <c r="M104" s="162" t="str">
        <f>IF(AND(I104="N",J104="N"),_xll.EVPRO($B$1,H104,"PSFTID"),"")</f>
        <v/>
      </c>
      <c r="N104" s="162" t="e">
        <f ca="1">IF(_xll.EVDES(H104,$B$1)="#NODATA","",_xll.EVDES(H104,$B$1))</f>
        <v>#NAME?</v>
      </c>
      <c r="O104" s="21">
        <v>1441</v>
      </c>
      <c r="P104" s="21"/>
      <c r="Q104" s="21">
        <v>-336</v>
      </c>
      <c r="R104" s="21"/>
      <c r="S104" s="21">
        <v>1036</v>
      </c>
      <c r="T104" s="21"/>
      <c r="U104" s="21"/>
      <c r="V104" s="21"/>
      <c r="W104" s="21"/>
      <c r="X104" s="21"/>
      <c r="Y104" s="21"/>
      <c r="Z104" s="21">
        <v>261</v>
      </c>
      <c r="AA104" s="21">
        <f>SUM(O104:Z104)</f>
        <v>2402</v>
      </c>
      <c r="AB104" s="17" t="str">
        <f ca="1">IF(AA104=0,"",IFERROR(AA104/AA$19,""))</f>
        <v/>
      </c>
      <c r="AD104" s="21"/>
      <c r="AE104" s="17" t="str">
        <f>IF(AD104=0,"",IFERROR(AD104/AD$19,""))</f>
        <v/>
      </c>
      <c r="AF104" s="50">
        <f>IF(AND($AA104="",AD104=""),"",$AA104-AD104)</f>
        <v>2402</v>
      </c>
      <c r="AG104" s="21">
        <v>104</v>
      </c>
      <c r="AH104" s="17" t="str">
        <f ca="1">IF(AG104=0,"",IFERROR(AG104/AG$19,""))</f>
        <v/>
      </c>
      <c r="AI104" s="50">
        <f>IF(AND($AA104="",AG104=""),"",$AA104-AG104)</f>
        <v>2298</v>
      </c>
    </row>
    <row r="105" spans="3:35" x14ac:dyDescent="0.25">
      <c r="C105" s="32"/>
      <c r="H105" s="149" t="s">
        <v>810</v>
      </c>
      <c r="I105" s="161"/>
      <c r="J105" s="161"/>
      <c r="L105" s="162" t="e">
        <f ca="1">_xll.EVPRO($B$1,H105,"JDEID")</f>
        <v>#NAME?</v>
      </c>
      <c r="M105" s="162" t="str">
        <f>IF(AND(I105="N",J105="N"),_xll.EVPRO($B$1,H105,"PSFTID"),"")</f>
        <v/>
      </c>
      <c r="N105" s="162" t="e">
        <f ca="1">IF(_xll.EVDES(H105,$B$1)="#NODATA","",_xll.EVDES(H105,$B$1))</f>
        <v>#NAME?</v>
      </c>
      <c r="O105" s="21"/>
      <c r="P105" s="21"/>
      <c r="Q105" s="21">
        <v>2338</v>
      </c>
      <c r="R105" s="21"/>
      <c r="S105" s="21"/>
      <c r="T105" s="21"/>
      <c r="U105" s="21"/>
      <c r="V105" s="21"/>
      <c r="W105" s="21">
        <v>144</v>
      </c>
      <c r="X105" s="21"/>
      <c r="Y105" s="21"/>
      <c r="Z105" s="21">
        <v>72</v>
      </c>
      <c r="AA105" s="21">
        <f>SUM(O105:Z105)</f>
        <v>2554</v>
      </c>
      <c r="AB105" s="17" t="str">
        <f ca="1">IF(AA105=0,"",IFERROR(AA105/AA$19,""))</f>
        <v/>
      </c>
      <c r="AD105" s="21"/>
      <c r="AE105" s="17" t="str">
        <f>IF(AD105=0,"",IFERROR(AD105/AD$19,""))</f>
        <v/>
      </c>
      <c r="AF105" s="50">
        <f>IF(AND($AA105="",AD105=""),"",$AA105-AD105)</f>
        <v>2554</v>
      </c>
      <c r="AG105" s="21">
        <v>52</v>
      </c>
      <c r="AH105" s="17" t="str">
        <f ca="1">IF(AG105=0,"",IFERROR(AG105/AG$19,""))</f>
        <v/>
      </c>
      <c r="AI105" s="50">
        <f>IF(AND($AA105="",AG105=""),"",$AA105-AG105)</f>
        <v>2502</v>
      </c>
    </row>
    <row r="106" spans="3:35" x14ac:dyDescent="0.25">
      <c r="C106" s="32"/>
      <c r="H106" s="149" t="s">
        <v>341</v>
      </c>
      <c r="I106" s="161"/>
      <c r="J106" s="161"/>
      <c r="L106" s="162" t="e">
        <f ca="1">_xll.EVPRO($B$1,H106,"JDEID")</f>
        <v>#NAME?</v>
      </c>
      <c r="M106" s="162" t="str">
        <f>IF(AND(I106="N",J106="N"),_xll.EVPRO($B$1,H106,"PSFTID"),"")</f>
        <v/>
      </c>
      <c r="N106" s="25" t="e">
        <f ca="1">IF(_xll.EVDES(H106,$B$1)="#NODATA","",_xll.EVDES(H106,$B$1))</f>
        <v>#NAME?</v>
      </c>
      <c r="O106" s="164">
        <v>1441</v>
      </c>
      <c r="P106" s="164"/>
      <c r="Q106" s="164">
        <v>2002</v>
      </c>
      <c r="R106" s="164">
        <v>433</v>
      </c>
      <c r="S106" s="164">
        <v>1036</v>
      </c>
      <c r="T106" s="164"/>
      <c r="U106" s="164"/>
      <c r="V106" s="164"/>
      <c r="W106" s="164">
        <v>144</v>
      </c>
      <c r="X106" s="164"/>
      <c r="Y106" s="164"/>
      <c r="Z106" s="164">
        <v>1073</v>
      </c>
      <c r="AA106" s="164">
        <f>SUM(O106:Z106)</f>
        <v>6129</v>
      </c>
      <c r="AB106" s="175" t="str">
        <f ca="1">IF(AA106=0,"",IFERROR(AA106/AA$19,""))</f>
        <v/>
      </c>
      <c r="AD106" s="164">
        <v>1094.4598550000001</v>
      </c>
      <c r="AE106" s="175" t="str">
        <f ca="1">IF(AD106=0,"",IFERROR(AD106/AD$19,""))</f>
        <v/>
      </c>
      <c r="AF106" s="165">
        <f>IF(AND($AA106="",AD106=""),"",$AA106-AD106)</f>
        <v>5034.5401449999999</v>
      </c>
      <c r="AG106" s="164">
        <v>1007</v>
      </c>
      <c r="AH106" s="175" t="str">
        <f ca="1">IF(AG106=0,"",IFERROR(AG106/AG$19,""))</f>
        <v/>
      </c>
      <c r="AI106" s="165">
        <f>IF(AND($AA106="",AG106=""),"",$AA106-AG106)</f>
        <v>5122</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t="e">
        <f ca="1">_xll.EVPRO($B$1,H108,"JDEID")</f>
        <v>#NAME?</v>
      </c>
      <c r="M108" s="162" t="str">
        <f>IF(AND(I108="N",J108="N"),_xll.EVPRO($B$1,H108,"PSFTID"),"")</f>
        <v/>
      </c>
      <c r="N108" s="162" t="e">
        <f ca="1">IF(_xll.EVDES(H108,$B$1)="#NODATA","",_xll.EVDES(H108,$B$1))</f>
        <v>#NAME?</v>
      </c>
      <c r="O108" s="21">
        <f t="shared" ref="O108:Z111" si="24">O88+O95+O102</f>
        <v>0</v>
      </c>
      <c r="P108" s="21">
        <f t="shared" si="24"/>
        <v>0</v>
      </c>
      <c r="Q108" s="21">
        <f t="shared" si="24"/>
        <v>0</v>
      </c>
      <c r="R108" s="21">
        <f t="shared" si="24"/>
        <v>0</v>
      </c>
      <c r="S108" s="21">
        <f t="shared" si="24"/>
        <v>0</v>
      </c>
      <c r="T108" s="21">
        <f t="shared" si="24"/>
        <v>0</v>
      </c>
      <c r="U108" s="21">
        <f t="shared" si="24"/>
        <v>0</v>
      </c>
      <c r="V108" s="21">
        <f t="shared" si="24"/>
        <v>1170</v>
      </c>
      <c r="W108" s="21">
        <f t="shared" si="24"/>
        <v>0</v>
      </c>
      <c r="X108" s="21">
        <f t="shared" si="24"/>
        <v>0</v>
      </c>
      <c r="Y108" s="21">
        <f t="shared" si="24"/>
        <v>0</v>
      </c>
      <c r="Z108" s="21">
        <f t="shared" si="24"/>
        <v>1615</v>
      </c>
      <c r="AA108" s="21">
        <f>SUM(O108:Z108)</f>
        <v>2785</v>
      </c>
      <c r="AB108" s="17" t="str">
        <f ca="1">IF(AA108=0,"",IFERROR(AA108/AA$19,""))</f>
        <v/>
      </c>
      <c r="AD108" s="21">
        <f>AD88+AD95+AD102</f>
        <v>0</v>
      </c>
      <c r="AE108" s="17" t="str">
        <f>IF(AD108=0,"",IFERROR(AD108/AD$19,""))</f>
        <v/>
      </c>
      <c r="AF108" s="50">
        <f>IF(AND($AA108="",AD108=""),"",$AA108-AD108)</f>
        <v>2785</v>
      </c>
      <c r="AG108" s="21">
        <f>AG88+AG95+AG102</f>
        <v>0</v>
      </c>
      <c r="AH108" s="17" t="str">
        <f>IF(AG108=0,"",IFERROR(AG108/AG$19,""))</f>
        <v/>
      </c>
      <c r="AI108" s="50">
        <f>IF(AND($AA108="",AG108=""),"",$AA108-AG108)</f>
        <v>2785</v>
      </c>
    </row>
    <row r="109" spans="3:35" x14ac:dyDescent="0.25">
      <c r="C109" s="32"/>
      <c r="H109" s="15" t="s">
        <v>268</v>
      </c>
      <c r="I109" s="161"/>
      <c r="J109" s="161"/>
      <c r="L109" s="162" t="e">
        <f ca="1">_xll.EVPRO($B$1,H109,"JDEID")</f>
        <v>#NAME?</v>
      </c>
      <c r="M109" s="162" t="str">
        <f>IF(AND(I109="N",J109="N"),_xll.EVPRO($B$1,H109,"PSFTID"),"")</f>
        <v/>
      </c>
      <c r="N109" s="162" t="e">
        <f ca="1">IF(_xll.EVDES(H109,$B$1)="#NODATA","",_xll.EVDES(H109,$B$1))</f>
        <v>#NAME?</v>
      </c>
      <c r="O109" s="21">
        <f t="shared" si="24"/>
        <v>0</v>
      </c>
      <c r="P109" s="21">
        <f t="shared" si="24"/>
        <v>0</v>
      </c>
      <c r="Q109" s="21">
        <f t="shared" si="24"/>
        <v>300</v>
      </c>
      <c r="R109" s="21">
        <f t="shared" si="24"/>
        <v>1258</v>
      </c>
      <c r="S109" s="21">
        <f t="shared" si="24"/>
        <v>0</v>
      </c>
      <c r="T109" s="21">
        <f t="shared" si="24"/>
        <v>73</v>
      </c>
      <c r="U109" s="21">
        <f t="shared" si="24"/>
        <v>0</v>
      </c>
      <c r="V109" s="21">
        <f t="shared" si="24"/>
        <v>0</v>
      </c>
      <c r="W109" s="21">
        <f t="shared" si="24"/>
        <v>741</v>
      </c>
      <c r="X109" s="21">
        <f t="shared" si="24"/>
        <v>0</v>
      </c>
      <c r="Y109" s="21">
        <f t="shared" si="24"/>
        <v>0</v>
      </c>
      <c r="Z109" s="21">
        <f t="shared" si="24"/>
        <v>1062</v>
      </c>
      <c r="AA109" s="21">
        <f>SUM(O109:Z109)</f>
        <v>3434</v>
      </c>
      <c r="AB109" s="17" t="str">
        <f ca="1">IF(AA109=0,"",IFERROR(AA109/AA$19,""))</f>
        <v/>
      </c>
      <c r="AD109" s="21">
        <f>AD89+AD96+AD103</f>
        <v>2360.014885</v>
      </c>
      <c r="AE109" s="17" t="str">
        <f ca="1">IF(AD109=0,"",IFERROR(AD109/AD$19,""))</f>
        <v/>
      </c>
      <c r="AF109" s="50">
        <f>IF(AND($AA109="",AD109=""),"",$AA109-AD109)</f>
        <v>1073.985115</v>
      </c>
      <c r="AG109" s="21">
        <f>AG89+AG96+AG103</f>
        <v>5203</v>
      </c>
      <c r="AH109" s="17" t="str">
        <f ca="1">IF(AG109=0,"",IFERROR(AG109/AG$19,""))</f>
        <v/>
      </c>
      <c r="AI109" s="50">
        <f>IF(AND($AA109="",AG109=""),"",$AA109-AG109)</f>
        <v>-1769</v>
      </c>
    </row>
    <row r="110" spans="3:35" x14ac:dyDescent="0.25">
      <c r="C110" s="32"/>
      <c r="H110" s="149" t="s">
        <v>269</v>
      </c>
      <c r="I110" s="161"/>
      <c r="J110" s="161"/>
      <c r="L110" s="162" t="e">
        <f ca="1">_xll.EVPRO($B$1,H110,"JDEID")</f>
        <v>#NAME?</v>
      </c>
      <c r="M110" s="162" t="str">
        <f>IF(AND(I110="N",J110="N"),_xll.EVPRO($B$1,H110,"PSFTID"),"")</f>
        <v/>
      </c>
      <c r="N110" s="162" t="e">
        <f ca="1">IF(_xll.EVDES(H110,$B$1)="#NODATA","",_xll.EVDES(H110,$B$1))</f>
        <v>#NAME?</v>
      </c>
      <c r="O110" s="21">
        <f t="shared" si="24"/>
        <v>3536</v>
      </c>
      <c r="P110" s="21">
        <f t="shared" si="24"/>
        <v>0</v>
      </c>
      <c r="Q110" s="21">
        <f t="shared" si="24"/>
        <v>765</v>
      </c>
      <c r="R110" s="21">
        <f t="shared" si="24"/>
        <v>0</v>
      </c>
      <c r="S110" s="21">
        <f t="shared" si="24"/>
        <v>1512</v>
      </c>
      <c r="T110" s="21">
        <f t="shared" si="24"/>
        <v>0</v>
      </c>
      <c r="U110" s="21">
        <f t="shared" si="24"/>
        <v>0</v>
      </c>
      <c r="V110" s="21">
        <f t="shared" si="24"/>
        <v>0</v>
      </c>
      <c r="W110" s="21">
        <f t="shared" si="24"/>
        <v>0</v>
      </c>
      <c r="X110" s="21">
        <f t="shared" si="24"/>
        <v>0</v>
      </c>
      <c r="Y110" s="21">
        <f t="shared" si="24"/>
        <v>0</v>
      </c>
      <c r="Z110" s="21">
        <f t="shared" si="24"/>
        <v>716</v>
      </c>
      <c r="AA110" s="21">
        <f>SUM(O110:Z110)</f>
        <v>6529</v>
      </c>
      <c r="AB110" s="17" t="str">
        <f ca="1">IF(AA110=0,"",IFERROR(AA110/AA$19,""))</f>
        <v/>
      </c>
      <c r="AD110" s="21">
        <f>AD90+AD97+AD104</f>
        <v>2433.7368000000001</v>
      </c>
      <c r="AE110" s="17" t="str">
        <f ca="1">IF(AD110=0,"",IFERROR(AD110/AD$19,""))</f>
        <v/>
      </c>
      <c r="AF110" s="50">
        <f>IF(AND($AA110="",AD110=""),"",$AA110-AD110)</f>
        <v>4095.2631999999999</v>
      </c>
      <c r="AG110" s="21">
        <f>AG90+AG97+AG104</f>
        <v>15235</v>
      </c>
      <c r="AH110" s="17" t="str">
        <f ca="1">IF(AG110=0,"",IFERROR(AG110/AG$19,""))</f>
        <v/>
      </c>
      <c r="AI110" s="50">
        <f>IF(AND($AA110="",AG110=""),"",$AA110-AG110)</f>
        <v>-8706</v>
      </c>
    </row>
    <row r="111" spans="3:35" x14ac:dyDescent="0.25">
      <c r="C111" s="32"/>
      <c r="H111" s="149" t="s">
        <v>791</v>
      </c>
      <c r="I111" s="161"/>
      <c r="J111" s="161"/>
      <c r="L111" s="162" t="e">
        <f ca="1">_xll.EVPRO($B$1,H111,"JDEID")</f>
        <v>#NAME?</v>
      </c>
      <c r="M111" s="162" t="str">
        <f>IF(AND(I111="N",J111="N"),_xll.EVPRO($B$1,H111,"PSFTID"),"")</f>
        <v/>
      </c>
      <c r="N111" s="162" t="e">
        <f ca="1">IF(_xll.EVDES(H111,$B$1)="#NODATA","",_xll.EVDES(H111,$B$1))</f>
        <v>#NAME?</v>
      </c>
      <c r="O111" s="21">
        <f t="shared" si="24"/>
        <v>0</v>
      </c>
      <c r="P111" s="21">
        <f t="shared" si="24"/>
        <v>0</v>
      </c>
      <c r="Q111" s="21">
        <f t="shared" si="24"/>
        <v>2338</v>
      </c>
      <c r="R111" s="21">
        <f t="shared" si="24"/>
        <v>850</v>
      </c>
      <c r="S111" s="21">
        <f t="shared" si="24"/>
        <v>0</v>
      </c>
      <c r="T111" s="21">
        <f t="shared" si="24"/>
        <v>0</v>
      </c>
      <c r="U111" s="21">
        <f t="shared" si="24"/>
        <v>0</v>
      </c>
      <c r="V111" s="21">
        <f t="shared" si="24"/>
        <v>0</v>
      </c>
      <c r="W111" s="21">
        <f t="shared" si="24"/>
        <v>144</v>
      </c>
      <c r="X111" s="21">
        <f t="shared" si="24"/>
        <v>0</v>
      </c>
      <c r="Y111" s="21">
        <f t="shared" si="24"/>
        <v>4968</v>
      </c>
      <c r="Z111" s="21">
        <f t="shared" si="24"/>
        <v>2036.96</v>
      </c>
      <c r="AA111" s="21">
        <f>SUM(O111:Z111)</f>
        <v>10336.959999999999</v>
      </c>
      <c r="AB111" s="17" t="str">
        <f ca="1">IF(AA111=0,"",IFERROR(AA111/AA$19,""))</f>
        <v/>
      </c>
      <c r="AD111" s="21">
        <f>AD91+AD98+AD105</f>
        <v>1628.8889999999999</v>
      </c>
      <c r="AE111" s="17" t="str">
        <f ca="1">IF(AD111=0,"",IFERROR(AD111/AD$19,""))</f>
        <v/>
      </c>
      <c r="AF111" s="50">
        <f>IF(AND($AA111="",AD111=""),"",$AA111-AD111)</f>
        <v>8708.0709999999999</v>
      </c>
      <c r="AG111" s="21">
        <f>AG91+AG98+AG105</f>
        <v>794</v>
      </c>
      <c r="AH111" s="17" t="str">
        <f ca="1">IF(AG111=0,"",IFERROR(AG111/AG$19,""))</f>
        <v/>
      </c>
      <c r="AI111" s="50">
        <f>IF(AND($AA111="",AG111=""),"",$AA111-AG111)</f>
        <v>9542.9599999999991</v>
      </c>
    </row>
    <row r="112" spans="3:35" x14ac:dyDescent="0.25">
      <c r="C112" s="32"/>
      <c r="H112" s="15" t="s">
        <v>272</v>
      </c>
      <c r="I112" s="161"/>
      <c r="J112" s="161"/>
      <c r="L112" s="162" t="e">
        <f ca="1">_xll.EVPRO($B$1,H112,"JDEID")</f>
        <v>#NAME?</v>
      </c>
      <c r="M112" s="162" t="str">
        <f>IF(AND(I112="N",J112="N"),_xll.EVPRO($B$1,H112,"PSFTID"),"")</f>
        <v/>
      </c>
      <c r="N112" s="25" t="e">
        <f ca="1">IF(_xll.EVDES(H112,$B$1)="#NODATA","",_xll.EVDES(H112,$B$1))</f>
        <v>#NAME?</v>
      </c>
      <c r="O112" s="164">
        <f t="shared" ref="O112:Z112" si="25">SUM(O108:O111)</f>
        <v>3536</v>
      </c>
      <c r="P112" s="164">
        <f t="shared" si="25"/>
        <v>0</v>
      </c>
      <c r="Q112" s="164">
        <f t="shared" si="25"/>
        <v>3403</v>
      </c>
      <c r="R112" s="164">
        <f t="shared" si="25"/>
        <v>2108</v>
      </c>
      <c r="S112" s="164">
        <f t="shared" si="25"/>
        <v>1512</v>
      </c>
      <c r="T112" s="164">
        <f t="shared" si="25"/>
        <v>73</v>
      </c>
      <c r="U112" s="164">
        <f t="shared" si="25"/>
        <v>0</v>
      </c>
      <c r="V112" s="164">
        <f t="shared" si="25"/>
        <v>1170</v>
      </c>
      <c r="W112" s="164">
        <f t="shared" si="25"/>
        <v>885</v>
      </c>
      <c r="X112" s="164">
        <f t="shared" si="25"/>
        <v>0</v>
      </c>
      <c r="Y112" s="164">
        <f t="shared" si="25"/>
        <v>4968</v>
      </c>
      <c r="Z112" s="164">
        <f t="shared" si="25"/>
        <v>5429.96</v>
      </c>
      <c r="AA112" s="164">
        <f>SUM(O112:Z112)</f>
        <v>23084.959999999999</v>
      </c>
      <c r="AB112" s="175" t="str">
        <f ca="1">IF(AA112=0,"",IFERROR(AA112/AA$19,""))</f>
        <v/>
      </c>
      <c r="AD112" s="164">
        <f>SUM(AD108:AD111)</f>
        <v>6422.6406850000003</v>
      </c>
      <c r="AE112" s="175" t="str">
        <f ca="1">IF(AD112=0,"",IFERROR(AD112/AD$19,""))</f>
        <v/>
      </c>
      <c r="AF112" s="165">
        <f>IF(AND($AA112="",AD112=""),"",$AA112-AD112)</f>
        <v>16662.319315000001</v>
      </c>
      <c r="AG112" s="164">
        <f>SUM(AG108:AG111)</f>
        <v>21232</v>
      </c>
      <c r="AH112" s="175" t="str">
        <f ca="1">IF(AG112=0,"",IFERROR(AG112/AG$19,""))</f>
        <v/>
      </c>
      <c r="AI112" s="165">
        <f>IF(AND($AA112="",AG112=""),"",$AA112-AG112)</f>
        <v>1852.9599999999991</v>
      </c>
    </row>
    <row r="113" spans="3:35" x14ac:dyDescent="0.25">
      <c r="C113" s="32"/>
      <c r="H113" s="149"/>
      <c r="I113" s="161"/>
      <c r="J113" s="161"/>
      <c r="O113" s="139">
        <f t="shared" ref="O113:AA113" si="26">O92+O99+O106-O112</f>
        <v>0</v>
      </c>
      <c r="P113" s="139">
        <f t="shared" si="26"/>
        <v>0</v>
      </c>
      <c r="Q113" s="139">
        <f t="shared" si="26"/>
        <v>0</v>
      </c>
      <c r="R113" s="139">
        <f t="shared" si="26"/>
        <v>0</v>
      </c>
      <c r="S113" s="139">
        <f t="shared" si="26"/>
        <v>0</v>
      </c>
      <c r="T113" s="139">
        <f t="shared" si="26"/>
        <v>0</v>
      </c>
      <c r="U113" s="139">
        <f t="shared" si="26"/>
        <v>0</v>
      </c>
      <c r="V113" s="139">
        <f t="shared" si="26"/>
        <v>0</v>
      </c>
      <c r="W113" s="139">
        <f t="shared" si="26"/>
        <v>0</v>
      </c>
      <c r="X113" s="139">
        <f t="shared" si="26"/>
        <v>0</v>
      </c>
      <c r="Y113" s="139">
        <f t="shared" si="26"/>
        <v>0</v>
      </c>
      <c r="Z113" s="139">
        <f t="shared" si="26"/>
        <v>0</v>
      </c>
      <c r="AA113" s="139">
        <f t="shared" si="26"/>
        <v>0</v>
      </c>
      <c r="AB113" s="17"/>
      <c r="AD113" s="139">
        <f>AD92+AD99+AD106-AD112</f>
        <v>0</v>
      </c>
      <c r="AE113" s="17"/>
      <c r="AF113" s="21"/>
      <c r="AG113" s="139">
        <f>AG92+AG99+AG106-AG112</f>
        <v>0</v>
      </c>
      <c r="AH113" s="17"/>
      <c r="AI113" s="21"/>
    </row>
    <row r="114" spans="3:35" x14ac:dyDescent="0.25">
      <c r="C114" s="32"/>
      <c r="I114" s="1"/>
      <c r="J114" s="1"/>
    </row>
    <row r="115" spans="3:35" x14ac:dyDescent="0.25">
      <c r="C115" s="32"/>
      <c r="H115" s="15"/>
      <c r="I115" s="161"/>
      <c r="J115" s="161"/>
      <c r="L115" s="162" t="e">
        <f ca="1">_xll.EVPRO($B$1,H115,"JDEID")</f>
        <v>#NAME?</v>
      </c>
      <c r="M115" s="162" t="str">
        <f>IF(AND(I115="N",J115="N"),_xll.EVPRO($B$1,H115,"PSFTID"),"")</f>
        <v/>
      </c>
      <c r="N115" s="25" t="s">
        <v>820</v>
      </c>
      <c r="O115" s="508">
        <f ca="1">IFERROR(O19/O21,0)</f>
        <v>0</v>
      </c>
      <c r="P115" s="508">
        <f t="shared" ref="P115:AA115" ca="1" si="27">IFERROR(P19/P21,0)</f>
        <v>0</v>
      </c>
      <c r="Q115" s="508">
        <f t="shared" ca="1" si="27"/>
        <v>0</v>
      </c>
      <c r="R115" s="508">
        <f t="shared" ca="1" si="27"/>
        <v>0</v>
      </c>
      <c r="S115" s="508">
        <f t="shared" ca="1" si="27"/>
        <v>0</v>
      </c>
      <c r="T115" s="508">
        <f t="shared" ca="1" si="27"/>
        <v>0</v>
      </c>
      <c r="U115" s="508">
        <f t="shared" ca="1" si="27"/>
        <v>0</v>
      </c>
      <c r="V115" s="508">
        <f t="shared" ca="1" si="27"/>
        <v>0</v>
      </c>
      <c r="W115" s="508">
        <f t="shared" ca="1" si="27"/>
        <v>0</v>
      </c>
      <c r="X115" s="508">
        <f t="shared" ca="1" si="27"/>
        <v>0</v>
      </c>
      <c r="Y115" s="508">
        <f t="shared" ca="1" si="27"/>
        <v>0</v>
      </c>
      <c r="Z115" s="508">
        <f t="shared" ca="1" si="27"/>
        <v>0</v>
      </c>
      <c r="AA115" s="508">
        <f t="shared" ca="1" si="27"/>
        <v>0</v>
      </c>
      <c r="AB115" s="175"/>
      <c r="AD115" s="508">
        <f ca="1">IFERROR(AD19/AD21,0)</f>
        <v>0</v>
      </c>
      <c r="AE115" s="175"/>
      <c r="AF115" s="144">
        <f>IFERROR(AF19/AF21,0)</f>
        <v>0</v>
      </c>
      <c r="AG115" s="508">
        <f ca="1">IFERROR(AG19/AG21,0)</f>
        <v>0</v>
      </c>
      <c r="AH115" s="175"/>
      <c r="AI115" s="144">
        <f>IFERROR(AI19/AI21,0)</f>
        <v>0</v>
      </c>
    </row>
    <row r="116" spans="3:35" x14ac:dyDescent="0.25">
      <c r="C116" s="32"/>
      <c r="I116" s="1"/>
      <c r="J116" s="1"/>
    </row>
    <row r="117" spans="3:35" x14ac:dyDescent="0.25">
      <c r="C117" s="32"/>
      <c r="H117" s="149"/>
      <c r="I117" s="161"/>
      <c r="J117" s="161"/>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49"/>
      <c r="I118" s="161"/>
      <c r="J118" s="161"/>
      <c r="N118" s="26" t="e">
        <f ca="1">N82&amp;" - Check"</f>
        <v>#NAME?</v>
      </c>
      <c r="O118" s="139">
        <f t="shared" ref="O118:AA118" si="28">O39+O49+O59+O69+O75+O80-O82</f>
        <v>0</v>
      </c>
      <c r="P118" s="139">
        <f t="shared" si="28"/>
        <v>0</v>
      </c>
      <c r="Q118" s="139">
        <f t="shared" si="28"/>
        <v>0</v>
      </c>
      <c r="R118" s="139">
        <f t="shared" si="28"/>
        <v>0</v>
      </c>
      <c r="S118" s="139">
        <f t="shared" si="28"/>
        <v>0</v>
      </c>
      <c r="T118" s="139">
        <f t="shared" si="28"/>
        <v>0</v>
      </c>
      <c r="U118" s="139">
        <f t="shared" si="28"/>
        <v>0</v>
      </c>
      <c r="V118" s="139">
        <f t="shared" si="28"/>
        <v>0</v>
      </c>
      <c r="W118" s="139">
        <f t="shared" si="28"/>
        <v>0</v>
      </c>
      <c r="X118" s="139">
        <f t="shared" si="28"/>
        <v>0</v>
      </c>
      <c r="Y118" s="139">
        <f t="shared" si="28"/>
        <v>0</v>
      </c>
      <c r="Z118" s="139">
        <f t="shared" si="28"/>
        <v>0</v>
      </c>
      <c r="AA118" s="139">
        <f t="shared" si="28"/>
        <v>0</v>
      </c>
      <c r="AB118" s="17"/>
      <c r="AD118" s="139">
        <f>AD39+AD49+AD59+AD69+AD75+AD80-AD82</f>
        <v>0</v>
      </c>
      <c r="AE118" s="17"/>
      <c r="AF118" s="21"/>
      <c r="AG118" s="139">
        <f>AG39+AG49+AG59+AG69+AG75+AG80-AG82</f>
        <v>0</v>
      </c>
      <c r="AH118" s="17"/>
      <c r="AI118" s="21"/>
    </row>
    <row r="119" spans="3:35" x14ac:dyDescent="0.25">
      <c r="C119" s="32"/>
      <c r="H119" s="149"/>
      <c r="I119" s="161"/>
      <c r="J119" s="161"/>
      <c r="N119" s="26" t="e">
        <f ca="1">N83&amp;" - Check"</f>
        <v>#NAME?</v>
      </c>
      <c r="O119" s="139">
        <f t="shared" ref="O119:AA119" si="29">O41+O51+O61+O70+O76-O83</f>
        <v>0</v>
      </c>
      <c r="P119" s="139">
        <f t="shared" si="29"/>
        <v>0</v>
      </c>
      <c r="Q119" s="139">
        <f t="shared" si="29"/>
        <v>0</v>
      </c>
      <c r="R119" s="139">
        <f t="shared" si="29"/>
        <v>0</v>
      </c>
      <c r="S119" s="139">
        <f t="shared" si="29"/>
        <v>0</v>
      </c>
      <c r="T119" s="139">
        <f t="shared" si="29"/>
        <v>0</v>
      </c>
      <c r="U119" s="139">
        <f t="shared" si="29"/>
        <v>0</v>
      </c>
      <c r="V119" s="139">
        <f t="shared" si="29"/>
        <v>0</v>
      </c>
      <c r="W119" s="139">
        <f t="shared" si="29"/>
        <v>0</v>
      </c>
      <c r="X119" s="139">
        <f t="shared" si="29"/>
        <v>0</v>
      </c>
      <c r="Y119" s="139">
        <f t="shared" si="29"/>
        <v>0</v>
      </c>
      <c r="Z119" s="139">
        <f t="shared" si="29"/>
        <v>0</v>
      </c>
      <c r="AA119" s="139">
        <f t="shared" si="29"/>
        <v>0</v>
      </c>
      <c r="AB119" s="17"/>
      <c r="AD119" s="139">
        <f>AD41+AD51+AD61+AD70+AD76-AD83</f>
        <v>0</v>
      </c>
      <c r="AE119" s="17"/>
      <c r="AF119" s="21"/>
      <c r="AG119" s="139">
        <f>AG41+AG51+AG61+AG70+AG76-AG83</f>
        <v>0</v>
      </c>
      <c r="AH119" s="17"/>
      <c r="AI119" s="21"/>
    </row>
    <row r="120" spans="3:35" x14ac:dyDescent="0.25">
      <c r="C120" s="32"/>
      <c r="H120" s="149"/>
      <c r="I120" s="161"/>
      <c r="J120" s="161"/>
      <c r="N120" s="26" t="e">
        <f ca="1">N84&amp;" - Check"</f>
        <v>#NAME?</v>
      </c>
      <c r="O120" s="178">
        <f t="shared" ref="O120:AA120" si="30">IFERROR(O$82/O83,"")-O84</f>
        <v>0</v>
      </c>
      <c r="P120" s="178">
        <f t="shared" si="30"/>
        <v>0</v>
      </c>
      <c r="Q120" s="178">
        <f t="shared" si="30"/>
        <v>0</v>
      </c>
      <c r="R120" s="178">
        <f t="shared" si="30"/>
        <v>0</v>
      </c>
      <c r="S120" s="178">
        <f t="shared" si="30"/>
        <v>0</v>
      </c>
      <c r="T120" s="178">
        <f t="shared" si="30"/>
        <v>0</v>
      </c>
      <c r="U120" s="178">
        <f t="shared" si="30"/>
        <v>0</v>
      </c>
      <c r="V120" s="178" t="e">
        <f t="shared" si="30"/>
        <v>#VALUE!</v>
      </c>
      <c r="W120" s="178">
        <f t="shared" si="30"/>
        <v>-2.8421709430404007E-14</v>
      </c>
      <c r="X120" s="178">
        <f t="shared" si="30"/>
        <v>-2.8421709430404007E-13</v>
      </c>
      <c r="Y120" s="178">
        <f t="shared" si="30"/>
        <v>1.5631940186722204E-13</v>
      </c>
      <c r="Z120" s="178">
        <f t="shared" si="30"/>
        <v>0</v>
      </c>
      <c r="AA120" s="178">
        <f t="shared" si="30"/>
        <v>0</v>
      </c>
      <c r="AB120" s="17"/>
      <c r="AD120" s="178">
        <f>IFERROR(AD$82/AD83,"")-AD84</f>
        <v>0</v>
      </c>
      <c r="AE120" s="17"/>
      <c r="AF120" s="21"/>
      <c r="AG120" s="178">
        <f>IFERROR(AG$82/AG83,"")-AG84</f>
        <v>0</v>
      </c>
      <c r="AH120" s="17"/>
      <c r="AI120" s="21"/>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3" spans="3:34" x14ac:dyDescent="0.25">
      <c r="C133"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row>
    <row r="142" spans="3:34" x14ac:dyDescent="0.25">
      <c r="C142" s="32"/>
    </row>
    <row r="143" spans="3:34" x14ac:dyDescent="0.25">
      <c r="C143" s="32"/>
      <c r="I143" s="76"/>
      <c r="J143" s="1"/>
      <c r="K143" s="76"/>
      <c r="L143" s="76"/>
      <c r="M143" s="76"/>
      <c r="O143" s="76"/>
      <c r="P143" s="76"/>
      <c r="Q143" s="76"/>
      <c r="R143" s="76"/>
      <c r="S143" s="76"/>
      <c r="T143" s="76"/>
      <c r="U143" s="76"/>
      <c r="V143" s="76"/>
      <c r="W143" s="76"/>
      <c r="X143" s="76"/>
      <c r="Y143" s="76"/>
      <c r="Z143" s="76"/>
      <c r="AA143" s="76"/>
      <c r="AD143" s="76"/>
      <c r="AF143" s="76"/>
      <c r="AH143" s="76"/>
    </row>
    <row r="144" spans="3:34" x14ac:dyDescent="0.25">
      <c r="C144" s="32"/>
    </row>
    <row r="145" spans="3:34" x14ac:dyDescent="0.25">
      <c r="C145" s="32"/>
    </row>
    <row r="146" spans="3:34" x14ac:dyDescent="0.25">
      <c r="C146" s="32"/>
    </row>
    <row r="147" spans="3:34" x14ac:dyDescent="0.25">
      <c r="C147" s="32"/>
      <c r="I147" s="76"/>
      <c r="J147" s="1"/>
      <c r="K147" s="76"/>
      <c r="L147" s="76"/>
      <c r="M147" s="76"/>
      <c r="O147" s="76"/>
      <c r="P147" s="76"/>
      <c r="Q147" s="76"/>
      <c r="R147" s="76"/>
      <c r="S147" s="76"/>
      <c r="T147" s="76"/>
      <c r="U147" s="76"/>
      <c r="V147" s="76"/>
      <c r="W147" s="76"/>
      <c r="X147" s="76"/>
      <c r="Y147" s="76"/>
      <c r="Z147" s="76"/>
      <c r="AA147" s="76"/>
      <c r="AD147" s="76"/>
      <c r="AF147" s="76"/>
      <c r="AH147" s="76"/>
    </row>
    <row r="148" spans="3:34" x14ac:dyDescent="0.25">
      <c r="C148" s="32"/>
    </row>
    <row r="149" spans="3:34" x14ac:dyDescent="0.25">
      <c r="C149" s="32"/>
    </row>
    <row r="203" spans="5:5" x14ac:dyDescent="0.25">
      <c r="E203" s="76"/>
    </row>
    <row r="207" spans="5:5" x14ac:dyDescent="0.25">
      <c r="E207" s="76"/>
    </row>
  </sheetData>
  <mergeCells count="2">
    <mergeCell ref="AD31:AE31"/>
    <mergeCell ref="AG31:AH31"/>
  </mergeCells>
  <conditionalFormatting sqref="AD43 AF43:AG43 O43:AA43">
    <cfRule type="expression" dxfId="47" priority="10">
      <formula>ROUND(O42,2)&lt;&gt;ROUND(O43,2)</formula>
    </cfRule>
  </conditionalFormatting>
  <conditionalFormatting sqref="O53:AA53 AD53 AF53:AG53">
    <cfRule type="expression" dxfId="46" priority="9">
      <formula>ROUND(O52,2)&lt;&gt;ROUND(O53,2)</formula>
    </cfRule>
  </conditionalFormatting>
  <conditionalFormatting sqref="O63:AA63 AD63 AF63:AG63">
    <cfRule type="expression" dxfId="45" priority="8">
      <formula>ROUND(O62,2)&lt;&gt;ROUND(O63,2)</formula>
    </cfRule>
  </conditionalFormatting>
  <conditionalFormatting sqref="O72:AA72 AD72 AF72:AG72">
    <cfRule type="expression" dxfId="44" priority="7">
      <formula>ROUND(O71,2)&lt;&gt;ROUND(O72,2)</formula>
    </cfRule>
  </conditionalFormatting>
  <conditionalFormatting sqref="AD78 AF78:AG78 O78:AA78">
    <cfRule type="expression" dxfId="43" priority="6">
      <formula>ROUND(O77,2)&lt;&gt;ROUND(O78,2)</formula>
    </cfRule>
  </conditionalFormatting>
  <conditionalFormatting sqref="AI43">
    <cfRule type="expression" dxfId="42" priority="5">
      <formula>ROUND(AI42,2)&lt;&gt;ROUND(AI43,2)</formula>
    </cfRule>
  </conditionalFormatting>
  <conditionalFormatting sqref="AI53">
    <cfRule type="expression" dxfId="41" priority="4">
      <formula>ROUND(AI52,2)&lt;&gt;ROUND(AI53,2)</formula>
    </cfRule>
  </conditionalFormatting>
  <conditionalFormatting sqref="AI63">
    <cfRule type="expression" dxfId="40" priority="3">
      <formula>ROUND(AI62,2)&lt;&gt;ROUND(AI63,2)</formula>
    </cfRule>
  </conditionalFormatting>
  <conditionalFormatting sqref="AI72">
    <cfRule type="expression" dxfId="39" priority="2">
      <formula>ROUND(AI71,2)&lt;&gt;ROUND(AI72,2)</formula>
    </cfRule>
  </conditionalFormatting>
  <conditionalFormatting sqref="AI78">
    <cfRule type="expression" dxfId="38" priority="1">
      <formula>ROUND(AI77,2)&lt;&gt;ROUND(AI78,2)</formula>
    </cfRule>
  </conditionalFormatting>
  <conditionalFormatting sqref="N43 N53 N63 N72 N78">
    <cfRule type="expression" dxfId="37" priority="11">
      <formula>$G44&lt;&gt;0</formula>
    </cfRule>
  </conditionalFormatting>
  <conditionalFormatting sqref="N79">
    <cfRule type="expression" dxfId="36" priority="12">
      <formula>#REF!&lt;&gt;0</formula>
    </cfRule>
  </conditionalFormatting>
  <dataValidations count="2">
    <dataValidation type="list" allowBlank="1" sqref="B29" xr:uid="{00000000-0002-0000-3400-000000000000}">
      <formula1>"SELF,ALL,BAS,DEP,BASMEMBERS,MEMBERS,NOEXPAND,GDEP"</formula1>
    </dataValidation>
    <dataValidation type="list" allowBlank="1" sqref="B28" xr:uid="{00000000-0002-0000-34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7201"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7201" r:id="rId7" name="FPMExcelClientSheetOptionstb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7.855468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805</v>
      </c>
      <c r="C6" s="1" t="s">
        <v>1490</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1499</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1500</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1501</v>
      </c>
      <c r="G19" s="18" t="str">
        <f>$B$6</f>
        <v>D2248</v>
      </c>
      <c r="H19" s="18" t="s">
        <v>273</v>
      </c>
      <c r="I19" s="19"/>
      <c r="J19" s="19"/>
      <c r="K19" s="18"/>
      <c r="L19" s="18"/>
      <c r="M19" s="18"/>
      <c r="N19" s="18" t="s">
        <v>1214</v>
      </c>
      <c r="O19" s="20">
        <v>59613</v>
      </c>
      <c r="P19" s="20">
        <v>34793.5</v>
      </c>
      <c r="Q19" s="20">
        <v>31173.07</v>
      </c>
      <c r="R19" s="20">
        <v>11812.25</v>
      </c>
      <c r="S19" s="20">
        <v>13229</v>
      </c>
      <c r="T19" s="20">
        <v>4737.9799999999996</v>
      </c>
      <c r="U19" s="20">
        <v>332</v>
      </c>
      <c r="V19" s="20">
        <v>3040</v>
      </c>
      <c r="W19" s="20">
        <v>8059.51</v>
      </c>
      <c r="X19" s="20">
        <v>13310.1</v>
      </c>
      <c r="Y19" s="20">
        <v>18926.3</v>
      </c>
      <c r="Z19" s="20">
        <v>54531.26</v>
      </c>
      <c r="AA19" s="20">
        <f>SUM(O19:Z19)</f>
        <v>253557.97000000003</v>
      </c>
      <c r="AB19" s="18"/>
      <c r="AC19" s="18"/>
      <c r="AD19" s="20">
        <v>292116.25</v>
      </c>
      <c r="AE19" s="18"/>
      <c r="AF19" s="18"/>
      <c r="AG19" s="20">
        <v>227112.93</v>
      </c>
      <c r="AH19" s="18"/>
      <c r="AI19" s="18"/>
    </row>
    <row r="20" spans="1:35" hidden="1" outlineLevel="1" x14ac:dyDescent="0.25">
      <c r="A20" s="6" t="s">
        <v>5</v>
      </c>
      <c r="B20" s="7"/>
      <c r="G20" s="18" t="str">
        <f>$B$6</f>
        <v>D2248</v>
      </c>
      <c r="H20" s="18">
        <v>946000</v>
      </c>
      <c r="I20" s="19"/>
      <c r="J20" s="19"/>
      <c r="K20" s="18"/>
      <c r="L20" s="18"/>
      <c r="M20" s="18"/>
      <c r="N20" s="18" t="s">
        <v>1196</v>
      </c>
      <c r="O20" s="20">
        <v>1065</v>
      </c>
      <c r="P20" s="20">
        <v>511</v>
      </c>
      <c r="Q20" s="20">
        <v>526</v>
      </c>
      <c r="R20" s="20">
        <v>241</v>
      </c>
      <c r="S20" s="20">
        <v>150</v>
      </c>
      <c r="T20" s="20">
        <v>152</v>
      </c>
      <c r="U20" s="20">
        <v>36</v>
      </c>
      <c r="V20" s="20">
        <v>0</v>
      </c>
      <c r="W20" s="20">
        <v>265</v>
      </c>
      <c r="X20" s="20">
        <v>70</v>
      </c>
      <c r="Y20" s="20">
        <v>161</v>
      </c>
      <c r="Z20" s="20">
        <v>750</v>
      </c>
      <c r="AA20" s="20">
        <f>SUM(O20:Z20)</f>
        <v>3927</v>
      </c>
      <c r="AB20" s="18"/>
      <c r="AC20" s="18"/>
      <c r="AD20" s="20">
        <f>SUM(R20:AC20)</f>
        <v>5752</v>
      </c>
      <c r="AE20" s="18"/>
      <c r="AF20" s="18"/>
      <c r="AG20" s="20">
        <f>SUM(U20:AF20)</f>
        <v>10961</v>
      </c>
      <c r="AH20" s="18"/>
      <c r="AI20" s="18"/>
    </row>
    <row r="21" spans="1:35" hidden="1" outlineLevel="1" x14ac:dyDescent="0.25">
      <c r="A21" s="6" t="s">
        <v>6</v>
      </c>
      <c r="B21" s="7"/>
      <c r="G21" s="18" t="s">
        <v>254</v>
      </c>
      <c r="H21" s="18">
        <v>901000</v>
      </c>
      <c r="I21" s="19"/>
      <c r="J21" s="19"/>
      <c r="K21" s="18"/>
      <c r="L21" s="18"/>
      <c r="M21" s="18"/>
      <c r="N21" s="18" t="s">
        <v>1147</v>
      </c>
      <c r="O21" s="20">
        <v>726</v>
      </c>
      <c r="P21" s="20">
        <v>565</v>
      </c>
      <c r="Q21" s="20">
        <v>425</v>
      </c>
      <c r="R21" s="20">
        <v>233</v>
      </c>
      <c r="S21" s="20">
        <v>407</v>
      </c>
      <c r="T21" s="20">
        <v>357</v>
      </c>
      <c r="U21" s="20">
        <v>13</v>
      </c>
      <c r="V21" s="20">
        <v>55</v>
      </c>
      <c r="W21" s="20">
        <v>72</v>
      </c>
      <c r="X21" s="20">
        <v>277</v>
      </c>
      <c r="Y21" s="20">
        <v>487</v>
      </c>
      <c r="Z21" s="20">
        <v>539</v>
      </c>
      <c r="AA21" s="20">
        <v>4156</v>
      </c>
      <c r="AB21" s="18"/>
      <c r="AC21" s="18"/>
      <c r="AD21" s="20">
        <v>5684</v>
      </c>
      <c r="AE21" s="18"/>
      <c r="AF21" s="18"/>
      <c r="AG21" s="20">
        <v>4584</v>
      </c>
      <c r="AH21" s="18"/>
      <c r="AI21" s="18"/>
    </row>
    <row r="22" spans="1:35" hidden="1" outlineLevel="1" x14ac:dyDescent="0.25">
      <c r="A22" s="6" t="s">
        <v>7</v>
      </c>
      <c r="B22" s="7"/>
      <c r="I22" s="1"/>
      <c r="J22" s="1"/>
    </row>
    <row r="23" spans="1:35" hidden="1" outlineLevel="1" x14ac:dyDescent="0.25">
      <c r="A23" s="6" t="s">
        <v>47</v>
      </c>
      <c r="B23" s="16" t="s">
        <v>1502</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1496</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v>1220</v>
      </c>
      <c r="P35" s="21"/>
      <c r="Q35" s="21">
        <v>1455</v>
      </c>
      <c r="R35" s="21">
        <v>924</v>
      </c>
      <c r="S35" s="21">
        <v>1610</v>
      </c>
      <c r="T35" s="21"/>
      <c r="U35" s="21">
        <v>-319</v>
      </c>
      <c r="V35" s="21">
        <v>1870</v>
      </c>
      <c r="W35" s="21">
        <v>-218.4</v>
      </c>
      <c r="X35" s="21"/>
      <c r="Y35" s="21">
        <v>4638</v>
      </c>
      <c r="Z35" s="21">
        <v>6120</v>
      </c>
      <c r="AA35" s="21">
        <f t="shared" ref="AA35:AA41" si="0">SUM(O35:Z35)</f>
        <v>17299.599999999999</v>
      </c>
      <c r="AB35" s="17">
        <f>IF(AA35=0,"",IFERROR(AA35/AA$19,""))</f>
        <v>6.8227395888995318E-2</v>
      </c>
      <c r="AD35" s="21">
        <v>84795</v>
      </c>
      <c r="AE35" s="17">
        <f>IF(AD35=0,"",IFERROR(AD35/AD$19,""))</f>
        <v>0.29027827106502974</v>
      </c>
      <c r="AF35" s="50">
        <f t="shared" ref="AF35:AF42" si="1">IF(AND($AA35="",AD35=""),"",$AA35-AD35)</f>
        <v>-67495.399999999994</v>
      </c>
      <c r="AG35" s="21">
        <v>22025</v>
      </c>
      <c r="AH35" s="17">
        <f>IF(AG35=0,"",IFERROR(AG35/AG$19,""))</f>
        <v>9.697818613849947E-2</v>
      </c>
      <c r="AI35" s="50">
        <f t="shared" ref="AI35:AI42" si="2">IF(AND($AA35="",AG35=""),"",$AA35-AG35)</f>
        <v>-4725.4000000000015</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v>1170</v>
      </c>
      <c r="W36" s="21"/>
      <c r="X36" s="21"/>
      <c r="Y36" s="21"/>
      <c r="Z36" s="21">
        <v>1463</v>
      </c>
      <c r="AA36" s="21">
        <f t="shared" si="0"/>
        <v>2633</v>
      </c>
      <c r="AB36" s="17">
        <f>IF(AA36=0,"",IFERROR(AA36/AA$19,""))</f>
        <v>1.0384213124911829E-2</v>
      </c>
      <c r="AD36" s="21"/>
      <c r="AE36" s="17" t="str">
        <f>IF(AD36=0,"",IFERROR(AD36/AD$19,""))</f>
        <v/>
      </c>
      <c r="AF36" s="50">
        <f t="shared" si="1"/>
        <v>2633</v>
      </c>
      <c r="AG36" s="21"/>
      <c r="AH36" s="17" t="str">
        <f>IF(AG36=0,"",IFERROR(AG36/AG$19,""))</f>
        <v/>
      </c>
      <c r="AI36" s="50">
        <f t="shared" si="2"/>
        <v>2633</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v>152</v>
      </c>
      <c r="AA38" s="30">
        <f t="shared" si="0"/>
        <v>152</v>
      </c>
      <c r="AB38" s="31">
        <f>IF(AA38=0,"",IFERROR(AA38/AA$19,""))</f>
        <v>5.9946843713885227E-4</v>
      </c>
      <c r="AD38" s="30"/>
      <c r="AE38" s="31" t="str">
        <f>IF(AD38=0,"",IFERROR(AD38/AD$19,""))</f>
        <v/>
      </c>
      <c r="AF38" s="51">
        <f t="shared" si="1"/>
        <v>152</v>
      </c>
      <c r="AG38" s="30"/>
      <c r="AH38" s="31" t="str">
        <f>IF(AG38=0,"",IFERROR(AG38/AG$19,""))</f>
        <v/>
      </c>
      <c r="AI38" s="51">
        <f t="shared" si="2"/>
        <v>152</v>
      </c>
    </row>
    <row r="39" spans="1:35" x14ac:dyDescent="0.25">
      <c r="A39" s="6" t="s">
        <v>27</v>
      </c>
      <c r="B39" s="7"/>
      <c r="H39" s="15" t="s">
        <v>318</v>
      </c>
      <c r="I39" s="161" t="s">
        <v>1009</v>
      </c>
      <c r="J39" s="161" t="s">
        <v>78</v>
      </c>
      <c r="K39" s="162"/>
      <c r="L39" s="162"/>
      <c r="M39" s="162"/>
      <c r="N39" s="25" t="s">
        <v>1262</v>
      </c>
      <c r="O39" s="164">
        <v>1220</v>
      </c>
      <c r="P39" s="164"/>
      <c r="Q39" s="164">
        <v>1455</v>
      </c>
      <c r="R39" s="164">
        <v>924</v>
      </c>
      <c r="S39" s="164">
        <v>1610</v>
      </c>
      <c r="T39" s="164"/>
      <c r="U39" s="164">
        <v>-319</v>
      </c>
      <c r="V39" s="164">
        <v>3040</v>
      </c>
      <c r="W39" s="164">
        <v>-218.4</v>
      </c>
      <c r="X39" s="164"/>
      <c r="Y39" s="164">
        <v>4638</v>
      </c>
      <c r="Z39" s="164">
        <v>7735</v>
      </c>
      <c r="AA39" s="164">
        <f t="shared" si="0"/>
        <v>20084.599999999999</v>
      </c>
      <c r="AB39" s="175">
        <f>IF(AA39=0,"",IFERROR(AA39/AA$19,""))</f>
        <v>7.9211077451045997E-2</v>
      </c>
      <c r="AD39" s="164">
        <v>84795</v>
      </c>
      <c r="AE39" s="175">
        <f>IF(AD39=0,"",IFERROR(AD39/AD$19,""))</f>
        <v>0.29027827106502974</v>
      </c>
      <c r="AF39" s="165">
        <f t="shared" si="1"/>
        <v>-64710.400000000001</v>
      </c>
      <c r="AG39" s="164">
        <v>22025</v>
      </c>
      <c r="AH39" s="175">
        <f>IF(AG39=0,"",IFERROR(AG39/AG$19,""))</f>
        <v>9.697818613849947E-2</v>
      </c>
      <c r="AI39" s="165">
        <f t="shared" si="2"/>
        <v>-1940.4000000000015</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v>44</v>
      </c>
      <c r="P41" s="38"/>
      <c r="Q41" s="38">
        <v>33</v>
      </c>
      <c r="R41" s="38">
        <v>26</v>
      </c>
      <c r="S41" s="38">
        <v>48</v>
      </c>
      <c r="T41" s="38"/>
      <c r="U41" s="38">
        <v>23</v>
      </c>
      <c r="V41" s="38"/>
      <c r="W41" s="38"/>
      <c r="X41" s="38"/>
      <c r="Y41" s="38">
        <v>67</v>
      </c>
      <c r="Z41" s="38">
        <v>139</v>
      </c>
      <c r="AA41" s="38">
        <f t="shared" si="0"/>
        <v>380</v>
      </c>
      <c r="AB41" s="39">
        <f>IF(AA41=0,"",IFERROR(AA41/AA$83,""))</f>
        <v>9.6765979118920292E-2</v>
      </c>
      <c r="AD41" s="38">
        <v>1748</v>
      </c>
      <c r="AE41" s="39">
        <f>IF(AD41=0,"",IFERROR(AD41/AD$83,""))</f>
        <v>0.3844292940400264</v>
      </c>
      <c r="AF41" s="132">
        <f t="shared" si="1"/>
        <v>-1368</v>
      </c>
      <c r="AG41" s="38">
        <v>214</v>
      </c>
      <c r="AH41" s="39">
        <f>IF(AG41=0,"",IFERROR(AG41/AG$83,""))</f>
        <v>5.4300938848008122E-2</v>
      </c>
      <c r="AI41" s="132">
        <f t="shared" si="2"/>
        <v>166</v>
      </c>
    </row>
    <row r="42" spans="1:35" x14ac:dyDescent="0.25">
      <c r="A42" s="6" t="s">
        <v>30</v>
      </c>
      <c r="B42" s="7" t="s">
        <v>78</v>
      </c>
      <c r="H42" s="15" t="s">
        <v>313</v>
      </c>
      <c r="I42" s="161" t="s">
        <v>1009</v>
      </c>
      <c r="J42" s="161" t="s">
        <v>78</v>
      </c>
      <c r="K42" s="162"/>
      <c r="L42" s="162"/>
      <c r="M42" s="162"/>
      <c r="N42" s="170" t="s">
        <v>1264</v>
      </c>
      <c r="O42" s="176">
        <v>27.727272727272702</v>
      </c>
      <c r="P42" s="176"/>
      <c r="Q42" s="176">
        <v>44.090909090909101</v>
      </c>
      <c r="R42" s="176">
        <v>35.538461538461497</v>
      </c>
      <c r="S42" s="176">
        <v>33.5416666666667</v>
      </c>
      <c r="T42" s="176"/>
      <c r="U42" s="176">
        <v>-13.869565217391299</v>
      </c>
      <c r="V42" s="176"/>
      <c r="W42" s="176"/>
      <c r="X42" s="176"/>
      <c r="Y42" s="176">
        <v>69.223880597014897</v>
      </c>
      <c r="Z42" s="176">
        <v>55.647482014388501</v>
      </c>
      <c r="AA42" s="176">
        <f>IFERROR(AA39/AA41,"")</f>
        <v>52.854210526315782</v>
      </c>
      <c r="AB42" s="176"/>
      <c r="AD42" s="176">
        <v>48.509725400457697</v>
      </c>
      <c r="AE42" s="176"/>
      <c r="AF42" s="177">
        <f t="shared" si="1"/>
        <v>4.3444851258580854</v>
      </c>
      <c r="AG42" s="176">
        <v>102.920560747664</v>
      </c>
      <c r="AH42" s="176"/>
      <c r="AI42" s="177">
        <f t="shared" si="2"/>
        <v>-50.066350221348216</v>
      </c>
    </row>
    <row r="43" spans="1:35" x14ac:dyDescent="0.25">
      <c r="A43" s="6" t="s">
        <v>31</v>
      </c>
      <c r="B43" s="7" t="s">
        <v>78</v>
      </c>
      <c r="H43" s="15"/>
      <c r="I43" s="161"/>
      <c r="J43" s="161"/>
      <c r="K43" s="162"/>
      <c r="L43" s="162"/>
      <c r="M43" s="162"/>
      <c r="N43" s="182" t="s">
        <v>345</v>
      </c>
      <c r="O43" s="179">
        <f t="shared" ref="O43:AA43" si="3">ROUND(IFERROR(O39/O41,0),2)</f>
        <v>27.73</v>
      </c>
      <c r="P43" s="184">
        <f t="shared" si="3"/>
        <v>0</v>
      </c>
      <c r="Q43" s="184">
        <f t="shared" si="3"/>
        <v>44.09</v>
      </c>
      <c r="R43" s="184">
        <f t="shared" si="3"/>
        <v>35.54</v>
      </c>
      <c r="S43" s="184">
        <f t="shared" si="3"/>
        <v>33.54</v>
      </c>
      <c r="T43" s="184">
        <f t="shared" si="3"/>
        <v>0</v>
      </c>
      <c r="U43" s="184">
        <f t="shared" si="3"/>
        <v>-13.87</v>
      </c>
      <c r="V43" s="184">
        <f t="shared" si="3"/>
        <v>0</v>
      </c>
      <c r="W43" s="184">
        <f t="shared" si="3"/>
        <v>0</v>
      </c>
      <c r="X43" s="184">
        <f t="shared" si="3"/>
        <v>0</v>
      </c>
      <c r="Y43" s="184">
        <f t="shared" si="3"/>
        <v>69.22</v>
      </c>
      <c r="Z43" s="184">
        <f t="shared" si="3"/>
        <v>55.65</v>
      </c>
      <c r="AA43" s="184">
        <f t="shared" si="3"/>
        <v>52.85</v>
      </c>
      <c r="AB43" s="183"/>
      <c r="AD43" s="179">
        <f>ROUND(IFERROR(AD39/AD41,0),2)</f>
        <v>48.51</v>
      </c>
      <c r="AE43" s="184"/>
      <c r="AF43" s="180"/>
      <c r="AG43" s="179">
        <f>ROUND(IFERROR(AG39/AG41,0),2)</f>
        <v>102.92</v>
      </c>
      <c r="AH43" s="184"/>
      <c r="AI43" s="180"/>
    </row>
    <row r="44" spans="1:35" x14ac:dyDescent="0.25">
      <c r="A44" s="6" t="s">
        <v>32</v>
      </c>
      <c r="B44" s="7"/>
      <c r="G44" s="181">
        <f>COUNTIF(O44:AI44,FALSE)</f>
        <v>0</v>
      </c>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b">
        <f t="shared" si="4"/>
        <v>1</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v>16592</v>
      </c>
      <c r="P45" s="21">
        <v>24138.5</v>
      </c>
      <c r="Q45" s="21">
        <v>4879.07</v>
      </c>
      <c r="R45" s="21">
        <v>1354.25</v>
      </c>
      <c r="S45" s="21">
        <v>3357</v>
      </c>
      <c r="T45" s="21"/>
      <c r="U45" s="21">
        <v>651</v>
      </c>
      <c r="V45" s="21"/>
      <c r="W45" s="21">
        <v>5795.51</v>
      </c>
      <c r="X45" s="21">
        <v>13310.1</v>
      </c>
      <c r="Y45" s="21">
        <v>1047.2</v>
      </c>
      <c r="Z45" s="21">
        <v>28285</v>
      </c>
      <c r="AA45" s="21">
        <f t="shared" ref="AA45:AA51" si="5">SUM(O45:Z45)</f>
        <v>99409.63</v>
      </c>
      <c r="AB45" s="17">
        <f>IF(AA45=0,"",IFERROR(AA45/AA$19,""))</f>
        <v>0.39205878639902342</v>
      </c>
      <c r="AD45" s="21">
        <v>113885.235115</v>
      </c>
      <c r="AE45" s="17">
        <f>IF(AD45=0,"",IFERROR(AD45/AD$19,""))</f>
        <v>0.38986271771940112</v>
      </c>
      <c r="AF45" s="50">
        <f t="shared" ref="AF45:AF52" si="6">IF(AND($AA45="",AD45=""),"",$AA45-AD45)</f>
        <v>-14475.605114999998</v>
      </c>
      <c r="AG45" s="21">
        <v>166083.93</v>
      </c>
      <c r="AH45" s="17">
        <f>IF(AG45=0,"",IFERROR(AG45/AG$19,""))</f>
        <v>0.73128346325328109</v>
      </c>
      <c r="AI45" s="50">
        <f t="shared" ref="AI45:AI52" si="7">IF(AND($AA45="",AG45=""),"",$AA45-AG45)</f>
        <v>-66674.299999999988</v>
      </c>
    </row>
    <row r="46" spans="1:35" x14ac:dyDescent="0.25">
      <c r="A46" s="6" t="s">
        <v>34</v>
      </c>
      <c r="B46" s="7"/>
      <c r="H46" s="149" t="s">
        <v>301</v>
      </c>
      <c r="I46" s="161" t="s">
        <v>1123</v>
      </c>
      <c r="J46" s="161" t="s">
        <v>78</v>
      </c>
      <c r="K46" s="162"/>
      <c r="L46" s="162">
        <v>462200</v>
      </c>
      <c r="M46" s="162"/>
      <c r="N46" s="162" t="s">
        <v>1266</v>
      </c>
      <c r="O46" s="21"/>
      <c r="P46" s="21"/>
      <c r="Q46" s="21">
        <v>50</v>
      </c>
      <c r="R46" s="21">
        <v>873</v>
      </c>
      <c r="S46" s="21"/>
      <c r="T46" s="21">
        <v>73</v>
      </c>
      <c r="U46" s="21"/>
      <c r="V46" s="21"/>
      <c r="W46" s="21">
        <v>741</v>
      </c>
      <c r="X46" s="21"/>
      <c r="Y46" s="21"/>
      <c r="Z46" s="21">
        <v>-180</v>
      </c>
      <c r="AA46" s="21">
        <f t="shared" si="5"/>
        <v>1557</v>
      </c>
      <c r="AB46" s="17">
        <f>IF(AA46=0,"",IFERROR(AA46/AA$19,""))</f>
        <v>6.1406076093762692E-3</v>
      </c>
      <c r="AD46" s="21">
        <v>1220.53943</v>
      </c>
      <c r="AE46" s="17">
        <f>IF(AD46=0,"",IFERROR(AD46/AD$19,""))</f>
        <v>4.1782661183689717E-3</v>
      </c>
      <c r="AF46" s="50">
        <f t="shared" si="6"/>
        <v>336.46056999999996</v>
      </c>
      <c r="AG46" s="21">
        <v>4141</v>
      </c>
      <c r="AH46" s="17">
        <f>IF(AG46=0,"",IFERROR(AG46/AG$19,""))</f>
        <v>1.8233219922793475E-2</v>
      </c>
      <c r="AI46" s="50">
        <f t="shared" si="7"/>
        <v>-2584</v>
      </c>
    </row>
    <row r="47" spans="1:35" x14ac:dyDescent="0.25">
      <c r="A47" s="6" t="s">
        <v>35</v>
      </c>
      <c r="B47" s="7"/>
      <c r="H47" s="149" t="s">
        <v>305</v>
      </c>
      <c r="I47" s="161" t="s">
        <v>1123</v>
      </c>
      <c r="J47" s="161" t="s">
        <v>78</v>
      </c>
      <c r="K47" s="162"/>
      <c r="L47" s="162">
        <v>462300</v>
      </c>
      <c r="M47" s="162"/>
      <c r="N47" s="162" t="s">
        <v>1267</v>
      </c>
      <c r="O47" s="21"/>
      <c r="P47" s="21"/>
      <c r="Q47" s="21">
        <v>250</v>
      </c>
      <c r="R47" s="21">
        <v>-48</v>
      </c>
      <c r="S47" s="21"/>
      <c r="T47" s="21"/>
      <c r="U47" s="21"/>
      <c r="V47" s="21"/>
      <c r="W47" s="21"/>
      <c r="X47" s="21"/>
      <c r="Y47" s="21"/>
      <c r="Z47" s="21">
        <v>654</v>
      </c>
      <c r="AA47" s="21">
        <f t="shared" si="5"/>
        <v>856</v>
      </c>
      <c r="AB47" s="17">
        <f>IF(AA47=0,"",IFERROR(AA47/AA$19,""))</f>
        <v>3.3759538302030102E-3</v>
      </c>
      <c r="AD47" s="21">
        <v>45.015599999999999</v>
      </c>
      <c r="AE47" s="17">
        <f>IF(AD47=0,"",IFERROR(AD47/AD$19,""))</f>
        <v>1.5410166329329504E-4</v>
      </c>
      <c r="AF47" s="50">
        <f t="shared" si="6"/>
        <v>810.98440000000005</v>
      </c>
      <c r="AG47" s="21">
        <v>211</v>
      </c>
      <c r="AH47" s="17">
        <f>IF(AG47=0,"",IFERROR(AG47/AG$19,""))</f>
        <v>9.2905322475475094E-4</v>
      </c>
      <c r="AI47" s="50">
        <f t="shared" si="7"/>
        <v>645</v>
      </c>
    </row>
    <row r="48" spans="1:35" x14ac:dyDescent="0.25">
      <c r="A48" s="6" t="s">
        <v>36</v>
      </c>
      <c r="B48" s="7"/>
      <c r="H48" s="149" t="s">
        <v>303</v>
      </c>
      <c r="I48" s="161" t="s">
        <v>1123</v>
      </c>
      <c r="J48" s="161" t="s">
        <v>78</v>
      </c>
      <c r="K48" s="162"/>
      <c r="L48" s="162">
        <v>462400</v>
      </c>
      <c r="M48" s="162"/>
      <c r="N48" s="162" t="s">
        <v>1268</v>
      </c>
      <c r="O48" s="30"/>
      <c r="P48" s="30"/>
      <c r="Q48" s="30"/>
      <c r="R48" s="30">
        <v>433</v>
      </c>
      <c r="S48" s="30"/>
      <c r="T48" s="30"/>
      <c r="U48" s="30"/>
      <c r="V48" s="30"/>
      <c r="W48" s="30"/>
      <c r="X48" s="30"/>
      <c r="Y48" s="30"/>
      <c r="Z48" s="30">
        <v>588</v>
      </c>
      <c r="AA48" s="30">
        <f t="shared" si="5"/>
        <v>1021</v>
      </c>
      <c r="AB48" s="31">
        <f>IF(AA48=0,"",IFERROR(AA48/AA$19,""))</f>
        <v>4.0266925942024218E-3</v>
      </c>
      <c r="AD48" s="30">
        <v>1094.4598550000001</v>
      </c>
      <c r="AE48" s="31">
        <f>IF(AD48=0,"",IFERROR(AD48/AD$19,""))</f>
        <v>3.7466585819857677E-3</v>
      </c>
      <c r="AF48" s="51">
        <f t="shared" si="6"/>
        <v>-73.459855000000061</v>
      </c>
      <c r="AG48" s="30">
        <v>851</v>
      </c>
      <c r="AH48" s="31">
        <f>IF(AG48=0,"",IFERROR(AG48/AG$19,""))</f>
        <v>3.7470345699824313E-3</v>
      </c>
      <c r="AI48" s="51">
        <f t="shared" si="7"/>
        <v>170</v>
      </c>
    </row>
    <row r="49" spans="1:35" x14ac:dyDescent="0.25">
      <c r="A49" s="6" t="s">
        <v>37</v>
      </c>
      <c r="B49" s="7"/>
      <c r="H49" s="15" t="s">
        <v>319</v>
      </c>
      <c r="I49" s="161" t="s">
        <v>1009</v>
      </c>
      <c r="J49" s="161" t="s">
        <v>78</v>
      </c>
      <c r="K49" s="162"/>
      <c r="L49" s="162"/>
      <c r="M49" s="162"/>
      <c r="N49" s="25" t="s">
        <v>1269</v>
      </c>
      <c r="O49" s="164">
        <v>16592</v>
      </c>
      <c r="P49" s="164">
        <v>24138.5</v>
      </c>
      <c r="Q49" s="164">
        <v>5179.07</v>
      </c>
      <c r="R49" s="164">
        <v>2612.25</v>
      </c>
      <c r="S49" s="164">
        <v>3357</v>
      </c>
      <c r="T49" s="164">
        <v>73</v>
      </c>
      <c r="U49" s="164">
        <v>651</v>
      </c>
      <c r="V49" s="164"/>
      <c r="W49" s="164">
        <v>6536.51</v>
      </c>
      <c r="X49" s="164">
        <v>13310.1</v>
      </c>
      <c r="Y49" s="164">
        <v>1047.2</v>
      </c>
      <c r="Z49" s="164">
        <v>29347</v>
      </c>
      <c r="AA49" s="164">
        <f t="shared" si="5"/>
        <v>102843.63</v>
      </c>
      <c r="AB49" s="175">
        <f>IF(AA49=0,"",IFERROR(AA49/AA$19,""))</f>
        <v>0.40560204043280512</v>
      </c>
      <c r="AD49" s="164">
        <v>116245.25</v>
      </c>
      <c r="AE49" s="175">
        <f>IF(AD49=0,"",IFERROR(AD49/AD$19,""))</f>
        <v>0.39794174408304911</v>
      </c>
      <c r="AF49" s="165">
        <f t="shared" si="6"/>
        <v>-13401.619999999995</v>
      </c>
      <c r="AG49" s="164">
        <v>171286.93</v>
      </c>
      <c r="AH49" s="175">
        <f>IF(AG49=0,"",IFERROR(AG49/AG$19,""))</f>
        <v>0.75419277097081172</v>
      </c>
      <c r="AI49" s="165">
        <f t="shared" si="7"/>
        <v>-68443.299999999988</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v>460</v>
      </c>
      <c r="P51" s="38">
        <v>413</v>
      </c>
      <c r="Q51" s="38">
        <v>329</v>
      </c>
      <c r="R51" s="38">
        <v>114</v>
      </c>
      <c r="S51" s="38">
        <v>34</v>
      </c>
      <c r="T51" s="38">
        <v>1</v>
      </c>
      <c r="U51" s="38">
        <v>13</v>
      </c>
      <c r="V51" s="38"/>
      <c r="W51" s="38">
        <v>160</v>
      </c>
      <c r="X51" s="38">
        <v>70</v>
      </c>
      <c r="Y51" s="38">
        <v>19</v>
      </c>
      <c r="Z51" s="38">
        <v>344</v>
      </c>
      <c r="AA51" s="38">
        <f t="shared" si="5"/>
        <v>1957</v>
      </c>
      <c r="AB51" s="39">
        <f>IF(AA51=0,"",IFERROR(AA51/AA$83,""))</f>
        <v>0.49834479246243951</v>
      </c>
      <c r="AD51" s="38">
        <v>1677</v>
      </c>
      <c r="AE51" s="39">
        <f>IF(AD51=0,"",IFERROR(AD51/AD$83,""))</f>
        <v>0.3688146030349681</v>
      </c>
      <c r="AF51" s="132">
        <f t="shared" si="6"/>
        <v>280</v>
      </c>
      <c r="AG51" s="38">
        <v>2807</v>
      </c>
      <c r="AH51" s="39">
        <f>IF(AG51=0,"",IFERROR(AG51/AG$83,""))</f>
        <v>0.71225577264653639</v>
      </c>
      <c r="AI51" s="132">
        <f t="shared" si="7"/>
        <v>-850</v>
      </c>
    </row>
    <row r="52" spans="1:35" x14ac:dyDescent="0.25">
      <c r="A52" s="6" t="s">
        <v>40</v>
      </c>
      <c r="B52" s="7"/>
      <c r="H52" s="15" t="s">
        <v>315</v>
      </c>
      <c r="I52" s="161" t="s">
        <v>1009</v>
      </c>
      <c r="J52" s="161" t="s">
        <v>78</v>
      </c>
      <c r="K52" s="162"/>
      <c r="L52" s="162"/>
      <c r="M52" s="162"/>
      <c r="N52" s="170" t="s">
        <v>1271</v>
      </c>
      <c r="O52" s="176">
        <v>36.0695652173913</v>
      </c>
      <c r="P52" s="176">
        <v>58.446731234866803</v>
      </c>
      <c r="Q52" s="176">
        <v>15.741854103343501</v>
      </c>
      <c r="R52" s="176">
        <v>22.914473684210499</v>
      </c>
      <c r="S52" s="176">
        <v>98.735294117647101</v>
      </c>
      <c r="T52" s="176">
        <v>73</v>
      </c>
      <c r="U52" s="176">
        <v>50.076923076923102</v>
      </c>
      <c r="V52" s="176"/>
      <c r="W52" s="176">
        <v>40.853187499999997</v>
      </c>
      <c r="X52" s="176">
        <v>190.14428571428601</v>
      </c>
      <c r="Y52" s="176">
        <v>55.115789473684202</v>
      </c>
      <c r="Z52" s="176">
        <v>85.311046511627893</v>
      </c>
      <c r="AA52" s="176">
        <f>IFERROR(AA49/AA51,"")</f>
        <v>52.551676034747061</v>
      </c>
      <c r="AB52" s="176"/>
      <c r="AD52" s="176">
        <v>69.317382230172896</v>
      </c>
      <c r="AE52" s="176"/>
      <c r="AF52" s="177">
        <f t="shared" si="6"/>
        <v>-16.765706195425835</v>
      </c>
      <c r="AG52" s="176">
        <v>61.021350195938702</v>
      </c>
      <c r="AH52" s="176"/>
      <c r="AI52" s="177">
        <f t="shared" si="7"/>
        <v>-8.4696741611916408</v>
      </c>
    </row>
    <row r="53" spans="1:35" x14ac:dyDescent="0.25">
      <c r="A53" s="6" t="s">
        <v>41</v>
      </c>
      <c r="B53" s="7"/>
      <c r="H53" s="15"/>
      <c r="I53" s="161"/>
      <c r="J53" s="161"/>
      <c r="K53" s="162"/>
      <c r="L53" s="162"/>
      <c r="M53" s="162"/>
      <c r="N53" s="182" t="s">
        <v>345</v>
      </c>
      <c r="O53" s="179">
        <f t="shared" ref="O53:AA53" si="8">ROUND(IFERROR(O49/O51,0),2)</f>
        <v>36.07</v>
      </c>
      <c r="P53" s="184">
        <f t="shared" si="8"/>
        <v>58.45</v>
      </c>
      <c r="Q53" s="184">
        <f t="shared" si="8"/>
        <v>15.74</v>
      </c>
      <c r="R53" s="184">
        <f t="shared" si="8"/>
        <v>22.91</v>
      </c>
      <c r="S53" s="184">
        <f t="shared" si="8"/>
        <v>98.74</v>
      </c>
      <c r="T53" s="184">
        <f t="shared" si="8"/>
        <v>73</v>
      </c>
      <c r="U53" s="184">
        <f t="shared" si="8"/>
        <v>50.08</v>
      </c>
      <c r="V53" s="184">
        <f t="shared" si="8"/>
        <v>0</v>
      </c>
      <c r="W53" s="184">
        <f t="shared" si="8"/>
        <v>40.85</v>
      </c>
      <c r="X53" s="184">
        <f t="shared" si="8"/>
        <v>190.14</v>
      </c>
      <c r="Y53" s="184">
        <f t="shared" si="8"/>
        <v>55.12</v>
      </c>
      <c r="Z53" s="184">
        <f t="shared" si="8"/>
        <v>85.31</v>
      </c>
      <c r="AA53" s="184">
        <f t="shared" si="8"/>
        <v>52.55</v>
      </c>
      <c r="AB53" s="183"/>
      <c r="AD53" s="179">
        <f>ROUND(IFERROR(AD49/AD51,0),2)</f>
        <v>69.319999999999993</v>
      </c>
      <c r="AE53" s="184"/>
      <c r="AF53" s="180"/>
      <c r="AG53" s="179">
        <f>ROUND(IFERROR(AG49/AG51,0),2)</f>
        <v>61.02</v>
      </c>
      <c r="AH53" s="184"/>
      <c r="AI53" s="180"/>
    </row>
    <row r="54" spans="1:35" x14ac:dyDescent="0.25">
      <c r="A54" s="6" t="s">
        <v>42</v>
      </c>
      <c r="B54" s="7"/>
      <c r="G54" s="181">
        <f>COUNTIF(O54:AI54,FALSE)</f>
        <v>0</v>
      </c>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b">
        <f t="shared" si="9"/>
        <v>1</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v>38265</v>
      </c>
      <c r="P55" s="21">
        <v>10655</v>
      </c>
      <c r="Q55" s="21">
        <v>14641</v>
      </c>
      <c r="R55" s="21">
        <v>1796</v>
      </c>
      <c r="S55" s="21">
        <v>6750</v>
      </c>
      <c r="T55" s="21">
        <v>4664.9799999999996</v>
      </c>
      <c r="U55" s="21"/>
      <c r="V55" s="21"/>
      <c r="W55" s="21">
        <v>-132.6</v>
      </c>
      <c r="X55" s="21"/>
      <c r="Y55" s="21"/>
      <c r="Z55" s="21">
        <v>952</v>
      </c>
      <c r="AA55" s="21">
        <f t="shared" ref="AA55:AA61" si="10">SUM(O55:Z55)</f>
        <v>77591.37999999999</v>
      </c>
      <c r="AB55" s="17">
        <f>IF(AA55=0,"",IFERROR(AA55/AA$19,""))</f>
        <v>0.30601041647399202</v>
      </c>
      <c r="AD55" s="21">
        <v>54007.263200000001</v>
      </c>
      <c r="AE55" s="17">
        <f>IF(AD55=0,"",IFERROR(AD55/AD$19,""))</f>
        <v>0.18488277594964334</v>
      </c>
      <c r="AF55" s="50">
        <f t="shared" ref="AF55:AF62" si="11">IF(AND($AA55="",AD55=""),"",$AA55-AD55)</f>
        <v>23584.116799999989</v>
      </c>
      <c r="AG55" s="21">
        <v>16237</v>
      </c>
      <c r="AH55" s="17">
        <f>IF(AG55=0,"",IFERROR(AG55/AG$19,""))</f>
        <v>7.1493067347596639E-2</v>
      </c>
      <c r="AI55" s="50">
        <f t="shared" ref="AI55:AI62" si="12">IF(AND($AA55="",AG55=""),"",$AA55-AG55)</f>
        <v>61354.37999999999</v>
      </c>
    </row>
    <row r="56" spans="1:35" x14ac:dyDescent="0.25">
      <c r="A56" s="6" t="s">
        <v>44</v>
      </c>
      <c r="B56" s="7"/>
      <c r="H56" s="15" t="s">
        <v>302</v>
      </c>
      <c r="I56" s="161" t="s">
        <v>1123</v>
      </c>
      <c r="J56" s="161" t="s">
        <v>78</v>
      </c>
      <c r="K56" s="162"/>
      <c r="L56" s="162">
        <v>463200</v>
      </c>
      <c r="M56" s="162"/>
      <c r="N56" s="162" t="s">
        <v>1273</v>
      </c>
      <c r="O56" s="21"/>
      <c r="P56" s="21"/>
      <c r="Q56" s="21">
        <v>1101</v>
      </c>
      <c r="R56" s="21"/>
      <c r="S56" s="21">
        <v>476</v>
      </c>
      <c r="T56" s="21"/>
      <c r="U56" s="21"/>
      <c r="V56" s="21"/>
      <c r="W56" s="21"/>
      <c r="X56" s="21"/>
      <c r="Y56" s="21"/>
      <c r="Z56" s="21">
        <v>455</v>
      </c>
      <c r="AA56" s="21">
        <f t="shared" si="10"/>
        <v>2032</v>
      </c>
      <c r="AB56" s="17">
        <f>IF(AA56=0,"",IFERROR(AA56/AA$19,""))</f>
        <v>8.0139464754351818E-3</v>
      </c>
      <c r="AD56" s="21">
        <v>1216.8684000000001</v>
      </c>
      <c r="AE56" s="17">
        <f>IF(AD56=0,"",IFERROR(AD56/AD$19,""))</f>
        <v>4.1656991009572392E-3</v>
      </c>
      <c r="AF56" s="50">
        <f t="shared" si="11"/>
        <v>815.13159999999993</v>
      </c>
      <c r="AG56" s="21">
        <v>14528</v>
      </c>
      <c r="AH56" s="17">
        <f>IF(AG56=0,"",IFERROR(AG56/AG$19,""))</f>
        <v>6.396817653666835E-2</v>
      </c>
      <c r="AI56" s="50">
        <f t="shared" si="12"/>
        <v>-12496</v>
      </c>
    </row>
    <row r="57" spans="1:35" x14ac:dyDescent="0.25">
      <c r="A57" s="6" t="s">
        <v>45</v>
      </c>
      <c r="B57" s="7"/>
      <c r="H57" s="15" t="s">
        <v>306</v>
      </c>
      <c r="I57" s="161" t="s">
        <v>1123</v>
      </c>
      <c r="J57" s="161" t="s">
        <v>78</v>
      </c>
      <c r="K57" s="162"/>
      <c r="L57" s="162">
        <v>463300</v>
      </c>
      <c r="M57" s="162"/>
      <c r="N57" s="162" t="s">
        <v>1274</v>
      </c>
      <c r="O57" s="21">
        <v>2095</v>
      </c>
      <c r="P57" s="21"/>
      <c r="Q57" s="21"/>
      <c r="R57" s="21"/>
      <c r="S57" s="21"/>
      <c r="T57" s="21"/>
      <c r="U57" s="21"/>
      <c r="V57" s="21"/>
      <c r="W57" s="21"/>
      <c r="X57" s="21"/>
      <c r="Y57" s="21"/>
      <c r="Z57" s="21"/>
      <c r="AA57" s="21">
        <f t="shared" si="10"/>
        <v>2095</v>
      </c>
      <c r="AB57" s="17">
        <f>IF(AA57=0,"",IFERROR(AA57/AA$19,""))</f>
        <v>8.2624103671440491E-3</v>
      </c>
      <c r="AD57" s="21">
        <v>1216.8684000000001</v>
      </c>
      <c r="AE57" s="17">
        <f>IF(AD57=0,"",IFERROR(AD57/AD$19,""))</f>
        <v>4.1656991009572392E-3</v>
      </c>
      <c r="AF57" s="50">
        <f t="shared" si="11"/>
        <v>878.13159999999993</v>
      </c>
      <c r="AG57" s="21">
        <v>603</v>
      </c>
      <c r="AH57" s="17">
        <f>IF(AG57=0,"",IFERROR(AG57/AG$19,""))</f>
        <v>2.6550667987067051E-3</v>
      </c>
      <c r="AI57" s="50">
        <f t="shared" si="12"/>
        <v>1492</v>
      </c>
    </row>
    <row r="58" spans="1:35" x14ac:dyDescent="0.25">
      <c r="A58" s="6" t="s">
        <v>46</v>
      </c>
      <c r="B58" s="7"/>
      <c r="H58" s="15" t="s">
        <v>304</v>
      </c>
      <c r="I58" s="161" t="s">
        <v>1123</v>
      </c>
      <c r="J58" s="161" t="s">
        <v>78</v>
      </c>
      <c r="K58" s="162"/>
      <c r="L58" s="162">
        <v>463400</v>
      </c>
      <c r="M58" s="162"/>
      <c r="N58" s="162" t="s">
        <v>1275</v>
      </c>
      <c r="O58" s="30">
        <v>1441</v>
      </c>
      <c r="P58" s="30"/>
      <c r="Q58" s="30">
        <v>-336</v>
      </c>
      <c r="R58" s="30"/>
      <c r="S58" s="30">
        <v>1036</v>
      </c>
      <c r="T58" s="30"/>
      <c r="U58" s="30"/>
      <c r="V58" s="30"/>
      <c r="W58" s="30"/>
      <c r="X58" s="30"/>
      <c r="Y58" s="30"/>
      <c r="Z58" s="30">
        <v>261</v>
      </c>
      <c r="AA58" s="30">
        <f t="shared" si="10"/>
        <v>2402</v>
      </c>
      <c r="AB58" s="31">
        <f>IF(AA58=0,"",IFERROR(AA58/AA$19,""))</f>
        <v>9.4731788553126511E-3</v>
      </c>
      <c r="AD58" s="30"/>
      <c r="AE58" s="31" t="str">
        <f>IF(AD58=0,"",IFERROR(AD58/AD$19,""))</f>
        <v/>
      </c>
      <c r="AF58" s="51">
        <f t="shared" si="11"/>
        <v>2402</v>
      </c>
      <c r="AG58" s="30">
        <v>104</v>
      </c>
      <c r="AH58" s="31">
        <f>IF(AG58=0,"",IFERROR(AG58/AG$19,""))</f>
        <v>4.5792196859949805E-4</v>
      </c>
      <c r="AI58" s="51">
        <f t="shared" si="12"/>
        <v>2298</v>
      </c>
    </row>
    <row r="59" spans="1:35" x14ac:dyDescent="0.25">
      <c r="H59" s="15" t="s">
        <v>320</v>
      </c>
      <c r="I59" s="161" t="s">
        <v>1009</v>
      </c>
      <c r="J59" s="161" t="s">
        <v>78</v>
      </c>
      <c r="K59" s="162"/>
      <c r="L59" s="162"/>
      <c r="M59" s="162"/>
      <c r="N59" s="25" t="s">
        <v>1276</v>
      </c>
      <c r="O59" s="164">
        <v>41801</v>
      </c>
      <c r="P59" s="164">
        <v>10655</v>
      </c>
      <c r="Q59" s="164">
        <v>15406</v>
      </c>
      <c r="R59" s="164">
        <v>1796</v>
      </c>
      <c r="S59" s="164">
        <v>8262</v>
      </c>
      <c r="T59" s="164">
        <v>4664.9799999999996</v>
      </c>
      <c r="U59" s="164"/>
      <c r="V59" s="164"/>
      <c r="W59" s="164">
        <v>-132.6</v>
      </c>
      <c r="X59" s="164"/>
      <c r="Y59" s="164"/>
      <c r="Z59" s="164">
        <v>1668</v>
      </c>
      <c r="AA59" s="164">
        <f t="shared" si="10"/>
        <v>84120.37999999999</v>
      </c>
      <c r="AB59" s="175">
        <f>IF(AA59=0,"",IFERROR(AA59/AA$19,""))</f>
        <v>0.33175995217188392</v>
      </c>
      <c r="AD59" s="164">
        <v>56441</v>
      </c>
      <c r="AE59" s="175">
        <f>IF(AD59=0,"",IFERROR(AD59/AD$19,""))</f>
        <v>0.19321417415155781</v>
      </c>
      <c r="AF59" s="165">
        <f t="shared" si="11"/>
        <v>27679.37999999999</v>
      </c>
      <c r="AG59" s="164">
        <v>31472</v>
      </c>
      <c r="AH59" s="175">
        <f>IF(AG59=0,"",IFERROR(AG59/AG$19,""))</f>
        <v>0.13857423265157118</v>
      </c>
      <c r="AI59" s="165">
        <f t="shared" si="12"/>
        <v>52648.37999999999</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v>561</v>
      </c>
      <c r="P61" s="38">
        <v>98</v>
      </c>
      <c r="Q61" s="38">
        <v>119</v>
      </c>
      <c r="R61" s="38">
        <v>36</v>
      </c>
      <c r="S61" s="38">
        <v>68</v>
      </c>
      <c r="T61" s="38">
        <v>151</v>
      </c>
      <c r="U61" s="38"/>
      <c r="V61" s="38"/>
      <c r="W61" s="38"/>
      <c r="X61" s="38"/>
      <c r="Y61" s="38"/>
      <c r="Z61" s="38">
        <v>20</v>
      </c>
      <c r="AA61" s="38">
        <f t="shared" si="10"/>
        <v>1053</v>
      </c>
      <c r="AB61" s="39">
        <f>IF(AA61=0,"",IFERROR(AA61/AA$83,""))</f>
        <v>0.26814362108479756</v>
      </c>
      <c r="AD61" s="38">
        <v>689</v>
      </c>
      <c r="AE61" s="39">
        <f>IF(AD61=0,"",IFERROR(AD61/AD$83,""))</f>
        <v>0.15152848031669233</v>
      </c>
      <c r="AF61" s="132">
        <f t="shared" si="11"/>
        <v>364</v>
      </c>
      <c r="AG61" s="38">
        <v>734</v>
      </c>
      <c r="AH61" s="39">
        <f>IF(AG61=0,"",IFERROR(AG61/AG$83,""))</f>
        <v>0.18624714539456991</v>
      </c>
      <c r="AI61" s="132">
        <f t="shared" si="12"/>
        <v>319</v>
      </c>
    </row>
    <row r="62" spans="1:35" x14ac:dyDescent="0.25">
      <c r="H62" s="149" t="s">
        <v>317</v>
      </c>
      <c r="I62" s="161" t="s">
        <v>1009</v>
      </c>
      <c r="J62" s="161" t="s">
        <v>78</v>
      </c>
      <c r="K62" s="162"/>
      <c r="L62" s="162"/>
      <c r="M62" s="162"/>
      <c r="N62" s="170" t="s">
        <v>1278</v>
      </c>
      <c r="O62" s="176">
        <v>74.511586452762899</v>
      </c>
      <c r="P62" s="176">
        <v>108.724489795918</v>
      </c>
      <c r="Q62" s="176">
        <v>129.46218487395001</v>
      </c>
      <c r="R62" s="176">
        <v>49.8888888888889</v>
      </c>
      <c r="S62" s="176">
        <v>121.5</v>
      </c>
      <c r="T62" s="176">
        <v>30.893907284768201</v>
      </c>
      <c r="U62" s="176"/>
      <c r="V62" s="176"/>
      <c r="W62" s="176"/>
      <c r="X62" s="176"/>
      <c r="Y62" s="176"/>
      <c r="Z62" s="176">
        <v>83.4</v>
      </c>
      <c r="AA62" s="176">
        <f>IFERROR(AA59/AA61,"")</f>
        <v>79.886400759734087</v>
      </c>
      <c r="AB62" s="176"/>
      <c r="AD62" s="176">
        <v>81.917271407837404</v>
      </c>
      <c r="AE62" s="176"/>
      <c r="AF62" s="177">
        <f t="shared" si="11"/>
        <v>-2.030870648103317</v>
      </c>
      <c r="AG62" s="176">
        <v>42.877384196185297</v>
      </c>
      <c r="AH62" s="176"/>
      <c r="AI62" s="177">
        <f t="shared" si="12"/>
        <v>37.009016563548791</v>
      </c>
    </row>
    <row r="63" spans="1:35" x14ac:dyDescent="0.25">
      <c r="H63" s="15"/>
      <c r="I63" s="161"/>
      <c r="J63" s="161"/>
      <c r="K63" s="162"/>
      <c r="L63" s="162"/>
      <c r="M63" s="162"/>
      <c r="N63" s="182" t="s">
        <v>345</v>
      </c>
      <c r="O63" s="179">
        <f t="shared" ref="O63:AA63" si="13">ROUND(IFERROR(O59/O61,0),2)</f>
        <v>74.510000000000005</v>
      </c>
      <c r="P63" s="184">
        <f t="shared" si="13"/>
        <v>108.72</v>
      </c>
      <c r="Q63" s="184">
        <f t="shared" si="13"/>
        <v>129.46</v>
      </c>
      <c r="R63" s="184">
        <f t="shared" si="13"/>
        <v>49.89</v>
      </c>
      <c r="S63" s="184">
        <f t="shared" si="13"/>
        <v>121.5</v>
      </c>
      <c r="T63" s="184">
        <f t="shared" si="13"/>
        <v>30.89</v>
      </c>
      <c r="U63" s="184">
        <f t="shared" si="13"/>
        <v>0</v>
      </c>
      <c r="V63" s="184">
        <f t="shared" si="13"/>
        <v>0</v>
      </c>
      <c r="W63" s="184">
        <f t="shared" si="13"/>
        <v>0</v>
      </c>
      <c r="X63" s="184">
        <f t="shared" si="13"/>
        <v>0</v>
      </c>
      <c r="Y63" s="184">
        <f t="shared" si="13"/>
        <v>0</v>
      </c>
      <c r="Z63" s="184">
        <f t="shared" si="13"/>
        <v>83.4</v>
      </c>
      <c r="AA63" s="184">
        <f t="shared" si="13"/>
        <v>79.89</v>
      </c>
      <c r="AB63" s="183"/>
      <c r="AD63" s="179">
        <f>ROUND(IFERROR(AD59/AD61,0),2)</f>
        <v>81.92</v>
      </c>
      <c r="AE63" s="184"/>
      <c r="AF63" s="180"/>
      <c r="AG63" s="179">
        <f>ROUND(IFERROR(AG59/AG61,0),2)</f>
        <v>42.88</v>
      </c>
      <c r="AH63" s="184"/>
      <c r="AI63" s="180"/>
    </row>
    <row r="64" spans="1:35" x14ac:dyDescent="0.25">
      <c r="G64" s="181">
        <f>COUNTIF(O64:AI64,FALSE)</f>
        <v>0</v>
      </c>
      <c r="H64" s="149"/>
      <c r="I64" s="161"/>
      <c r="J64" s="161"/>
      <c r="K64" s="162"/>
      <c r="L64" s="162"/>
      <c r="M64" s="162"/>
      <c r="N64" s="8" t="s">
        <v>807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b">
        <f t="shared" si="14"/>
        <v>1</v>
      </c>
      <c r="AB64" s="321"/>
      <c r="AC64" s="322"/>
      <c r="AD64" s="319"/>
      <c r="AE64" s="320" t="b">
        <f>ROUND(AD62,2)=ROUND(AD63,2)</f>
        <v>1</v>
      </c>
      <c r="AF64" s="321"/>
      <c r="AG64" s="319"/>
      <c r="AH64" s="320" t="b">
        <f>ROUND(AG62,2)=ROUND(AG63,2)</f>
        <v>1</v>
      </c>
      <c r="AI64" s="321"/>
    </row>
    <row r="65" spans="3:35" x14ac:dyDescent="0.25">
      <c r="H65" s="149" t="s">
        <v>790</v>
      </c>
      <c r="I65" s="161" t="s">
        <v>1009</v>
      </c>
      <c r="J65" s="161" t="s">
        <v>1009</v>
      </c>
      <c r="K65" s="162"/>
      <c r="L65" s="162">
        <v>471110</v>
      </c>
      <c r="M65" s="162">
        <v>201017</v>
      </c>
      <c r="N65" s="162" t="s">
        <v>1293</v>
      </c>
      <c r="O65" s="21"/>
      <c r="P65" s="21"/>
      <c r="Q65" s="21">
        <v>6795</v>
      </c>
      <c r="R65" s="21">
        <v>5630</v>
      </c>
      <c r="S65" s="21"/>
      <c r="T65" s="21"/>
      <c r="U65" s="21"/>
      <c r="V65" s="21"/>
      <c r="W65" s="21">
        <v>1730</v>
      </c>
      <c r="X65" s="21"/>
      <c r="Y65" s="21">
        <v>8273.1</v>
      </c>
      <c r="Z65" s="21">
        <v>5290.3</v>
      </c>
      <c r="AA65" s="21">
        <f t="shared" ref="AA65:AA70" si="15">SUM(O65:Z65)</f>
        <v>27718.399999999998</v>
      </c>
      <c r="AB65" s="17">
        <f>IF(AA65=0,"",IFERROR(AA65/AA$19,""))</f>
        <v>0.10931780215782606</v>
      </c>
      <c r="AD65" s="21">
        <v>33006.110999999997</v>
      </c>
      <c r="AE65" s="17">
        <f>IF(AD65=0,"",IFERROR(AD65/AD$19,""))</f>
        <v>0.11298964367781661</v>
      </c>
      <c r="AF65" s="50">
        <f t="shared" ref="AF65:AF71" si="16">IF(AND($AA65="",AD65=""),"",$AA65-AD65)</f>
        <v>-5287.7109999999993</v>
      </c>
      <c r="AG65" s="21">
        <v>1535</v>
      </c>
      <c r="AH65" s="17">
        <f>IF(AG65=0,"",IFERROR(AG65/AG$19,""))</f>
        <v>6.7587521326945149E-3</v>
      </c>
      <c r="AI65" s="50">
        <f t="shared" ref="AI65:AI71" si="17">IF(AND($AA65="",AG65=""),"",$AA65-AG65)</f>
        <v>26183.399999999998</v>
      </c>
    </row>
    <row r="66" spans="3:35" x14ac:dyDescent="0.25">
      <c r="H66" s="149" t="s">
        <v>808</v>
      </c>
      <c r="I66" s="161" t="s">
        <v>1009</v>
      </c>
      <c r="J66" s="161" t="s">
        <v>1009</v>
      </c>
      <c r="K66" s="162"/>
      <c r="L66" s="162">
        <v>471210</v>
      </c>
      <c r="M66" s="162" t="s">
        <v>1294</v>
      </c>
      <c r="N66" s="162" t="s">
        <v>1295</v>
      </c>
      <c r="O66" s="21"/>
      <c r="P66" s="21"/>
      <c r="Q66" s="21"/>
      <c r="R66" s="21">
        <v>850</v>
      </c>
      <c r="S66" s="21"/>
      <c r="T66" s="21"/>
      <c r="U66" s="21"/>
      <c r="V66" s="21"/>
      <c r="W66" s="21"/>
      <c r="X66" s="21"/>
      <c r="Y66" s="21">
        <v>4948</v>
      </c>
      <c r="Z66" s="21">
        <v>1454.96</v>
      </c>
      <c r="AA66" s="21">
        <f t="shared" si="15"/>
        <v>7252.96</v>
      </c>
      <c r="AB66" s="17">
        <f>IF(AA66=0,"",IFERROR(AA66/AA$19,""))</f>
        <v>2.8604740762043484E-2</v>
      </c>
      <c r="AD66" s="21">
        <v>814.44449999999995</v>
      </c>
      <c r="AE66" s="17">
        <f>IF(AD66=0,"",IFERROR(AD66/AD$19,""))</f>
        <v>2.7880835112733373E-3</v>
      </c>
      <c r="AF66" s="50">
        <f t="shared" si="16"/>
        <v>6438.5155000000004</v>
      </c>
      <c r="AG66" s="21">
        <v>615</v>
      </c>
      <c r="AH66" s="17">
        <f>IF(AG66=0,"",IFERROR(AG66/AG$19,""))</f>
        <v>2.7079039489297241E-3</v>
      </c>
      <c r="AI66" s="50">
        <f t="shared" si="17"/>
        <v>6637.96</v>
      </c>
    </row>
    <row r="67" spans="3:35" x14ac:dyDescent="0.25">
      <c r="H67" s="149" t="s">
        <v>809</v>
      </c>
      <c r="I67" s="161" t="s">
        <v>1009</v>
      </c>
      <c r="J67" s="161" t="s">
        <v>1009</v>
      </c>
      <c r="K67" s="162"/>
      <c r="L67" s="162">
        <v>471310</v>
      </c>
      <c r="M67" s="162" t="s">
        <v>1294</v>
      </c>
      <c r="N67" s="162" t="s">
        <v>1296</v>
      </c>
      <c r="O67" s="21"/>
      <c r="P67" s="21"/>
      <c r="Q67" s="21"/>
      <c r="R67" s="21"/>
      <c r="S67" s="21"/>
      <c r="T67" s="21"/>
      <c r="U67" s="21"/>
      <c r="V67" s="21"/>
      <c r="W67" s="21"/>
      <c r="X67" s="21"/>
      <c r="Y67" s="21">
        <v>20</v>
      </c>
      <c r="Z67" s="21">
        <v>510</v>
      </c>
      <c r="AA67" s="21">
        <f t="shared" si="15"/>
        <v>530</v>
      </c>
      <c r="AB67" s="17">
        <f>IF(AA67=0,"",IFERROR(AA67/AA$19,""))</f>
        <v>2.0902517873920504E-3</v>
      </c>
      <c r="AD67" s="21">
        <v>814.44449999999995</v>
      </c>
      <c r="AE67" s="17">
        <f>IF(AD67=0,"",IFERROR(AD67/AD$19,""))</f>
        <v>2.7880835112733373E-3</v>
      </c>
      <c r="AF67" s="50">
        <f t="shared" si="16"/>
        <v>-284.44449999999995</v>
      </c>
      <c r="AG67" s="21">
        <v>127</v>
      </c>
      <c r="AH67" s="17">
        <f>IF(AG67=0,"",IFERROR(AG67/AG$19,""))</f>
        <v>5.591931731936178E-4</v>
      </c>
      <c r="AI67" s="50">
        <f t="shared" si="17"/>
        <v>403</v>
      </c>
    </row>
    <row r="68" spans="3:35" x14ac:dyDescent="0.25">
      <c r="H68" s="149" t="s">
        <v>810</v>
      </c>
      <c r="I68" s="161" t="s">
        <v>1009</v>
      </c>
      <c r="J68" s="161" t="s">
        <v>1009</v>
      </c>
      <c r="K68" s="162"/>
      <c r="L68" s="162">
        <v>471410</v>
      </c>
      <c r="M68" s="162" t="s">
        <v>1294</v>
      </c>
      <c r="N68" s="162" t="s">
        <v>1297</v>
      </c>
      <c r="O68" s="30"/>
      <c r="P68" s="30"/>
      <c r="Q68" s="30">
        <v>2338</v>
      </c>
      <c r="R68" s="30"/>
      <c r="S68" s="30"/>
      <c r="T68" s="30"/>
      <c r="U68" s="30"/>
      <c r="V68" s="30"/>
      <c r="W68" s="30">
        <v>144</v>
      </c>
      <c r="X68" s="30"/>
      <c r="Y68" s="30"/>
      <c r="Z68" s="30">
        <v>72</v>
      </c>
      <c r="AA68" s="30">
        <f t="shared" si="15"/>
        <v>2554</v>
      </c>
      <c r="AB68" s="31">
        <f>IF(AA68=0,"",IFERROR(AA68/AA$19,""))</f>
        <v>1.0072647292451505E-2</v>
      </c>
      <c r="AD68" s="30"/>
      <c r="AE68" s="31" t="str">
        <f>IF(AD68=0,"",IFERROR(AD68/AD$19,""))</f>
        <v/>
      </c>
      <c r="AF68" s="51">
        <f t="shared" si="16"/>
        <v>2554</v>
      </c>
      <c r="AG68" s="30">
        <v>52</v>
      </c>
      <c r="AH68" s="31">
        <f>IF(AG68=0,"",IFERROR(AG68/AG$19,""))</f>
        <v>2.2896098429974902E-4</v>
      </c>
      <c r="AI68" s="51">
        <f t="shared" si="17"/>
        <v>2502</v>
      </c>
    </row>
    <row r="69" spans="3:35" x14ac:dyDescent="0.25">
      <c r="H69" s="149" t="s">
        <v>811</v>
      </c>
      <c r="I69" s="161" t="s">
        <v>1009</v>
      </c>
      <c r="J69" s="161" t="s">
        <v>78</v>
      </c>
      <c r="K69" s="162"/>
      <c r="L69" s="162"/>
      <c r="M69" s="162"/>
      <c r="N69" s="25" t="s">
        <v>1298</v>
      </c>
      <c r="O69" s="164"/>
      <c r="P69" s="164"/>
      <c r="Q69" s="164">
        <v>9133</v>
      </c>
      <c r="R69" s="164">
        <v>6480</v>
      </c>
      <c r="S69" s="164"/>
      <c r="T69" s="164"/>
      <c r="U69" s="164"/>
      <c r="V69" s="164"/>
      <c r="W69" s="164">
        <v>1874</v>
      </c>
      <c r="X69" s="164"/>
      <c r="Y69" s="164">
        <v>13241.1</v>
      </c>
      <c r="Z69" s="164">
        <v>7327.26</v>
      </c>
      <c r="AA69" s="164">
        <f t="shared" si="15"/>
        <v>38055.360000000001</v>
      </c>
      <c r="AB69" s="175">
        <f>IF(AA69=0,"",IFERROR(AA69/AA$19,""))</f>
        <v>0.1500854419997131</v>
      </c>
      <c r="AD69" s="164">
        <v>34635</v>
      </c>
      <c r="AE69" s="175">
        <f>IF(AD69=0,"",IFERROR(AD69/AD$19,""))</f>
        <v>0.1185658107003633</v>
      </c>
      <c r="AF69" s="165">
        <f t="shared" si="16"/>
        <v>3420.3600000000006</v>
      </c>
      <c r="AG69" s="164">
        <v>2329</v>
      </c>
      <c r="AH69" s="175">
        <f>IF(AG69=0,"",IFERROR(AG69/AG$19,""))</f>
        <v>1.0254810239117606E-2</v>
      </c>
      <c r="AI69" s="165">
        <f t="shared" si="17"/>
        <v>35726.36</v>
      </c>
    </row>
    <row r="70" spans="3:35" x14ac:dyDescent="0.25">
      <c r="H70" s="149" t="s">
        <v>812</v>
      </c>
      <c r="I70" s="161" t="s">
        <v>1009</v>
      </c>
      <c r="J70" s="161" t="s">
        <v>1009</v>
      </c>
      <c r="K70" s="162"/>
      <c r="L70" s="162">
        <v>946700</v>
      </c>
      <c r="M70" s="162">
        <v>991508</v>
      </c>
      <c r="N70" s="162" t="s">
        <v>1299</v>
      </c>
      <c r="O70" s="38"/>
      <c r="P70" s="38"/>
      <c r="Q70" s="38">
        <v>45</v>
      </c>
      <c r="R70" s="38">
        <v>65</v>
      </c>
      <c r="S70" s="38"/>
      <c r="T70" s="38"/>
      <c r="U70" s="38"/>
      <c r="V70" s="38"/>
      <c r="W70" s="38">
        <v>105</v>
      </c>
      <c r="X70" s="38"/>
      <c r="Y70" s="38">
        <v>75</v>
      </c>
      <c r="Z70" s="38">
        <v>57</v>
      </c>
      <c r="AA70" s="38">
        <f t="shared" si="15"/>
        <v>347</v>
      </c>
      <c r="AB70" s="39">
        <f>IF(AA70=0,"",IFERROR(AA70/AA$83,""))</f>
        <v>8.8362617774382479E-2</v>
      </c>
      <c r="AD70" s="38">
        <v>433</v>
      </c>
      <c r="AE70" s="39">
        <f>IF(AD70=0,"",IFERROR(AD70/AD$83,""))</f>
        <v>9.5227622608313175E-2</v>
      </c>
      <c r="AF70" s="132">
        <f t="shared" si="16"/>
        <v>-86</v>
      </c>
      <c r="AG70" s="38">
        <v>186</v>
      </c>
      <c r="AH70" s="39">
        <f>IF(AG70=0,"",IFERROR(AG70/AG$83,""))</f>
        <v>4.7196143110885561E-2</v>
      </c>
      <c r="AI70" s="132">
        <f t="shared" si="17"/>
        <v>161</v>
      </c>
    </row>
    <row r="71" spans="3:35" x14ac:dyDescent="0.25">
      <c r="H71" s="149" t="s">
        <v>813</v>
      </c>
      <c r="I71" s="161" t="s">
        <v>1009</v>
      </c>
      <c r="J71" s="161" t="s">
        <v>78</v>
      </c>
      <c r="K71" s="162"/>
      <c r="L71" s="162"/>
      <c r="M71" s="162"/>
      <c r="N71" s="170" t="s">
        <v>1300</v>
      </c>
      <c r="O71" s="176"/>
      <c r="P71" s="176"/>
      <c r="Q71" s="176">
        <v>202.955555555556</v>
      </c>
      <c r="R71" s="176">
        <v>99.692307692307693</v>
      </c>
      <c r="S71" s="176"/>
      <c r="T71" s="176"/>
      <c r="U71" s="176"/>
      <c r="V71" s="176"/>
      <c r="W71" s="176">
        <v>17.847619047618998</v>
      </c>
      <c r="X71" s="176"/>
      <c r="Y71" s="176">
        <v>176.548</v>
      </c>
      <c r="Z71" s="176">
        <v>128.54842105263199</v>
      </c>
      <c r="AA71" s="176">
        <f>IFERROR(AA69/AA70,"")</f>
        <v>109.66962536023055</v>
      </c>
      <c r="AB71" s="176"/>
      <c r="AD71" s="176">
        <v>79.988452655889105</v>
      </c>
      <c r="AE71" s="176"/>
      <c r="AF71" s="177">
        <f t="shared" si="16"/>
        <v>29.681172704341449</v>
      </c>
      <c r="AG71" s="176">
        <v>12.5215053763441</v>
      </c>
      <c r="AH71" s="176"/>
      <c r="AI71" s="177">
        <f t="shared" si="17"/>
        <v>97.14811998388646</v>
      </c>
    </row>
    <row r="72" spans="3:35" x14ac:dyDescent="0.25">
      <c r="H72" s="15"/>
      <c r="I72" s="161"/>
      <c r="J72" s="161"/>
      <c r="K72" s="162"/>
      <c r="L72" s="162"/>
      <c r="M72" s="162"/>
      <c r="N72" s="182" t="s">
        <v>345</v>
      </c>
      <c r="O72" s="179">
        <f t="shared" ref="O72:AA72" si="18">ROUND(IFERROR(O69/O70,0),2)</f>
        <v>0</v>
      </c>
      <c r="P72" s="184">
        <f t="shared" si="18"/>
        <v>0</v>
      </c>
      <c r="Q72" s="184">
        <f t="shared" si="18"/>
        <v>202.96</v>
      </c>
      <c r="R72" s="184">
        <f t="shared" si="18"/>
        <v>99.69</v>
      </c>
      <c r="S72" s="184">
        <f t="shared" si="18"/>
        <v>0</v>
      </c>
      <c r="T72" s="184">
        <f t="shared" si="18"/>
        <v>0</v>
      </c>
      <c r="U72" s="184">
        <f t="shared" si="18"/>
        <v>0</v>
      </c>
      <c r="V72" s="184">
        <f t="shared" si="18"/>
        <v>0</v>
      </c>
      <c r="W72" s="184">
        <f t="shared" si="18"/>
        <v>17.850000000000001</v>
      </c>
      <c r="X72" s="184">
        <f t="shared" si="18"/>
        <v>0</v>
      </c>
      <c r="Y72" s="184">
        <f t="shared" si="18"/>
        <v>176.55</v>
      </c>
      <c r="Z72" s="184">
        <f t="shared" si="18"/>
        <v>128.55000000000001</v>
      </c>
      <c r="AA72" s="184">
        <f t="shared" si="18"/>
        <v>109.67</v>
      </c>
      <c r="AB72" s="183"/>
      <c r="AD72" s="179">
        <f>ROUND(IFERROR(AD69/AD70,0),2)</f>
        <v>79.989999999999995</v>
      </c>
      <c r="AE72" s="184"/>
      <c r="AF72" s="180"/>
      <c r="AG72" s="179">
        <f>ROUND(IFERROR(AG69/AG70,0),2)</f>
        <v>12.52</v>
      </c>
      <c r="AH72" s="184"/>
      <c r="AI72" s="180"/>
    </row>
    <row r="73" spans="3:35" x14ac:dyDescent="0.25">
      <c r="G73" s="181">
        <f>COUNTIF(O73:AI73,FALSE)</f>
        <v>0</v>
      </c>
      <c r="H73" s="149"/>
      <c r="I73" s="161"/>
      <c r="J73" s="161"/>
      <c r="K73" s="162"/>
      <c r="L73" s="162"/>
      <c r="M73" s="162"/>
      <c r="N73" s="8" t="s">
        <v>814</v>
      </c>
      <c r="O73" s="319" t="b">
        <f t="shared" ref="O73:AA73" si="19">ROUND(O71,2)=ROUND(O72,2)</f>
        <v>1</v>
      </c>
      <c r="P73" s="320" t="b">
        <f t="shared" si="19"/>
        <v>1</v>
      </c>
      <c r="Q73" s="320" t="b">
        <f t="shared" si="19"/>
        <v>1</v>
      </c>
      <c r="R73" s="320" t="b">
        <f t="shared" si="19"/>
        <v>1</v>
      </c>
      <c r="S73" s="320" t="b">
        <f t="shared" si="19"/>
        <v>1</v>
      </c>
      <c r="T73" s="320" t="b">
        <f t="shared" si="19"/>
        <v>1</v>
      </c>
      <c r="U73" s="320" t="b">
        <f t="shared" si="19"/>
        <v>1</v>
      </c>
      <c r="V73" s="320" t="b">
        <f t="shared" si="19"/>
        <v>1</v>
      </c>
      <c r="W73" s="320" t="b">
        <f t="shared" si="19"/>
        <v>1</v>
      </c>
      <c r="X73" s="320" t="b">
        <f t="shared" si="19"/>
        <v>1</v>
      </c>
      <c r="Y73" s="320" t="b">
        <f t="shared" si="19"/>
        <v>1</v>
      </c>
      <c r="Z73" s="320" t="b">
        <f t="shared" si="19"/>
        <v>1</v>
      </c>
      <c r="AA73" s="320" t="b">
        <f t="shared" si="19"/>
        <v>1</v>
      </c>
      <c r="AB73" s="321"/>
      <c r="AC73" s="322"/>
      <c r="AD73" s="319"/>
      <c r="AE73" s="320" t="b">
        <f>ROUND(AD71,2)=ROUND(AD72,2)</f>
        <v>1</v>
      </c>
      <c r="AF73" s="321"/>
      <c r="AG73" s="319"/>
      <c r="AH73" s="320" t="b">
        <f>ROUND(AG71,2)=ROUND(AG72,2)</f>
        <v>1</v>
      </c>
      <c r="AI73" s="321"/>
    </row>
    <row r="74" spans="3:35" x14ac:dyDescent="0.25">
      <c r="H74" s="149" t="s">
        <v>789</v>
      </c>
      <c r="I74" s="161" t="s">
        <v>1009</v>
      </c>
      <c r="J74" s="161" t="s">
        <v>1009</v>
      </c>
      <c r="K74" s="162"/>
      <c r="L74" s="162">
        <v>470110</v>
      </c>
      <c r="M74" s="162">
        <v>201016</v>
      </c>
      <c r="N74" s="162" t="s">
        <v>1301</v>
      </c>
      <c r="O74" s="21"/>
      <c r="P74" s="21"/>
      <c r="Q74" s="21"/>
      <c r="R74" s="21"/>
      <c r="S74" s="21"/>
      <c r="T74" s="21"/>
      <c r="U74" s="21"/>
      <c r="V74" s="21"/>
      <c r="W74" s="21"/>
      <c r="X74" s="21"/>
      <c r="Y74" s="21"/>
      <c r="Z74" s="21">
        <v>8454</v>
      </c>
      <c r="AA74" s="21">
        <f>SUM(O74:Z74)</f>
        <v>8454</v>
      </c>
      <c r="AB74" s="17">
        <f>IF(AA74=0,"",IFERROR(AA74/AA$19,""))</f>
        <v>3.334148794455169E-2</v>
      </c>
      <c r="AD74" s="21"/>
      <c r="AE74" s="17" t="str">
        <f>IF(AD74=0,"",IFERROR(AD74/AD$19,""))</f>
        <v/>
      </c>
      <c r="AF74" s="50">
        <f>IF(AND($AA74="",AD74=""),"",$AA74-AD74)</f>
        <v>8454</v>
      </c>
      <c r="AG74" s="21"/>
      <c r="AH74" s="17" t="str">
        <f>IF(AG74=0,"",IFERROR(AG74/AG$19,""))</f>
        <v/>
      </c>
      <c r="AI74" s="50">
        <f>IF(AND($AA74="",AG74=""),"",$AA74-AG74)</f>
        <v>8454</v>
      </c>
    </row>
    <row r="75" spans="3:35" x14ac:dyDescent="0.25">
      <c r="C75" s="32"/>
      <c r="H75" s="149" t="s">
        <v>815</v>
      </c>
      <c r="I75" s="161" t="s">
        <v>1009</v>
      </c>
      <c r="J75" s="161" t="s">
        <v>78</v>
      </c>
      <c r="K75" s="162"/>
      <c r="L75" s="162"/>
      <c r="M75" s="162"/>
      <c r="N75" s="25" t="s">
        <v>1302</v>
      </c>
      <c r="O75" s="164"/>
      <c r="P75" s="164"/>
      <c r="Q75" s="164"/>
      <c r="R75" s="164"/>
      <c r="S75" s="164"/>
      <c r="T75" s="164"/>
      <c r="U75" s="164"/>
      <c r="V75" s="164"/>
      <c r="W75" s="164"/>
      <c r="X75" s="164"/>
      <c r="Y75" s="164"/>
      <c r="Z75" s="164">
        <v>8454</v>
      </c>
      <c r="AA75" s="164">
        <f>SUM(O75:Z75)</f>
        <v>8454</v>
      </c>
      <c r="AB75" s="175">
        <f>IF(AA75=0,"",IFERROR(AA75/AA$19,""))</f>
        <v>3.334148794455169E-2</v>
      </c>
      <c r="AD75" s="164"/>
      <c r="AE75" s="175" t="str">
        <f>IF(AD75=0,"",IFERROR(AD75/AD$19,""))</f>
        <v/>
      </c>
      <c r="AF75" s="165">
        <f>IF(AND($AA75="",AD75=""),"",$AA75-AD75)</f>
        <v>8454</v>
      </c>
      <c r="AG75" s="164"/>
      <c r="AH75" s="175" t="str">
        <f>IF(AG75=0,"",IFERROR(AG75/AG$19,""))</f>
        <v/>
      </c>
      <c r="AI75" s="165">
        <f>IF(AND($AA75="",AG75=""),"",$AA75-AG75)</f>
        <v>8454</v>
      </c>
    </row>
    <row r="76" spans="3:35" x14ac:dyDescent="0.25">
      <c r="C76" s="32"/>
      <c r="H76" s="149" t="s">
        <v>816</v>
      </c>
      <c r="I76" s="161" t="s">
        <v>1009</v>
      </c>
      <c r="J76" s="161" t="s">
        <v>1009</v>
      </c>
      <c r="K76" s="162"/>
      <c r="L76" s="162">
        <v>946600</v>
      </c>
      <c r="M76" s="162">
        <v>991507</v>
      </c>
      <c r="N76" s="162" t="s">
        <v>1303</v>
      </c>
      <c r="O76" s="38"/>
      <c r="P76" s="38"/>
      <c r="Q76" s="38"/>
      <c r="R76" s="38"/>
      <c r="S76" s="38"/>
      <c r="T76" s="38"/>
      <c r="U76" s="38"/>
      <c r="V76" s="38"/>
      <c r="W76" s="38"/>
      <c r="X76" s="38"/>
      <c r="Y76" s="38"/>
      <c r="Z76" s="38">
        <v>190</v>
      </c>
      <c r="AA76" s="38">
        <f>SUM(O76:Z76)</f>
        <v>190</v>
      </c>
      <c r="AB76" s="39">
        <f>IF(AA76=0,"",IFERROR(AA76/AA$83,""))</f>
        <v>4.8382989559460146E-2</v>
      </c>
      <c r="AD76" s="38"/>
      <c r="AE76" s="39" t="str">
        <f>IF(AD76=0,"",IFERROR(AD76/AD$83,""))</f>
        <v/>
      </c>
      <c r="AF76" s="132">
        <f>IF(AND($AA76="",AD76=""),"",$AA76-AD76)</f>
        <v>190</v>
      </c>
      <c r="AG76" s="38"/>
      <c r="AH76" s="39" t="str">
        <f>IF(AG76=0,"",IFERROR(AG76/AG$83,""))</f>
        <v/>
      </c>
      <c r="AI76" s="132">
        <f>IF(AND($AA76="",AG76=""),"",$AA76-AG76)</f>
        <v>190</v>
      </c>
    </row>
    <row r="77" spans="3:35" x14ac:dyDescent="0.25">
      <c r="C77" s="32"/>
      <c r="H77" s="149" t="s">
        <v>817</v>
      </c>
      <c r="I77" s="161" t="s">
        <v>1009</v>
      </c>
      <c r="J77" s="161" t="s">
        <v>78</v>
      </c>
      <c r="K77" s="162"/>
      <c r="L77" s="162"/>
      <c r="M77" s="162"/>
      <c r="N77" s="170" t="s">
        <v>1304</v>
      </c>
      <c r="O77" s="176"/>
      <c r="P77" s="176"/>
      <c r="Q77" s="176"/>
      <c r="R77" s="176"/>
      <c r="S77" s="176"/>
      <c r="T77" s="176"/>
      <c r="U77" s="176"/>
      <c r="V77" s="176"/>
      <c r="W77" s="176"/>
      <c r="X77" s="176"/>
      <c r="Y77" s="176"/>
      <c r="Z77" s="176">
        <v>44.494736842105297</v>
      </c>
      <c r="AA77" s="176">
        <f>IFERROR(AA75/AA76,"")</f>
        <v>44.494736842105262</v>
      </c>
      <c r="AB77" s="176"/>
      <c r="AD77" s="176"/>
      <c r="AE77" s="176"/>
      <c r="AF77" s="177">
        <f>IF(AND($AA77="",AD77=""),"",$AA77-AD77)</f>
        <v>44.494736842105262</v>
      </c>
      <c r="AG77" s="176"/>
      <c r="AH77" s="176"/>
      <c r="AI77" s="177">
        <f>IF(AND($AA77="",AG77=""),"",$AA77-AG77)</f>
        <v>44.494736842105262</v>
      </c>
    </row>
    <row r="78" spans="3:35" x14ac:dyDescent="0.25">
      <c r="C78" s="32"/>
      <c r="H78" s="15"/>
      <c r="I78" s="161"/>
      <c r="J78" s="161"/>
      <c r="K78" s="162"/>
      <c r="L78" s="162"/>
      <c r="M78" s="162"/>
      <c r="N78" s="182" t="s">
        <v>345</v>
      </c>
      <c r="O78" s="179">
        <f t="shared" ref="O78:AA78" si="20">ROUND(IFERROR(O75/O76,0),2)</f>
        <v>0</v>
      </c>
      <c r="P78" s="184">
        <f t="shared" si="20"/>
        <v>0</v>
      </c>
      <c r="Q78" s="184">
        <f t="shared" si="20"/>
        <v>0</v>
      </c>
      <c r="R78" s="184">
        <f t="shared" si="20"/>
        <v>0</v>
      </c>
      <c r="S78" s="184">
        <f t="shared" si="20"/>
        <v>0</v>
      </c>
      <c r="T78" s="184">
        <f t="shared" si="20"/>
        <v>0</v>
      </c>
      <c r="U78" s="184">
        <f t="shared" si="20"/>
        <v>0</v>
      </c>
      <c r="V78" s="184">
        <f t="shared" si="20"/>
        <v>0</v>
      </c>
      <c r="W78" s="184">
        <f t="shared" si="20"/>
        <v>0</v>
      </c>
      <c r="X78" s="184">
        <f t="shared" si="20"/>
        <v>0</v>
      </c>
      <c r="Y78" s="184">
        <f t="shared" si="20"/>
        <v>0</v>
      </c>
      <c r="Z78" s="184">
        <f t="shared" si="20"/>
        <v>44.49</v>
      </c>
      <c r="AA78" s="184">
        <f t="shared" si="20"/>
        <v>44.49</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1">ROUND(O77,2)=ROUND(O78,2)</f>
        <v>1</v>
      </c>
      <c r="P79" s="320" t="b">
        <f t="shared" si="21"/>
        <v>1</v>
      </c>
      <c r="Q79" s="320" t="b">
        <f t="shared" si="21"/>
        <v>1</v>
      </c>
      <c r="R79" s="320" t="b">
        <f t="shared" si="21"/>
        <v>1</v>
      </c>
      <c r="S79" s="320" t="b">
        <f t="shared" si="21"/>
        <v>1</v>
      </c>
      <c r="T79" s="320" t="b">
        <f t="shared" si="21"/>
        <v>1</v>
      </c>
      <c r="U79" s="320" t="b">
        <f t="shared" si="21"/>
        <v>1</v>
      </c>
      <c r="V79" s="320" t="b">
        <f t="shared" si="21"/>
        <v>1</v>
      </c>
      <c r="W79" s="320" t="b">
        <f t="shared" si="21"/>
        <v>1</v>
      </c>
      <c r="X79" s="320" t="b">
        <f t="shared" si="21"/>
        <v>1</v>
      </c>
      <c r="Y79" s="320" t="b">
        <f t="shared" si="21"/>
        <v>1</v>
      </c>
      <c r="Z79" s="320" t="b">
        <f t="shared" si="21"/>
        <v>1</v>
      </c>
      <c r="AA79" s="320" t="b">
        <f t="shared" si="21"/>
        <v>1</v>
      </c>
      <c r="AB79" s="321"/>
      <c r="AC79" s="322"/>
      <c r="AD79" s="319"/>
      <c r="AE79" s="320" t="b">
        <f>ROUND(AD77,2)=ROUND(AD78,2)</f>
        <v>1</v>
      </c>
      <c r="AF79" s="321"/>
      <c r="AG79" s="319"/>
      <c r="AH79" s="320" t="b">
        <f>ROUND(AG77,2)=ROUND(AG78,2)</f>
        <v>1</v>
      </c>
      <c r="AI79" s="321"/>
    </row>
    <row r="80" spans="3:35" x14ac:dyDescent="0.25">
      <c r="C80" s="32"/>
      <c r="H80" s="15" t="s">
        <v>486</v>
      </c>
      <c r="I80" s="161" t="s">
        <v>1058</v>
      </c>
      <c r="J80" s="161" t="s">
        <v>78</v>
      </c>
      <c r="K80" s="162"/>
      <c r="L80" s="162"/>
      <c r="M80" s="162"/>
      <c r="N80" s="162" t="s">
        <v>1213</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s">
        <v>1064</v>
      </c>
      <c r="J82" s="161" t="s">
        <v>78</v>
      </c>
      <c r="L82" s="162"/>
      <c r="M82" s="162"/>
      <c r="N82" s="162" t="s">
        <v>1214</v>
      </c>
      <c r="O82" s="171">
        <v>59613</v>
      </c>
      <c r="P82" s="171">
        <v>34793.5</v>
      </c>
      <c r="Q82" s="171">
        <v>31173.07</v>
      </c>
      <c r="R82" s="171">
        <v>11812.25</v>
      </c>
      <c r="S82" s="171">
        <v>13229</v>
      </c>
      <c r="T82" s="171">
        <v>4737.9799999999996</v>
      </c>
      <c r="U82" s="171">
        <v>332</v>
      </c>
      <c r="V82" s="171">
        <v>3040</v>
      </c>
      <c r="W82" s="171">
        <v>8059.51</v>
      </c>
      <c r="X82" s="171">
        <v>13310.1</v>
      </c>
      <c r="Y82" s="171">
        <v>18926.3</v>
      </c>
      <c r="Z82" s="171">
        <v>54531.26</v>
      </c>
      <c r="AA82" s="171">
        <f>SUM(O82:Z82)</f>
        <v>253557.97000000003</v>
      </c>
      <c r="AB82" s="172">
        <f>IF(AA82=0,"",IFERROR(AA82/AA$19,""))</f>
        <v>1</v>
      </c>
      <c r="AD82" s="171">
        <v>292116.25</v>
      </c>
      <c r="AE82" s="172">
        <f>IF(AD82=0,"",IFERROR(AD82/AD$19,""))</f>
        <v>1</v>
      </c>
      <c r="AF82" s="173">
        <f>IF(AND($AA82="",AD82=""),"",$AA82-AD82)</f>
        <v>-38558.27999999997</v>
      </c>
      <c r="AG82" s="171">
        <v>227112.93</v>
      </c>
      <c r="AH82" s="172">
        <f>IF(AG82=0,"",IFERROR(AG82/AG$19,""))</f>
        <v>1</v>
      </c>
      <c r="AI82" s="173">
        <f>IF(AND($AA82="",AG82=""),"",$AA82-AG82)</f>
        <v>26445.040000000037</v>
      </c>
    </row>
    <row r="83" spans="3:35" x14ac:dyDescent="0.25">
      <c r="C83" s="32"/>
      <c r="H83" s="149" t="s">
        <v>331</v>
      </c>
      <c r="I83" s="161" t="s">
        <v>1010</v>
      </c>
      <c r="J83" s="161" t="s">
        <v>78</v>
      </c>
      <c r="L83" s="162">
        <v>946000</v>
      </c>
      <c r="M83" s="162"/>
      <c r="N83" s="162" t="s">
        <v>1196</v>
      </c>
      <c r="O83" s="171">
        <v>1065</v>
      </c>
      <c r="P83" s="171">
        <v>511</v>
      </c>
      <c r="Q83" s="171">
        <v>526</v>
      </c>
      <c r="R83" s="171">
        <v>241</v>
      </c>
      <c r="S83" s="171">
        <v>150</v>
      </c>
      <c r="T83" s="171">
        <v>152</v>
      </c>
      <c r="U83" s="171">
        <v>36</v>
      </c>
      <c r="V83" s="171"/>
      <c r="W83" s="171">
        <v>265</v>
      </c>
      <c r="X83" s="171">
        <v>70</v>
      </c>
      <c r="Y83" s="171">
        <v>161</v>
      </c>
      <c r="Z83" s="171">
        <v>750</v>
      </c>
      <c r="AA83" s="171">
        <f>SUM(O83:Z83)</f>
        <v>3927</v>
      </c>
      <c r="AB83" s="172">
        <f>IF(AA83=0,"",IFERROR(AA83/AA$20,""))</f>
        <v>1</v>
      </c>
      <c r="AD83" s="171">
        <v>4547</v>
      </c>
      <c r="AE83" s="172">
        <f>IF(AD83=0,"",IFERROR(AD83/AD$20,""))</f>
        <v>0.79050764951321284</v>
      </c>
      <c r="AF83" s="173">
        <f>IF(AND($AA83="",AD83=""),"",$AA83-AD83)</f>
        <v>-620</v>
      </c>
      <c r="AG83" s="171">
        <v>3941</v>
      </c>
      <c r="AH83" s="172">
        <f>IF(AG83=0,"",IFERROR(AG83/AG$20,""))</f>
        <v>0.35954748654319862</v>
      </c>
      <c r="AI83" s="173">
        <f>IF(AND($AA83="",AG83=""),"",$AA83-AG83)</f>
        <v>-14</v>
      </c>
    </row>
    <row r="84" spans="3:35" x14ac:dyDescent="0.25">
      <c r="C84" s="32"/>
      <c r="H84" s="149" t="s">
        <v>311</v>
      </c>
      <c r="I84" s="161" t="s">
        <v>1009</v>
      </c>
      <c r="J84" s="161" t="s">
        <v>78</v>
      </c>
      <c r="L84" s="162"/>
      <c r="M84" s="162"/>
      <c r="N84" s="162" t="s">
        <v>1355</v>
      </c>
      <c r="O84" s="176">
        <v>55.974647887323897</v>
      </c>
      <c r="P84" s="176">
        <v>68.089041095890394</v>
      </c>
      <c r="Q84" s="176">
        <v>59.264391634981003</v>
      </c>
      <c r="R84" s="176">
        <v>49.013485477178399</v>
      </c>
      <c r="S84" s="176">
        <v>88.1933333333333</v>
      </c>
      <c r="T84" s="176">
        <v>31.170921052631599</v>
      </c>
      <c r="U84" s="176">
        <v>9.2222222222222197</v>
      </c>
      <c r="V84" s="176"/>
      <c r="W84" s="176">
        <v>30.413245283018899</v>
      </c>
      <c r="X84" s="176">
        <v>190.14428571428601</v>
      </c>
      <c r="Y84" s="176">
        <v>117.55465838509301</v>
      </c>
      <c r="Z84" s="176">
        <v>72.708346666666699</v>
      </c>
      <c r="AA84" s="176">
        <f>IFERROR(AA82/AA83,"")</f>
        <v>64.567855869620587</v>
      </c>
      <c r="AB84" s="176"/>
      <c r="AD84" s="176">
        <v>64.243732131075404</v>
      </c>
      <c r="AE84" s="176"/>
      <c r="AF84" s="177">
        <f>IF(AND($AA84="",AD84=""),"",$AA84-AD84)</f>
        <v>0.3241237385451825</v>
      </c>
      <c r="AG84" s="176">
        <v>57.628249175336201</v>
      </c>
      <c r="AH84" s="176"/>
      <c r="AI84" s="177">
        <f>IF(AND($AA84="",AG84=""),"",$AA84-AG84)</f>
        <v>6.9396066942843859</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v>461200</v>
      </c>
      <c r="M88" s="162"/>
      <c r="N88" s="162" t="s">
        <v>1259</v>
      </c>
      <c r="O88" s="21"/>
      <c r="P88" s="21"/>
      <c r="Q88" s="21"/>
      <c r="R88" s="21"/>
      <c r="S88" s="21"/>
      <c r="T88" s="21"/>
      <c r="U88" s="21"/>
      <c r="V88" s="21">
        <v>1170</v>
      </c>
      <c r="W88" s="21"/>
      <c r="X88" s="21"/>
      <c r="Y88" s="21"/>
      <c r="Z88" s="21">
        <v>1463</v>
      </c>
      <c r="AA88" s="21">
        <f>SUM(O88:Z88)</f>
        <v>2633</v>
      </c>
      <c r="AB88" s="17">
        <f>IF(AA88=0,"",IFERROR(AA88/AA$19,""))</f>
        <v>1.0384213124911829E-2</v>
      </c>
      <c r="AD88" s="21"/>
      <c r="AE88" s="17" t="str">
        <f>IF(AD88=0,"",IFERROR(AD88/AD$19,""))</f>
        <v/>
      </c>
      <c r="AF88" s="50">
        <f>IF(AND($AA88="",AD88=""),"",$AA88-AD88)</f>
        <v>2633</v>
      </c>
      <c r="AG88" s="21"/>
      <c r="AH88" s="17" t="str">
        <f>IF(AG88=0,"",IFERROR(AG88/AG$19,""))</f>
        <v/>
      </c>
      <c r="AI88" s="50">
        <f>IF(AND($AA88="",AG88=""),"",$AA88-AG88)</f>
        <v>2633</v>
      </c>
    </row>
    <row r="89" spans="3:35" x14ac:dyDescent="0.25">
      <c r="C89" s="32"/>
      <c r="H89" s="149" t="s">
        <v>301</v>
      </c>
      <c r="I89" s="161"/>
      <c r="J89" s="161"/>
      <c r="L89" s="162">
        <v>462200</v>
      </c>
      <c r="M89" s="162"/>
      <c r="N89" s="162" t="s">
        <v>1266</v>
      </c>
      <c r="O89" s="21"/>
      <c r="P89" s="21"/>
      <c r="Q89" s="21">
        <v>50</v>
      </c>
      <c r="R89" s="21">
        <v>873</v>
      </c>
      <c r="S89" s="21"/>
      <c r="T89" s="21">
        <v>73</v>
      </c>
      <c r="U89" s="21"/>
      <c r="V89" s="21"/>
      <c r="W89" s="21">
        <v>741</v>
      </c>
      <c r="X89" s="21"/>
      <c r="Y89" s="21"/>
      <c r="Z89" s="21">
        <v>-180</v>
      </c>
      <c r="AA89" s="21">
        <f>SUM(O89:Z89)</f>
        <v>1557</v>
      </c>
      <c r="AB89" s="17">
        <f>IF(AA89=0,"",IFERROR(AA89/AA$19,""))</f>
        <v>6.1406076093762692E-3</v>
      </c>
      <c r="AD89" s="21">
        <v>1220.53943</v>
      </c>
      <c r="AE89" s="17">
        <f>IF(AD89=0,"",IFERROR(AD89/AD$19,""))</f>
        <v>4.1782661183689717E-3</v>
      </c>
      <c r="AF89" s="50">
        <f>IF(AND($AA89="",AD89=""),"",$AA89-AD89)</f>
        <v>336.46056999999996</v>
      </c>
      <c r="AG89" s="21">
        <v>4141</v>
      </c>
      <c r="AH89" s="17">
        <f>IF(AG89=0,"",IFERROR(AG89/AG$19,""))</f>
        <v>1.8233219922793475E-2</v>
      </c>
      <c r="AI89" s="50">
        <f>IF(AND($AA89="",AG89=""),"",$AA89-AG89)</f>
        <v>-2584</v>
      </c>
    </row>
    <row r="90" spans="3:35" x14ac:dyDescent="0.25">
      <c r="C90" s="32"/>
      <c r="H90" s="149" t="s">
        <v>302</v>
      </c>
      <c r="I90" s="161"/>
      <c r="J90" s="161"/>
      <c r="L90" s="162">
        <v>463200</v>
      </c>
      <c r="M90" s="162"/>
      <c r="N90" s="162" t="s">
        <v>1273</v>
      </c>
      <c r="O90" s="21"/>
      <c r="P90" s="21"/>
      <c r="Q90" s="21">
        <v>1101</v>
      </c>
      <c r="R90" s="21"/>
      <c r="S90" s="21">
        <v>476</v>
      </c>
      <c r="T90" s="21"/>
      <c r="U90" s="21"/>
      <c r="V90" s="21"/>
      <c r="W90" s="21"/>
      <c r="X90" s="21"/>
      <c r="Y90" s="21"/>
      <c r="Z90" s="21">
        <v>455</v>
      </c>
      <c r="AA90" s="21">
        <f>SUM(O90:Z90)</f>
        <v>2032</v>
      </c>
      <c r="AB90" s="17">
        <f>IF(AA90=0,"",IFERROR(AA90/AA$19,""))</f>
        <v>8.0139464754351818E-3</v>
      </c>
      <c r="AD90" s="21">
        <v>1216.8684000000001</v>
      </c>
      <c r="AE90" s="17">
        <f>IF(AD90=0,"",IFERROR(AD90/AD$19,""))</f>
        <v>4.1656991009572392E-3</v>
      </c>
      <c r="AF90" s="50">
        <f>IF(AND($AA90="",AD90=""),"",$AA90-AD90)</f>
        <v>815.13159999999993</v>
      </c>
      <c r="AG90" s="21">
        <v>14528</v>
      </c>
      <c r="AH90" s="17">
        <f>IF(AG90=0,"",IFERROR(AG90/AG$19,""))</f>
        <v>6.396817653666835E-2</v>
      </c>
      <c r="AI90" s="50">
        <f>IF(AND($AA90="",AG90=""),"",$AA90-AG90)</f>
        <v>-12496</v>
      </c>
    </row>
    <row r="91" spans="3:35" x14ac:dyDescent="0.25">
      <c r="C91" s="32"/>
      <c r="H91" s="149" t="s">
        <v>808</v>
      </c>
      <c r="I91" s="161"/>
      <c r="J91" s="161"/>
      <c r="L91" s="162">
        <v>471210</v>
      </c>
      <c r="M91" s="162"/>
      <c r="N91" s="162" t="s">
        <v>1295</v>
      </c>
      <c r="O91" s="21"/>
      <c r="P91" s="21"/>
      <c r="Q91" s="21"/>
      <c r="R91" s="21">
        <v>850</v>
      </c>
      <c r="S91" s="21"/>
      <c r="T91" s="21"/>
      <c r="U91" s="21"/>
      <c r="V91" s="21"/>
      <c r="W91" s="21"/>
      <c r="X91" s="21"/>
      <c r="Y91" s="21">
        <v>4948</v>
      </c>
      <c r="Z91" s="21">
        <v>1454.96</v>
      </c>
      <c r="AA91" s="21">
        <f>SUM(O91:Z91)</f>
        <v>7252.96</v>
      </c>
      <c r="AB91" s="17">
        <f>IF(AA91=0,"",IFERROR(AA91/AA$19,""))</f>
        <v>2.8604740762043484E-2</v>
      </c>
      <c r="AD91" s="21">
        <v>814.44449999999995</v>
      </c>
      <c r="AE91" s="17">
        <f>IF(AD91=0,"",IFERROR(AD91/AD$19,""))</f>
        <v>2.7880835112733373E-3</v>
      </c>
      <c r="AF91" s="50">
        <f>IF(AND($AA91="",AD91=""),"",$AA91-AD91)</f>
        <v>6438.5155000000004</v>
      </c>
      <c r="AG91" s="21">
        <v>615</v>
      </c>
      <c r="AH91" s="17">
        <f>IF(AG91=0,"",IFERROR(AG91/AG$19,""))</f>
        <v>2.7079039489297241E-3</v>
      </c>
      <c r="AI91" s="50">
        <f>IF(AND($AA91="",AG91=""),"",$AA91-AG91)</f>
        <v>6637.96</v>
      </c>
    </row>
    <row r="92" spans="3:35" x14ac:dyDescent="0.25">
      <c r="C92" s="32"/>
      <c r="H92" s="149" t="s">
        <v>340</v>
      </c>
      <c r="I92" s="161"/>
      <c r="J92" s="161"/>
      <c r="L92" s="162"/>
      <c r="M92" s="162"/>
      <c r="N92" s="25" t="s">
        <v>1313</v>
      </c>
      <c r="O92" s="164"/>
      <c r="P92" s="164"/>
      <c r="Q92" s="164">
        <v>1151</v>
      </c>
      <c r="R92" s="164">
        <v>1723</v>
      </c>
      <c r="S92" s="164">
        <v>476</v>
      </c>
      <c r="T92" s="164">
        <v>73</v>
      </c>
      <c r="U92" s="164"/>
      <c r="V92" s="164">
        <v>1170</v>
      </c>
      <c r="W92" s="164">
        <v>741</v>
      </c>
      <c r="X92" s="164"/>
      <c r="Y92" s="164">
        <v>4948</v>
      </c>
      <c r="Z92" s="164">
        <v>3192.96</v>
      </c>
      <c r="AA92" s="164">
        <f>SUM(O92:Z92)</f>
        <v>13474.96</v>
      </c>
      <c r="AB92" s="175">
        <f>IF(AA92=0,"",IFERROR(AA92/AA$19,""))</f>
        <v>5.3143507971766764E-2</v>
      </c>
      <c r="AD92" s="164">
        <v>3251.8523300000002</v>
      </c>
      <c r="AE92" s="175">
        <f>IF(AD92=0,"",IFERROR(AD92/AD$19,""))</f>
        <v>1.1132048730599548E-2</v>
      </c>
      <c r="AF92" s="165">
        <f>IF(AND($AA92="",AD92=""),"",$AA92-AD92)</f>
        <v>10223.107669999999</v>
      </c>
      <c r="AG92" s="164">
        <v>19284</v>
      </c>
      <c r="AH92" s="175">
        <f>IF(AG92=0,"",IFERROR(AG92/AG$19,""))</f>
        <v>8.490930040839155E-2</v>
      </c>
      <c r="AI92" s="165">
        <f>IF(AND($AA92="",AG92=""),"",$AA92-AG92)</f>
        <v>-5809.0400000000009</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v>461300</v>
      </c>
      <c r="M95" s="162"/>
      <c r="N95" s="162" t="s">
        <v>1260</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v>462300</v>
      </c>
      <c r="M96" s="162"/>
      <c r="N96" s="162" t="s">
        <v>1267</v>
      </c>
      <c r="O96" s="21"/>
      <c r="P96" s="21"/>
      <c r="Q96" s="21">
        <v>250</v>
      </c>
      <c r="R96" s="21">
        <v>-48</v>
      </c>
      <c r="S96" s="21"/>
      <c r="T96" s="21"/>
      <c r="U96" s="21"/>
      <c r="V96" s="21"/>
      <c r="W96" s="21"/>
      <c r="X96" s="21"/>
      <c r="Y96" s="21"/>
      <c r="Z96" s="21">
        <v>654</v>
      </c>
      <c r="AA96" s="21">
        <f>SUM(O96:Z96)</f>
        <v>856</v>
      </c>
      <c r="AB96" s="17">
        <f>IF(AA96=0,"",IFERROR(AA96/AA$19,""))</f>
        <v>3.3759538302030102E-3</v>
      </c>
      <c r="AD96" s="21">
        <v>45.015599999999999</v>
      </c>
      <c r="AE96" s="17">
        <f>IF(AD96=0,"",IFERROR(AD96/AD$19,""))</f>
        <v>1.5410166329329504E-4</v>
      </c>
      <c r="AF96" s="50">
        <f>IF(AND($AA96="",AD96=""),"",$AA96-AD96)</f>
        <v>810.98440000000005</v>
      </c>
      <c r="AG96" s="21">
        <v>211</v>
      </c>
      <c r="AH96" s="17">
        <f>IF(AG96=0,"",IFERROR(AG96/AG$19,""))</f>
        <v>9.2905322475475094E-4</v>
      </c>
      <c r="AI96" s="50">
        <f>IF(AND($AA96="",AG96=""),"",$AA96-AG96)</f>
        <v>645</v>
      </c>
    </row>
    <row r="97" spans="3:35" x14ac:dyDescent="0.25">
      <c r="C97" s="32"/>
      <c r="H97" s="149" t="s">
        <v>306</v>
      </c>
      <c r="I97" s="161"/>
      <c r="J97" s="161"/>
      <c r="L97" s="162">
        <v>463300</v>
      </c>
      <c r="M97" s="162"/>
      <c r="N97" s="162" t="s">
        <v>1274</v>
      </c>
      <c r="O97" s="21">
        <v>2095</v>
      </c>
      <c r="P97" s="21"/>
      <c r="Q97" s="21"/>
      <c r="R97" s="21"/>
      <c r="S97" s="21"/>
      <c r="T97" s="21"/>
      <c r="U97" s="21"/>
      <c r="V97" s="21"/>
      <c r="W97" s="21"/>
      <c r="X97" s="21"/>
      <c r="Y97" s="21"/>
      <c r="Z97" s="21"/>
      <c r="AA97" s="21">
        <f>SUM(O97:Z97)</f>
        <v>2095</v>
      </c>
      <c r="AB97" s="17">
        <f>IF(AA97=0,"",IFERROR(AA97/AA$19,""))</f>
        <v>8.2624103671440491E-3</v>
      </c>
      <c r="AD97" s="21">
        <v>1216.8684000000001</v>
      </c>
      <c r="AE97" s="17">
        <f>IF(AD97=0,"",IFERROR(AD97/AD$19,""))</f>
        <v>4.1656991009572392E-3</v>
      </c>
      <c r="AF97" s="50">
        <f>IF(AND($AA97="",AD97=""),"",$AA97-AD97)</f>
        <v>878.13159999999993</v>
      </c>
      <c r="AG97" s="21">
        <v>603</v>
      </c>
      <c r="AH97" s="17">
        <f>IF(AG97=0,"",IFERROR(AG97/AG$19,""))</f>
        <v>2.6550667987067051E-3</v>
      </c>
      <c r="AI97" s="50">
        <f>IF(AND($AA97="",AG97=""),"",$AA97-AG97)</f>
        <v>1492</v>
      </c>
    </row>
    <row r="98" spans="3:35" x14ac:dyDescent="0.25">
      <c r="C98" s="32"/>
      <c r="H98" s="149" t="s">
        <v>809</v>
      </c>
      <c r="I98" s="161"/>
      <c r="J98" s="161"/>
      <c r="L98" s="162">
        <v>471310</v>
      </c>
      <c r="M98" s="162"/>
      <c r="N98" s="162" t="s">
        <v>1296</v>
      </c>
      <c r="O98" s="21"/>
      <c r="P98" s="21"/>
      <c r="Q98" s="21"/>
      <c r="R98" s="21"/>
      <c r="S98" s="21"/>
      <c r="T98" s="21"/>
      <c r="U98" s="21"/>
      <c r="V98" s="21"/>
      <c r="W98" s="21"/>
      <c r="X98" s="21"/>
      <c r="Y98" s="21">
        <v>20</v>
      </c>
      <c r="Z98" s="21">
        <v>510</v>
      </c>
      <c r="AA98" s="21">
        <f>SUM(O98:Z98)</f>
        <v>530</v>
      </c>
      <c r="AB98" s="17">
        <f>IF(AA98=0,"",IFERROR(AA98/AA$19,""))</f>
        <v>2.0902517873920504E-3</v>
      </c>
      <c r="AD98" s="21">
        <v>814.44449999999995</v>
      </c>
      <c r="AE98" s="17">
        <f>IF(AD98=0,"",IFERROR(AD98/AD$19,""))</f>
        <v>2.7880835112733373E-3</v>
      </c>
      <c r="AF98" s="50">
        <f>IF(AND($AA98="",AD98=""),"",$AA98-AD98)</f>
        <v>-284.44449999999995</v>
      </c>
      <c r="AG98" s="21">
        <v>127</v>
      </c>
      <c r="AH98" s="17">
        <f>IF(AG98=0,"",IFERROR(AG98/AG$19,""))</f>
        <v>5.591931731936178E-4</v>
      </c>
      <c r="AI98" s="50">
        <f>IF(AND($AA98="",AG98=""),"",$AA98-AG98)</f>
        <v>403</v>
      </c>
    </row>
    <row r="99" spans="3:35" x14ac:dyDescent="0.25">
      <c r="C99" s="32"/>
      <c r="H99" s="149" t="s">
        <v>342</v>
      </c>
      <c r="I99" s="161"/>
      <c r="J99" s="161"/>
      <c r="L99" s="162"/>
      <c r="M99" s="162"/>
      <c r="N99" s="25" t="s">
        <v>1314</v>
      </c>
      <c r="O99" s="164">
        <v>2095</v>
      </c>
      <c r="P99" s="164"/>
      <c r="Q99" s="164">
        <v>250</v>
      </c>
      <c r="R99" s="164">
        <v>-48</v>
      </c>
      <c r="S99" s="164"/>
      <c r="T99" s="164"/>
      <c r="U99" s="164"/>
      <c r="V99" s="164"/>
      <c r="W99" s="164"/>
      <c r="X99" s="164"/>
      <c r="Y99" s="164">
        <v>20</v>
      </c>
      <c r="Z99" s="164">
        <v>1164</v>
      </c>
      <c r="AA99" s="164">
        <f>SUM(O99:Z99)</f>
        <v>3481</v>
      </c>
      <c r="AB99" s="175">
        <f>IF(AA99=0,"",IFERROR(AA99/AA$19,""))</f>
        <v>1.3728615984739109E-2</v>
      </c>
      <c r="AD99" s="164">
        <v>2076.3285000000001</v>
      </c>
      <c r="AE99" s="175">
        <f>IF(AD99=0,"",IFERROR(AD99/AD$19,""))</f>
        <v>7.1078842755238712E-3</v>
      </c>
      <c r="AF99" s="165">
        <f>IF(AND($AA99="",AD99=""),"",$AA99-AD99)</f>
        <v>1404.6714999999999</v>
      </c>
      <c r="AG99" s="164">
        <v>941</v>
      </c>
      <c r="AH99" s="175">
        <f>IF(AG99=0,"",IFERROR(AG99/AG$19,""))</f>
        <v>4.1433131966550742E-3</v>
      </c>
      <c r="AI99" s="165">
        <f>IF(AND($AA99="",AG99=""),"",$AA99-AG99)</f>
        <v>2540</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v>461400</v>
      </c>
      <c r="M102" s="162"/>
      <c r="N102" s="162" t="s">
        <v>1261</v>
      </c>
      <c r="O102" s="21"/>
      <c r="P102" s="21"/>
      <c r="Q102" s="21"/>
      <c r="R102" s="21"/>
      <c r="S102" s="21"/>
      <c r="T102" s="21"/>
      <c r="U102" s="21"/>
      <c r="V102" s="21"/>
      <c r="W102" s="21"/>
      <c r="X102" s="21"/>
      <c r="Y102" s="21"/>
      <c r="Z102" s="21">
        <v>152</v>
      </c>
      <c r="AA102" s="21">
        <f>SUM(O102:Z102)</f>
        <v>152</v>
      </c>
      <c r="AB102" s="17">
        <f>IF(AA102=0,"",IFERROR(AA102/AA$19,""))</f>
        <v>5.9946843713885227E-4</v>
      </c>
      <c r="AD102" s="21"/>
      <c r="AE102" s="17" t="str">
        <f>IF(AD102=0,"",IFERROR(AD102/AD$19,""))</f>
        <v/>
      </c>
      <c r="AF102" s="50">
        <f>IF(AND($AA102="",AD102=""),"",$AA102-AD102)</f>
        <v>152</v>
      </c>
      <c r="AG102" s="21"/>
      <c r="AH102" s="17" t="str">
        <f>IF(AG102=0,"",IFERROR(AG102/AG$19,""))</f>
        <v/>
      </c>
      <c r="AI102" s="50">
        <f>IF(AND($AA102="",AG102=""),"",$AA102-AG102)</f>
        <v>152</v>
      </c>
    </row>
    <row r="103" spans="3:35" x14ac:dyDescent="0.25">
      <c r="C103" s="32"/>
      <c r="H103" s="149" t="s">
        <v>303</v>
      </c>
      <c r="I103" s="161"/>
      <c r="J103" s="161"/>
      <c r="L103" s="162">
        <v>462400</v>
      </c>
      <c r="M103" s="162"/>
      <c r="N103" s="162" t="s">
        <v>1268</v>
      </c>
      <c r="O103" s="21"/>
      <c r="P103" s="21"/>
      <c r="Q103" s="21"/>
      <c r="R103" s="21">
        <v>433</v>
      </c>
      <c r="S103" s="21"/>
      <c r="T103" s="21"/>
      <c r="U103" s="21"/>
      <c r="V103" s="21"/>
      <c r="W103" s="21"/>
      <c r="X103" s="21"/>
      <c r="Y103" s="21"/>
      <c r="Z103" s="21">
        <v>588</v>
      </c>
      <c r="AA103" s="21">
        <f>SUM(O103:Z103)</f>
        <v>1021</v>
      </c>
      <c r="AB103" s="17">
        <f>IF(AA103=0,"",IFERROR(AA103/AA$19,""))</f>
        <v>4.0266925942024218E-3</v>
      </c>
      <c r="AD103" s="21">
        <v>1094.4598550000001</v>
      </c>
      <c r="AE103" s="17">
        <f>IF(AD103=0,"",IFERROR(AD103/AD$19,""))</f>
        <v>3.7466585819857677E-3</v>
      </c>
      <c r="AF103" s="50">
        <f>IF(AND($AA103="",AD103=""),"",$AA103-AD103)</f>
        <v>-73.459855000000061</v>
      </c>
      <c r="AG103" s="21">
        <v>851</v>
      </c>
      <c r="AH103" s="17">
        <f>IF(AG103=0,"",IFERROR(AG103/AG$19,""))</f>
        <v>3.7470345699824313E-3</v>
      </c>
      <c r="AI103" s="50">
        <f>IF(AND($AA103="",AG103=""),"",$AA103-AG103)</f>
        <v>170</v>
      </c>
    </row>
    <row r="104" spans="3:35" x14ac:dyDescent="0.25">
      <c r="C104" s="32"/>
      <c r="H104" s="149" t="s">
        <v>304</v>
      </c>
      <c r="I104" s="161"/>
      <c r="J104" s="161"/>
      <c r="L104" s="162">
        <v>463400</v>
      </c>
      <c r="M104" s="162"/>
      <c r="N104" s="162" t="s">
        <v>1275</v>
      </c>
      <c r="O104" s="21">
        <v>1441</v>
      </c>
      <c r="P104" s="21"/>
      <c r="Q104" s="21">
        <v>-336</v>
      </c>
      <c r="R104" s="21"/>
      <c r="S104" s="21">
        <v>1036</v>
      </c>
      <c r="T104" s="21"/>
      <c r="U104" s="21"/>
      <c r="V104" s="21"/>
      <c r="W104" s="21"/>
      <c r="X104" s="21"/>
      <c r="Y104" s="21"/>
      <c r="Z104" s="21">
        <v>261</v>
      </c>
      <c r="AA104" s="21">
        <f>SUM(O104:Z104)</f>
        <v>2402</v>
      </c>
      <c r="AB104" s="17">
        <f>IF(AA104=0,"",IFERROR(AA104/AA$19,""))</f>
        <v>9.4731788553126511E-3</v>
      </c>
      <c r="AD104" s="21"/>
      <c r="AE104" s="17" t="str">
        <f>IF(AD104=0,"",IFERROR(AD104/AD$19,""))</f>
        <v/>
      </c>
      <c r="AF104" s="50">
        <f>IF(AND($AA104="",AD104=""),"",$AA104-AD104)</f>
        <v>2402</v>
      </c>
      <c r="AG104" s="21">
        <v>104</v>
      </c>
      <c r="AH104" s="17">
        <f>IF(AG104=0,"",IFERROR(AG104/AG$19,""))</f>
        <v>4.5792196859949805E-4</v>
      </c>
      <c r="AI104" s="50">
        <f>IF(AND($AA104="",AG104=""),"",$AA104-AG104)</f>
        <v>2298</v>
      </c>
    </row>
    <row r="105" spans="3:35" x14ac:dyDescent="0.25">
      <c r="C105" s="32"/>
      <c r="H105" s="149" t="s">
        <v>810</v>
      </c>
      <c r="I105" s="161"/>
      <c r="J105" s="161"/>
      <c r="L105" s="162">
        <v>471410</v>
      </c>
      <c r="M105" s="162"/>
      <c r="N105" s="162" t="s">
        <v>1297</v>
      </c>
      <c r="O105" s="21"/>
      <c r="P105" s="21"/>
      <c r="Q105" s="21">
        <v>2338</v>
      </c>
      <c r="R105" s="21"/>
      <c r="S105" s="21"/>
      <c r="T105" s="21"/>
      <c r="U105" s="21"/>
      <c r="V105" s="21"/>
      <c r="W105" s="21">
        <v>144</v>
      </c>
      <c r="X105" s="21"/>
      <c r="Y105" s="21"/>
      <c r="Z105" s="21">
        <v>72</v>
      </c>
      <c r="AA105" s="21">
        <f>SUM(O105:Z105)</f>
        <v>2554</v>
      </c>
      <c r="AB105" s="17">
        <f>IF(AA105=0,"",IFERROR(AA105/AA$19,""))</f>
        <v>1.0072647292451505E-2</v>
      </c>
      <c r="AD105" s="21"/>
      <c r="AE105" s="17" t="str">
        <f>IF(AD105=0,"",IFERROR(AD105/AD$19,""))</f>
        <v/>
      </c>
      <c r="AF105" s="50">
        <f>IF(AND($AA105="",AD105=""),"",$AA105-AD105)</f>
        <v>2554</v>
      </c>
      <c r="AG105" s="21">
        <v>52</v>
      </c>
      <c r="AH105" s="17">
        <f>IF(AG105=0,"",IFERROR(AG105/AG$19,""))</f>
        <v>2.2896098429974902E-4</v>
      </c>
      <c r="AI105" s="50">
        <f>IF(AND($AA105="",AG105=""),"",$AA105-AG105)</f>
        <v>2502</v>
      </c>
    </row>
    <row r="106" spans="3:35" x14ac:dyDescent="0.25">
      <c r="C106" s="32"/>
      <c r="H106" s="149" t="s">
        <v>341</v>
      </c>
      <c r="I106" s="161"/>
      <c r="J106" s="161"/>
      <c r="L106" s="162"/>
      <c r="M106" s="162"/>
      <c r="N106" s="25" t="s">
        <v>1315</v>
      </c>
      <c r="O106" s="164">
        <v>1441</v>
      </c>
      <c r="P106" s="164"/>
      <c r="Q106" s="164">
        <v>2002</v>
      </c>
      <c r="R106" s="164">
        <v>433</v>
      </c>
      <c r="S106" s="164">
        <v>1036</v>
      </c>
      <c r="T106" s="164"/>
      <c r="U106" s="164"/>
      <c r="V106" s="164"/>
      <c r="W106" s="164">
        <v>144</v>
      </c>
      <c r="X106" s="164"/>
      <c r="Y106" s="164"/>
      <c r="Z106" s="164">
        <v>1073</v>
      </c>
      <c r="AA106" s="164">
        <f>SUM(O106:Z106)</f>
        <v>6129</v>
      </c>
      <c r="AB106" s="175">
        <f>IF(AA106=0,"",IFERROR(AA106/AA$19,""))</f>
        <v>2.4171987179105431E-2</v>
      </c>
      <c r="AD106" s="164">
        <v>1094.4598550000001</v>
      </c>
      <c r="AE106" s="175">
        <f>IF(AD106=0,"",IFERROR(AD106/AD$19,""))</f>
        <v>3.7466585819857677E-3</v>
      </c>
      <c r="AF106" s="165">
        <f>IF(AND($AA106="",AD106=""),"",$AA106-AD106)</f>
        <v>5034.5401449999999</v>
      </c>
      <c r="AG106" s="164">
        <v>1007</v>
      </c>
      <c r="AH106" s="175">
        <f>IF(AG106=0,"",IFERROR(AG106/AG$19,""))</f>
        <v>4.4339175228816788E-3</v>
      </c>
      <c r="AI106" s="165">
        <f>IF(AND($AA106="",AG106=""),"",$AA106-AG106)</f>
        <v>5122</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c r="M108" s="162"/>
      <c r="N108" s="162" t="s">
        <v>1316</v>
      </c>
      <c r="O108" s="21">
        <f t="shared" ref="O108:Z108" si="22">O88+O95+O102</f>
        <v>0</v>
      </c>
      <c r="P108" s="21">
        <f t="shared" si="22"/>
        <v>0</v>
      </c>
      <c r="Q108" s="21">
        <f t="shared" si="22"/>
        <v>0</v>
      </c>
      <c r="R108" s="21">
        <f t="shared" si="22"/>
        <v>0</v>
      </c>
      <c r="S108" s="21">
        <f t="shared" si="22"/>
        <v>0</v>
      </c>
      <c r="T108" s="21">
        <f t="shared" si="22"/>
        <v>0</v>
      </c>
      <c r="U108" s="21">
        <f t="shared" si="22"/>
        <v>0</v>
      </c>
      <c r="V108" s="21">
        <f t="shared" si="22"/>
        <v>1170</v>
      </c>
      <c r="W108" s="21">
        <f t="shared" si="22"/>
        <v>0</v>
      </c>
      <c r="X108" s="21">
        <f t="shared" si="22"/>
        <v>0</v>
      </c>
      <c r="Y108" s="21">
        <f t="shared" si="22"/>
        <v>0</v>
      </c>
      <c r="Z108" s="21">
        <f t="shared" si="22"/>
        <v>1615</v>
      </c>
      <c r="AA108" s="21">
        <f>SUM(O108:Z108)</f>
        <v>2785</v>
      </c>
      <c r="AB108" s="17">
        <f>IF(AA108=0,"",IFERROR(AA108/AA$19,""))</f>
        <v>1.0983681562050681E-2</v>
      </c>
      <c r="AD108" s="21">
        <f>AD88+AD95+AD102</f>
        <v>0</v>
      </c>
      <c r="AE108" s="17" t="str">
        <f>IF(AD108=0,"",IFERROR(AD108/AD$19,""))</f>
        <v/>
      </c>
      <c r="AF108" s="50">
        <f>IF(AND($AA108="",AD108=""),"",$AA108-AD108)</f>
        <v>2785</v>
      </c>
      <c r="AG108" s="21">
        <f>AG88+AG95+AG102</f>
        <v>0</v>
      </c>
      <c r="AH108" s="17" t="str">
        <f>IF(AG108=0,"",IFERROR(AG108/AG$19,""))</f>
        <v/>
      </c>
      <c r="AI108" s="50">
        <f>IF(AND($AA108="",AG108=""),"",$AA108-AG108)</f>
        <v>2785</v>
      </c>
    </row>
    <row r="109" spans="3:35" x14ac:dyDescent="0.25">
      <c r="C109" s="32"/>
      <c r="H109" s="15" t="s">
        <v>268</v>
      </c>
      <c r="I109" s="161"/>
      <c r="J109" s="161"/>
      <c r="L109" s="162"/>
      <c r="M109" s="162"/>
      <c r="N109" s="162" t="s">
        <v>1317</v>
      </c>
      <c r="O109" s="21">
        <f t="shared" ref="O109:Z109" si="23">O89+O96+O103</f>
        <v>0</v>
      </c>
      <c r="P109" s="21">
        <f t="shared" si="23"/>
        <v>0</v>
      </c>
      <c r="Q109" s="21">
        <f t="shared" si="23"/>
        <v>300</v>
      </c>
      <c r="R109" s="21">
        <f t="shared" si="23"/>
        <v>1258</v>
      </c>
      <c r="S109" s="21">
        <f t="shared" si="23"/>
        <v>0</v>
      </c>
      <c r="T109" s="21">
        <f t="shared" si="23"/>
        <v>73</v>
      </c>
      <c r="U109" s="21">
        <f t="shared" si="23"/>
        <v>0</v>
      </c>
      <c r="V109" s="21">
        <f t="shared" si="23"/>
        <v>0</v>
      </c>
      <c r="W109" s="21">
        <f t="shared" si="23"/>
        <v>741</v>
      </c>
      <c r="X109" s="21">
        <f t="shared" si="23"/>
        <v>0</v>
      </c>
      <c r="Y109" s="21">
        <f t="shared" si="23"/>
        <v>0</v>
      </c>
      <c r="Z109" s="21">
        <f t="shared" si="23"/>
        <v>1062</v>
      </c>
      <c r="AA109" s="21">
        <f>SUM(O109:Z109)</f>
        <v>3434</v>
      </c>
      <c r="AB109" s="17">
        <f>IF(AA109=0,"",IFERROR(AA109/AA$19,""))</f>
        <v>1.3543254033781701E-2</v>
      </c>
      <c r="AD109" s="21">
        <f>AD89+AD96+AD103</f>
        <v>2360.014885</v>
      </c>
      <c r="AE109" s="17">
        <f>IF(AD109=0,"",IFERROR(AD109/AD$19,""))</f>
        <v>8.0790263636480349E-3</v>
      </c>
      <c r="AF109" s="50">
        <f>IF(AND($AA109="",AD109=""),"",$AA109-AD109)</f>
        <v>1073.985115</v>
      </c>
      <c r="AG109" s="21">
        <f>AG89+AG96+AG103</f>
        <v>5203</v>
      </c>
      <c r="AH109" s="17">
        <f>IF(AG109=0,"",IFERROR(AG109/AG$19,""))</f>
        <v>2.2909307717530657E-2</v>
      </c>
      <c r="AI109" s="50">
        <f>IF(AND($AA109="",AG109=""),"",$AA109-AG109)</f>
        <v>-1769</v>
      </c>
    </row>
    <row r="110" spans="3:35" x14ac:dyDescent="0.25">
      <c r="C110" s="32"/>
      <c r="H110" s="149" t="s">
        <v>269</v>
      </c>
      <c r="I110" s="161"/>
      <c r="J110" s="161"/>
      <c r="L110" s="162"/>
      <c r="M110" s="162"/>
      <c r="N110" s="162" t="s">
        <v>1318</v>
      </c>
      <c r="O110" s="21">
        <f t="shared" ref="O110:Z110" si="24">O90+O97+O104</f>
        <v>3536</v>
      </c>
      <c r="P110" s="21">
        <f t="shared" si="24"/>
        <v>0</v>
      </c>
      <c r="Q110" s="21">
        <f t="shared" si="24"/>
        <v>765</v>
      </c>
      <c r="R110" s="21">
        <f t="shared" si="24"/>
        <v>0</v>
      </c>
      <c r="S110" s="21">
        <f t="shared" si="24"/>
        <v>1512</v>
      </c>
      <c r="T110" s="21">
        <f t="shared" si="24"/>
        <v>0</v>
      </c>
      <c r="U110" s="21">
        <f t="shared" si="24"/>
        <v>0</v>
      </c>
      <c r="V110" s="21">
        <f t="shared" si="24"/>
        <v>0</v>
      </c>
      <c r="W110" s="21">
        <f t="shared" si="24"/>
        <v>0</v>
      </c>
      <c r="X110" s="21">
        <f t="shared" si="24"/>
        <v>0</v>
      </c>
      <c r="Y110" s="21">
        <f t="shared" si="24"/>
        <v>0</v>
      </c>
      <c r="Z110" s="21">
        <f t="shared" si="24"/>
        <v>716</v>
      </c>
      <c r="AA110" s="21">
        <f>SUM(O110:Z110)</f>
        <v>6529</v>
      </c>
      <c r="AB110" s="17">
        <f>IF(AA110=0,"",IFERROR(AA110/AA$19,""))</f>
        <v>2.5749535697891884E-2</v>
      </c>
      <c r="AD110" s="21">
        <f>AD90+AD97+AD104</f>
        <v>2433.7368000000001</v>
      </c>
      <c r="AE110" s="17">
        <f>IF(AD110=0,"",IFERROR(AD110/AD$19,""))</f>
        <v>8.3313982019144785E-3</v>
      </c>
      <c r="AF110" s="50">
        <f>IF(AND($AA110="",AD110=""),"",$AA110-AD110)</f>
        <v>4095.2631999999999</v>
      </c>
      <c r="AG110" s="21">
        <f>AG90+AG97+AG104</f>
        <v>15235</v>
      </c>
      <c r="AH110" s="17">
        <f>IF(AG110=0,"",IFERROR(AG110/AG$19,""))</f>
        <v>6.7081165303974552E-2</v>
      </c>
      <c r="AI110" s="50">
        <f>IF(AND($AA110="",AG110=""),"",$AA110-AG110)</f>
        <v>-8706</v>
      </c>
    </row>
    <row r="111" spans="3:35" x14ac:dyDescent="0.25">
      <c r="C111" s="32"/>
      <c r="H111" s="149" t="s">
        <v>791</v>
      </c>
      <c r="I111" s="161"/>
      <c r="J111" s="161"/>
      <c r="L111" s="162"/>
      <c r="M111" s="162"/>
      <c r="N111" s="162" t="s">
        <v>1477</v>
      </c>
      <c r="O111" s="21">
        <f t="shared" ref="O111:Z111" si="25">O91+O98+O105</f>
        <v>0</v>
      </c>
      <c r="P111" s="21">
        <f t="shared" si="25"/>
        <v>0</v>
      </c>
      <c r="Q111" s="21">
        <f t="shared" si="25"/>
        <v>2338</v>
      </c>
      <c r="R111" s="21">
        <f t="shared" si="25"/>
        <v>850</v>
      </c>
      <c r="S111" s="21">
        <f t="shared" si="25"/>
        <v>0</v>
      </c>
      <c r="T111" s="21">
        <f t="shared" si="25"/>
        <v>0</v>
      </c>
      <c r="U111" s="21">
        <f t="shared" si="25"/>
        <v>0</v>
      </c>
      <c r="V111" s="21">
        <f t="shared" si="25"/>
        <v>0</v>
      </c>
      <c r="W111" s="21">
        <f t="shared" si="25"/>
        <v>144</v>
      </c>
      <c r="X111" s="21">
        <f t="shared" si="25"/>
        <v>0</v>
      </c>
      <c r="Y111" s="21">
        <f t="shared" si="25"/>
        <v>4968</v>
      </c>
      <c r="Z111" s="21">
        <f t="shared" si="25"/>
        <v>2036.96</v>
      </c>
      <c r="AA111" s="21">
        <f>SUM(O111:Z111)</f>
        <v>10336.959999999999</v>
      </c>
      <c r="AB111" s="17">
        <f>IF(AA111=0,"",IFERROR(AA111/AA$19,""))</f>
        <v>4.0767639841887034E-2</v>
      </c>
      <c r="AD111" s="21">
        <f>AD91+AD98+AD105</f>
        <v>1628.8889999999999</v>
      </c>
      <c r="AE111" s="17">
        <f>IF(AD111=0,"",IFERROR(AD111/AD$19,""))</f>
        <v>5.5761670225466745E-3</v>
      </c>
      <c r="AF111" s="50">
        <f>IF(AND($AA111="",AD111=""),"",$AA111-AD111)</f>
        <v>8708.0709999999999</v>
      </c>
      <c r="AG111" s="21">
        <f>AG91+AG98+AG105</f>
        <v>794</v>
      </c>
      <c r="AH111" s="17">
        <f>IF(AG111=0,"",IFERROR(AG111/AG$19,""))</f>
        <v>3.4960581064230911E-3</v>
      </c>
      <c r="AI111" s="50">
        <f>IF(AND($AA111="",AG111=""),"",$AA111-AG111)</f>
        <v>9542.9599999999991</v>
      </c>
    </row>
    <row r="112" spans="3:35" x14ac:dyDescent="0.25">
      <c r="C112" s="32"/>
      <c r="H112" s="15" t="s">
        <v>272</v>
      </c>
      <c r="I112" s="161"/>
      <c r="J112" s="161"/>
      <c r="L112" s="162"/>
      <c r="M112" s="162"/>
      <c r="N112" s="25" t="s">
        <v>1212</v>
      </c>
      <c r="O112" s="164">
        <f t="shared" ref="O112:Z112" si="26">SUM(O108:O111)</f>
        <v>3536</v>
      </c>
      <c r="P112" s="164">
        <f t="shared" si="26"/>
        <v>0</v>
      </c>
      <c r="Q112" s="164">
        <f t="shared" si="26"/>
        <v>3403</v>
      </c>
      <c r="R112" s="164">
        <f t="shared" si="26"/>
        <v>2108</v>
      </c>
      <c r="S112" s="164">
        <f t="shared" si="26"/>
        <v>1512</v>
      </c>
      <c r="T112" s="164">
        <f t="shared" si="26"/>
        <v>73</v>
      </c>
      <c r="U112" s="164">
        <f t="shared" si="26"/>
        <v>0</v>
      </c>
      <c r="V112" s="164">
        <f t="shared" si="26"/>
        <v>1170</v>
      </c>
      <c r="W112" s="164">
        <f t="shared" si="26"/>
        <v>885</v>
      </c>
      <c r="X112" s="164">
        <f t="shared" si="26"/>
        <v>0</v>
      </c>
      <c r="Y112" s="164">
        <f t="shared" si="26"/>
        <v>4968</v>
      </c>
      <c r="Z112" s="164">
        <f t="shared" si="26"/>
        <v>5429.96</v>
      </c>
      <c r="AA112" s="164">
        <f>SUM(O112:Z112)</f>
        <v>23084.959999999999</v>
      </c>
      <c r="AB112" s="175">
        <f>IF(AA112=0,"",IFERROR(AA112/AA$19,""))</f>
        <v>9.1044111135611297E-2</v>
      </c>
      <c r="AD112" s="164">
        <f>SUM(AD108:AD111)</f>
        <v>6422.6406850000003</v>
      </c>
      <c r="AE112" s="175">
        <f>IF(AD112=0,"",IFERROR(AD112/AD$19,""))</f>
        <v>2.1986591588109186E-2</v>
      </c>
      <c r="AF112" s="165">
        <f>IF(AND($AA112="",AD112=""),"",$AA112-AD112)</f>
        <v>16662.319315000001</v>
      </c>
      <c r="AG112" s="164">
        <f>SUM(AG108:AG111)</f>
        <v>21232</v>
      </c>
      <c r="AH112" s="175">
        <f>IF(AG112=0,"",IFERROR(AG112/AG$19,""))</f>
        <v>9.3486531127928305E-2</v>
      </c>
      <c r="AI112" s="165">
        <f>IF(AND($AA112="",AG112=""),"",$AA112-AG112)</f>
        <v>1852.9599999999991</v>
      </c>
    </row>
    <row r="113" spans="3:35" x14ac:dyDescent="0.25">
      <c r="C113" s="32"/>
      <c r="H113" s="149"/>
      <c r="I113" s="161"/>
      <c r="J113" s="161"/>
      <c r="O113" s="139">
        <f t="shared" ref="O113:AA113" si="27">O92+O99+O106-O112</f>
        <v>0</v>
      </c>
      <c r="P113" s="139">
        <f t="shared" si="27"/>
        <v>0</v>
      </c>
      <c r="Q113" s="139">
        <f t="shared" si="27"/>
        <v>0</v>
      </c>
      <c r="R113" s="139">
        <f t="shared" si="27"/>
        <v>0</v>
      </c>
      <c r="S113" s="139">
        <f t="shared" si="27"/>
        <v>0</v>
      </c>
      <c r="T113" s="139">
        <f t="shared" si="27"/>
        <v>0</v>
      </c>
      <c r="U113" s="139">
        <f t="shared" si="27"/>
        <v>0</v>
      </c>
      <c r="V113" s="139">
        <f t="shared" si="27"/>
        <v>0</v>
      </c>
      <c r="W113" s="139">
        <f t="shared" si="27"/>
        <v>0</v>
      </c>
      <c r="X113" s="139">
        <f t="shared" si="27"/>
        <v>0</v>
      </c>
      <c r="Y113" s="139">
        <f t="shared" si="27"/>
        <v>0</v>
      </c>
      <c r="Z113" s="139">
        <f t="shared" si="27"/>
        <v>0</v>
      </c>
      <c r="AA113" s="139">
        <f t="shared" si="27"/>
        <v>0</v>
      </c>
      <c r="AB113" s="17"/>
      <c r="AD113" s="139">
        <f>AD92+AD99+AD106-AD112</f>
        <v>0</v>
      </c>
      <c r="AE113" s="17"/>
      <c r="AF113" s="21"/>
      <c r="AG113" s="139">
        <f>AG92+AG99+AG106-AG112</f>
        <v>0</v>
      </c>
      <c r="AH113" s="17"/>
      <c r="AI113" s="21"/>
    </row>
    <row r="114" spans="3:35" x14ac:dyDescent="0.25">
      <c r="C114" s="32"/>
      <c r="I114" s="1"/>
      <c r="J114" s="1"/>
    </row>
    <row r="115" spans="3:35" x14ac:dyDescent="0.25">
      <c r="C115" s="32"/>
      <c r="H115" s="15"/>
      <c r="I115" s="161"/>
      <c r="J115" s="161"/>
      <c r="L115" s="162"/>
      <c r="M115" s="162"/>
      <c r="N115" s="25" t="s">
        <v>820</v>
      </c>
      <c r="O115" s="508">
        <f t="shared" ref="O115:AA115" si="28">IFERROR(O19/O21,0)</f>
        <v>82.111570247933884</v>
      </c>
      <c r="P115" s="508">
        <f t="shared" si="28"/>
        <v>61.581415929203537</v>
      </c>
      <c r="Q115" s="508">
        <f t="shared" si="28"/>
        <v>73.348399999999998</v>
      </c>
      <c r="R115" s="508">
        <f t="shared" si="28"/>
        <v>50.696351931330469</v>
      </c>
      <c r="S115" s="508">
        <f t="shared" si="28"/>
        <v>32.503685503685503</v>
      </c>
      <c r="T115" s="508">
        <f t="shared" si="28"/>
        <v>13.271652661064424</v>
      </c>
      <c r="U115" s="508">
        <f t="shared" si="28"/>
        <v>25.53846153846154</v>
      </c>
      <c r="V115" s="508">
        <f t="shared" si="28"/>
        <v>55.272727272727273</v>
      </c>
      <c r="W115" s="508">
        <f t="shared" si="28"/>
        <v>111.9376388888889</v>
      </c>
      <c r="X115" s="508">
        <f t="shared" si="28"/>
        <v>48.050902527075813</v>
      </c>
      <c r="Y115" s="508">
        <f t="shared" si="28"/>
        <v>38.863039014373712</v>
      </c>
      <c r="Z115" s="508">
        <f t="shared" si="28"/>
        <v>101.17116883116884</v>
      </c>
      <c r="AA115" s="508">
        <f t="shared" si="28"/>
        <v>61.010098652550539</v>
      </c>
      <c r="AB115" s="175"/>
      <c r="AD115" s="508">
        <f>IFERROR(AD19/AD21,0)</f>
        <v>51.392725193525685</v>
      </c>
      <c r="AE115" s="175"/>
      <c r="AF115" s="144">
        <f>IFERROR(AF19/AF21,0)</f>
        <v>0</v>
      </c>
      <c r="AG115" s="508">
        <f>IFERROR(AG19/AG21,0)</f>
        <v>49.544705497382196</v>
      </c>
      <c r="AH115" s="175"/>
      <c r="AI115" s="144">
        <f>IFERROR(AI19/AI21,0)</f>
        <v>0</v>
      </c>
    </row>
    <row r="116" spans="3:35" x14ac:dyDescent="0.25">
      <c r="C116" s="32"/>
      <c r="I116" s="1"/>
      <c r="J116" s="1"/>
    </row>
    <row r="117" spans="3:35" x14ac:dyDescent="0.25">
      <c r="C117" s="32"/>
      <c r="H117" s="149"/>
      <c r="I117" s="161"/>
      <c r="J117" s="161"/>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49"/>
      <c r="I118" s="161"/>
      <c r="J118" s="161"/>
      <c r="N118" s="26" t="str">
        <f>N82&amp;" - Check"</f>
        <v>Total Food &amp; Beverage Revenue - Check</v>
      </c>
      <c r="O118" s="139">
        <f t="shared" ref="O118:AA118" si="29">O39+O49+O59+O69+O75+O80-O82</f>
        <v>0</v>
      </c>
      <c r="P118" s="139">
        <f t="shared" si="29"/>
        <v>0</v>
      </c>
      <c r="Q118" s="139">
        <f t="shared" si="29"/>
        <v>0</v>
      </c>
      <c r="R118" s="139">
        <f t="shared" si="29"/>
        <v>0</v>
      </c>
      <c r="S118" s="139">
        <f t="shared" si="29"/>
        <v>0</v>
      </c>
      <c r="T118" s="139">
        <f t="shared" si="29"/>
        <v>0</v>
      </c>
      <c r="U118" s="139">
        <f t="shared" si="29"/>
        <v>0</v>
      </c>
      <c r="V118" s="139">
        <f t="shared" si="29"/>
        <v>0</v>
      </c>
      <c r="W118" s="139">
        <f t="shared" si="29"/>
        <v>0</v>
      </c>
      <c r="X118" s="139">
        <f t="shared" si="29"/>
        <v>0</v>
      </c>
      <c r="Y118" s="139">
        <f t="shared" si="29"/>
        <v>0</v>
      </c>
      <c r="Z118" s="139">
        <f t="shared" si="29"/>
        <v>0</v>
      </c>
      <c r="AA118" s="139">
        <f t="shared" si="29"/>
        <v>0</v>
      </c>
      <c r="AB118" s="17"/>
      <c r="AD118" s="139">
        <f>AD39+AD49+AD59+AD69+AD75+AD80-AD82</f>
        <v>0</v>
      </c>
      <c r="AE118" s="17"/>
      <c r="AF118" s="21"/>
      <c r="AG118" s="139">
        <f>AG39+AG49+AG59+AG69+AG75+AG80-AG82</f>
        <v>0</v>
      </c>
      <c r="AH118" s="17"/>
      <c r="AI118" s="21"/>
    </row>
    <row r="119" spans="3:35" x14ac:dyDescent="0.25">
      <c r="C119" s="32"/>
      <c r="H119" s="149"/>
      <c r="I119" s="161"/>
      <c r="J119" s="161"/>
      <c r="N119" s="26" t="str">
        <f>N83&amp;" - Check"</f>
        <v>Total Customers - Check</v>
      </c>
      <c r="O119" s="139">
        <f t="shared" ref="O119:AA119" si="30">O41+O51+O61+O70+O76-O83</f>
        <v>0</v>
      </c>
      <c r="P119" s="139">
        <f t="shared" si="30"/>
        <v>0</v>
      </c>
      <c r="Q119" s="139">
        <f t="shared" si="30"/>
        <v>0</v>
      </c>
      <c r="R119" s="139">
        <f t="shared" si="30"/>
        <v>0</v>
      </c>
      <c r="S119" s="139">
        <f t="shared" si="30"/>
        <v>0</v>
      </c>
      <c r="T119" s="139">
        <f t="shared" si="30"/>
        <v>0</v>
      </c>
      <c r="U119" s="139">
        <f t="shared" si="30"/>
        <v>0</v>
      </c>
      <c r="V119" s="139">
        <f t="shared" si="30"/>
        <v>0</v>
      </c>
      <c r="W119" s="139">
        <f t="shared" si="30"/>
        <v>0</v>
      </c>
      <c r="X119" s="139">
        <f t="shared" si="30"/>
        <v>0</v>
      </c>
      <c r="Y119" s="139">
        <f t="shared" si="30"/>
        <v>0</v>
      </c>
      <c r="Z119" s="139">
        <f t="shared" si="30"/>
        <v>0</v>
      </c>
      <c r="AA119" s="139">
        <f t="shared" si="30"/>
        <v>0</v>
      </c>
      <c r="AB119" s="17"/>
      <c r="AD119" s="139">
        <f>AD41+AD51+AD61+AD70+AD76-AD83</f>
        <v>0</v>
      </c>
      <c r="AE119" s="17"/>
      <c r="AF119" s="21"/>
      <c r="AG119" s="139">
        <f>AG41+AG51+AG61+AG70+AG76-AG83</f>
        <v>0</v>
      </c>
      <c r="AH119" s="17"/>
      <c r="AI119" s="21"/>
    </row>
    <row r="120" spans="3:35" x14ac:dyDescent="0.25">
      <c r="C120" s="32"/>
      <c r="H120" s="149"/>
      <c r="I120" s="161"/>
      <c r="J120" s="161"/>
      <c r="N120" s="26" t="str">
        <f>N84&amp;" - Check"</f>
        <v>Total Average Check - Check</v>
      </c>
      <c r="O120" s="178">
        <f t="shared" ref="O120:AA120" si="31">IFERROR(O$82/O83,"")-O84</f>
        <v>0</v>
      </c>
      <c r="P120" s="178">
        <f t="shared" si="31"/>
        <v>0</v>
      </c>
      <c r="Q120" s="178">
        <f t="shared" si="31"/>
        <v>0</v>
      </c>
      <c r="R120" s="178">
        <f t="shared" si="31"/>
        <v>0</v>
      </c>
      <c r="S120" s="178">
        <f t="shared" si="31"/>
        <v>0</v>
      </c>
      <c r="T120" s="178">
        <f t="shared" si="31"/>
        <v>0</v>
      </c>
      <c r="U120" s="178">
        <f t="shared" si="31"/>
        <v>0</v>
      </c>
      <c r="V120" s="178" t="e">
        <f t="shared" si="31"/>
        <v>#VALUE!</v>
      </c>
      <c r="W120" s="178">
        <f t="shared" si="31"/>
        <v>-2.8421709430404007E-14</v>
      </c>
      <c r="X120" s="178">
        <f t="shared" si="31"/>
        <v>-2.8421709430404007E-13</v>
      </c>
      <c r="Y120" s="178">
        <f t="shared" si="31"/>
        <v>1.5631940186722204E-13</v>
      </c>
      <c r="Z120" s="178">
        <f t="shared" si="31"/>
        <v>0</v>
      </c>
      <c r="AA120" s="178">
        <f t="shared" si="31"/>
        <v>0</v>
      </c>
      <c r="AB120" s="17"/>
      <c r="AD120" s="178">
        <f>IFERROR(AD$82/AD83,"")-AD84</f>
        <v>0</v>
      </c>
      <c r="AE120" s="17"/>
      <c r="AF120" s="21"/>
      <c r="AG120" s="178">
        <f>IFERROR(AG$82/AG83,"")-AG84</f>
        <v>0</v>
      </c>
      <c r="AH120" s="17"/>
      <c r="AI120" s="21"/>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3" spans="3:34" x14ac:dyDescent="0.25">
      <c r="C133"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row>
    <row r="142" spans="3:34" x14ac:dyDescent="0.25">
      <c r="C142" s="32"/>
    </row>
    <row r="143" spans="3:34" x14ac:dyDescent="0.25">
      <c r="C143" s="32"/>
      <c r="I143" s="76"/>
      <c r="J143" s="1"/>
      <c r="K143" s="76"/>
      <c r="L143" s="76"/>
      <c r="M143" s="76"/>
      <c r="O143" s="76"/>
      <c r="P143" s="76"/>
      <c r="Q143" s="76"/>
      <c r="R143" s="76"/>
      <c r="S143" s="76"/>
      <c r="T143" s="76"/>
      <c r="U143" s="76"/>
      <c r="V143" s="76"/>
      <c r="W143" s="76"/>
      <c r="X143" s="76"/>
      <c r="Y143" s="76"/>
      <c r="Z143" s="76"/>
      <c r="AA143" s="76"/>
      <c r="AD143" s="76"/>
      <c r="AF143" s="76"/>
      <c r="AH143" s="76"/>
    </row>
    <row r="144" spans="3:34" x14ac:dyDescent="0.25">
      <c r="C144" s="32"/>
    </row>
    <row r="145" spans="3:34" x14ac:dyDescent="0.25">
      <c r="C145" s="32"/>
    </row>
    <row r="146" spans="3:34" x14ac:dyDescent="0.25">
      <c r="C146" s="32"/>
    </row>
    <row r="147" spans="3:34" x14ac:dyDescent="0.25">
      <c r="C147" s="32"/>
      <c r="I147" s="76"/>
      <c r="J147" s="1"/>
      <c r="K147" s="76"/>
      <c r="L147" s="76"/>
      <c r="M147" s="76"/>
      <c r="O147" s="76"/>
      <c r="P147" s="76"/>
      <c r="Q147" s="76"/>
      <c r="R147" s="76"/>
      <c r="S147" s="76"/>
      <c r="T147" s="76"/>
      <c r="U147" s="76"/>
      <c r="V147" s="76"/>
      <c r="W147" s="76"/>
      <c r="X147" s="76"/>
      <c r="Y147" s="76"/>
      <c r="Z147" s="76"/>
      <c r="AA147" s="76"/>
      <c r="AD147" s="76"/>
      <c r="AF147" s="76"/>
      <c r="AH147" s="76"/>
    </row>
    <row r="148" spans="3:34" x14ac:dyDescent="0.25">
      <c r="C148" s="32"/>
    </row>
    <row r="149" spans="3:34" x14ac:dyDescent="0.25">
      <c r="C149" s="32"/>
    </row>
    <row r="203" spans="5:5" x14ac:dyDescent="0.25">
      <c r="E203" s="76"/>
    </row>
    <row r="207" spans="5:5" x14ac:dyDescent="0.25">
      <c r="E207" s="76"/>
    </row>
  </sheetData>
  <mergeCells count="2">
    <mergeCell ref="AD31:AE31"/>
    <mergeCell ref="AG31:AH31"/>
  </mergeCells>
  <conditionalFormatting sqref="AD43 AF43:AG43 O43:AA43">
    <cfRule type="expression" dxfId="35" priority="10">
      <formula>ROUND(O42,2)&lt;&gt;ROUND(O43,2)</formula>
    </cfRule>
  </conditionalFormatting>
  <conditionalFormatting sqref="O53:AA53 AD53 AF53:AG53">
    <cfRule type="expression" dxfId="34" priority="9">
      <formula>ROUND(O52,2)&lt;&gt;ROUND(O53,2)</formula>
    </cfRule>
  </conditionalFormatting>
  <conditionalFormatting sqref="O63:AA63 AD63 AF63:AG63">
    <cfRule type="expression" dxfId="33" priority="8">
      <formula>ROUND(O62,2)&lt;&gt;ROUND(O63,2)</formula>
    </cfRule>
  </conditionalFormatting>
  <conditionalFormatting sqref="O72:AA72 AD72 AF72:AG72">
    <cfRule type="expression" dxfId="32" priority="7">
      <formula>ROUND(O71,2)&lt;&gt;ROUND(O72,2)</formula>
    </cfRule>
  </conditionalFormatting>
  <conditionalFormatting sqref="AD78 AF78:AG78 O78:AA78">
    <cfRule type="expression" dxfId="31" priority="6">
      <formula>ROUND(O77,2)&lt;&gt;ROUND(O78,2)</formula>
    </cfRule>
  </conditionalFormatting>
  <conditionalFormatting sqref="AI43">
    <cfRule type="expression" dxfId="30" priority="5">
      <formula>ROUND(AI42,2)&lt;&gt;ROUND(AI43,2)</formula>
    </cfRule>
  </conditionalFormatting>
  <conditionalFormatting sqref="AI53">
    <cfRule type="expression" dxfId="29" priority="4">
      <formula>ROUND(AI52,2)&lt;&gt;ROUND(AI53,2)</formula>
    </cfRule>
  </conditionalFormatting>
  <conditionalFormatting sqref="AI63">
    <cfRule type="expression" dxfId="28" priority="3">
      <formula>ROUND(AI62,2)&lt;&gt;ROUND(AI63,2)</formula>
    </cfRule>
  </conditionalFormatting>
  <conditionalFormatting sqref="AI72">
    <cfRule type="expression" dxfId="27" priority="2">
      <formula>ROUND(AI71,2)&lt;&gt;ROUND(AI72,2)</formula>
    </cfRule>
  </conditionalFormatting>
  <conditionalFormatting sqref="AI78">
    <cfRule type="expression" dxfId="26" priority="1">
      <formula>ROUND(AI77,2)&lt;&gt;ROUND(AI78,2)</formula>
    </cfRule>
  </conditionalFormatting>
  <conditionalFormatting sqref="N43 N53 N63 N72 N78">
    <cfRule type="expression" dxfId="25" priority="11">
      <formula>$G44&lt;&gt;0</formula>
    </cfRule>
  </conditionalFormatting>
  <conditionalFormatting sqref="N79">
    <cfRule type="expression" dxfId="24" priority="12">
      <formula>#REF!&lt;&gt;0</formula>
    </cfRule>
  </conditionalFormatting>
  <dataValidations count="2">
    <dataValidation type="list" allowBlank="1" sqref="B28" xr:uid="{00000000-0002-0000-3500-000000000000}">
      <formula1>"ACCOUNT,BUSINESSUNIT,CATEGORY,DATASRC,DEPARTMENT,INTCO,MEASURES,RPTCURRENCY,TIME"</formula1>
    </dataValidation>
    <dataValidation type="list" allowBlank="1" sqref="B29" xr:uid="{00000000-0002-0000-3500-000001000000}">
      <formula1>"SELF,ALL,BAS,DEP,BASMEMBERS,MEMBERS,NOEXPAND,GDEP"</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operties>
  <drawing r:id="rId3"/>
  <legacyDrawing r:id="rId4"/>
  <controls>
    <mc:AlternateContent xmlns:mc="http://schemas.openxmlformats.org/markup-compatibility/2006">
      <mc:Choice Requires="x14">
        <control shapeId="357379"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7379" r:id="rId5" name="FPMExcelClientSheetOptionstb1"/>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806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_xll.EVRNG(H35:H56)</f>
        <v>#NAME?</v>
      </c>
      <c r="G19" s="18" t="str">
        <f>$B$6</f>
        <v>D2348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D2348</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c r="P35" s="333"/>
      <c r="Q35" s="333"/>
      <c r="R35" s="333"/>
      <c r="S35" s="333"/>
      <c r="T35" s="333"/>
      <c r="U35" s="333"/>
      <c r="V35" s="333">
        <v>2361</v>
      </c>
      <c r="W35" s="333"/>
      <c r="X35" s="333"/>
      <c r="Y35" s="333"/>
      <c r="Z35" s="333"/>
      <c r="AA35" s="310" t="e">
        <f t="shared" ref="AA35:AA56" ca="1" si="0">IF($I35="B1","",SUM(O35:Z35))</f>
        <v>#NAME?</v>
      </c>
      <c r="AB35" s="334" t="e">
        <f t="shared" ref="AB35:AB56" ca="1" si="1">IF(AA35=0,"",IFERROR(AA35/AA$19,""))</f>
        <v>#NAME?</v>
      </c>
      <c r="AC35" s="290"/>
      <c r="AD35" s="333"/>
      <c r="AE35" s="334" t="str">
        <f t="shared" ref="AE35:AE56" si="2">IF(AD35=0,"",IFERROR(AD35/AD$19,""))</f>
        <v/>
      </c>
      <c r="AF35" s="335" t="e">
        <f t="shared" ref="AF35:AF56" ca="1" si="3">IF(AND($AA35="",AD35=""),"",$AA35-AD35)</f>
        <v>#NAME?</v>
      </c>
      <c r="AG35" s="333"/>
      <c r="AH35" s="334" t="str">
        <f>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v>9461</v>
      </c>
      <c r="AE36" s="334" t="str">
        <f t="shared" ca="1" si="2"/>
        <v/>
      </c>
      <c r="AF36" s="335" t="e">
        <f t="shared" ca="1" si="3"/>
        <v>#NAME?</v>
      </c>
      <c r="AG36" s="333">
        <v>5189</v>
      </c>
      <c r="AH36" s="334" t="str">
        <f t="shared" ref="AH36:AH56" ca="1"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c r="P37" s="333"/>
      <c r="Q37" s="333"/>
      <c r="R37" s="333"/>
      <c r="S37" s="333">
        <v>1500</v>
      </c>
      <c r="T37" s="333">
        <v>3743</v>
      </c>
      <c r="U37" s="333"/>
      <c r="V37" s="333"/>
      <c r="W37" s="333"/>
      <c r="X37" s="333"/>
      <c r="Y37" s="333"/>
      <c r="Z37" s="333">
        <v>656.21</v>
      </c>
      <c r="AA37" s="310" t="e">
        <f t="shared" ca="1" si="0"/>
        <v>#NAME?</v>
      </c>
      <c r="AB37" s="334" t="e">
        <f t="shared" ca="1" si="1"/>
        <v>#NAME?</v>
      </c>
      <c r="AC37" s="290"/>
      <c r="AD37" s="333">
        <v>29027.0095</v>
      </c>
      <c r="AE37" s="334" t="str">
        <f t="shared" ca="1" si="2"/>
        <v/>
      </c>
      <c r="AF37" s="335" t="e">
        <f t="shared" ca="1" si="3"/>
        <v>#NAME?</v>
      </c>
      <c r="AG37" s="333">
        <v>21455</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c r="P38" s="333"/>
      <c r="Q38" s="333"/>
      <c r="R38" s="333"/>
      <c r="S38" s="333"/>
      <c r="T38" s="333"/>
      <c r="U38" s="333"/>
      <c r="V38" s="333"/>
      <c r="W38" s="333"/>
      <c r="X38" s="333"/>
      <c r="Y38" s="333"/>
      <c r="Z38" s="333"/>
      <c r="AA38" s="310" t="e">
        <f t="shared" ca="1" si="0"/>
        <v>#NAME?</v>
      </c>
      <c r="AB38" s="334" t="e">
        <f t="shared" ca="1" si="1"/>
        <v>#NAME?</v>
      </c>
      <c r="AC38" s="290"/>
      <c r="AD38" s="333"/>
      <c r="AE38" s="334" t="str">
        <f t="shared" si="2"/>
        <v/>
      </c>
      <c r="AF38" s="335" t="e">
        <f t="shared" ca="1" si="3"/>
        <v>#NAME?</v>
      </c>
      <c r="AG38" s="333"/>
      <c r="AH38" s="334" t="str">
        <f t="shared"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v>2087</v>
      </c>
      <c r="AA39" s="324" t="e">
        <f t="shared" ca="1" si="0"/>
        <v>#NAME?</v>
      </c>
      <c r="AB39" s="325" t="e">
        <f t="shared" ca="1" si="1"/>
        <v>#NAME?</v>
      </c>
      <c r="AC39" s="290"/>
      <c r="AD39" s="324">
        <v>6555.54</v>
      </c>
      <c r="AE39" s="325" t="str">
        <f t="shared" ca="1"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v>1500</v>
      </c>
      <c r="T40" s="134">
        <v>3743</v>
      </c>
      <c r="U40" s="134"/>
      <c r="V40" s="134">
        <v>2361</v>
      </c>
      <c r="W40" s="134"/>
      <c r="X40" s="134"/>
      <c r="Y40" s="134"/>
      <c r="Z40" s="134">
        <v>2743.21</v>
      </c>
      <c r="AA40" s="134" t="e">
        <f t="shared" ca="1" si="0"/>
        <v>#NAME?</v>
      </c>
      <c r="AB40" s="135" t="e">
        <f t="shared" ca="1" si="1"/>
        <v>#NAME?</v>
      </c>
      <c r="AC40" s="137"/>
      <c r="AD40" s="134">
        <v>45043.549500000001</v>
      </c>
      <c r="AE40" s="135" t="str">
        <f t="shared" ca="1" si="2"/>
        <v/>
      </c>
      <c r="AF40" s="136" t="e">
        <f t="shared" ca="1" si="3"/>
        <v>#NAME?</v>
      </c>
      <c r="AG40" s="134">
        <v>26644</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c r="W42" s="333"/>
      <c r="X42" s="333"/>
      <c r="Y42" s="333"/>
      <c r="Z42" s="333"/>
      <c r="AA42" s="310" t="e">
        <f t="shared" ca="1" si="0"/>
        <v>#NAME?</v>
      </c>
      <c r="AB42" s="334" t="e">
        <f t="shared" ca="1" si="1"/>
        <v>#NAME?</v>
      </c>
      <c r="AC42" s="290"/>
      <c r="AD42" s="333"/>
      <c r="AE42" s="334" t="str">
        <f t="shared" si="2"/>
        <v/>
      </c>
      <c r="AF42" s="335" t="e">
        <f t="shared" ca="1" si="3"/>
        <v>#NAME?</v>
      </c>
      <c r="AG42" s="333"/>
      <c r="AH42" s="334" t="str">
        <f t="shared" si="5"/>
        <v/>
      </c>
      <c r="AI42" s="336" t="e">
        <f t="shared" ca="1" si="6"/>
        <v>#NAME?</v>
      </c>
      <c r="AJ42" s="399">
        <f t="shared" ca="1" si="7"/>
        <v>0</v>
      </c>
      <c r="AK42" s="400">
        <f t="shared" ca="1" si="8"/>
        <v>0</v>
      </c>
      <c r="AL42" s="401">
        <f t="shared" ca="1" si="9"/>
        <v>0</v>
      </c>
      <c r="AM42" s="402">
        <f t="shared" ca="1" si="10"/>
        <v>0</v>
      </c>
      <c r="AN42" s="403">
        <f t="shared" ca="1" si="11"/>
        <v>0</v>
      </c>
    </row>
    <row r="43" spans="1:40" ht="15.75" thickBot="1" x14ac:dyDescent="0.3">
      <c r="A43" s="1" t="s">
        <v>108</v>
      </c>
      <c r="C43" s="496"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c r="R43" s="333"/>
      <c r="S43" s="333"/>
      <c r="T43" s="333"/>
      <c r="U43" s="333"/>
      <c r="V43" s="333"/>
      <c r="W43" s="333"/>
      <c r="X43" s="333"/>
      <c r="Y43" s="333"/>
      <c r="Z43" s="333"/>
      <c r="AA43" s="310" t="e">
        <f t="shared" ca="1" si="0"/>
        <v>#NAME?</v>
      </c>
      <c r="AB43" s="334" t="e">
        <f t="shared" ca="1" si="1"/>
        <v>#NAME?</v>
      </c>
      <c r="AC43" s="290"/>
      <c r="AD43" s="333"/>
      <c r="AE43" s="334" t="str">
        <f t="shared" si="2"/>
        <v/>
      </c>
      <c r="AF43" s="335" t="e">
        <f t="shared" ca="1" si="3"/>
        <v>#NAME?</v>
      </c>
      <c r="AG43" s="333"/>
      <c r="AH43" s="334" t="str">
        <f t="shared" si="5"/>
        <v/>
      </c>
      <c r="AI43" s="336" t="e">
        <f t="shared" ca="1" si="6"/>
        <v>#NAME?</v>
      </c>
      <c r="AJ43" s="399">
        <f t="shared" ca="1" si="7"/>
        <v>0</v>
      </c>
      <c r="AK43" s="400">
        <f t="shared" ca="1" si="8"/>
        <v>0</v>
      </c>
      <c r="AL43" s="401">
        <f t="shared" ca="1" si="9"/>
        <v>0</v>
      </c>
      <c r="AM43" s="402">
        <f t="shared" ca="1" si="10"/>
        <v>0</v>
      </c>
      <c r="AN43" s="403">
        <f t="shared" ca="1" si="11"/>
        <v>0</v>
      </c>
    </row>
    <row r="44" spans="1:40" ht="16.5" thickTop="1" thickBot="1" x14ac:dyDescent="0.3">
      <c r="A44" s="1" t="s">
        <v>108</v>
      </c>
      <c r="C44" s="496"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c r="P44" s="333"/>
      <c r="Q44" s="333"/>
      <c r="R44" s="333"/>
      <c r="S44" s="333">
        <v>8000</v>
      </c>
      <c r="T44" s="333">
        <v>238</v>
      </c>
      <c r="U44" s="333"/>
      <c r="V44" s="333"/>
      <c r="W44" s="333"/>
      <c r="X44" s="333"/>
      <c r="Y44" s="333"/>
      <c r="Z44" s="333">
        <v>53.79</v>
      </c>
      <c r="AA44" s="310" t="e">
        <f t="shared" ca="1" si="0"/>
        <v>#NAME?</v>
      </c>
      <c r="AB44" s="334" t="e">
        <f t="shared" ca="1" si="1"/>
        <v>#NAME?</v>
      </c>
      <c r="AC44" s="290"/>
      <c r="AD44" s="333">
        <v>1957.9905000000001</v>
      </c>
      <c r="AE44" s="334" t="str">
        <f t="shared" ca="1" si="2"/>
        <v/>
      </c>
      <c r="AF44" s="335" t="e">
        <f t="shared" ca="1" si="3"/>
        <v>#NAME?</v>
      </c>
      <c r="AG44" s="333">
        <v>630</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ht="15.75" thickTop="1"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v>2240</v>
      </c>
      <c r="AA45" s="324" t="e">
        <f t="shared" ca="1" si="0"/>
        <v>#NAME?</v>
      </c>
      <c r="AB45" s="325" t="e">
        <f t="shared" ca="1" si="1"/>
        <v>#NAME?</v>
      </c>
      <c r="AC45" s="290"/>
      <c r="AD45" s="324">
        <v>244.46</v>
      </c>
      <c r="AE45" s="325" t="str">
        <f t="shared" ca="1" si="2"/>
        <v/>
      </c>
      <c r="AF45" s="326" t="e">
        <f t="shared" ca="1" si="3"/>
        <v>#NAME?</v>
      </c>
      <c r="AG45" s="324"/>
      <c r="AH45" s="325" t="str">
        <f t="shared"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c r="P46" s="134"/>
      <c r="Q46" s="134"/>
      <c r="R46" s="134"/>
      <c r="S46" s="134">
        <v>8000</v>
      </c>
      <c r="T46" s="134">
        <v>238</v>
      </c>
      <c r="U46" s="134"/>
      <c r="V46" s="134"/>
      <c r="W46" s="134"/>
      <c r="X46" s="134"/>
      <c r="Y46" s="134"/>
      <c r="Z46" s="134">
        <v>2293.79</v>
      </c>
      <c r="AA46" s="134" t="e">
        <f t="shared" ca="1" si="0"/>
        <v>#NAME?</v>
      </c>
      <c r="AB46" s="135" t="e">
        <f t="shared" ca="1" si="1"/>
        <v>#NAME?</v>
      </c>
      <c r="AC46" s="137"/>
      <c r="AD46" s="134">
        <v>2202.4504999999999</v>
      </c>
      <c r="AE46" s="135" t="str">
        <f t="shared" ca="1" si="2"/>
        <v/>
      </c>
      <c r="AF46" s="136" t="e">
        <f t="shared" ca="1" si="3"/>
        <v>#NAME?</v>
      </c>
      <c r="AG46" s="134">
        <v>630</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c r="B47" s="1" t="s">
        <v>821</v>
      </c>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c r="P48" s="134"/>
      <c r="Q48" s="134"/>
      <c r="R48" s="134"/>
      <c r="S48" s="134">
        <v>9500</v>
      </c>
      <c r="T48" s="134">
        <v>3981</v>
      </c>
      <c r="U48" s="134"/>
      <c r="V48" s="134">
        <v>2361</v>
      </c>
      <c r="W48" s="134"/>
      <c r="X48" s="134"/>
      <c r="Y48" s="134"/>
      <c r="Z48" s="134">
        <v>5037</v>
      </c>
      <c r="AA48" s="134" t="e">
        <f t="shared" ca="1" si="0"/>
        <v>#NAME?</v>
      </c>
      <c r="AB48" s="135" t="e">
        <f t="shared" ca="1" si="1"/>
        <v>#NAME?</v>
      </c>
      <c r="AC48" s="137"/>
      <c r="AD48" s="134">
        <v>47246</v>
      </c>
      <c r="AE48" s="135" t="str">
        <f t="shared" ca="1" si="2"/>
        <v/>
      </c>
      <c r="AF48" s="136" t="e">
        <f t="shared" ca="1" si="3"/>
        <v>#NAME?</v>
      </c>
      <c r="AG48" s="134">
        <v>27274</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c r="P50" s="333"/>
      <c r="Q50" s="333"/>
      <c r="R50" s="333"/>
      <c r="S50" s="333">
        <v>75</v>
      </c>
      <c r="T50" s="333"/>
      <c r="U50" s="333"/>
      <c r="V50" s="333">
        <v>500</v>
      </c>
      <c r="W50" s="333"/>
      <c r="X50" s="333"/>
      <c r="Y50" s="333"/>
      <c r="Z50" s="333">
        <v>115.2</v>
      </c>
      <c r="AA50" s="310" t="e">
        <f t="shared" ca="1" si="0"/>
        <v>#NAME?</v>
      </c>
      <c r="AB50" s="334" t="e">
        <f t="shared" ca="1" si="1"/>
        <v>#NAME?</v>
      </c>
      <c r="AC50" s="290"/>
      <c r="AD50" s="333">
        <v>2114.2600000000002</v>
      </c>
      <c r="AE50" s="334" t="str">
        <f t="shared" ca="1" si="2"/>
        <v/>
      </c>
      <c r="AF50" s="335" t="e">
        <f t="shared" ca="1" si="3"/>
        <v>#NAME?</v>
      </c>
      <c r="AG50" s="333"/>
      <c r="AH50" s="334" t="str">
        <f t="shared"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c r="P51" s="333"/>
      <c r="Q51" s="333"/>
      <c r="R51" s="333"/>
      <c r="S51" s="333">
        <v>450</v>
      </c>
      <c r="T51" s="333">
        <v>1500</v>
      </c>
      <c r="U51" s="333"/>
      <c r="V51" s="333">
        <v>500</v>
      </c>
      <c r="W51" s="333">
        <v>500</v>
      </c>
      <c r="X51" s="333"/>
      <c r="Y51" s="333"/>
      <c r="Z51" s="333">
        <v>11214.95</v>
      </c>
      <c r="AA51" s="310" t="e">
        <f t="shared" ca="1" si="0"/>
        <v>#NAME?</v>
      </c>
      <c r="AB51" s="334" t="e">
        <f t="shared" ca="1" si="1"/>
        <v>#NAME?</v>
      </c>
      <c r="AC51" s="290"/>
      <c r="AD51" s="333">
        <v>12276.37</v>
      </c>
      <c r="AE51" s="334" t="str">
        <f t="shared" ca="1" si="2"/>
        <v/>
      </c>
      <c r="AF51" s="335" t="e">
        <f t="shared" ca="1" si="3"/>
        <v>#NAME?</v>
      </c>
      <c r="AG51" s="333">
        <v>5400</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_xll.EVRNG(#REF!)</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c r="P52" s="333"/>
      <c r="Q52" s="333"/>
      <c r="R52" s="333"/>
      <c r="S52" s="333">
        <v>2090</v>
      </c>
      <c r="T52" s="333">
        <v>869.78</v>
      </c>
      <c r="U52" s="333"/>
      <c r="V52" s="333">
        <v>519.41999999999996</v>
      </c>
      <c r="W52" s="333"/>
      <c r="X52" s="333"/>
      <c r="Y52" s="333"/>
      <c r="Z52" s="333">
        <v>1089.68</v>
      </c>
      <c r="AA52" s="310" t="e">
        <f t="shared" ca="1" si="0"/>
        <v>#NAME?</v>
      </c>
      <c r="AB52" s="334" t="e">
        <f t="shared" ca="1" si="1"/>
        <v>#NAME?</v>
      </c>
      <c r="AC52" s="290"/>
      <c r="AD52" s="333">
        <v>10394.120000000001</v>
      </c>
      <c r="AE52" s="334" t="str">
        <f t="shared" ca="1" si="2"/>
        <v/>
      </c>
      <c r="AF52" s="335" t="e">
        <f t="shared" ca="1" si="3"/>
        <v>#NAME?</v>
      </c>
      <c r="AG52" s="333">
        <v>6000.28</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c r="P53" s="333"/>
      <c r="Q53" s="333"/>
      <c r="R53" s="333"/>
      <c r="S53" s="333"/>
      <c r="T53" s="333">
        <v>39.909999999999997</v>
      </c>
      <c r="U53" s="333"/>
      <c r="V53" s="333"/>
      <c r="W53" s="333"/>
      <c r="X53" s="333"/>
      <c r="Y53" s="333"/>
      <c r="Z53" s="333">
        <v>150</v>
      </c>
      <c r="AA53" s="310" t="e">
        <f t="shared" ca="1" si="0"/>
        <v>#NAME?</v>
      </c>
      <c r="AB53" s="334" t="e">
        <f t="shared" ca="1" si="1"/>
        <v>#NAME?</v>
      </c>
      <c r="AC53" s="290"/>
      <c r="AD53" s="333">
        <v>1364.05</v>
      </c>
      <c r="AE53" s="334" t="str">
        <f t="shared" ca="1" si="2"/>
        <v/>
      </c>
      <c r="AF53" s="335" t="e">
        <f t="shared" ca="1" si="3"/>
        <v>#NAME?</v>
      </c>
      <c r="AG53" s="333">
        <v>1200</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ht="15.75" thickBot="1" x14ac:dyDescent="0.3">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c r="P55" s="36"/>
      <c r="Q55" s="36"/>
      <c r="R55" s="36"/>
      <c r="S55" s="36">
        <v>2615</v>
      </c>
      <c r="T55" s="36">
        <v>2409.69</v>
      </c>
      <c r="U55" s="36"/>
      <c r="V55" s="36">
        <v>1519.42</v>
      </c>
      <c r="W55" s="36">
        <v>500</v>
      </c>
      <c r="X55" s="36"/>
      <c r="Y55" s="36"/>
      <c r="Z55" s="36">
        <v>12569.83</v>
      </c>
      <c r="AA55" s="36" t="e">
        <f t="shared" ca="1" si="0"/>
        <v>#NAME?</v>
      </c>
      <c r="AB55" s="37" t="e">
        <f t="shared" ca="1" si="1"/>
        <v>#NAME?</v>
      </c>
      <c r="AC55" s="35"/>
      <c r="AD55" s="36">
        <v>26148.799999999999</v>
      </c>
      <c r="AE55" s="37" t="str">
        <f t="shared" ca="1" si="2"/>
        <v/>
      </c>
      <c r="AF55" s="58" t="e">
        <f t="shared" ca="1" si="3"/>
        <v>#NAME?</v>
      </c>
      <c r="AG55" s="36">
        <v>12600.28</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ht="16.5" thickTop="1" thickBot="1" x14ac:dyDescent="0.3">
      <c r="A56" s="6" t="s">
        <v>47</v>
      </c>
      <c r="B56" s="7" t="e">
        <f ca="1">_xll.EVRNG($A$125:$B$146)</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497"/>
      <c r="P56" s="498"/>
      <c r="Q56" s="498"/>
      <c r="R56" s="498"/>
      <c r="S56" s="498">
        <v>12115</v>
      </c>
      <c r="T56" s="498">
        <v>6390.69</v>
      </c>
      <c r="U56" s="498"/>
      <c r="V56" s="498">
        <v>3880.42</v>
      </c>
      <c r="W56" s="498">
        <v>500</v>
      </c>
      <c r="X56" s="498"/>
      <c r="Y56" s="498"/>
      <c r="Z56" s="498">
        <v>17606.830000000002</v>
      </c>
      <c r="AA56" s="498" t="e">
        <f t="shared" ca="1" si="0"/>
        <v>#NAME?</v>
      </c>
      <c r="AB56" s="499" t="e">
        <f t="shared" ca="1" si="1"/>
        <v>#NAME?</v>
      </c>
      <c r="AC56" s="500"/>
      <c r="AD56" s="498">
        <v>73394.8</v>
      </c>
      <c r="AE56" s="499" t="str">
        <f t="shared" ca="1" si="2"/>
        <v/>
      </c>
      <c r="AF56" s="501" t="e">
        <f t="shared" ca="1" si="3"/>
        <v>#NAME?</v>
      </c>
      <c r="AG56" s="498">
        <v>39874.28</v>
      </c>
      <c r="AH56" s="499" t="str">
        <f t="shared" ca="1" si="5"/>
        <v/>
      </c>
      <c r="AI56" s="502" t="e">
        <f t="shared" ca="1" si="6"/>
        <v>#NAME?</v>
      </c>
      <c r="AJ56" s="503">
        <f t="shared" ca="1" si="7"/>
        <v>0</v>
      </c>
      <c r="AK56" s="504">
        <f t="shared" ca="1" si="8"/>
        <v>0</v>
      </c>
      <c r="AL56" s="505">
        <f t="shared" ca="1" si="9"/>
        <v>0</v>
      </c>
      <c r="AM56" s="506">
        <f t="shared" ca="1" si="10"/>
        <v>0</v>
      </c>
      <c r="AN56" s="507">
        <f t="shared" ca="1" si="11"/>
        <v>0</v>
      </c>
    </row>
    <row r="57" spans="1:40" ht="15.75" thickTop="1" x14ac:dyDescent="0.25">
      <c r="A57" s="6" t="s">
        <v>8</v>
      </c>
      <c r="B57" s="7"/>
    </row>
    <row r="58" spans="1:40" x14ac:dyDescent="0.25">
      <c r="G58" s="14"/>
      <c r="O58" s="166"/>
      <c r="P58" s="166"/>
      <c r="Q58" s="166"/>
      <c r="R58" s="166"/>
      <c r="S58" s="166"/>
      <c r="T58" s="166"/>
      <c r="U58" s="166"/>
      <c r="V58" s="166"/>
      <c r="W58" s="166"/>
      <c r="X58" s="166"/>
      <c r="Y58" s="166"/>
      <c r="Z58" s="166"/>
      <c r="AA58" s="166"/>
      <c r="AD58" s="166"/>
      <c r="AG58" s="166"/>
    </row>
    <row r="59" spans="1:40" x14ac:dyDescent="0.25">
      <c r="A59" s="3" t="s">
        <v>9</v>
      </c>
      <c r="B59" s="5" t="s">
        <v>10</v>
      </c>
    </row>
    <row r="60" spans="1:40" x14ac:dyDescent="0.25">
      <c r="A60" s="6" t="s">
        <v>11</v>
      </c>
      <c r="B60" s="7" t="s">
        <v>21</v>
      </c>
      <c r="O60" s="166"/>
      <c r="P60" s="166"/>
      <c r="Q60" s="166"/>
      <c r="R60" s="166"/>
      <c r="S60" s="166"/>
      <c r="T60" s="166"/>
      <c r="U60" s="166"/>
      <c r="V60" s="166"/>
      <c r="W60" s="166"/>
      <c r="X60" s="166"/>
      <c r="Y60" s="166"/>
      <c r="Z60" s="166"/>
      <c r="AA60" s="166"/>
      <c r="AD60" s="166"/>
      <c r="AG60" s="166"/>
    </row>
    <row r="61" spans="1:40" x14ac:dyDescent="0.25">
      <c r="A61" s="6" t="s">
        <v>12</v>
      </c>
      <c r="B61" s="7" t="s">
        <v>22</v>
      </c>
    </row>
    <row r="62" spans="1:40" x14ac:dyDescent="0.25">
      <c r="A62" s="6" t="s">
        <v>13</v>
      </c>
      <c r="B62" s="7" t="e">
        <f ca="1">"DEP(COS_FB) AND "&amp;$E$6&amp;"=Y,COS_FB,COSOTH,DEP(COS_OTHR) AND "&amp;$E$6&amp;"=Y,COS_OTHR,500001"</f>
        <v>#NAME?</v>
      </c>
    </row>
    <row r="63" spans="1:40" x14ac:dyDescent="0.25">
      <c r="A63" s="6" t="s">
        <v>14</v>
      </c>
      <c r="B63" s="7"/>
      <c r="H63" s="11"/>
      <c r="J63" s="1"/>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B80" s="1" t="s">
        <v>822</v>
      </c>
      <c r="H80" s="11"/>
      <c r="J80" s="1"/>
    </row>
    <row r="81" spans="1:10" hidden="1" x14ac:dyDescent="0.25">
      <c r="H81" s="11"/>
      <c r="J81" s="1"/>
    </row>
    <row r="82" spans="1:10" hidden="1" x14ac:dyDescent="0.25">
      <c r="A82" s="3" t="s">
        <v>0</v>
      </c>
      <c r="B82" s="5" t="s">
        <v>1</v>
      </c>
      <c r="H82" s="11"/>
      <c r="J82" s="1"/>
    </row>
    <row r="83" spans="1:10" x14ac:dyDescent="0.25">
      <c r="A83" s="6" t="s">
        <v>2</v>
      </c>
      <c r="B83" s="7" t="e">
        <f ca="1">_xll.EVRNG($B$2:$B$10)</f>
        <v>#NAME?</v>
      </c>
      <c r="H83" s="11"/>
      <c r="J83" s="1"/>
    </row>
    <row r="84" spans="1:10" x14ac:dyDescent="0.25">
      <c r="A84" s="6" t="s">
        <v>3</v>
      </c>
      <c r="B84" s="7" t="e">
        <f ca="1">_xll.EVRNG($O$16:$AN$18)</f>
        <v>#NAME?</v>
      </c>
      <c r="H84" s="11"/>
      <c r="J84" s="1"/>
    </row>
    <row r="85" spans="1:10" x14ac:dyDescent="0.25">
      <c r="A85" s="6" t="s">
        <v>4</v>
      </c>
      <c r="B85" s="7" t="e">
        <f ca="1">_xll.EVRNG(#REF!,#REF!,#REF!)</f>
        <v>#NAME?</v>
      </c>
      <c r="H85" s="11"/>
      <c r="J85" s="1"/>
    </row>
    <row r="86" spans="1:10" x14ac:dyDescent="0.25">
      <c r="A86" s="6" t="s">
        <v>5</v>
      </c>
      <c r="B86" s="7"/>
    </row>
    <row r="87" spans="1:10" x14ac:dyDescent="0.25">
      <c r="A87" s="6" t="s">
        <v>6</v>
      </c>
      <c r="B87" s="7"/>
    </row>
    <row r="88" spans="1:10" x14ac:dyDescent="0.25">
      <c r="A88" s="6" t="s">
        <v>7</v>
      </c>
      <c r="B88" s="7" t="e">
        <f ca="1">_xll.EVRNG(A102:F108)</f>
        <v>#NAME?</v>
      </c>
    </row>
    <row r="89" spans="1:10" x14ac:dyDescent="0.25">
      <c r="A89" s="6" t="s">
        <v>47</v>
      </c>
      <c r="B89" s="7" t="e">
        <f ca="1">_xll.EVRNG($A$125:$B$146)</f>
        <v>#NAME?</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c r="C111" s="1" t="s">
        <v>823</v>
      </c>
    </row>
    <row r="113" spans="1:34" x14ac:dyDescent="0.25">
      <c r="A113" s="3" t="s">
        <v>0</v>
      </c>
      <c r="B113" s="5" t="s">
        <v>1</v>
      </c>
    </row>
    <row r="114" spans="1:34" x14ac:dyDescent="0.25">
      <c r="A114" s="6" t="s">
        <v>2</v>
      </c>
      <c r="B114" s="7" t="e">
        <f ca="1">_xll.EVRNG($B$2:$B$10)</f>
        <v>#NAME?</v>
      </c>
    </row>
    <row r="115" spans="1:34" x14ac:dyDescent="0.25">
      <c r="A115" s="6" t="s">
        <v>3</v>
      </c>
      <c r="B115" s="7" t="e">
        <f ca="1">_xll.EVRNG($O$16:$AN$18)</f>
        <v>#NAME?</v>
      </c>
    </row>
    <row r="116" spans="1:34" x14ac:dyDescent="0.25">
      <c r="A116" s="6" t="s">
        <v>4</v>
      </c>
      <c r="B116" s="7" t="e">
        <f ca="1">_xll.EVRNG(#REF!)</f>
        <v>#NAME?</v>
      </c>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7" t="e">
        <f ca="1">_xll.EVRNG($A$125:$B$146)</f>
        <v>#NAME?</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c r="I126" s="76"/>
      <c r="J126" s="1"/>
      <c r="K126" s="76"/>
      <c r="L126" s="76"/>
      <c r="M126" s="76"/>
      <c r="O126" s="76"/>
      <c r="P126" s="76"/>
      <c r="Q126" s="76"/>
      <c r="R126" s="76"/>
      <c r="S126" s="76"/>
      <c r="T126" s="76"/>
      <c r="U126" s="76"/>
      <c r="V126" s="76"/>
      <c r="W126" s="76"/>
      <c r="X126" s="76"/>
      <c r="Y126" s="76"/>
      <c r="Z126" s="76"/>
      <c r="AA126" s="76"/>
      <c r="AD126" s="76"/>
      <c r="AF126" s="76"/>
      <c r="AH126" s="76"/>
    </row>
    <row r="127" spans="1:34" x14ac:dyDescent="0.25">
      <c r="A127" s="6" t="s">
        <v>27</v>
      </c>
      <c r="B127" s="7"/>
    </row>
    <row r="128" spans="1:34" x14ac:dyDescent="0.25">
      <c r="A128" s="6" t="s">
        <v>28</v>
      </c>
      <c r="B128" s="7"/>
    </row>
    <row r="129" spans="1:34" x14ac:dyDescent="0.25">
      <c r="A129" s="6" t="s">
        <v>29</v>
      </c>
      <c r="B129" s="7"/>
    </row>
    <row r="130" spans="1:34" x14ac:dyDescent="0.25">
      <c r="A130" s="6" t="s">
        <v>30</v>
      </c>
      <c r="B130" s="7" t="s">
        <v>78</v>
      </c>
      <c r="I130" s="76"/>
      <c r="J130" s="1"/>
      <c r="K130" s="76"/>
      <c r="L130" s="76"/>
      <c r="M130" s="76"/>
      <c r="O130" s="76"/>
      <c r="P130" s="76"/>
      <c r="Q130" s="76"/>
      <c r="R130" s="76"/>
      <c r="S130" s="76"/>
      <c r="T130" s="76"/>
      <c r="U130" s="76"/>
      <c r="V130" s="76"/>
      <c r="W130" s="76"/>
      <c r="X130" s="76"/>
      <c r="Y130" s="76"/>
      <c r="Z130" s="76"/>
      <c r="AA130" s="76"/>
      <c r="AD130" s="76"/>
      <c r="AF130" s="76"/>
      <c r="AH130" s="76"/>
    </row>
    <row r="131" spans="1:34" x14ac:dyDescent="0.25">
      <c r="A131" s="6" t="s">
        <v>31</v>
      </c>
      <c r="B131" s="7" t="s">
        <v>78</v>
      </c>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4 B28 B61" xr:uid="{00000000-0002-0000-3600-000000000000}">
      <formula1>"ACCOUNT,BUSINESSUNIT,CATEGORY,DATASRC,DEPARTMENT,INTCO,MEASURES,RPTCURRENCY,TIME"</formula1>
    </dataValidation>
    <dataValidation type="list" allowBlank="1" sqref="B95 B29 B62" xr:uid="{00000000-0002-0000-36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822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08225" r:id="rId7" name="FPMExcelClientSheetOptionstb1"/>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7">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806</v>
      </c>
      <c r="C6" s="1" t="s">
        <v>1503</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1504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1505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1506</v>
      </c>
      <c r="G19" s="18" t="str">
        <f>$B$6</f>
        <v>D2348</v>
      </c>
      <c r="H19" s="18">
        <v>400000</v>
      </c>
      <c r="I19" s="19"/>
      <c r="J19" s="19"/>
      <c r="K19" s="18"/>
      <c r="L19" s="18"/>
      <c r="M19" s="18"/>
      <c r="N19" s="18" t="s">
        <v>1003</v>
      </c>
      <c r="O19" s="20">
        <v>0</v>
      </c>
      <c r="P19" s="20">
        <v>0</v>
      </c>
      <c r="Q19" s="20">
        <v>0</v>
      </c>
      <c r="R19" s="20">
        <v>0</v>
      </c>
      <c r="S19" s="20">
        <v>12115</v>
      </c>
      <c r="T19" s="20">
        <v>6390.69</v>
      </c>
      <c r="U19" s="20">
        <v>0</v>
      </c>
      <c r="V19" s="20">
        <v>3880.42</v>
      </c>
      <c r="W19" s="20">
        <v>500</v>
      </c>
      <c r="X19" s="20">
        <v>0</v>
      </c>
      <c r="Y19" s="20">
        <v>0</v>
      </c>
      <c r="Z19" s="20">
        <v>17606.830000000002</v>
      </c>
      <c r="AA19" s="20">
        <f>SUM(O19:Z19)</f>
        <v>40492.94</v>
      </c>
      <c r="AB19" s="18"/>
      <c r="AC19" s="18"/>
      <c r="AD19" s="20">
        <v>73394.8</v>
      </c>
      <c r="AE19" s="18"/>
      <c r="AF19" s="18"/>
      <c r="AG19" s="20">
        <v>39874.28</v>
      </c>
      <c r="AH19" s="18"/>
      <c r="AI19" s="18"/>
    </row>
    <row r="20" spans="1:40" hidden="1" outlineLevel="1" x14ac:dyDescent="0.25">
      <c r="A20" s="6" t="s">
        <v>5</v>
      </c>
      <c r="B20" s="7"/>
      <c r="G20" s="18" t="str">
        <f>$B$6</f>
        <v>D2348</v>
      </c>
      <c r="H20" s="18">
        <v>946000</v>
      </c>
      <c r="I20" s="19"/>
      <c r="J20" s="19"/>
      <c r="K20" s="18"/>
      <c r="L20" s="19"/>
      <c r="M20" s="19"/>
      <c r="N20" s="18" t="s">
        <v>1196</v>
      </c>
      <c r="O20" s="20">
        <v>0</v>
      </c>
      <c r="P20" s="20">
        <v>0</v>
      </c>
      <c r="Q20" s="20">
        <v>0</v>
      </c>
      <c r="R20" s="20">
        <v>0</v>
      </c>
      <c r="S20" s="20">
        <v>250</v>
      </c>
      <c r="T20" s="20">
        <v>0</v>
      </c>
      <c r="U20" s="20">
        <v>0</v>
      </c>
      <c r="V20" s="20">
        <v>57</v>
      </c>
      <c r="W20" s="20">
        <v>0</v>
      </c>
      <c r="X20" s="20">
        <v>0</v>
      </c>
      <c r="Y20" s="20">
        <v>0</v>
      </c>
      <c r="Z20" s="20">
        <v>32</v>
      </c>
      <c r="AA20" s="20">
        <f>SUM(O20:Z20)</f>
        <v>339</v>
      </c>
      <c r="AB20" s="18"/>
      <c r="AC20" s="18"/>
      <c r="AD20" s="20">
        <v>513</v>
      </c>
      <c r="AE20" s="18"/>
      <c r="AF20" s="18"/>
      <c r="AG20" s="20">
        <v>317</v>
      </c>
      <c r="AH20" s="18"/>
      <c r="AI20" s="18"/>
    </row>
    <row r="21" spans="1:40" hidden="1" outlineLevel="1" x14ac:dyDescent="0.25">
      <c r="A21" s="6" t="s">
        <v>6</v>
      </c>
      <c r="B21" s="7"/>
      <c r="I21" s="1"/>
      <c r="J21" s="1"/>
    </row>
    <row r="22" spans="1:40" hidden="1" outlineLevel="1" x14ac:dyDescent="0.25">
      <c r="A22" s="6" t="s">
        <v>7</v>
      </c>
      <c r="B22" s="16" t="s">
        <v>1507</v>
      </c>
      <c r="I22" s="1"/>
      <c r="J22" s="1"/>
    </row>
    <row r="23" spans="1:40" hidden="1" outlineLevel="1" x14ac:dyDescent="0.25">
      <c r="A23" s="6" t="s">
        <v>47</v>
      </c>
      <c r="B23" s="16" t="s">
        <v>1508</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1509</v>
      </c>
    </row>
    <row r="28" spans="1:40" ht="15.75" x14ac:dyDescent="0.25">
      <c r="A28" s="6" t="s">
        <v>12</v>
      </c>
      <c r="B28" s="7" t="s">
        <v>22</v>
      </c>
      <c r="N28" s="71" t="s">
        <v>1005</v>
      </c>
    </row>
    <row r="29" spans="1:40" ht="15" customHeight="1" x14ac:dyDescent="0.25">
      <c r="A29" s="6" t="s">
        <v>13</v>
      </c>
      <c r="B29" s="7" t="str">
        <f>"DEP(REV_F) AND "&amp;$E$6&amp;"=Y,REV_F,BEV,DEP(REV_BEV) AND "&amp;$E$6&amp;"=Y,REV_BEV,ALLOW_FB,REV_FB,OTHR_REV,DEP(REV_OTHR) AND "&amp;$E$6&amp;"=Y,REV_OTHR,400000"</f>
        <v>DEP(REV_F) AND D2148=Y,REV_F,BEV,DEP(REV_BEV) AND D2148=Y,REV_BEV,ALLOW_FB,REV_FB,OTHR_REV,DEP(REV_OTHR) AND D2148=Y,REV_OTHR,400000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s">
        <v>1011</v>
      </c>
      <c r="J34" s="11" t="s">
        <v>78</v>
      </c>
      <c r="L34" s="196" t="s">
        <v>364</v>
      </c>
      <c r="M34" s="196" t="s">
        <v>782</v>
      </c>
      <c r="N34" s="8" t="s">
        <v>1201</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s">
        <v>1058</v>
      </c>
      <c r="J35" s="161" t="s">
        <v>78</v>
      </c>
      <c r="K35" s="68" t="str">
        <f t="shared" ref="K35:K56" si="0">IF(AND(I35&gt;="T5"),"&gt;","")</f>
        <v>&gt;</v>
      </c>
      <c r="L35" s="162">
        <v>461100</v>
      </c>
      <c r="M35" s="162"/>
      <c r="N35" s="162" t="s">
        <v>1258</v>
      </c>
      <c r="O35" s="332"/>
      <c r="P35" s="333"/>
      <c r="Q35" s="333"/>
      <c r="R35" s="333"/>
      <c r="S35" s="333"/>
      <c r="T35" s="333"/>
      <c r="U35" s="333"/>
      <c r="V35" s="333">
        <v>2361</v>
      </c>
      <c r="W35" s="333"/>
      <c r="X35" s="333"/>
      <c r="Y35" s="333"/>
      <c r="Z35" s="333"/>
      <c r="AA35" s="310">
        <f t="shared" ref="AA35:AA56" si="1">IF($I35="B1","",SUM(O35:Z35))</f>
        <v>2361</v>
      </c>
      <c r="AB35" s="334">
        <f t="shared" ref="AB35:AB56" si="2">IF(AA35=0,"",IFERROR(AA35/AA$19,""))</f>
        <v>5.83064603360487E-2</v>
      </c>
      <c r="AC35" s="290"/>
      <c r="AD35" s="333"/>
      <c r="AE35" s="334" t="str">
        <f t="shared" ref="AE35:AE56" si="3">IF(AD35=0,"",IFERROR(AD35/AD$19,""))</f>
        <v/>
      </c>
      <c r="AF35" s="335">
        <f t="shared" ref="AF35:AF56" si="4">IF(AND($AA35="",AD35=""),"",$AA35-AD35)</f>
        <v>2361</v>
      </c>
      <c r="AG35" s="333"/>
      <c r="AH35" s="334" t="str">
        <f t="shared" ref="AH35:AH56" si="5">IF(AG35=0,"",IFERROR(AG35/AG$19,""))</f>
        <v/>
      </c>
      <c r="AI35" s="336">
        <f t="shared" ref="AI35:AI56" si="6">IF(AND($AA35="",AG35=""),"",$AA35-AG35)</f>
        <v>2361</v>
      </c>
      <c r="AJ35" s="399">
        <f t="shared" ref="AJ35:AJ56" si="7">IFERROR(AA35/AA$20,0)</f>
        <v>6.9646017699115044</v>
      </c>
      <c r="AK35" s="400">
        <f t="shared" ref="AK35:AK56" si="8">IFERROR(AD35/AD$20,0)</f>
        <v>0</v>
      </c>
      <c r="AL35" s="401">
        <f t="shared" ref="AL35:AL56" si="9">IFERROR(AG35/AG$20,0)</f>
        <v>0</v>
      </c>
      <c r="AM35" s="402">
        <f t="shared" ref="AM35:AM56" si="10">+IFERROR(ROUND(($AB35-AE35)*100,2)&amp;" pts.",0)</f>
        <v>0</v>
      </c>
      <c r="AN35" s="403">
        <f t="shared" ref="AN35:AN56" si="11">+IFERROR(ROUND(($AB35-AH35)*100,2)&amp;" pts.",0)</f>
        <v>0</v>
      </c>
    </row>
    <row r="36" spans="1:40" x14ac:dyDescent="0.25">
      <c r="H36" s="15" t="s">
        <v>261</v>
      </c>
      <c r="I36" s="161" t="s">
        <v>1058</v>
      </c>
      <c r="J36" s="161" t="s">
        <v>78</v>
      </c>
      <c r="K36" s="68" t="str">
        <f t="shared" si="0"/>
        <v>&gt;</v>
      </c>
      <c r="L36" s="162">
        <v>462100</v>
      </c>
      <c r="M36" s="162"/>
      <c r="N36" s="162" t="s">
        <v>1265</v>
      </c>
      <c r="O36" s="332"/>
      <c r="P36" s="333"/>
      <c r="Q36" s="333"/>
      <c r="R36" s="333"/>
      <c r="S36" s="333"/>
      <c r="T36" s="333"/>
      <c r="U36" s="333"/>
      <c r="V36" s="333"/>
      <c r="W36" s="333"/>
      <c r="X36" s="333"/>
      <c r="Y36" s="333"/>
      <c r="Z36" s="333"/>
      <c r="AA36" s="310">
        <f t="shared" si="1"/>
        <v>0</v>
      </c>
      <c r="AB36" s="334" t="str">
        <f t="shared" si="2"/>
        <v/>
      </c>
      <c r="AC36" s="290"/>
      <c r="AD36" s="333">
        <v>9461</v>
      </c>
      <c r="AE36" s="334">
        <f t="shared" si="3"/>
        <v>0.12890559004180133</v>
      </c>
      <c r="AF36" s="335">
        <f t="shared" si="4"/>
        <v>-9461</v>
      </c>
      <c r="AG36" s="333">
        <v>5189</v>
      </c>
      <c r="AH36" s="334">
        <f t="shared" si="5"/>
        <v>0.13013401119719278</v>
      </c>
      <c r="AI36" s="336">
        <f t="shared" si="6"/>
        <v>-5189</v>
      </c>
      <c r="AJ36" s="399">
        <f t="shared" si="7"/>
        <v>0</v>
      </c>
      <c r="AK36" s="400">
        <f t="shared" si="8"/>
        <v>18.442495126705651</v>
      </c>
      <c r="AL36" s="401">
        <f t="shared" si="9"/>
        <v>16.369085173501578</v>
      </c>
      <c r="AM36" s="402">
        <f t="shared" si="10"/>
        <v>0</v>
      </c>
      <c r="AN36" s="403">
        <f t="shared" si="11"/>
        <v>0</v>
      </c>
    </row>
    <row r="37" spans="1:40" x14ac:dyDescent="0.25">
      <c r="A37" s="1" t="s">
        <v>209</v>
      </c>
      <c r="B37" s="1" t="s">
        <v>21</v>
      </c>
      <c r="C37" s="74"/>
      <c r="D37" s="1" t="s">
        <v>590</v>
      </c>
      <c r="F37" s="1" t="s">
        <v>99</v>
      </c>
      <c r="H37" s="15" t="s">
        <v>262</v>
      </c>
      <c r="I37" s="161" t="s">
        <v>1058</v>
      </c>
      <c r="J37" s="161" t="s">
        <v>78</v>
      </c>
      <c r="K37" s="68" t="str">
        <f t="shared" si="0"/>
        <v>&gt;</v>
      </c>
      <c r="L37" s="162">
        <v>463100</v>
      </c>
      <c r="M37" s="162"/>
      <c r="N37" s="162" t="s">
        <v>1272</v>
      </c>
      <c r="O37" s="332"/>
      <c r="P37" s="333"/>
      <c r="Q37" s="333"/>
      <c r="R37" s="333"/>
      <c r="S37" s="333">
        <v>1500</v>
      </c>
      <c r="T37" s="333">
        <v>3743</v>
      </c>
      <c r="U37" s="333"/>
      <c r="V37" s="333"/>
      <c r="W37" s="333"/>
      <c r="X37" s="333"/>
      <c r="Y37" s="333"/>
      <c r="Z37" s="333">
        <v>656.21</v>
      </c>
      <c r="AA37" s="310">
        <f t="shared" si="1"/>
        <v>5899.21</v>
      </c>
      <c r="AB37" s="334">
        <f t="shared" si="2"/>
        <v>0.14568490210886142</v>
      </c>
      <c r="AC37" s="290"/>
      <c r="AD37" s="333">
        <v>29027.0095</v>
      </c>
      <c r="AE37" s="334">
        <f t="shared" si="3"/>
        <v>0.39549136314834293</v>
      </c>
      <c r="AF37" s="335">
        <f t="shared" si="4"/>
        <v>-23127.799500000001</v>
      </c>
      <c r="AG37" s="333">
        <v>21455</v>
      </c>
      <c r="AH37" s="334">
        <f t="shared" si="5"/>
        <v>0.5380661418839412</v>
      </c>
      <c r="AI37" s="336">
        <f t="shared" si="6"/>
        <v>-15555.79</v>
      </c>
      <c r="AJ37" s="399">
        <f t="shared" si="7"/>
        <v>17.401799410029497</v>
      </c>
      <c r="AK37" s="400">
        <f t="shared" si="8"/>
        <v>56.582864522417154</v>
      </c>
      <c r="AL37" s="401">
        <f t="shared" si="9"/>
        <v>67.681388012618299</v>
      </c>
      <c r="AM37" s="402" t="str">
        <f t="shared" si="10"/>
        <v>-24.98 pts.</v>
      </c>
      <c r="AN37" s="403" t="str">
        <f t="shared" si="11"/>
        <v>-39.24 pts.</v>
      </c>
    </row>
    <row r="38" spans="1:40" x14ac:dyDescent="0.25">
      <c r="A38" s="1" t="s">
        <v>105</v>
      </c>
      <c r="C38" s="26" t="s">
        <v>101</v>
      </c>
      <c r="D38" s="1" t="s">
        <v>106</v>
      </c>
      <c r="F38" s="1" t="s">
        <v>98</v>
      </c>
      <c r="H38" s="15" t="s">
        <v>789</v>
      </c>
      <c r="I38" s="161" t="s">
        <v>1009</v>
      </c>
      <c r="J38" s="161" t="s">
        <v>1009</v>
      </c>
      <c r="K38" s="68" t="str">
        <f t="shared" si="0"/>
        <v/>
      </c>
      <c r="L38" s="162">
        <v>470110</v>
      </c>
      <c r="M38" s="162">
        <v>201016</v>
      </c>
      <c r="N38" s="162" t="s">
        <v>1301</v>
      </c>
      <c r="O38" s="332"/>
      <c r="P38" s="333"/>
      <c r="Q38" s="333"/>
      <c r="R38" s="333"/>
      <c r="S38" s="333"/>
      <c r="T38" s="333"/>
      <c r="U38" s="333"/>
      <c r="V38" s="333"/>
      <c r="W38" s="333"/>
      <c r="X38" s="333"/>
      <c r="Y38" s="333"/>
      <c r="Z38" s="333"/>
      <c r="AA38" s="310">
        <f t="shared" si="1"/>
        <v>0</v>
      </c>
      <c r="AB38" s="334" t="str">
        <f t="shared" si="2"/>
        <v/>
      </c>
      <c r="AC38" s="290"/>
      <c r="AD38" s="333"/>
      <c r="AE38" s="334" t="str">
        <f t="shared" si="3"/>
        <v/>
      </c>
      <c r="AF38" s="335">
        <f t="shared" si="4"/>
        <v>0</v>
      </c>
      <c r="AG38" s="333"/>
      <c r="AH38" s="334" t="str">
        <f t="shared" si="5"/>
        <v/>
      </c>
      <c r="AI38" s="336">
        <f t="shared" si="6"/>
        <v>0</v>
      </c>
      <c r="AJ38" s="399">
        <f t="shared" si="7"/>
        <v>0</v>
      </c>
      <c r="AK38" s="400">
        <f t="shared" si="8"/>
        <v>0</v>
      </c>
      <c r="AL38" s="401">
        <f t="shared" si="9"/>
        <v>0</v>
      </c>
      <c r="AM38" s="402">
        <f t="shared" si="10"/>
        <v>0</v>
      </c>
      <c r="AN38" s="403">
        <f t="shared" si="11"/>
        <v>0</v>
      </c>
    </row>
    <row r="39" spans="1:40" x14ac:dyDescent="0.25">
      <c r="A39" s="1" t="s">
        <v>104</v>
      </c>
      <c r="C39" s="26" t="s">
        <v>101</v>
      </c>
      <c r="D39" s="1" t="s">
        <v>106</v>
      </c>
      <c r="F39" s="1" t="s">
        <v>98</v>
      </c>
      <c r="H39" s="15" t="s">
        <v>790</v>
      </c>
      <c r="I39" s="161" t="s">
        <v>1009</v>
      </c>
      <c r="J39" s="161" t="s">
        <v>1009</v>
      </c>
      <c r="K39" s="68" t="str">
        <f t="shared" si="0"/>
        <v/>
      </c>
      <c r="L39" s="162">
        <v>471110</v>
      </c>
      <c r="M39" s="162">
        <v>201017</v>
      </c>
      <c r="N39" s="162" t="s">
        <v>1293</v>
      </c>
      <c r="O39" s="323"/>
      <c r="P39" s="324"/>
      <c r="Q39" s="324"/>
      <c r="R39" s="324"/>
      <c r="S39" s="324"/>
      <c r="T39" s="324"/>
      <c r="U39" s="324"/>
      <c r="V39" s="324"/>
      <c r="W39" s="324"/>
      <c r="X39" s="324"/>
      <c r="Y39" s="324"/>
      <c r="Z39" s="324">
        <v>2087</v>
      </c>
      <c r="AA39" s="324">
        <f t="shared" si="1"/>
        <v>2087</v>
      </c>
      <c r="AB39" s="325">
        <f t="shared" si="2"/>
        <v>5.1539848674855414E-2</v>
      </c>
      <c r="AC39" s="290"/>
      <c r="AD39" s="324">
        <v>6555.54</v>
      </c>
      <c r="AE39" s="325">
        <f t="shared" si="3"/>
        <v>8.9318861826723411E-2</v>
      </c>
      <c r="AF39" s="326">
        <f t="shared" si="4"/>
        <v>-4468.54</v>
      </c>
      <c r="AG39" s="324"/>
      <c r="AH39" s="325" t="str">
        <f t="shared" si="5"/>
        <v/>
      </c>
      <c r="AI39" s="327">
        <f t="shared" si="6"/>
        <v>2087</v>
      </c>
      <c r="AJ39" s="409">
        <f t="shared" si="7"/>
        <v>6.1563421828908558</v>
      </c>
      <c r="AK39" s="410">
        <f t="shared" si="8"/>
        <v>12.778830409356726</v>
      </c>
      <c r="AL39" s="411">
        <f t="shared" si="9"/>
        <v>0</v>
      </c>
      <c r="AM39" s="412" t="str">
        <f t="shared" si="10"/>
        <v>-3.78 pts.</v>
      </c>
      <c r="AN39" s="413">
        <f t="shared" si="11"/>
        <v>0</v>
      </c>
    </row>
    <row r="40" spans="1:40" x14ac:dyDescent="0.25">
      <c r="A40" s="1" t="s">
        <v>100</v>
      </c>
      <c r="C40" s="8" t="s">
        <v>101</v>
      </c>
      <c r="D40" s="1" t="s">
        <v>106</v>
      </c>
      <c r="F40" s="1" t="s">
        <v>98</v>
      </c>
      <c r="H40" s="15" t="s">
        <v>265</v>
      </c>
      <c r="I40" s="479" t="s">
        <v>1064</v>
      </c>
      <c r="J40" s="479" t="s">
        <v>78</v>
      </c>
      <c r="K40" s="480" t="str">
        <f t="shared" si="0"/>
        <v/>
      </c>
      <c r="L40" s="170"/>
      <c r="M40" s="170"/>
      <c r="N40" s="170" t="s">
        <v>1206</v>
      </c>
      <c r="O40" s="224"/>
      <c r="P40" s="134"/>
      <c r="Q40" s="134"/>
      <c r="R40" s="134"/>
      <c r="S40" s="134">
        <v>1500</v>
      </c>
      <c r="T40" s="134">
        <v>3743</v>
      </c>
      <c r="U40" s="134"/>
      <c r="V40" s="134">
        <v>2361</v>
      </c>
      <c r="W40" s="134"/>
      <c r="X40" s="134"/>
      <c r="Y40" s="134"/>
      <c r="Z40" s="134">
        <v>2743.21</v>
      </c>
      <c r="AA40" s="134">
        <f t="shared" si="1"/>
        <v>10347.209999999999</v>
      </c>
      <c r="AB40" s="135">
        <f t="shared" si="2"/>
        <v>0.25553121111976551</v>
      </c>
      <c r="AC40" s="137"/>
      <c r="AD40" s="134">
        <v>45043.549500000001</v>
      </c>
      <c r="AE40" s="135">
        <f t="shared" si="3"/>
        <v>0.61371581501686767</v>
      </c>
      <c r="AF40" s="136">
        <f t="shared" si="4"/>
        <v>-34696.339500000002</v>
      </c>
      <c r="AG40" s="134">
        <v>26644</v>
      </c>
      <c r="AH40" s="135">
        <f t="shared" si="5"/>
        <v>0.66820015308113401</v>
      </c>
      <c r="AI40" s="291">
        <f t="shared" si="6"/>
        <v>-16296.79</v>
      </c>
      <c r="AJ40" s="360">
        <f t="shared" si="7"/>
        <v>30.522743362831857</v>
      </c>
      <c r="AK40" s="361">
        <f t="shared" si="8"/>
        <v>87.804190058479534</v>
      </c>
      <c r="AL40" s="363">
        <f t="shared" si="9"/>
        <v>84.050473186119874</v>
      </c>
      <c r="AM40" s="405" t="str">
        <f t="shared" si="10"/>
        <v>-35.82 pts.</v>
      </c>
      <c r="AN40" s="406" t="str">
        <f t="shared" si="11"/>
        <v>-41.27 pts.</v>
      </c>
    </row>
    <row r="41" spans="1:40" x14ac:dyDescent="0.25">
      <c r="A41" s="1" t="s">
        <v>102</v>
      </c>
      <c r="C41" s="25" t="s">
        <v>101</v>
      </c>
      <c r="D41" s="1" t="s">
        <v>106</v>
      </c>
      <c r="F41" s="1" t="s">
        <v>98</v>
      </c>
      <c r="H41" s="15" t="s">
        <v>266</v>
      </c>
      <c r="I41" s="479" t="s">
        <v>1011</v>
      </c>
      <c r="J41" s="479" t="s">
        <v>78</v>
      </c>
      <c r="K41" s="480" t="str">
        <f t="shared" si="0"/>
        <v/>
      </c>
      <c r="L41" s="170"/>
      <c r="M41" s="170"/>
      <c r="N41" s="170" t="s">
        <v>1207</v>
      </c>
      <c r="O41" s="337"/>
      <c r="P41" s="38"/>
      <c r="Q41" s="38"/>
      <c r="R41" s="38"/>
      <c r="S41" s="38"/>
      <c r="T41" s="38"/>
      <c r="U41" s="38"/>
      <c r="V41" s="38"/>
      <c r="W41" s="38"/>
      <c r="X41" s="38"/>
      <c r="Y41" s="38"/>
      <c r="Z41" s="38"/>
      <c r="AA41" s="315" t="str">
        <f t="shared" si="1"/>
        <v/>
      </c>
      <c r="AB41" s="39" t="str">
        <f t="shared" si="2"/>
        <v/>
      </c>
      <c r="AC41" s="54"/>
      <c r="AD41" s="38"/>
      <c r="AE41" s="39" t="str">
        <f t="shared" si="3"/>
        <v/>
      </c>
      <c r="AF41" s="132" t="str">
        <f t="shared" si="4"/>
        <v/>
      </c>
      <c r="AG41" s="38"/>
      <c r="AH41" s="39" t="str">
        <f t="shared" si="5"/>
        <v/>
      </c>
      <c r="AI41" s="338" t="str">
        <f t="shared" si="6"/>
        <v/>
      </c>
      <c r="AJ41" s="353">
        <f t="shared" si="7"/>
        <v>0</v>
      </c>
      <c r="AK41" s="354">
        <f t="shared" si="8"/>
        <v>0</v>
      </c>
      <c r="AL41" s="356">
        <f t="shared" si="9"/>
        <v>0</v>
      </c>
      <c r="AM41" s="390">
        <f t="shared" si="10"/>
        <v>0</v>
      </c>
      <c r="AN41" s="404">
        <f t="shared" si="11"/>
        <v>0</v>
      </c>
    </row>
    <row r="42" spans="1:40" x14ac:dyDescent="0.25">
      <c r="A42" s="1" t="s">
        <v>102</v>
      </c>
      <c r="C42" s="151" t="s">
        <v>101</v>
      </c>
      <c r="D42" s="1" t="s">
        <v>107</v>
      </c>
      <c r="F42" s="1" t="s">
        <v>99</v>
      </c>
      <c r="H42" s="15" t="s">
        <v>267</v>
      </c>
      <c r="I42" s="161" t="s">
        <v>1058</v>
      </c>
      <c r="J42" s="161" t="s">
        <v>78</v>
      </c>
      <c r="K42" s="68" t="str">
        <f t="shared" si="0"/>
        <v>&gt;</v>
      </c>
      <c r="L42" s="162"/>
      <c r="M42" s="162"/>
      <c r="N42" s="162" t="s">
        <v>1316</v>
      </c>
      <c r="O42" s="332"/>
      <c r="P42" s="333"/>
      <c r="Q42" s="333"/>
      <c r="R42" s="333"/>
      <c r="S42" s="333"/>
      <c r="T42" s="333"/>
      <c r="U42" s="333"/>
      <c r="V42" s="333"/>
      <c r="W42" s="333"/>
      <c r="X42" s="333"/>
      <c r="Y42" s="333"/>
      <c r="Z42" s="333"/>
      <c r="AA42" s="310">
        <f t="shared" si="1"/>
        <v>0</v>
      </c>
      <c r="AB42" s="334" t="str">
        <f t="shared" si="2"/>
        <v/>
      </c>
      <c r="AC42" s="290"/>
      <c r="AD42" s="333"/>
      <c r="AE42" s="334" t="str">
        <f t="shared" si="3"/>
        <v/>
      </c>
      <c r="AF42" s="335">
        <f t="shared" si="4"/>
        <v>0</v>
      </c>
      <c r="AG42" s="333"/>
      <c r="AH42" s="334" t="str">
        <f t="shared" si="5"/>
        <v/>
      </c>
      <c r="AI42" s="336">
        <f t="shared" si="6"/>
        <v>0</v>
      </c>
      <c r="AJ42" s="399">
        <f t="shared" si="7"/>
        <v>0</v>
      </c>
      <c r="AK42" s="400">
        <f t="shared" si="8"/>
        <v>0</v>
      </c>
      <c r="AL42" s="401">
        <f t="shared" si="9"/>
        <v>0</v>
      </c>
      <c r="AM42" s="402">
        <f t="shared" si="10"/>
        <v>0</v>
      </c>
      <c r="AN42" s="403">
        <f t="shared" si="11"/>
        <v>0</v>
      </c>
    </row>
    <row r="43" spans="1:40" ht="15.75" thickBot="1" x14ac:dyDescent="0.3">
      <c r="A43" s="1" t="s">
        <v>108</v>
      </c>
      <c r="C43" s="496" t="s">
        <v>101</v>
      </c>
      <c r="D43" s="1" t="s">
        <v>106</v>
      </c>
      <c r="F43" s="1" t="s">
        <v>98</v>
      </c>
      <c r="H43" s="15" t="s">
        <v>268</v>
      </c>
      <c r="I43" s="161" t="s">
        <v>1058</v>
      </c>
      <c r="J43" s="161" t="s">
        <v>78</v>
      </c>
      <c r="K43" s="68" t="str">
        <f t="shared" si="0"/>
        <v>&gt;</v>
      </c>
      <c r="L43" s="162"/>
      <c r="M43" s="162"/>
      <c r="N43" s="162" t="s">
        <v>1317</v>
      </c>
      <c r="O43" s="332"/>
      <c r="P43" s="333"/>
      <c r="Q43" s="333"/>
      <c r="R43" s="333"/>
      <c r="S43" s="333"/>
      <c r="T43" s="333"/>
      <c r="U43" s="333"/>
      <c r="V43" s="333"/>
      <c r="W43" s="333"/>
      <c r="X43" s="333"/>
      <c r="Y43" s="333"/>
      <c r="Z43" s="333"/>
      <c r="AA43" s="310">
        <f t="shared" si="1"/>
        <v>0</v>
      </c>
      <c r="AB43" s="334" t="str">
        <f t="shared" si="2"/>
        <v/>
      </c>
      <c r="AC43" s="290"/>
      <c r="AD43" s="333"/>
      <c r="AE43" s="334" t="str">
        <f t="shared" si="3"/>
        <v/>
      </c>
      <c r="AF43" s="335">
        <f t="shared" si="4"/>
        <v>0</v>
      </c>
      <c r="AG43" s="333"/>
      <c r="AH43" s="334" t="str">
        <f t="shared" si="5"/>
        <v/>
      </c>
      <c r="AI43" s="336">
        <f t="shared" si="6"/>
        <v>0</v>
      </c>
      <c r="AJ43" s="399">
        <f t="shared" si="7"/>
        <v>0</v>
      </c>
      <c r="AK43" s="400">
        <f t="shared" si="8"/>
        <v>0</v>
      </c>
      <c r="AL43" s="401">
        <f t="shared" si="9"/>
        <v>0</v>
      </c>
      <c r="AM43" s="402">
        <f t="shared" si="10"/>
        <v>0</v>
      </c>
      <c r="AN43" s="403">
        <f t="shared" si="11"/>
        <v>0</v>
      </c>
    </row>
    <row r="44" spans="1:40" ht="16.5" thickTop="1" thickBot="1" x14ac:dyDescent="0.3">
      <c r="A44" s="1" t="s">
        <v>108</v>
      </c>
      <c r="C44" s="496" t="s">
        <v>101</v>
      </c>
      <c r="D44" s="1" t="s">
        <v>107</v>
      </c>
      <c r="F44" s="1" t="s">
        <v>99</v>
      </c>
      <c r="H44" s="15" t="s">
        <v>269</v>
      </c>
      <c r="I44" s="161" t="s">
        <v>1058</v>
      </c>
      <c r="J44" s="161" t="s">
        <v>78</v>
      </c>
      <c r="K44" s="68" t="str">
        <f t="shared" si="0"/>
        <v>&gt;</v>
      </c>
      <c r="L44" s="162"/>
      <c r="M44" s="162"/>
      <c r="N44" s="162" t="s">
        <v>1318</v>
      </c>
      <c r="O44" s="332"/>
      <c r="P44" s="333"/>
      <c r="Q44" s="333"/>
      <c r="R44" s="333"/>
      <c r="S44" s="333">
        <v>8000</v>
      </c>
      <c r="T44" s="333">
        <v>238</v>
      </c>
      <c r="U44" s="333"/>
      <c r="V44" s="333"/>
      <c r="W44" s="333"/>
      <c r="X44" s="333"/>
      <c r="Y44" s="333"/>
      <c r="Z44" s="333">
        <v>53.79</v>
      </c>
      <c r="AA44" s="310">
        <f t="shared" si="1"/>
        <v>8291.7900000000009</v>
      </c>
      <c r="AB44" s="334">
        <f t="shared" si="2"/>
        <v>0.20477125148235717</v>
      </c>
      <c r="AC44" s="290"/>
      <c r="AD44" s="333">
        <v>1957.9905000000001</v>
      </c>
      <c r="AE44" s="334">
        <f t="shared" si="3"/>
        <v>2.667750985083412E-2</v>
      </c>
      <c r="AF44" s="335">
        <f t="shared" si="4"/>
        <v>6333.799500000001</v>
      </c>
      <c r="AG44" s="333">
        <v>630</v>
      </c>
      <c r="AH44" s="334">
        <f t="shared" si="5"/>
        <v>1.5799658326118994E-2</v>
      </c>
      <c r="AI44" s="336">
        <f t="shared" si="6"/>
        <v>7661.7900000000009</v>
      </c>
      <c r="AJ44" s="399">
        <f t="shared" si="7"/>
        <v>24.459557522123898</v>
      </c>
      <c r="AK44" s="400">
        <f t="shared" si="8"/>
        <v>3.8167456140350877</v>
      </c>
      <c r="AL44" s="401">
        <f t="shared" si="9"/>
        <v>1.9873817034700316</v>
      </c>
      <c r="AM44" s="402" t="str">
        <f t="shared" si="10"/>
        <v>17.81 pts.</v>
      </c>
      <c r="AN44" s="403" t="str">
        <f t="shared" si="11"/>
        <v>18.9 pts.</v>
      </c>
    </row>
    <row r="45" spans="1:40" ht="15.75" thickTop="1" x14ac:dyDescent="0.25">
      <c r="H45" s="15" t="s">
        <v>791</v>
      </c>
      <c r="I45" s="161" t="s">
        <v>1058</v>
      </c>
      <c r="J45" s="161" t="s">
        <v>78</v>
      </c>
      <c r="K45" s="68" t="str">
        <f t="shared" si="0"/>
        <v>&gt;</v>
      </c>
      <c r="L45" s="162"/>
      <c r="M45" s="162"/>
      <c r="N45" s="162" t="s">
        <v>1477</v>
      </c>
      <c r="O45" s="323"/>
      <c r="P45" s="324"/>
      <c r="Q45" s="324"/>
      <c r="R45" s="324"/>
      <c r="S45" s="324"/>
      <c r="T45" s="324"/>
      <c r="U45" s="324"/>
      <c r="V45" s="324"/>
      <c r="W45" s="324"/>
      <c r="X45" s="324"/>
      <c r="Y45" s="324"/>
      <c r="Z45" s="324">
        <v>2240</v>
      </c>
      <c r="AA45" s="324">
        <f t="shared" si="1"/>
        <v>2240</v>
      </c>
      <c r="AB45" s="325">
        <f t="shared" si="2"/>
        <v>5.5318285113404954E-2</v>
      </c>
      <c r="AC45" s="290"/>
      <c r="AD45" s="324">
        <v>244.46</v>
      </c>
      <c r="AE45" s="325">
        <f t="shared" si="3"/>
        <v>3.3307536773722387E-3</v>
      </c>
      <c r="AF45" s="326">
        <f t="shared" si="4"/>
        <v>1995.54</v>
      </c>
      <c r="AG45" s="324"/>
      <c r="AH45" s="325" t="str">
        <f t="shared" si="5"/>
        <v/>
      </c>
      <c r="AI45" s="327">
        <f t="shared" si="6"/>
        <v>2240</v>
      </c>
      <c r="AJ45" s="409">
        <f t="shared" si="7"/>
        <v>6.6076696165191739</v>
      </c>
      <c r="AK45" s="410">
        <f t="shared" si="8"/>
        <v>0.4765302144249513</v>
      </c>
      <c r="AL45" s="411">
        <f t="shared" si="9"/>
        <v>0</v>
      </c>
      <c r="AM45" s="412" t="str">
        <f t="shared" si="10"/>
        <v>5.2 pts.</v>
      </c>
      <c r="AN45" s="413">
        <f t="shared" si="11"/>
        <v>0</v>
      </c>
    </row>
    <row r="46" spans="1:40" x14ac:dyDescent="0.25">
      <c r="H46" s="15" t="s">
        <v>272</v>
      </c>
      <c r="I46" s="479" t="s">
        <v>1064</v>
      </c>
      <c r="J46" s="479" t="s">
        <v>78</v>
      </c>
      <c r="K46" s="480" t="str">
        <f t="shared" si="0"/>
        <v/>
      </c>
      <c r="L46" s="170"/>
      <c r="M46" s="170"/>
      <c r="N46" s="170" t="s">
        <v>1212</v>
      </c>
      <c r="O46" s="224"/>
      <c r="P46" s="134"/>
      <c r="Q46" s="134"/>
      <c r="R46" s="134"/>
      <c r="S46" s="134">
        <v>8000</v>
      </c>
      <c r="T46" s="134">
        <v>238</v>
      </c>
      <c r="U46" s="134"/>
      <c r="V46" s="134"/>
      <c r="W46" s="134"/>
      <c r="X46" s="134"/>
      <c r="Y46" s="134"/>
      <c r="Z46" s="134">
        <v>2293.79</v>
      </c>
      <c r="AA46" s="134">
        <f t="shared" si="1"/>
        <v>10531.79</v>
      </c>
      <c r="AB46" s="135">
        <f t="shared" si="2"/>
        <v>0.26008953659576212</v>
      </c>
      <c r="AC46" s="137"/>
      <c r="AD46" s="134">
        <v>2202.4504999999999</v>
      </c>
      <c r="AE46" s="135">
        <f t="shared" si="3"/>
        <v>3.0008263528206354E-2</v>
      </c>
      <c r="AF46" s="136">
        <f t="shared" si="4"/>
        <v>8329.3395000000019</v>
      </c>
      <c r="AG46" s="134">
        <v>630</v>
      </c>
      <c r="AH46" s="135">
        <f t="shared" si="5"/>
        <v>1.5799658326118994E-2</v>
      </c>
      <c r="AI46" s="291">
        <f t="shared" si="6"/>
        <v>9901.7900000000009</v>
      </c>
      <c r="AJ46" s="360">
        <f t="shared" si="7"/>
        <v>31.067227138643069</v>
      </c>
      <c r="AK46" s="361">
        <f t="shared" si="8"/>
        <v>4.2932758284600387</v>
      </c>
      <c r="AL46" s="363">
        <f t="shared" si="9"/>
        <v>1.9873817034700316</v>
      </c>
      <c r="AM46" s="405" t="str">
        <f t="shared" si="10"/>
        <v>23.01 pts.</v>
      </c>
      <c r="AN46" s="406" t="str">
        <f t="shared" si="11"/>
        <v>24.43 pts.</v>
      </c>
    </row>
    <row r="47" spans="1:40" x14ac:dyDescent="0.25">
      <c r="A47" s="4"/>
      <c r="B47" s="1" t="s">
        <v>821</v>
      </c>
      <c r="H47" s="15" t="s">
        <v>486</v>
      </c>
      <c r="I47" s="161" t="s">
        <v>1058</v>
      </c>
      <c r="J47" s="161" t="s">
        <v>78</v>
      </c>
      <c r="K47" s="68" t="str">
        <f t="shared" si="0"/>
        <v>&gt;</v>
      </c>
      <c r="L47" s="162"/>
      <c r="M47" s="162"/>
      <c r="N47" s="162" t="s">
        <v>1213</v>
      </c>
      <c r="O47" s="330"/>
      <c r="P47" s="47"/>
      <c r="Q47" s="47"/>
      <c r="R47" s="47"/>
      <c r="S47" s="47"/>
      <c r="T47" s="47"/>
      <c r="U47" s="47"/>
      <c r="V47" s="47"/>
      <c r="W47" s="47"/>
      <c r="X47" s="47"/>
      <c r="Y47" s="47"/>
      <c r="Z47" s="47"/>
      <c r="AA47" s="47">
        <f t="shared" si="1"/>
        <v>0</v>
      </c>
      <c r="AB47" s="48" t="str">
        <f t="shared" si="2"/>
        <v/>
      </c>
      <c r="AC47" s="54"/>
      <c r="AD47" s="47"/>
      <c r="AE47" s="48" t="str">
        <f t="shared" si="3"/>
        <v/>
      </c>
      <c r="AF47" s="150">
        <f t="shared" si="4"/>
        <v>0</v>
      </c>
      <c r="AG47" s="47"/>
      <c r="AH47" s="48" t="str">
        <f t="shared" si="5"/>
        <v/>
      </c>
      <c r="AI47" s="331">
        <f t="shared" si="6"/>
        <v>0</v>
      </c>
      <c r="AJ47" s="420">
        <f t="shared" si="7"/>
        <v>0</v>
      </c>
      <c r="AK47" s="421">
        <f t="shared" si="8"/>
        <v>0</v>
      </c>
      <c r="AL47" s="422">
        <f t="shared" si="9"/>
        <v>0</v>
      </c>
      <c r="AM47" s="423">
        <f t="shared" si="10"/>
        <v>0</v>
      </c>
      <c r="AN47" s="424">
        <f t="shared" si="11"/>
        <v>0</v>
      </c>
    </row>
    <row r="48" spans="1:40" x14ac:dyDescent="0.25">
      <c r="H48" s="15" t="s">
        <v>273</v>
      </c>
      <c r="I48" s="479" t="s">
        <v>1064</v>
      </c>
      <c r="J48" s="479" t="s">
        <v>78</v>
      </c>
      <c r="K48" s="480" t="str">
        <f t="shared" si="0"/>
        <v/>
      </c>
      <c r="L48" s="170"/>
      <c r="M48" s="170"/>
      <c r="N48" s="170" t="s">
        <v>1214</v>
      </c>
      <c r="O48" s="224"/>
      <c r="P48" s="134"/>
      <c r="Q48" s="134"/>
      <c r="R48" s="134"/>
      <c r="S48" s="134">
        <v>9500</v>
      </c>
      <c r="T48" s="134">
        <v>3981</v>
      </c>
      <c r="U48" s="134"/>
      <c r="V48" s="134">
        <v>2361</v>
      </c>
      <c r="W48" s="134"/>
      <c r="X48" s="134"/>
      <c r="Y48" s="134"/>
      <c r="Z48" s="134">
        <v>5037</v>
      </c>
      <c r="AA48" s="134">
        <f t="shared" si="1"/>
        <v>20879</v>
      </c>
      <c r="AB48" s="135">
        <f t="shared" si="2"/>
        <v>0.51562074771552768</v>
      </c>
      <c r="AC48" s="137"/>
      <c r="AD48" s="134">
        <v>47246</v>
      </c>
      <c r="AE48" s="135">
        <f t="shared" si="3"/>
        <v>0.64372407854507396</v>
      </c>
      <c r="AF48" s="136">
        <f t="shared" si="4"/>
        <v>-26367</v>
      </c>
      <c r="AG48" s="134">
        <v>27274</v>
      </c>
      <c r="AH48" s="135">
        <f t="shared" si="5"/>
        <v>0.68399981140725297</v>
      </c>
      <c r="AI48" s="291">
        <f t="shared" si="6"/>
        <v>-6395</v>
      </c>
      <c r="AJ48" s="360">
        <f t="shared" si="7"/>
        <v>61.589970501474923</v>
      </c>
      <c r="AK48" s="361">
        <f t="shared" si="8"/>
        <v>92.097465886939574</v>
      </c>
      <c r="AL48" s="363">
        <f t="shared" si="9"/>
        <v>86.037854889589909</v>
      </c>
      <c r="AM48" s="405" t="str">
        <f t="shared" si="10"/>
        <v>-12.81 pts.</v>
      </c>
      <c r="AN48" s="406" t="str">
        <f t="shared" si="11"/>
        <v>-16.84 pts.</v>
      </c>
    </row>
    <row r="49" spans="1:40" x14ac:dyDescent="0.25">
      <c r="A49" s="3" t="s">
        <v>0</v>
      </c>
      <c r="B49" s="5" t="s">
        <v>1</v>
      </c>
      <c r="H49" s="15" t="s">
        <v>279</v>
      </c>
      <c r="I49" s="479" t="s">
        <v>1011</v>
      </c>
      <c r="J49" s="479" t="s">
        <v>78</v>
      </c>
      <c r="K49" s="480" t="str">
        <f t="shared" si="0"/>
        <v/>
      </c>
      <c r="L49" s="170"/>
      <c r="M49" s="170"/>
      <c r="N49" s="170" t="s">
        <v>1215</v>
      </c>
      <c r="O49" s="337"/>
      <c r="P49" s="38"/>
      <c r="Q49" s="38"/>
      <c r="R49" s="38"/>
      <c r="S49" s="38"/>
      <c r="T49" s="38"/>
      <c r="U49" s="38"/>
      <c r="V49" s="38"/>
      <c r="W49" s="38"/>
      <c r="X49" s="38"/>
      <c r="Y49" s="38"/>
      <c r="Z49" s="38"/>
      <c r="AA49" s="315" t="str">
        <f t="shared" si="1"/>
        <v/>
      </c>
      <c r="AB49" s="39" t="str">
        <f t="shared" si="2"/>
        <v/>
      </c>
      <c r="AC49" s="54"/>
      <c r="AD49" s="38"/>
      <c r="AE49" s="39" t="str">
        <f t="shared" si="3"/>
        <v/>
      </c>
      <c r="AF49" s="132" t="str">
        <f t="shared" si="4"/>
        <v/>
      </c>
      <c r="AG49" s="38"/>
      <c r="AH49" s="39" t="str">
        <f t="shared" si="5"/>
        <v/>
      </c>
      <c r="AI49" s="338" t="str">
        <f t="shared" si="6"/>
        <v/>
      </c>
      <c r="AJ49" s="353">
        <f t="shared" si="7"/>
        <v>0</v>
      </c>
      <c r="AK49" s="354">
        <f t="shared" si="8"/>
        <v>0</v>
      </c>
      <c r="AL49" s="356">
        <f t="shared" si="9"/>
        <v>0</v>
      </c>
      <c r="AM49" s="390">
        <f t="shared" si="10"/>
        <v>0</v>
      </c>
      <c r="AN49" s="404">
        <f t="shared" si="11"/>
        <v>0</v>
      </c>
    </row>
    <row r="50" spans="1:40" x14ac:dyDescent="0.25">
      <c r="A50" s="6" t="s">
        <v>2</v>
      </c>
      <c r="B50" s="16" t="s">
        <v>1504</v>
      </c>
      <c r="H50" s="15" t="s">
        <v>274</v>
      </c>
      <c r="I50" s="161" t="s">
        <v>1058</v>
      </c>
      <c r="J50" s="161" t="s">
        <v>78</v>
      </c>
      <c r="K50" s="68" t="str">
        <f t="shared" si="0"/>
        <v>&gt;</v>
      </c>
      <c r="L50" s="162">
        <v>468300</v>
      </c>
      <c r="M50" s="162"/>
      <c r="N50" s="162" t="s">
        <v>1216</v>
      </c>
      <c r="O50" s="332"/>
      <c r="P50" s="333"/>
      <c r="Q50" s="333"/>
      <c r="R50" s="333"/>
      <c r="S50" s="333">
        <v>75</v>
      </c>
      <c r="T50" s="333"/>
      <c r="U50" s="333"/>
      <c r="V50" s="333">
        <v>500</v>
      </c>
      <c r="W50" s="333"/>
      <c r="X50" s="333"/>
      <c r="Y50" s="333"/>
      <c r="Z50" s="333">
        <v>115.2</v>
      </c>
      <c r="AA50" s="310">
        <f t="shared" si="1"/>
        <v>690.2</v>
      </c>
      <c r="AB50" s="334">
        <f t="shared" si="2"/>
        <v>1.7044946600567903E-2</v>
      </c>
      <c r="AC50" s="290"/>
      <c r="AD50" s="333">
        <v>2114.2600000000002</v>
      </c>
      <c r="AE50" s="334">
        <f t="shared" si="3"/>
        <v>2.8806672952307249E-2</v>
      </c>
      <c r="AF50" s="335">
        <f t="shared" si="4"/>
        <v>-1424.0600000000002</v>
      </c>
      <c r="AG50" s="333"/>
      <c r="AH50" s="334" t="str">
        <f t="shared" si="5"/>
        <v/>
      </c>
      <c r="AI50" s="336">
        <f t="shared" si="6"/>
        <v>690.2</v>
      </c>
      <c r="AJ50" s="399">
        <f t="shared" si="7"/>
        <v>2.0359882005899705</v>
      </c>
      <c r="AK50" s="400">
        <f t="shared" si="8"/>
        <v>4.1213645224171547</v>
      </c>
      <c r="AL50" s="401">
        <f t="shared" si="9"/>
        <v>0</v>
      </c>
      <c r="AM50" s="402" t="str">
        <f t="shared" si="10"/>
        <v>-1.18 pts.</v>
      </c>
      <c r="AN50" s="403">
        <f t="shared" si="11"/>
        <v>0</v>
      </c>
    </row>
    <row r="51" spans="1:40" x14ac:dyDescent="0.25">
      <c r="A51" s="6" t="s">
        <v>3</v>
      </c>
      <c r="B51" s="16" t="s">
        <v>1505</v>
      </c>
      <c r="H51" s="15" t="s">
        <v>275</v>
      </c>
      <c r="I51" s="161" t="s">
        <v>1058</v>
      </c>
      <c r="J51" s="161" t="s">
        <v>78</v>
      </c>
      <c r="K51" s="68" t="str">
        <f t="shared" si="0"/>
        <v>&gt;</v>
      </c>
      <c r="L51" s="162">
        <v>468350</v>
      </c>
      <c r="M51" s="162"/>
      <c r="N51" s="162" t="s">
        <v>1217</v>
      </c>
      <c r="O51" s="332"/>
      <c r="P51" s="333"/>
      <c r="Q51" s="333"/>
      <c r="R51" s="333"/>
      <c r="S51" s="333">
        <v>450</v>
      </c>
      <c r="T51" s="333">
        <v>1500</v>
      </c>
      <c r="U51" s="333"/>
      <c r="V51" s="333">
        <v>500</v>
      </c>
      <c r="W51" s="333">
        <v>500</v>
      </c>
      <c r="X51" s="333"/>
      <c r="Y51" s="333"/>
      <c r="Z51" s="333">
        <v>11214.95</v>
      </c>
      <c r="AA51" s="310">
        <f t="shared" si="1"/>
        <v>14164.95</v>
      </c>
      <c r="AB51" s="334">
        <f t="shared" si="2"/>
        <v>0.34981283157014531</v>
      </c>
      <c r="AC51" s="290"/>
      <c r="AD51" s="333">
        <v>12276.37</v>
      </c>
      <c r="AE51" s="334">
        <f t="shared" si="3"/>
        <v>0.16726484710088454</v>
      </c>
      <c r="AF51" s="335">
        <f t="shared" si="4"/>
        <v>1888.58</v>
      </c>
      <c r="AG51" s="333">
        <v>5400</v>
      </c>
      <c r="AH51" s="334">
        <f t="shared" si="5"/>
        <v>0.13542564279530564</v>
      </c>
      <c r="AI51" s="336">
        <f t="shared" si="6"/>
        <v>8764.9500000000007</v>
      </c>
      <c r="AJ51" s="399">
        <f t="shared" si="7"/>
        <v>41.784513274336284</v>
      </c>
      <c r="AK51" s="400">
        <f t="shared" si="8"/>
        <v>23.930545808966862</v>
      </c>
      <c r="AL51" s="401">
        <f t="shared" si="9"/>
        <v>17.034700315457414</v>
      </c>
      <c r="AM51" s="402" t="str">
        <f t="shared" si="10"/>
        <v>18.25 pts.</v>
      </c>
      <c r="AN51" s="403" t="str">
        <f t="shared" si="11"/>
        <v>21.44 pts.</v>
      </c>
    </row>
    <row r="52" spans="1:40" x14ac:dyDescent="0.25">
      <c r="A52" s="6" t="s">
        <v>4</v>
      </c>
      <c r="B52" s="7"/>
      <c r="H52" s="15" t="s">
        <v>282</v>
      </c>
      <c r="I52" s="161" t="s">
        <v>1058</v>
      </c>
      <c r="J52" s="161" t="s">
        <v>78</v>
      </c>
      <c r="K52" s="68" t="str">
        <f t="shared" si="0"/>
        <v>&gt;</v>
      </c>
      <c r="L52" s="162"/>
      <c r="M52" s="162"/>
      <c r="N52" s="162" t="s">
        <v>1219</v>
      </c>
      <c r="O52" s="332"/>
      <c r="P52" s="333"/>
      <c r="Q52" s="333"/>
      <c r="R52" s="333"/>
      <c r="S52" s="333">
        <v>2090</v>
      </c>
      <c r="T52" s="333">
        <v>869.78</v>
      </c>
      <c r="U52" s="333"/>
      <c r="V52" s="333">
        <v>519.41999999999996</v>
      </c>
      <c r="W52" s="333"/>
      <c r="X52" s="333"/>
      <c r="Y52" s="333"/>
      <c r="Z52" s="333">
        <v>1089.68</v>
      </c>
      <c r="AA52" s="310">
        <f t="shared" si="1"/>
        <v>4568.88</v>
      </c>
      <c r="AB52" s="334">
        <f t="shared" si="2"/>
        <v>0.11283152075398822</v>
      </c>
      <c r="AC52" s="290"/>
      <c r="AD52" s="333">
        <v>10394.120000000001</v>
      </c>
      <c r="AE52" s="334">
        <f t="shared" si="3"/>
        <v>0.14161929727991629</v>
      </c>
      <c r="AF52" s="335">
        <f t="shared" si="4"/>
        <v>-5825.2400000000007</v>
      </c>
      <c r="AG52" s="333">
        <v>6000.28</v>
      </c>
      <c r="AH52" s="334">
        <f t="shared" si="5"/>
        <v>0.15047995850959567</v>
      </c>
      <c r="AI52" s="336">
        <f t="shared" si="6"/>
        <v>-1431.3999999999996</v>
      </c>
      <c r="AJ52" s="399">
        <f t="shared" si="7"/>
        <v>13.477522123893806</v>
      </c>
      <c r="AK52" s="400">
        <f t="shared" si="8"/>
        <v>20.261442495126708</v>
      </c>
      <c r="AL52" s="401">
        <f t="shared" si="9"/>
        <v>18.928328075709778</v>
      </c>
      <c r="AM52" s="402" t="str">
        <f t="shared" si="10"/>
        <v>-2.88 pts.</v>
      </c>
      <c r="AN52" s="403" t="str">
        <f t="shared" si="11"/>
        <v>-3.76 pts.</v>
      </c>
    </row>
    <row r="53" spans="1:40" x14ac:dyDescent="0.25">
      <c r="A53" s="6" t="s">
        <v>5</v>
      </c>
      <c r="B53" s="7"/>
      <c r="F53" s="152"/>
      <c r="H53" s="15" t="s">
        <v>283</v>
      </c>
      <c r="I53" s="161" t="s">
        <v>1058</v>
      </c>
      <c r="J53" s="161" t="s">
        <v>78</v>
      </c>
      <c r="K53" s="68" t="str">
        <f t="shared" si="0"/>
        <v>&gt;</v>
      </c>
      <c r="L53" s="162"/>
      <c r="M53" s="162"/>
      <c r="N53" s="162" t="s">
        <v>1220</v>
      </c>
      <c r="O53" s="332"/>
      <c r="P53" s="333"/>
      <c r="Q53" s="333"/>
      <c r="R53" s="333"/>
      <c r="S53" s="333"/>
      <c r="T53" s="333">
        <v>39.909999999999997</v>
      </c>
      <c r="U53" s="333"/>
      <c r="V53" s="333"/>
      <c r="W53" s="333"/>
      <c r="X53" s="333"/>
      <c r="Y53" s="333"/>
      <c r="Z53" s="333">
        <v>150</v>
      </c>
      <c r="AA53" s="310">
        <f t="shared" si="1"/>
        <v>189.91</v>
      </c>
      <c r="AB53" s="334">
        <f t="shared" si="2"/>
        <v>4.6899533597708635E-3</v>
      </c>
      <c r="AC53" s="290"/>
      <c r="AD53" s="333">
        <v>1364.05</v>
      </c>
      <c r="AE53" s="334">
        <f t="shared" si="3"/>
        <v>1.8585104121817894E-2</v>
      </c>
      <c r="AF53" s="335">
        <f t="shared" si="4"/>
        <v>-1174.1399999999999</v>
      </c>
      <c r="AG53" s="333">
        <v>1200</v>
      </c>
      <c r="AH53" s="334">
        <f t="shared" si="5"/>
        <v>3.0094587287845701E-2</v>
      </c>
      <c r="AI53" s="336">
        <f t="shared" si="6"/>
        <v>-1010.09</v>
      </c>
      <c r="AJ53" s="399">
        <f t="shared" si="7"/>
        <v>0.56020648967551623</v>
      </c>
      <c r="AK53" s="400">
        <f t="shared" si="8"/>
        <v>2.6589668615984405</v>
      </c>
      <c r="AL53" s="401">
        <f t="shared" si="9"/>
        <v>3.7854889589905363</v>
      </c>
      <c r="AM53" s="402" t="str">
        <f t="shared" si="10"/>
        <v>-1.39 pts.</v>
      </c>
      <c r="AN53" s="403" t="str">
        <f t="shared" si="11"/>
        <v>-2.54 pts.</v>
      </c>
    </row>
    <row r="54" spans="1:40" x14ac:dyDescent="0.25">
      <c r="A54" s="6" t="s">
        <v>6</v>
      </c>
      <c r="B54" s="7"/>
      <c r="F54" s="152"/>
      <c r="H54" s="15" t="s">
        <v>473</v>
      </c>
      <c r="I54" s="161" t="s">
        <v>1009</v>
      </c>
      <c r="J54" s="161" t="s">
        <v>1009</v>
      </c>
      <c r="K54" s="68" t="str">
        <f t="shared" si="0"/>
        <v/>
      </c>
      <c r="L54" s="162">
        <v>468990</v>
      </c>
      <c r="M54" s="162">
        <v>206022</v>
      </c>
      <c r="N54" s="162" t="s">
        <v>1222</v>
      </c>
      <c r="O54" s="323"/>
      <c r="P54" s="324"/>
      <c r="Q54" s="324"/>
      <c r="R54" s="324"/>
      <c r="S54" s="324"/>
      <c r="T54" s="324"/>
      <c r="U54" s="324"/>
      <c r="V54" s="324"/>
      <c r="W54" s="324"/>
      <c r="X54" s="324"/>
      <c r="Y54" s="324"/>
      <c r="Z54" s="324"/>
      <c r="AA54" s="324">
        <f t="shared" si="1"/>
        <v>0</v>
      </c>
      <c r="AB54" s="325" t="str">
        <f t="shared" si="2"/>
        <v/>
      </c>
      <c r="AC54" s="290"/>
      <c r="AD54" s="324"/>
      <c r="AE54" s="325" t="str">
        <f t="shared" si="3"/>
        <v/>
      </c>
      <c r="AF54" s="326">
        <f t="shared" si="4"/>
        <v>0</v>
      </c>
      <c r="AG54" s="324"/>
      <c r="AH54" s="325" t="str">
        <f t="shared" si="5"/>
        <v/>
      </c>
      <c r="AI54" s="327">
        <f t="shared" si="6"/>
        <v>0</v>
      </c>
      <c r="AJ54" s="409">
        <f t="shared" si="7"/>
        <v>0</v>
      </c>
      <c r="AK54" s="410">
        <f t="shared" si="8"/>
        <v>0</v>
      </c>
      <c r="AL54" s="411">
        <f t="shared" si="9"/>
        <v>0</v>
      </c>
      <c r="AM54" s="412">
        <f t="shared" si="10"/>
        <v>0</v>
      </c>
      <c r="AN54" s="413">
        <f t="shared" si="11"/>
        <v>0</v>
      </c>
    </row>
    <row r="55" spans="1:40" ht="15.75" thickBot="1" x14ac:dyDescent="0.3">
      <c r="A55" s="6" t="s">
        <v>7</v>
      </c>
      <c r="B55" s="16" t="s">
        <v>1510</v>
      </c>
      <c r="F55" s="152"/>
      <c r="H55" s="15" t="s">
        <v>277</v>
      </c>
      <c r="I55" s="479" t="s">
        <v>1064</v>
      </c>
      <c r="J55" s="479" t="s">
        <v>78</v>
      </c>
      <c r="K55" s="480" t="str">
        <f t="shared" si="0"/>
        <v/>
      </c>
      <c r="L55" s="170"/>
      <c r="M55" s="170"/>
      <c r="N55" s="170" t="s">
        <v>1221</v>
      </c>
      <c r="O55" s="225"/>
      <c r="P55" s="36"/>
      <c r="Q55" s="36"/>
      <c r="R55" s="36"/>
      <c r="S55" s="36">
        <v>2615</v>
      </c>
      <c r="T55" s="36">
        <v>2409.69</v>
      </c>
      <c r="U55" s="36"/>
      <c r="V55" s="36">
        <v>1519.42</v>
      </c>
      <c r="W55" s="36">
        <v>500</v>
      </c>
      <c r="X55" s="36"/>
      <c r="Y55" s="36"/>
      <c r="Z55" s="36">
        <v>12569.83</v>
      </c>
      <c r="AA55" s="36">
        <f t="shared" si="1"/>
        <v>19613.940000000002</v>
      </c>
      <c r="AB55" s="37">
        <f t="shared" si="2"/>
        <v>0.48437925228447232</v>
      </c>
      <c r="AC55" s="35"/>
      <c r="AD55" s="36">
        <v>26148.799999999999</v>
      </c>
      <c r="AE55" s="37">
        <f t="shared" si="3"/>
        <v>0.35627592145492593</v>
      </c>
      <c r="AF55" s="58">
        <f t="shared" si="4"/>
        <v>-6534.8599999999969</v>
      </c>
      <c r="AG55" s="36">
        <v>12600.28</v>
      </c>
      <c r="AH55" s="37">
        <f t="shared" si="5"/>
        <v>0.31600018859274703</v>
      </c>
      <c r="AI55" s="292">
        <f t="shared" si="6"/>
        <v>7013.6600000000017</v>
      </c>
      <c r="AJ55" s="372">
        <f t="shared" si="7"/>
        <v>57.858230088495581</v>
      </c>
      <c r="AK55" s="373">
        <f t="shared" si="8"/>
        <v>50.97231968810916</v>
      </c>
      <c r="AL55" s="375">
        <f t="shared" si="9"/>
        <v>39.748517350157734</v>
      </c>
      <c r="AM55" s="407" t="str">
        <f t="shared" si="10"/>
        <v>12.81 pts.</v>
      </c>
      <c r="AN55" s="408" t="str">
        <f t="shared" si="11"/>
        <v>16.84 pts.</v>
      </c>
    </row>
    <row r="56" spans="1:40" ht="16.5" thickTop="1" thickBot="1" x14ac:dyDescent="0.3">
      <c r="A56" s="6" t="s">
        <v>47</v>
      </c>
      <c r="B56" s="16" t="s">
        <v>1508</v>
      </c>
      <c r="H56" s="15" t="s">
        <v>280</v>
      </c>
      <c r="I56" s="479" t="s">
        <v>1012</v>
      </c>
      <c r="J56" s="479" t="s">
        <v>78</v>
      </c>
      <c r="K56" s="480" t="str">
        <f t="shared" si="0"/>
        <v/>
      </c>
      <c r="L56" s="170">
        <v>400000</v>
      </c>
      <c r="M56" s="170"/>
      <c r="N56" s="170" t="s">
        <v>1003</v>
      </c>
      <c r="O56" s="497"/>
      <c r="P56" s="498"/>
      <c r="Q56" s="498"/>
      <c r="R56" s="498"/>
      <c r="S56" s="498">
        <v>12115</v>
      </c>
      <c r="T56" s="498">
        <v>6390.69</v>
      </c>
      <c r="U56" s="498"/>
      <c r="V56" s="498">
        <v>3880.42</v>
      </c>
      <c r="W56" s="498">
        <v>500</v>
      </c>
      <c r="X56" s="498"/>
      <c r="Y56" s="498"/>
      <c r="Z56" s="498">
        <v>17606.830000000002</v>
      </c>
      <c r="AA56" s="498">
        <f t="shared" si="1"/>
        <v>40492.94</v>
      </c>
      <c r="AB56" s="499">
        <f t="shared" si="2"/>
        <v>1</v>
      </c>
      <c r="AC56" s="500"/>
      <c r="AD56" s="498">
        <v>73394.8</v>
      </c>
      <c r="AE56" s="499">
        <f t="shared" si="3"/>
        <v>1</v>
      </c>
      <c r="AF56" s="501">
        <f t="shared" si="4"/>
        <v>-32901.86</v>
      </c>
      <c r="AG56" s="498">
        <v>39874.28</v>
      </c>
      <c r="AH56" s="499">
        <f t="shared" si="5"/>
        <v>1</v>
      </c>
      <c r="AI56" s="502">
        <f t="shared" si="6"/>
        <v>618.66000000000349</v>
      </c>
      <c r="AJ56" s="503">
        <f t="shared" si="7"/>
        <v>119.44820058997051</v>
      </c>
      <c r="AK56" s="504">
        <f t="shared" si="8"/>
        <v>143.06978557504874</v>
      </c>
      <c r="AL56" s="505">
        <f t="shared" si="9"/>
        <v>125.78637223974764</v>
      </c>
      <c r="AM56" s="506" t="str">
        <f t="shared" si="10"/>
        <v>0 pts.</v>
      </c>
      <c r="AN56" s="507" t="str">
        <f t="shared" si="11"/>
        <v>0 pts.</v>
      </c>
    </row>
    <row r="57" spans="1:40" ht="15.75" thickTop="1" x14ac:dyDescent="0.25">
      <c r="A57" s="6" t="s">
        <v>8</v>
      </c>
      <c r="B57" s="7"/>
    </row>
    <row r="58" spans="1:40" x14ac:dyDescent="0.25">
      <c r="G58" s="14"/>
      <c r="O58" s="166"/>
      <c r="P58" s="166"/>
      <c r="Q58" s="166"/>
      <c r="R58" s="166"/>
      <c r="S58" s="166"/>
      <c r="T58" s="166"/>
      <c r="U58" s="166"/>
      <c r="V58" s="166"/>
      <c r="W58" s="166"/>
      <c r="X58" s="166"/>
      <c r="Y58" s="166"/>
      <c r="Z58" s="166"/>
      <c r="AA58" s="166"/>
      <c r="AD58" s="166"/>
      <c r="AG58" s="166"/>
    </row>
    <row r="59" spans="1:40" x14ac:dyDescent="0.25">
      <c r="A59" s="3" t="s">
        <v>9</v>
      </c>
      <c r="B59" s="5" t="s">
        <v>10</v>
      </c>
    </row>
    <row r="60" spans="1:40" x14ac:dyDescent="0.25">
      <c r="A60" s="6" t="s">
        <v>11</v>
      </c>
      <c r="B60" s="7" t="s">
        <v>21</v>
      </c>
      <c r="O60" s="166"/>
      <c r="P60" s="166"/>
      <c r="Q60" s="166"/>
      <c r="R60" s="166"/>
      <c r="S60" s="166"/>
      <c r="T60" s="166"/>
      <c r="U60" s="166"/>
      <c r="V60" s="166"/>
      <c r="W60" s="166"/>
      <c r="X60" s="166"/>
      <c r="Y60" s="166"/>
      <c r="Z60" s="166"/>
      <c r="AA60" s="166"/>
      <c r="AD60" s="166"/>
      <c r="AG60" s="166"/>
    </row>
    <row r="61" spans="1:40" x14ac:dyDescent="0.25">
      <c r="A61" s="6" t="s">
        <v>12</v>
      </c>
      <c r="B61" s="7" t="s">
        <v>22</v>
      </c>
    </row>
    <row r="62" spans="1:40" x14ac:dyDescent="0.25">
      <c r="A62" s="6" t="s">
        <v>13</v>
      </c>
      <c r="B62" s="7" t="str">
        <f>"DEP(COS_FB) AND "&amp;$E$6&amp;"=Y,COS_FB,COSOTH,DEP(COS_OTHR) AND "&amp;$E$6&amp;"=Y,COS_OTHR,500001"</f>
        <v>DEP(COS_FB) AND D2148=Y,COS_FB,COSOTH,DEP(COS_OTHR) AND D2148=Y,COS_OTHR,500001</v>
      </c>
    </row>
    <row r="63" spans="1:40" x14ac:dyDescent="0.25">
      <c r="A63" s="6" t="s">
        <v>14</v>
      </c>
      <c r="B63" s="7"/>
      <c r="H63" s="11"/>
      <c r="J63" s="1"/>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B80" s="1" t="s">
        <v>822</v>
      </c>
      <c r="H80" s="11"/>
      <c r="J80" s="1"/>
    </row>
    <row r="81" spans="1:10" hidden="1" x14ac:dyDescent="0.25">
      <c r="H81" s="11"/>
      <c r="J81" s="1"/>
    </row>
    <row r="82" spans="1:10" hidden="1" x14ac:dyDescent="0.25">
      <c r="A82" s="3" t="s">
        <v>0</v>
      </c>
      <c r="B82" s="5" t="s">
        <v>1</v>
      </c>
      <c r="H82" s="11"/>
      <c r="J82" s="1"/>
    </row>
    <row r="83" spans="1:10" x14ac:dyDescent="0.25">
      <c r="A83" s="6" t="s">
        <v>2</v>
      </c>
      <c r="B83" s="16" t="s">
        <v>1504</v>
      </c>
      <c r="H83" s="11"/>
      <c r="J83" s="1"/>
    </row>
    <row r="84" spans="1:10" x14ac:dyDescent="0.25">
      <c r="A84" s="6" t="s">
        <v>3</v>
      </c>
      <c r="B84" s="16" t="s">
        <v>1505</v>
      </c>
      <c r="H84" s="11"/>
      <c r="J84" s="1"/>
    </row>
    <row r="85" spans="1:10" x14ac:dyDescent="0.25">
      <c r="A85" s="6" t="s">
        <v>4</v>
      </c>
      <c r="B85" s="7"/>
      <c r="H85" s="11"/>
      <c r="J85" s="1"/>
    </row>
    <row r="86" spans="1:10" x14ac:dyDescent="0.25">
      <c r="A86" s="6" t="s">
        <v>5</v>
      </c>
      <c r="B86" s="7"/>
    </row>
    <row r="87" spans="1:10" x14ac:dyDescent="0.25">
      <c r="A87" s="6" t="s">
        <v>6</v>
      </c>
      <c r="B87" s="7"/>
    </row>
    <row r="88" spans="1:10" x14ac:dyDescent="0.25">
      <c r="A88" s="6" t="s">
        <v>7</v>
      </c>
      <c r="B88" s="16" t="s">
        <v>1511</v>
      </c>
    </row>
    <row r="89" spans="1:10" x14ac:dyDescent="0.25">
      <c r="A89" s="6" t="s">
        <v>47</v>
      </c>
      <c r="B89" s="16" t="s">
        <v>1508</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c r="C111" s="1" t="s">
        <v>823</v>
      </c>
    </row>
    <row r="113" spans="1:34" x14ac:dyDescent="0.25">
      <c r="A113" s="3" t="s">
        <v>0</v>
      </c>
      <c r="B113" s="5" t="s">
        <v>1</v>
      </c>
    </row>
    <row r="114" spans="1:34" x14ac:dyDescent="0.25">
      <c r="A114" s="6" t="s">
        <v>2</v>
      </c>
      <c r="B114" s="16" t="s">
        <v>1504</v>
      </c>
    </row>
    <row r="115" spans="1:34" x14ac:dyDescent="0.25">
      <c r="A115" s="6" t="s">
        <v>3</v>
      </c>
      <c r="B115" s="16" t="s">
        <v>1505</v>
      </c>
    </row>
    <row r="116" spans="1:34" x14ac:dyDescent="0.25">
      <c r="A116" s="6" t="s">
        <v>4</v>
      </c>
      <c r="B116" s="7"/>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16" t="s">
        <v>1508</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c r="I126" s="76"/>
      <c r="J126" s="1"/>
      <c r="K126" s="76"/>
      <c r="L126" s="76"/>
      <c r="M126" s="76"/>
      <c r="O126" s="76"/>
      <c r="P126" s="76"/>
      <c r="Q126" s="76"/>
      <c r="R126" s="76"/>
      <c r="S126" s="76"/>
      <c r="T126" s="76"/>
      <c r="U126" s="76"/>
      <c r="V126" s="76"/>
      <c r="W126" s="76"/>
      <c r="X126" s="76"/>
      <c r="Y126" s="76"/>
      <c r="Z126" s="76"/>
      <c r="AA126" s="76"/>
      <c r="AD126" s="76"/>
      <c r="AF126" s="76"/>
      <c r="AH126" s="76"/>
    </row>
    <row r="127" spans="1:34" x14ac:dyDescent="0.25">
      <c r="A127" s="6" t="s">
        <v>27</v>
      </c>
      <c r="B127" s="7"/>
    </row>
    <row r="128" spans="1:34" x14ac:dyDescent="0.25">
      <c r="A128" s="6" t="s">
        <v>28</v>
      </c>
      <c r="B128" s="7"/>
    </row>
    <row r="129" spans="1:34" x14ac:dyDescent="0.25">
      <c r="A129" s="6" t="s">
        <v>29</v>
      </c>
      <c r="B129" s="7"/>
    </row>
    <row r="130" spans="1:34" x14ac:dyDescent="0.25">
      <c r="A130" s="6" t="s">
        <v>30</v>
      </c>
      <c r="B130" s="7" t="s">
        <v>78</v>
      </c>
      <c r="I130" s="76"/>
      <c r="J130" s="1"/>
      <c r="K130" s="76"/>
      <c r="L130" s="76"/>
      <c r="M130" s="76"/>
      <c r="O130" s="76"/>
      <c r="P130" s="76"/>
      <c r="Q130" s="76"/>
      <c r="R130" s="76"/>
      <c r="S130" s="76"/>
      <c r="T130" s="76"/>
      <c r="U130" s="76"/>
      <c r="V130" s="76"/>
      <c r="W130" s="76"/>
      <c r="X130" s="76"/>
      <c r="Y130" s="76"/>
      <c r="Z130" s="76"/>
      <c r="AA130" s="76"/>
      <c r="AD130" s="76"/>
      <c r="AF130" s="76"/>
      <c r="AH130" s="76"/>
    </row>
    <row r="131" spans="1:34" x14ac:dyDescent="0.25">
      <c r="A131" s="6" t="s">
        <v>31</v>
      </c>
      <c r="B131" s="7" t="s">
        <v>78</v>
      </c>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5 B29 B62" xr:uid="{00000000-0002-0000-3700-000000000000}">
      <formula1>"SELF,ALL,BAS,DEP,BASMEMBERS,MEMBERS,NOEXPAND,GDEP"</formula1>
    </dataValidation>
    <dataValidation type="list" allowBlank="1" sqref="B94 B28 B61" xr:uid="{00000000-0002-0000-37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operties>
  <drawing r:id="rId3"/>
  <legacyDrawing r:id="rId4"/>
  <controls>
    <mc:AlternateContent xmlns:mc="http://schemas.openxmlformats.org/markup-compatibility/2006">
      <mc:Choice Requires="x14">
        <control shapeId="35840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8406" r:id="rId5" name="FPMExcelClientSheetOptionstb1"/>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806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_xll.EVRNG(H35:H118)</f>
        <v>#NAME?</v>
      </c>
      <c r="G19" s="18" t="str">
        <f>$B$6</f>
        <v>D2348</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D2348</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v>2361</v>
      </c>
      <c r="W35" s="21"/>
      <c r="X35" s="21"/>
      <c r="Y35" s="21"/>
      <c r="Z35" s="21"/>
      <c r="AA35" s="21">
        <f t="shared" ref="AA35:AA41" si="0">SUM(O35:Z35)</f>
        <v>2361</v>
      </c>
      <c r="AB35" s="17" t="str">
        <f ca="1">IF(AA35=0,"",IFERROR(AA35/AA$19,""))</f>
        <v/>
      </c>
      <c r="AD35" s="21"/>
      <c r="AE35" s="17" t="str">
        <f>IF(AD35=0,"",IFERROR(AD35/AD$19,""))</f>
        <v/>
      </c>
      <c r="AF35" s="50">
        <f t="shared" ref="AF35:AF42" si="1">IF(AND($AA35="",AD35=""),"",$AA35-AD35)</f>
        <v>2361</v>
      </c>
      <c r="AG35" s="21"/>
      <c r="AH35" s="17" t="str">
        <f>IF(AG35=0,"",IFERROR(AG35/AG$19,""))</f>
        <v/>
      </c>
      <c r="AI35" s="50">
        <f t="shared" ref="AI35:AI42" si="2">IF(AND($AA35="",AG35=""),"",$AA35-AG35)</f>
        <v>2361</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5"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v>2361</v>
      </c>
      <c r="W39" s="164"/>
      <c r="X39" s="164"/>
      <c r="Y39" s="164"/>
      <c r="Z39" s="164"/>
      <c r="AA39" s="164">
        <f t="shared" si="0"/>
        <v>2361</v>
      </c>
      <c r="AB39" s="175" t="str">
        <f ca="1">IF(AA39=0,"",IFERROR(AA39/AA$19,""))</f>
        <v/>
      </c>
      <c r="AD39" s="164"/>
      <c r="AE39" s="175" t="str">
        <f>IF(AD39=0,"",IFERROR(AD39/AD$19,""))</f>
        <v/>
      </c>
      <c r="AF39" s="165">
        <f t="shared" si="1"/>
        <v>2361</v>
      </c>
      <c r="AG39" s="164"/>
      <c r="AH39" s="175" t="str">
        <f t="shared" si="3"/>
        <v/>
      </c>
      <c r="AI39" s="165">
        <f t="shared" si="2"/>
        <v>2361</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v>31</v>
      </c>
      <c r="W41" s="38"/>
      <c r="X41" s="38"/>
      <c r="Y41" s="38"/>
      <c r="Z41" s="38"/>
      <c r="AA41" s="38">
        <f t="shared" si="0"/>
        <v>31</v>
      </c>
      <c r="AB41" s="39">
        <f>IF(AA41=0,"",IFERROR(AA41/AA$83,""))</f>
        <v>9.1445427728613568E-2</v>
      </c>
      <c r="AD41" s="38"/>
      <c r="AE41" s="39" t="str">
        <f>IF(AD41=0,"",IFERROR(AD41/AD$83,""))</f>
        <v/>
      </c>
      <c r="AF41" s="132">
        <f t="shared" si="1"/>
        <v>31</v>
      </c>
      <c r="AG41" s="38"/>
      <c r="AH41" s="39" t="str">
        <f>IF(AG41=0,"",IFERROR(AG41/AG$83,""))</f>
        <v/>
      </c>
      <c r="AI41" s="132">
        <f t="shared" si="2"/>
        <v>31</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v>76.161290322580598</v>
      </c>
      <c r="W42" s="176"/>
      <c r="X42" s="176"/>
      <c r="Y42" s="176"/>
      <c r="Z42" s="176"/>
      <c r="AA42" s="176">
        <f>IFERROR(AA39/AA41,"")</f>
        <v>76.161290322580641</v>
      </c>
      <c r="AB42" s="176"/>
      <c r="AD42" s="176"/>
      <c r="AE42" s="176"/>
      <c r="AF42" s="177">
        <f t="shared" si="1"/>
        <v>76.161290322580641</v>
      </c>
      <c r="AG42" s="176"/>
      <c r="AH42" s="176"/>
      <c r="AI42" s="177">
        <f t="shared" si="2"/>
        <v>76.161290322580641</v>
      </c>
    </row>
    <row r="43" spans="1:35" x14ac:dyDescent="0.25">
      <c r="A43" s="6" t="s">
        <v>31</v>
      </c>
      <c r="B43" s="7" t="s">
        <v>78</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76.16</v>
      </c>
      <c r="W43" s="184">
        <f t="shared" si="4"/>
        <v>0</v>
      </c>
      <c r="X43" s="184">
        <f t="shared" si="4"/>
        <v>0</v>
      </c>
      <c r="Y43" s="184">
        <f t="shared" si="4"/>
        <v>0</v>
      </c>
      <c r="Z43" s="184">
        <f t="shared" si="4"/>
        <v>0</v>
      </c>
      <c r="AA43" s="184">
        <f t="shared" si="4"/>
        <v>76.16</v>
      </c>
      <c r="AB43" s="183"/>
      <c r="AD43" s="179">
        <f>ROUND(IFERROR(AD39/AD41,0),2)</f>
        <v>0</v>
      </c>
      <c r="AE43" s="184"/>
      <c r="AF43" s="180"/>
      <c r="AG43" s="179">
        <f>ROUND(IFERROR(AG39/AG41,0),2)</f>
        <v>0</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v>9461</v>
      </c>
      <c r="AE45" s="17" t="str">
        <f ca="1">IF(AD45=0,"",IFERROR(AD45/AD$19,""))</f>
        <v/>
      </c>
      <c r="AF45" s="50">
        <f t="shared" ref="AF45:AF52" si="7">IF(AND($AA45="",AD45=""),"",$AA45-AD45)</f>
        <v>-9461</v>
      </c>
      <c r="AG45" s="21">
        <v>5189</v>
      </c>
      <c r="AH45" s="17" t="str">
        <f t="shared" ca="1" si="3"/>
        <v/>
      </c>
      <c r="AI45" s="50">
        <f t="shared" ref="AI45:AI52" si="8">IF(AND($AA45="",AG45=""),"",$AA45-AG45)</f>
        <v>-5189</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v>9461</v>
      </c>
      <c r="AE49" s="175" t="str">
        <f ca="1">IF(AD49=0,"",IFERROR(AD49/AD$19,""))</f>
        <v/>
      </c>
      <c r="AF49" s="165">
        <f t="shared" si="7"/>
        <v>-9461</v>
      </c>
      <c r="AG49" s="164">
        <v>5189</v>
      </c>
      <c r="AH49" s="175" t="str">
        <f t="shared" ca="1" si="3"/>
        <v/>
      </c>
      <c r="AI49" s="165">
        <f t="shared" si="8"/>
        <v>-5189</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IF(AA51=0,"",IFERROR(AA51/AA$83,""))</f>
        <v/>
      </c>
      <c r="AD51" s="38">
        <v>141</v>
      </c>
      <c r="AE51" s="39">
        <f>IF(AD51=0,"",IFERROR(AD51/AD$83,""))</f>
        <v>0.27485380116959063</v>
      </c>
      <c r="AF51" s="132">
        <f t="shared" si="7"/>
        <v>-141</v>
      </c>
      <c r="AG51" s="38">
        <v>71</v>
      </c>
      <c r="AH51" s="39">
        <f>IF(AG51=0,"",IFERROR(AG51/AG$83,""))</f>
        <v>0.22397476340694006</v>
      </c>
      <c r="AI51" s="132">
        <f t="shared" si="8"/>
        <v>-71</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v>67.0992907801418</v>
      </c>
      <c r="AE52" s="176"/>
      <c r="AF52" s="177" t="e">
        <f t="shared" si="7"/>
        <v>#VALUE!</v>
      </c>
      <c r="AG52" s="176">
        <v>73.084507042253506</v>
      </c>
      <c r="AH52" s="176"/>
      <c r="AI52" s="177" t="e">
        <f t="shared" si="8"/>
        <v>#VALUE!</v>
      </c>
    </row>
    <row r="53" spans="1:35" x14ac:dyDescent="0.25">
      <c r="A53" s="6" t="s">
        <v>41</v>
      </c>
      <c r="B53" s="7"/>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67.099999999999994</v>
      </c>
      <c r="AE53" s="184"/>
      <c r="AF53" s="180"/>
      <c r="AG53" s="179">
        <f>ROUND(IFERROR(AG49/AG51,0),2)</f>
        <v>73.08</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v>1500</v>
      </c>
      <c r="T55" s="21">
        <v>3743</v>
      </c>
      <c r="U55" s="21"/>
      <c r="V55" s="21"/>
      <c r="W55" s="21"/>
      <c r="X55" s="21"/>
      <c r="Y55" s="21"/>
      <c r="Z55" s="21">
        <v>656.21</v>
      </c>
      <c r="AA55" s="21">
        <f t="shared" ref="AA55:AA61" si="11">SUM(O55:Z55)</f>
        <v>5899.21</v>
      </c>
      <c r="AB55" s="17" t="str">
        <f ca="1">IF(AA55=0,"",IFERROR(AA55/AA$19,""))</f>
        <v/>
      </c>
      <c r="AD55" s="21">
        <v>29027.0095</v>
      </c>
      <c r="AE55" s="17" t="str">
        <f ca="1">IF(AD55=0,"",IFERROR(AD55/AD$19,""))</f>
        <v/>
      </c>
      <c r="AF55" s="50">
        <f t="shared" ref="AF55:AF62" si="12">IF(AND($AA55="",AD55=""),"",$AA55-AD55)</f>
        <v>-23127.799500000001</v>
      </c>
      <c r="AG55" s="21">
        <v>21455</v>
      </c>
      <c r="AH55" s="17" t="str">
        <f t="shared" ca="1" si="3"/>
        <v/>
      </c>
      <c r="AI55" s="50">
        <f t="shared" ref="AI55:AI62" si="13">IF(AND($AA55="",AG55=""),"",$AA55-AG55)</f>
        <v>-15555.79</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v>6800</v>
      </c>
      <c r="T56" s="21">
        <v>228</v>
      </c>
      <c r="U56" s="21"/>
      <c r="V56" s="21"/>
      <c r="W56" s="21"/>
      <c r="X56" s="21"/>
      <c r="Y56" s="21"/>
      <c r="Z56" s="21"/>
      <c r="AA56" s="21">
        <f t="shared" si="11"/>
        <v>7028</v>
      </c>
      <c r="AB56" s="17" t="str">
        <f ca="1">IF(AA56=0,"",IFERROR(AA56/AA$19,""))</f>
        <v/>
      </c>
      <c r="AD56" s="21">
        <v>1957.9905000000001</v>
      </c>
      <c r="AE56" s="17" t="str">
        <f ca="1">IF(AD56=0,"",IFERROR(AD56/AD$19,""))</f>
        <v/>
      </c>
      <c r="AF56" s="50">
        <f t="shared" si="12"/>
        <v>5070.0095000000001</v>
      </c>
      <c r="AG56" s="21">
        <v>630</v>
      </c>
      <c r="AH56" s="17" t="str">
        <f t="shared" ca="1" si="3"/>
        <v/>
      </c>
      <c r="AI56" s="50">
        <f t="shared" si="13"/>
        <v>6398</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v>500</v>
      </c>
      <c r="T57" s="21">
        <v>10</v>
      </c>
      <c r="U57" s="21"/>
      <c r="V57" s="21"/>
      <c r="W57" s="21"/>
      <c r="X57" s="21"/>
      <c r="Y57" s="21"/>
      <c r="Z57" s="21"/>
      <c r="AA57" s="21">
        <f t="shared" si="11"/>
        <v>510</v>
      </c>
      <c r="AB57" s="17" t="str">
        <f ca="1">IF(AA57=0,"",IFERROR(AA57/AA$19,""))</f>
        <v/>
      </c>
      <c r="AD57" s="21"/>
      <c r="AE57" s="17" t="str">
        <f>IF(AD57=0,"",IFERROR(AD57/AD$19,""))</f>
        <v/>
      </c>
      <c r="AF57" s="50">
        <f t="shared" si="12"/>
        <v>510</v>
      </c>
      <c r="AG57" s="21"/>
      <c r="AH57" s="17" t="str">
        <f t="shared" si="3"/>
        <v/>
      </c>
      <c r="AI57" s="50">
        <f t="shared" si="13"/>
        <v>510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v>700</v>
      </c>
      <c r="T58" s="30"/>
      <c r="U58" s="30"/>
      <c r="V58" s="30"/>
      <c r="W58" s="30"/>
      <c r="X58" s="30"/>
      <c r="Y58" s="30"/>
      <c r="Z58" s="30">
        <v>53.79</v>
      </c>
      <c r="AA58" s="30">
        <f t="shared" si="11"/>
        <v>753.79</v>
      </c>
      <c r="AB58" s="31" t="str">
        <f ca="1">IF(AA58=0,"",IFERROR(AA58/AA$19,""))</f>
        <v/>
      </c>
      <c r="AD58" s="30"/>
      <c r="AE58" s="31" t="str">
        <f>IF(AD58=0,"",IFERROR(AD58/AD$19,""))</f>
        <v/>
      </c>
      <c r="AF58" s="51">
        <f t="shared" si="12"/>
        <v>753.79</v>
      </c>
      <c r="AG58" s="30"/>
      <c r="AH58" s="31" t="str">
        <f t="shared" si="3"/>
        <v/>
      </c>
      <c r="AI58" s="51">
        <f t="shared" si="13"/>
        <v>753.79</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v>9500</v>
      </c>
      <c r="T59" s="164">
        <v>3981</v>
      </c>
      <c r="U59" s="164"/>
      <c r="V59" s="164"/>
      <c r="W59" s="164"/>
      <c r="X59" s="164"/>
      <c r="Y59" s="164"/>
      <c r="Z59" s="164">
        <v>710</v>
      </c>
      <c r="AA59" s="164">
        <f t="shared" si="11"/>
        <v>14191</v>
      </c>
      <c r="AB59" s="175" t="str">
        <f ca="1">IF(AA59=0,"",IFERROR(AA59/AA$19,""))</f>
        <v/>
      </c>
      <c r="AD59" s="164">
        <v>30985</v>
      </c>
      <c r="AE59" s="175" t="str">
        <f ca="1">IF(AD59=0,"",IFERROR(AD59/AD$19,""))</f>
        <v/>
      </c>
      <c r="AF59" s="165">
        <f t="shared" si="12"/>
        <v>-16794</v>
      </c>
      <c r="AG59" s="164">
        <v>22085</v>
      </c>
      <c r="AH59" s="175" t="str">
        <f t="shared" ca="1" si="3"/>
        <v/>
      </c>
      <c r="AI59" s="165">
        <f t="shared" si="13"/>
        <v>-7894</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v>250</v>
      </c>
      <c r="T61" s="38"/>
      <c r="U61" s="38"/>
      <c r="V61" s="38">
        <v>8</v>
      </c>
      <c r="W61" s="38"/>
      <c r="X61" s="38"/>
      <c r="Y61" s="38"/>
      <c r="Z61" s="38">
        <v>8</v>
      </c>
      <c r="AA61" s="38">
        <f t="shared" si="11"/>
        <v>266</v>
      </c>
      <c r="AB61" s="39">
        <f>IF(AA61=0,"",IFERROR(AA61/AA$83,""))</f>
        <v>0.78466076696165188</v>
      </c>
      <c r="AD61" s="38">
        <v>292</v>
      </c>
      <c r="AE61" s="39">
        <f>IF(AD61=0,"",IFERROR(AD61/AD$83,""))</f>
        <v>0.56920077972709548</v>
      </c>
      <c r="AF61" s="132">
        <f t="shared" si="12"/>
        <v>-26</v>
      </c>
      <c r="AG61" s="38">
        <v>246</v>
      </c>
      <c r="AH61" s="39">
        <f>IF(AG61=0,"",IFERROR(AG61/AG$83,""))</f>
        <v>0.77602523659305989</v>
      </c>
      <c r="AI61" s="132">
        <f t="shared" si="13"/>
        <v>20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v>38</v>
      </c>
      <c r="T62" s="176"/>
      <c r="U62" s="176"/>
      <c r="V62" s="176"/>
      <c r="W62" s="176"/>
      <c r="X62" s="176"/>
      <c r="Y62" s="176"/>
      <c r="Z62" s="176">
        <v>88.75</v>
      </c>
      <c r="AA62" s="176">
        <f>IFERROR(AA59/AA61,"")</f>
        <v>53.349624060150376</v>
      </c>
      <c r="AB62" s="176"/>
      <c r="AD62" s="176">
        <v>106.11301369863</v>
      </c>
      <c r="AE62" s="176"/>
      <c r="AF62" s="177">
        <f t="shared" si="12"/>
        <v>-52.763389638479623</v>
      </c>
      <c r="AG62" s="176">
        <v>89.776422764227604</v>
      </c>
      <c r="AH62" s="176"/>
      <c r="AI62" s="177">
        <f t="shared" si="13"/>
        <v>-36.426798704077228</v>
      </c>
    </row>
    <row r="63" spans="1:35" x14ac:dyDescent="0.25">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38</v>
      </c>
      <c r="T63" s="184">
        <f t="shared" si="14"/>
        <v>0</v>
      </c>
      <c r="U63" s="184">
        <f t="shared" si="14"/>
        <v>0</v>
      </c>
      <c r="V63" s="184">
        <f t="shared" si="14"/>
        <v>0</v>
      </c>
      <c r="W63" s="184">
        <f t="shared" si="14"/>
        <v>0</v>
      </c>
      <c r="X63" s="184">
        <f t="shared" si="14"/>
        <v>0</v>
      </c>
      <c r="Y63" s="184">
        <f t="shared" si="14"/>
        <v>0</v>
      </c>
      <c r="Z63" s="184">
        <f t="shared" si="14"/>
        <v>88.75</v>
      </c>
      <c r="AA63" s="184">
        <f t="shared" si="14"/>
        <v>53.35</v>
      </c>
      <c r="AB63" s="183"/>
      <c r="AD63" s="179">
        <f>ROUND(IFERROR(AD59/AD61,0),2)</f>
        <v>106.11</v>
      </c>
      <c r="AE63" s="184"/>
      <c r="AF63" s="180"/>
      <c r="AG63" s="179">
        <f>ROUND(IFERROR(AG59/AG61,0),2)</f>
        <v>89.78</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b">
        <f t="shared" si="15"/>
        <v>1</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v>2087</v>
      </c>
      <c r="AA65" s="21">
        <f t="shared" ref="AA65:AA70" si="16">SUM(O65:Z65)</f>
        <v>2087</v>
      </c>
      <c r="AB65" s="17" t="str">
        <f ca="1">IF(AA65=0,"",IFERROR(AA65/AA$19,""))</f>
        <v/>
      </c>
      <c r="AD65" s="21">
        <v>6555.54</v>
      </c>
      <c r="AE65" s="17" t="str">
        <f ca="1">IF(AD65=0,"",IFERROR(AD65/AD$19,""))</f>
        <v/>
      </c>
      <c r="AF65" s="50">
        <f t="shared" ref="AF65:AF71" si="17">IF(AND($AA65="",AD65=""),"",$AA65-AD65)</f>
        <v>-4468.54</v>
      </c>
      <c r="AG65" s="21"/>
      <c r="AH65" s="17" t="str">
        <f t="shared" si="3"/>
        <v/>
      </c>
      <c r="AI65" s="50">
        <f t="shared" ref="AI65:AI71" si="18">IF(AND($AA65="",AG65=""),"",$AA65-AG65)</f>
        <v>2087</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v>2240</v>
      </c>
      <c r="AA66" s="21">
        <f t="shared" si="16"/>
        <v>2240</v>
      </c>
      <c r="AB66" s="17" t="str">
        <f ca="1">IF(AA66=0,"",IFERROR(AA66/AA$19,""))</f>
        <v/>
      </c>
      <c r="AD66" s="21">
        <v>244.46</v>
      </c>
      <c r="AE66" s="17" t="str">
        <f ca="1">IF(AD66=0,"",IFERROR(AD66/AD$19,""))</f>
        <v/>
      </c>
      <c r="AF66" s="50">
        <f t="shared" si="17"/>
        <v>1995.54</v>
      </c>
      <c r="AG66" s="21"/>
      <c r="AH66" s="17" t="str">
        <f t="shared" si="3"/>
        <v/>
      </c>
      <c r="AI66" s="50">
        <f t="shared" si="18"/>
        <v>2240</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v>4327</v>
      </c>
      <c r="AA69" s="164">
        <f t="shared" si="16"/>
        <v>4327</v>
      </c>
      <c r="AB69" s="175" t="str">
        <f ca="1">IF(AA69=0,"",IFERROR(AA69/AA$19,""))</f>
        <v/>
      </c>
      <c r="AD69" s="164">
        <v>6800</v>
      </c>
      <c r="AE69" s="175" t="str">
        <f ca="1">IF(AD69=0,"",IFERROR(AD69/AD$19,""))</f>
        <v/>
      </c>
      <c r="AF69" s="165">
        <f t="shared" si="17"/>
        <v>-2473</v>
      </c>
      <c r="AG69" s="164"/>
      <c r="AH69" s="175" t="str">
        <f t="shared" si="3"/>
        <v/>
      </c>
      <c r="AI69" s="165">
        <f t="shared" si="18"/>
        <v>4327</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v>18</v>
      </c>
      <c r="W70" s="38"/>
      <c r="X70" s="38"/>
      <c r="Y70" s="38"/>
      <c r="Z70" s="38">
        <v>24</v>
      </c>
      <c r="AA70" s="38">
        <f t="shared" si="16"/>
        <v>42</v>
      </c>
      <c r="AB70" s="39">
        <f>IF(AA70=0,"",IFERROR(AA70/AA$83,""))</f>
        <v>0.12389380530973451</v>
      </c>
      <c r="AD70" s="38">
        <v>80</v>
      </c>
      <c r="AE70" s="39">
        <f>IF(AD70=0,"",IFERROR(AD70/AD$83,""))</f>
        <v>0.15594541910331383</v>
      </c>
      <c r="AF70" s="132">
        <f t="shared" si="17"/>
        <v>-38</v>
      </c>
      <c r="AG70" s="38"/>
      <c r="AH70" s="39" t="str">
        <f>IF(AG70=0,"",IFERROR(AG70/AG$83,""))</f>
        <v/>
      </c>
      <c r="AI70" s="132">
        <f t="shared" si="18"/>
        <v>42</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c r="R71" s="176"/>
      <c r="S71" s="176"/>
      <c r="T71" s="176"/>
      <c r="U71" s="176"/>
      <c r="V71" s="176"/>
      <c r="W71" s="176"/>
      <c r="X71" s="176"/>
      <c r="Y71" s="176"/>
      <c r="Z71" s="176">
        <v>180.291666666667</v>
      </c>
      <c r="AA71" s="176">
        <f>IFERROR(AA69/AA70,"")</f>
        <v>103.02380952380952</v>
      </c>
      <c r="AB71" s="176"/>
      <c r="AD71" s="176">
        <v>85</v>
      </c>
      <c r="AE71" s="176"/>
      <c r="AF71" s="177">
        <f t="shared" si="17"/>
        <v>18.023809523809518</v>
      </c>
      <c r="AG71" s="176"/>
      <c r="AH71" s="176"/>
      <c r="AI71" s="177">
        <f t="shared" si="18"/>
        <v>103.02380952380952</v>
      </c>
    </row>
    <row r="72" spans="3:35" x14ac:dyDescent="0.25">
      <c r="H72" s="15"/>
      <c r="I72" s="161"/>
      <c r="J72" s="161"/>
      <c r="K72" s="162"/>
      <c r="L72" s="162"/>
      <c r="M72" s="162"/>
      <c r="N72" s="182" t="s">
        <v>345</v>
      </c>
      <c r="O72" s="179">
        <f t="shared" ref="O72:AA72" si="19">ROUND(IFERROR(O69/O70,0),2)</f>
        <v>0</v>
      </c>
      <c r="P72" s="184">
        <f t="shared" si="19"/>
        <v>0</v>
      </c>
      <c r="Q72" s="184">
        <f t="shared" si="19"/>
        <v>0</v>
      </c>
      <c r="R72" s="184">
        <f t="shared" si="19"/>
        <v>0</v>
      </c>
      <c r="S72" s="184">
        <f t="shared" si="19"/>
        <v>0</v>
      </c>
      <c r="T72" s="184">
        <f t="shared" si="19"/>
        <v>0</v>
      </c>
      <c r="U72" s="184">
        <f t="shared" si="19"/>
        <v>0</v>
      </c>
      <c r="V72" s="184">
        <f t="shared" si="19"/>
        <v>0</v>
      </c>
      <c r="W72" s="184">
        <f t="shared" si="19"/>
        <v>0</v>
      </c>
      <c r="X72" s="184">
        <f t="shared" si="19"/>
        <v>0</v>
      </c>
      <c r="Y72" s="184">
        <f t="shared" si="19"/>
        <v>0</v>
      </c>
      <c r="Z72" s="184">
        <f t="shared" si="19"/>
        <v>180.29</v>
      </c>
      <c r="AA72" s="184">
        <f t="shared" si="19"/>
        <v>103.02</v>
      </c>
      <c r="AB72" s="183"/>
      <c r="AD72" s="179">
        <f>ROUND(IFERROR(AD69/AD70,0),2)</f>
        <v>85</v>
      </c>
      <c r="AE72" s="184"/>
      <c r="AF72" s="180"/>
      <c r="AG72" s="179">
        <f>ROUND(IFERROR(AG69/AG70,0),2)</f>
        <v>0</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b">
        <f t="shared" si="20"/>
        <v>1</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c r="AA74" s="21">
        <f>SUM(O74:Z74)</f>
        <v>0</v>
      </c>
      <c r="AB74" s="17" t="str">
        <f>IF(AA74=0,"",IFERROR(AA74/AA$19,""))</f>
        <v/>
      </c>
      <c r="AD74" s="21"/>
      <c r="AE74" s="17" t="str">
        <f>IF(AD74=0,"",IFERROR(AD74/AD$19,""))</f>
        <v/>
      </c>
      <c r="AF74" s="50">
        <f>IF(AND($AA74="",AD74=""),"",$AA74-AD74)</f>
        <v>0</v>
      </c>
      <c r="AG74" s="21"/>
      <c r="AH74" s="17" t="str">
        <f t="shared" si="3"/>
        <v/>
      </c>
      <c r="AI74" s="50">
        <f>IF(AND($AA74="",AG74=""),"",$AA74-AG74)</f>
        <v>0</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c r="AA75" s="164">
        <f>SUM(O75:Z75)</f>
        <v>0</v>
      </c>
      <c r="AB75" s="175" t="str">
        <f>IF(AA75=0,"",IFERROR(AA75/AA$19,""))</f>
        <v/>
      </c>
      <c r="AD75" s="164"/>
      <c r="AE75" s="175" t="str">
        <f>IF(AD75=0,"",IFERROR(AD75/AD$19,""))</f>
        <v/>
      </c>
      <c r="AF75" s="165">
        <f>IF(AND($AA75="",AD75=""),"",$AA75-AD75)</f>
        <v>0</v>
      </c>
      <c r="AG75" s="164"/>
      <c r="AH75" s="175" t="str">
        <f t="shared" si="3"/>
        <v/>
      </c>
      <c r="AI75" s="165">
        <f>IF(AND($AA75="",AG75=""),"",$AA75-AG75)</f>
        <v>0</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8">
        <f>SUM(O76:Z76)</f>
        <v>0</v>
      </c>
      <c r="AB76" s="39" t="str">
        <f>IF(AA76=0,"",IFERROR(AA76/AA$83,""))</f>
        <v/>
      </c>
      <c r="AD76" s="38"/>
      <c r="AE76" s="39" t="str">
        <f>IF(AD76=0,"",IFERROR(AD76/AD$83,""))</f>
        <v/>
      </c>
      <c r="AF76" s="132">
        <f>IF(AND($AA76="",AD76=""),"",$AA76-AD76)</f>
        <v>0</v>
      </c>
      <c r="AG76" s="38"/>
      <c r="AH76" s="39" t="str">
        <f>IF(AG76=0,"",IFERROR(AG76/AG$83,""))</f>
        <v/>
      </c>
      <c r="AI76" s="132">
        <f>IF(AND($AA76="",AG76=""),"",$AA76-AG76)</f>
        <v>0</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c r="AA77" s="176" t="str">
        <f>IFERROR(AA75/AA76,"")</f>
        <v/>
      </c>
      <c r="AB77" s="176"/>
      <c r="AD77" s="176"/>
      <c r="AE77" s="176"/>
      <c r="AF77" s="177" t="str">
        <f>IF(AND($AA77="",AD77=""),"",$AA77-AD77)</f>
        <v/>
      </c>
      <c r="AG77" s="176"/>
      <c r="AH77" s="176"/>
      <c r="AI77" s="177" t="str">
        <f>IF(AND($AA77="",AG77=""),"",$AA77-AG77)</f>
        <v/>
      </c>
    </row>
    <row r="78" spans="3:35" x14ac:dyDescent="0.25">
      <c r="C78" s="32"/>
      <c r="H78" s="15"/>
      <c r="I78" s="161"/>
      <c r="J78" s="161"/>
      <c r="K78" s="162"/>
      <c r="L78" s="162"/>
      <c r="M78" s="162"/>
      <c r="N78" s="182" t="s">
        <v>345</v>
      </c>
      <c r="O78" s="179">
        <f t="shared" ref="O78:AA78" si="21">ROUND(IFERROR(O75/O76,0),2)</f>
        <v>0</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0</v>
      </c>
      <c r="AA78" s="184">
        <f t="shared" si="21"/>
        <v>0</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e">
        <f t="shared" si="22"/>
        <v>#VALUE!</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c r="P82" s="171"/>
      <c r="Q82" s="171"/>
      <c r="R82" s="171"/>
      <c r="S82" s="171">
        <v>9500</v>
      </c>
      <c r="T82" s="171">
        <v>3981</v>
      </c>
      <c r="U82" s="171"/>
      <c r="V82" s="171">
        <v>2361</v>
      </c>
      <c r="W82" s="171"/>
      <c r="X82" s="171"/>
      <c r="Y82" s="171"/>
      <c r="Z82" s="171">
        <v>5037</v>
      </c>
      <c r="AA82" s="171">
        <f>SUM(O82:Z82)</f>
        <v>20879</v>
      </c>
      <c r="AB82" s="172" t="str">
        <f ca="1">IF(AA82=0,"",IFERROR(AA82/AA$19,""))</f>
        <v/>
      </c>
      <c r="AD82" s="171">
        <v>47246</v>
      </c>
      <c r="AE82" s="172" t="str">
        <f ca="1">IF(AD82=0,"",IFERROR(AD82/AD$19,""))</f>
        <v/>
      </c>
      <c r="AF82" s="173">
        <f>IF(AND($AA82="",AD82=""),"",$AA82-AD82)</f>
        <v>-26367</v>
      </c>
      <c r="AG82" s="171">
        <v>27274</v>
      </c>
      <c r="AH82" s="172" t="str">
        <f t="shared" ref="AH82:AH92" ca="1" si="23">IF(AG82=0,"",IFERROR(AG82/AG$19,""))</f>
        <v/>
      </c>
      <c r="AI82" s="173">
        <f>IF(AND($AA82="",AG82=""),"",$AA82-AG82)</f>
        <v>-6395</v>
      </c>
    </row>
    <row r="83" spans="3:35" x14ac:dyDescent="0.25">
      <c r="C83" s="32"/>
      <c r="H83" s="149" t="s">
        <v>331</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c r="P83" s="171"/>
      <c r="Q83" s="171"/>
      <c r="R83" s="171"/>
      <c r="S83" s="171">
        <v>250</v>
      </c>
      <c r="T83" s="171"/>
      <c r="U83" s="171"/>
      <c r="V83" s="171">
        <v>57</v>
      </c>
      <c r="W83" s="171"/>
      <c r="X83" s="171"/>
      <c r="Y83" s="171"/>
      <c r="Z83" s="171">
        <v>32</v>
      </c>
      <c r="AA83" s="171">
        <f>SUM(O83:Z83)</f>
        <v>339</v>
      </c>
      <c r="AB83" s="172" t="str">
        <f ca="1">IF(AA83=0,"",IFERROR(AA83/AA$20,""))</f>
        <v/>
      </c>
      <c r="AD83" s="171">
        <v>513</v>
      </c>
      <c r="AE83" s="172" t="str">
        <f ca="1">IF(AD83=0,"",IFERROR(AD83/AD$20,""))</f>
        <v/>
      </c>
      <c r="AF83" s="173">
        <f>IF(AND($AA83="",AD83=""),"",$AA83-AD83)</f>
        <v>-174</v>
      </c>
      <c r="AG83" s="171">
        <v>317</v>
      </c>
      <c r="AH83" s="172" t="str">
        <f ca="1">IF(AG83=0,"",IFERROR(AG83/AG$20,""))</f>
        <v/>
      </c>
      <c r="AI83" s="173">
        <f>IF(AND($AA83="",AG83=""),"",$AA83-AG83)</f>
        <v>22</v>
      </c>
    </row>
    <row r="84" spans="3:35" x14ac:dyDescent="0.25">
      <c r="C84" s="32"/>
      <c r="H84" s="149" t="s">
        <v>311</v>
      </c>
      <c r="I84" s="161" t="e">
        <f ca="1">_xll.EVPRO($B$1,$H84,"STYLE")</f>
        <v>#NAME?</v>
      </c>
      <c r="J84" s="161" t="e">
        <f ca="1">_xll.EVPRO($B$1,$H84,"CALC")</f>
        <v>#NAME?</v>
      </c>
      <c r="L84" s="162"/>
      <c r="M84" s="162"/>
      <c r="N84" s="162" t="e">
        <f ca="1">IF(_xll.EVDES(H84,$B$1)="#NODATA","",_xll.EVDES(H84,$B$1))</f>
        <v>#NAME?</v>
      </c>
      <c r="O84" s="176"/>
      <c r="P84" s="176"/>
      <c r="Q84" s="176"/>
      <c r="R84" s="176"/>
      <c r="S84" s="176">
        <v>38</v>
      </c>
      <c r="T84" s="176"/>
      <c r="U84" s="176"/>
      <c r="V84" s="176">
        <v>41.421052631578902</v>
      </c>
      <c r="W84" s="176"/>
      <c r="X84" s="176"/>
      <c r="Y84" s="176"/>
      <c r="Z84" s="176">
        <v>157.40625</v>
      </c>
      <c r="AA84" s="176">
        <f>IFERROR(AA82/AA83,"")</f>
        <v>61.589970501474923</v>
      </c>
      <c r="AB84" s="176"/>
      <c r="AD84" s="176">
        <v>92.097465886939602</v>
      </c>
      <c r="AE84" s="176"/>
      <c r="AF84" s="177">
        <f>IF(AND($AA84="",AD84=""),"",$AA84-AD84)</f>
        <v>-30.507495385464679</v>
      </c>
      <c r="AG84" s="176">
        <v>86.037854889589894</v>
      </c>
      <c r="AH84" s="176"/>
      <c r="AI84" s="177">
        <f>IF(AND($AA84="",AG84=""),"",$AA84-AG84)</f>
        <v>-24.447884388114971</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t="e">
        <f ca="1">_xll.EVPRO($B$1,H88,"JDEID")</f>
        <v>#NAME?</v>
      </c>
      <c r="M88" s="162" t="str">
        <f>IF(AND(I88="N",J88="N"),_xll.EVPRO($B$1,H88,"PSFTID"),"")</f>
        <v/>
      </c>
      <c r="N88" s="162" t="e">
        <f ca="1">IF(_xll.EVDES(H88,$B$1)="#NODATA","",_xll.EVDES(H88,$B$1))</f>
        <v>#NAME?</v>
      </c>
      <c r="O88" s="21"/>
      <c r="P88" s="21"/>
      <c r="Q88" s="21"/>
      <c r="R88" s="21"/>
      <c r="S88" s="21"/>
      <c r="T88" s="21"/>
      <c r="U88" s="21"/>
      <c r="V88" s="21"/>
      <c r="W88" s="21"/>
      <c r="X88" s="21"/>
      <c r="Y88" s="21"/>
      <c r="Z88" s="21"/>
      <c r="AA88" s="21">
        <f>SUM(O88:Z88)</f>
        <v>0</v>
      </c>
      <c r="AB88" s="17" t="str">
        <f>IF(AA88=0,"",IFERROR(AA88/AA$19,""))</f>
        <v/>
      </c>
      <c r="AD88" s="21"/>
      <c r="AE88" s="17" t="str">
        <f>IF(AD88=0,"",IFERROR(AD88/AD$19,""))</f>
        <v/>
      </c>
      <c r="AF88" s="50">
        <f>IF(AND($AA88="",AD88=""),"",$AA88-AD88)</f>
        <v>0</v>
      </c>
      <c r="AG88" s="21"/>
      <c r="AH88" s="17" t="str">
        <f t="shared" si="23"/>
        <v/>
      </c>
      <c r="AI88" s="50">
        <f>IF(AND($AA88="",AG88=""),"",$AA88-AG88)</f>
        <v>0</v>
      </c>
    </row>
    <row r="89" spans="3:35" x14ac:dyDescent="0.25">
      <c r="C89" s="32"/>
      <c r="H89" s="149" t="s">
        <v>301</v>
      </c>
      <c r="I89" s="161"/>
      <c r="J89" s="161"/>
      <c r="L89" s="162" t="e">
        <f ca="1">_xll.EVPRO($B$1,H89,"JDEID")</f>
        <v>#NAME?</v>
      </c>
      <c r="M89" s="162" t="str">
        <f>IF(AND(I89="N",J89="N"),_xll.EVPRO($B$1,H89,"PSFTID"),"")</f>
        <v/>
      </c>
      <c r="N89" s="162" t="e">
        <f ca="1">IF(_xll.EVDES(H89,$B$1)="#NODATA","",_xll.EVDES(H89,$B$1))</f>
        <v>#NAME?</v>
      </c>
      <c r="O89" s="21"/>
      <c r="P89" s="21"/>
      <c r="Q89" s="21"/>
      <c r="R89" s="21"/>
      <c r="S89" s="21"/>
      <c r="T89" s="21"/>
      <c r="U89" s="21"/>
      <c r="V89" s="21"/>
      <c r="W89" s="21"/>
      <c r="X89" s="21"/>
      <c r="Y89" s="21"/>
      <c r="Z89" s="21"/>
      <c r="AA89" s="21">
        <f>SUM(O89:Z89)</f>
        <v>0</v>
      </c>
      <c r="AB89" s="17" t="str">
        <f>IF(AA89=0,"",IFERROR(AA89/AA$19,""))</f>
        <v/>
      </c>
      <c r="AD89" s="21"/>
      <c r="AE89" s="17" t="str">
        <f>IF(AD89=0,"",IFERROR(AD89/AD$19,""))</f>
        <v/>
      </c>
      <c r="AF89" s="50">
        <f>IF(AND($AA89="",AD89=""),"",$AA89-AD89)</f>
        <v>0</v>
      </c>
      <c r="AG89" s="21"/>
      <c r="AH89" s="17" t="str">
        <f t="shared" si="23"/>
        <v/>
      </c>
      <c r="AI89" s="50">
        <f>IF(AND($AA89="",AG89=""),"",$AA89-AG89)</f>
        <v>0</v>
      </c>
    </row>
    <row r="90" spans="3:35" x14ac:dyDescent="0.25">
      <c r="C90" s="32"/>
      <c r="H90" s="149" t="s">
        <v>302</v>
      </c>
      <c r="I90" s="161"/>
      <c r="J90" s="161"/>
      <c r="L90" s="162" t="e">
        <f ca="1">_xll.EVPRO($B$1,H90,"JDEID")</f>
        <v>#NAME?</v>
      </c>
      <c r="M90" s="162" t="str">
        <f>IF(AND(I90="N",J90="N"),_xll.EVPRO($B$1,H90,"PSFTID"),"")</f>
        <v/>
      </c>
      <c r="N90" s="162" t="e">
        <f ca="1">IF(_xll.EVDES(H90,$B$1)="#NODATA","",_xll.EVDES(H90,$B$1))</f>
        <v>#NAME?</v>
      </c>
      <c r="O90" s="21"/>
      <c r="P90" s="21"/>
      <c r="Q90" s="21"/>
      <c r="R90" s="21"/>
      <c r="S90" s="21">
        <v>6800</v>
      </c>
      <c r="T90" s="21">
        <v>228</v>
      </c>
      <c r="U90" s="21"/>
      <c r="V90" s="21"/>
      <c r="W90" s="21"/>
      <c r="X90" s="21"/>
      <c r="Y90" s="21"/>
      <c r="Z90" s="21"/>
      <c r="AA90" s="21">
        <f>SUM(O90:Z90)</f>
        <v>7028</v>
      </c>
      <c r="AB90" s="17" t="str">
        <f ca="1">IF(AA90=0,"",IFERROR(AA90/AA$19,""))</f>
        <v/>
      </c>
      <c r="AD90" s="21">
        <v>1957.9905000000001</v>
      </c>
      <c r="AE90" s="17" t="str">
        <f ca="1">IF(AD90=0,"",IFERROR(AD90/AD$19,""))</f>
        <v/>
      </c>
      <c r="AF90" s="50">
        <f>IF(AND($AA90="",AD90=""),"",$AA90-AD90)</f>
        <v>5070.0095000000001</v>
      </c>
      <c r="AG90" s="21">
        <v>630</v>
      </c>
      <c r="AH90" s="17" t="str">
        <f t="shared" ca="1" si="23"/>
        <v/>
      </c>
      <c r="AI90" s="50">
        <f>IF(AND($AA90="",AG90=""),"",$AA90-AG90)</f>
        <v>6398</v>
      </c>
    </row>
    <row r="91" spans="3:35" collapsed="1" x14ac:dyDescent="0.25">
      <c r="C91" s="32"/>
      <c r="H91" s="149" t="s">
        <v>808</v>
      </c>
      <c r="I91" s="161"/>
      <c r="J91" s="161"/>
      <c r="L91" s="162" t="e">
        <f ca="1">_xll.EVPRO($B$1,H91,"JDEID")</f>
        <v>#NAME?</v>
      </c>
      <c r="M91" s="162" t="str">
        <f>IF(AND(I91="N",J91="N"),_xll.EVPRO($B$1,H91,"PSFTID"),"")</f>
        <v/>
      </c>
      <c r="N91" s="162" t="e">
        <f ca="1">IF(_xll.EVDES(H91,$B$1)="#NODATA","",_xll.EVDES(H91,$B$1))</f>
        <v>#NAME?</v>
      </c>
      <c r="O91" s="21"/>
      <c r="P91" s="21"/>
      <c r="Q91" s="21"/>
      <c r="R91" s="21"/>
      <c r="S91" s="21"/>
      <c r="T91" s="21"/>
      <c r="U91" s="21"/>
      <c r="V91" s="21"/>
      <c r="W91" s="21"/>
      <c r="X91" s="21"/>
      <c r="Y91" s="21"/>
      <c r="Z91" s="21">
        <v>2240</v>
      </c>
      <c r="AA91" s="21">
        <f>SUM(O91:Z91)</f>
        <v>2240</v>
      </c>
      <c r="AB91" s="17" t="str">
        <f ca="1">IF(AA91=0,"",IFERROR(AA91/AA$19,""))</f>
        <v/>
      </c>
      <c r="AD91" s="21">
        <v>244.46</v>
      </c>
      <c r="AE91" s="17" t="str">
        <f ca="1">IF(AD91=0,"",IFERROR(AD91/AD$19,""))</f>
        <v/>
      </c>
      <c r="AF91" s="50">
        <f>IF(AND($AA91="",AD91=""),"",$AA91-AD91)</f>
        <v>1995.54</v>
      </c>
      <c r="AG91" s="21"/>
      <c r="AH91" s="17" t="str">
        <f t="shared" si="23"/>
        <v/>
      </c>
      <c r="AI91" s="50">
        <f>IF(AND($AA91="",AG91=""),"",$AA91-AG91)</f>
        <v>2240</v>
      </c>
    </row>
    <row r="92" spans="3:35" x14ac:dyDescent="0.25">
      <c r="C92" s="32"/>
      <c r="H92" s="149" t="s">
        <v>340</v>
      </c>
      <c r="I92" s="161"/>
      <c r="J92" s="161"/>
      <c r="L92" s="162" t="e">
        <f ca="1">_xll.EVPRO($B$1,H92,"JDEID")</f>
        <v>#NAME?</v>
      </c>
      <c r="M92" s="162" t="str">
        <f>IF(AND(I92="N",J92="N"),_xll.EVPRO($B$1,H92,"PSFTID"),"")</f>
        <v/>
      </c>
      <c r="N92" s="25" t="e">
        <f ca="1">IF(_xll.EVDES(H92,$B$1)="#NODATA","",_xll.EVDES(H92,$B$1))</f>
        <v>#NAME?</v>
      </c>
      <c r="O92" s="164"/>
      <c r="P92" s="164"/>
      <c r="Q92" s="164"/>
      <c r="R92" s="164"/>
      <c r="S92" s="164">
        <v>6800</v>
      </c>
      <c r="T92" s="164">
        <v>228</v>
      </c>
      <c r="U92" s="164"/>
      <c r="V92" s="164"/>
      <c r="W92" s="164"/>
      <c r="X92" s="164"/>
      <c r="Y92" s="164"/>
      <c r="Z92" s="164">
        <v>2240</v>
      </c>
      <c r="AA92" s="164">
        <f>SUM(O92:Z92)</f>
        <v>9268</v>
      </c>
      <c r="AB92" s="175" t="str">
        <f ca="1">IF(AA92=0,"",IFERROR(AA92/AA$19,""))</f>
        <v/>
      </c>
      <c r="AD92" s="164">
        <v>2202.4504999999999</v>
      </c>
      <c r="AE92" s="175" t="str">
        <f ca="1">IF(AD92=0,"",IFERROR(AD92/AD$19,""))</f>
        <v/>
      </c>
      <c r="AF92" s="165">
        <f>IF(AND($AA92="",AD92=""),"",$AA92-AD92)</f>
        <v>7065.5495000000001</v>
      </c>
      <c r="AG92" s="164">
        <v>630</v>
      </c>
      <c r="AH92" s="175" t="str">
        <f t="shared" ca="1" si="23"/>
        <v/>
      </c>
      <c r="AI92" s="165">
        <f>IF(AND($AA92="",AG92=""),"",$AA92-AG92)</f>
        <v>8638</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t="e">
        <f ca="1">_xll.EVPRO($B$1,H95,"JDEID")</f>
        <v>#NAME?</v>
      </c>
      <c r="M95" s="162" t="str">
        <f>IF(AND(I95="N",J95="N"),_xll.EVPRO($B$1,H95,"PSFTID"),"")</f>
        <v/>
      </c>
      <c r="N95" s="162" t="e">
        <f ca="1">IF(_xll.EVDES(H95,$B$1)="#NODATA","",_xll.EVDES(H95,$B$1))</f>
        <v>#NAME?</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t="e">
        <f ca="1">_xll.EVPRO($B$1,H96,"JDEID")</f>
        <v>#NAME?</v>
      </c>
      <c r="M96" s="162" t="str">
        <f>IF(AND(I96="N",J96="N"),_xll.EVPRO($B$1,H96,"PSFTID"),"")</f>
        <v/>
      </c>
      <c r="N96" s="162" t="e">
        <f ca="1">IF(_xll.EVDES(H96,$B$1)="#NODATA","",_xll.EVDES(H96,$B$1))</f>
        <v>#NAME?</v>
      </c>
      <c r="O96" s="21"/>
      <c r="P96" s="21"/>
      <c r="Q96" s="21"/>
      <c r="R96" s="21"/>
      <c r="S96" s="21"/>
      <c r="T96" s="21"/>
      <c r="U96" s="21"/>
      <c r="V96" s="21"/>
      <c r="W96" s="21"/>
      <c r="X96" s="21"/>
      <c r="Y96" s="21"/>
      <c r="Z96" s="21"/>
      <c r="AA96" s="21">
        <f>SUM(O96:Z96)</f>
        <v>0</v>
      </c>
      <c r="AB96" s="17" t="str">
        <f>IF(AA96=0,"",IFERROR(AA96/AA$19,""))</f>
        <v/>
      </c>
      <c r="AD96" s="21"/>
      <c r="AE96" s="17" t="str">
        <f>IF(AD96=0,"",IFERROR(AD96/AD$19,""))</f>
        <v/>
      </c>
      <c r="AF96" s="50">
        <f>IF(AND($AA96="",AD96=""),"",$AA96-AD96)</f>
        <v>0</v>
      </c>
      <c r="AG96" s="21"/>
      <c r="AH96" s="17" t="str">
        <f>IF(AG96=0,"",IFERROR(AG96/AG$19,""))</f>
        <v/>
      </c>
      <c r="AI96" s="50">
        <f>IF(AND($AA96="",AG96=""),"",$AA96-AG96)</f>
        <v>0</v>
      </c>
    </row>
    <row r="97" spans="3:35" x14ac:dyDescent="0.25">
      <c r="C97" s="32"/>
      <c r="H97" s="149" t="s">
        <v>306</v>
      </c>
      <c r="I97" s="161"/>
      <c r="J97" s="161"/>
      <c r="L97" s="162" t="e">
        <f ca="1">_xll.EVPRO($B$1,H97,"JDEID")</f>
        <v>#NAME?</v>
      </c>
      <c r="M97" s="162" t="str">
        <f>IF(AND(I97="N",J97="N"),_xll.EVPRO($B$1,H97,"PSFTID"),"")</f>
        <v/>
      </c>
      <c r="N97" s="162" t="e">
        <f ca="1">IF(_xll.EVDES(H97,$B$1)="#NODATA","",_xll.EVDES(H97,$B$1))</f>
        <v>#NAME?</v>
      </c>
      <c r="O97" s="21"/>
      <c r="P97" s="21"/>
      <c r="Q97" s="21"/>
      <c r="R97" s="21"/>
      <c r="S97" s="21">
        <v>500</v>
      </c>
      <c r="T97" s="21">
        <v>10</v>
      </c>
      <c r="U97" s="21"/>
      <c r="V97" s="21"/>
      <c r="W97" s="21"/>
      <c r="X97" s="21"/>
      <c r="Y97" s="21"/>
      <c r="Z97" s="21"/>
      <c r="AA97" s="21">
        <f>SUM(O97:Z97)</f>
        <v>510</v>
      </c>
      <c r="AB97" s="17" t="str">
        <f ca="1">IF(AA97=0,"",IFERROR(AA97/AA$19,""))</f>
        <v/>
      </c>
      <c r="AD97" s="21"/>
      <c r="AE97" s="17" t="str">
        <f>IF(AD97=0,"",IFERROR(AD97/AD$19,""))</f>
        <v/>
      </c>
      <c r="AF97" s="50">
        <f>IF(AND($AA97="",AD97=""),"",$AA97-AD97)</f>
        <v>510</v>
      </c>
      <c r="AG97" s="21"/>
      <c r="AH97" s="17" t="str">
        <f>IF(AG97=0,"",IFERROR(AG97/AG$19,""))</f>
        <v/>
      </c>
      <c r="AI97" s="50">
        <f>IF(AND($AA97="",AG97=""),"",$AA97-AG97)</f>
        <v>510</v>
      </c>
    </row>
    <row r="98" spans="3:35" x14ac:dyDescent="0.25">
      <c r="C98" s="32"/>
      <c r="H98" s="149" t="s">
        <v>809</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SUM(O98:Z98)</f>
        <v>0</v>
      </c>
      <c r="AB98" s="17" t="str">
        <f>IF(AA98=0,"",IFERROR(AA98/AA$19,""))</f>
        <v/>
      </c>
      <c r="AD98" s="21"/>
      <c r="AE98" s="17" t="str">
        <f>IF(AD98=0,"",IFERROR(AD98/AD$19,""))</f>
        <v/>
      </c>
      <c r="AF98" s="50">
        <f>IF(AND($AA98="",AD98=""),"",$AA98-AD98)</f>
        <v>0</v>
      </c>
      <c r="AG98" s="21"/>
      <c r="AH98" s="17" t="str">
        <f>IF(AG98=0,"",IFERROR(AG98/AG$19,""))</f>
        <v/>
      </c>
      <c r="AI98" s="50">
        <f>IF(AND($AA98="",AG98=""),"",$AA98-AG98)</f>
        <v>0</v>
      </c>
    </row>
    <row r="99" spans="3:35" x14ac:dyDescent="0.25">
      <c r="C99" s="32"/>
      <c r="H99" s="149" t="s">
        <v>342</v>
      </c>
      <c r="I99" s="161"/>
      <c r="J99" s="161"/>
      <c r="L99" s="162" t="e">
        <f ca="1">_xll.EVPRO($B$1,H99,"JDEID")</f>
        <v>#NAME?</v>
      </c>
      <c r="M99" s="162" t="str">
        <f>IF(AND(I99="N",J99="N"),_xll.EVPRO($B$1,H99,"PSFTID"),"")</f>
        <v/>
      </c>
      <c r="N99" s="25" t="e">
        <f ca="1">IF(_xll.EVDES(H99,$B$1)="#NODATA","",_xll.EVDES(H99,$B$1))</f>
        <v>#NAME?</v>
      </c>
      <c r="O99" s="164"/>
      <c r="P99" s="164"/>
      <c r="Q99" s="164"/>
      <c r="R99" s="164"/>
      <c r="S99" s="164">
        <v>500</v>
      </c>
      <c r="T99" s="164">
        <v>10</v>
      </c>
      <c r="U99" s="164"/>
      <c r="V99" s="164"/>
      <c r="W99" s="164"/>
      <c r="X99" s="164"/>
      <c r="Y99" s="164"/>
      <c r="Z99" s="164"/>
      <c r="AA99" s="164">
        <f>SUM(O99:Z99)</f>
        <v>510</v>
      </c>
      <c r="AB99" s="175" t="str">
        <f ca="1">IF(AA99=0,"",IFERROR(AA99/AA$19,""))</f>
        <v/>
      </c>
      <c r="AD99" s="164"/>
      <c r="AE99" s="175" t="str">
        <f>IF(AD99=0,"",IFERROR(AD99/AD$19,""))</f>
        <v/>
      </c>
      <c r="AF99" s="165">
        <f>IF(AND($AA99="",AD99=""),"",$AA99-AD99)</f>
        <v>510</v>
      </c>
      <c r="AG99" s="164"/>
      <c r="AH99" s="175" t="str">
        <f>IF(AG99=0,"",IFERROR(AG99/AG$19,""))</f>
        <v/>
      </c>
      <c r="AI99" s="165">
        <f>IF(AND($AA99="",AG99=""),"",$AA99-AG99)</f>
        <v>510</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SUM(O102:Z102)</f>
        <v>0</v>
      </c>
      <c r="AB102" s="17" t="str">
        <f>IF(AA102=0,"",IFERROR(AA102/AA$19,""))</f>
        <v/>
      </c>
      <c r="AD102" s="21"/>
      <c r="AE102" s="17" t="str">
        <f>IF(AD102=0,"",IFERROR(AD102/AD$19,""))</f>
        <v/>
      </c>
      <c r="AF102" s="50">
        <f>IF(AND($AA102="",AD102=""),"",$AA102-AD102)</f>
        <v>0</v>
      </c>
      <c r="AG102" s="21"/>
      <c r="AH102" s="17" t="str">
        <f>IF(AG102=0,"",IFERROR(AG102/AG$19,""))</f>
        <v/>
      </c>
      <c r="AI102" s="50">
        <f>IF(AND($AA102="",AG102=""),"",$AA102-AG102)</f>
        <v>0</v>
      </c>
    </row>
    <row r="103" spans="3:35" x14ac:dyDescent="0.25">
      <c r="C103" s="32"/>
      <c r="H103" s="149" t="s">
        <v>303</v>
      </c>
      <c r="I103" s="161"/>
      <c r="J103" s="161"/>
      <c r="L103" s="162" t="e">
        <f ca="1">_xll.EVPRO($B$1,H103,"JDEID")</f>
        <v>#NAME?</v>
      </c>
      <c r="M103" s="162" t="str">
        <f>IF(AND(I103="N",J103="N"),_xll.EVPRO($B$1,H103,"PSFTID"),"")</f>
        <v/>
      </c>
      <c r="N103" s="162" t="e">
        <f ca="1">IF(_xll.EVDES(H103,$B$1)="#NODATA","",_xll.EVDES(H103,$B$1))</f>
        <v>#NAME?</v>
      </c>
      <c r="O103" s="21"/>
      <c r="P103" s="21"/>
      <c r="Q103" s="21"/>
      <c r="R103" s="21"/>
      <c r="S103" s="21"/>
      <c r="T103" s="21"/>
      <c r="U103" s="21"/>
      <c r="V103" s="21"/>
      <c r="W103" s="21"/>
      <c r="X103" s="21"/>
      <c r="Y103" s="21"/>
      <c r="Z103" s="21"/>
      <c r="AA103" s="21">
        <f>SUM(O103:Z103)</f>
        <v>0</v>
      </c>
      <c r="AB103" s="17" t="str">
        <f>IF(AA103=0,"",IFERROR(AA103/AA$19,""))</f>
        <v/>
      </c>
      <c r="AD103" s="21"/>
      <c r="AE103" s="17" t="str">
        <f>IF(AD103=0,"",IFERROR(AD103/AD$19,""))</f>
        <v/>
      </c>
      <c r="AF103" s="50">
        <f>IF(AND($AA103="",AD103=""),"",$AA103-AD103)</f>
        <v>0</v>
      </c>
      <c r="AG103" s="21"/>
      <c r="AH103" s="17" t="str">
        <f>IF(AG103=0,"",IFERROR(AG103/AG$19,""))</f>
        <v/>
      </c>
      <c r="AI103" s="50">
        <f>IF(AND($AA103="",AG103=""),"",$AA103-AG103)</f>
        <v>0</v>
      </c>
    </row>
    <row r="104" spans="3:35" x14ac:dyDescent="0.25">
      <c r="C104" s="32"/>
      <c r="H104" s="149" t="s">
        <v>304</v>
      </c>
      <c r="I104" s="161"/>
      <c r="J104" s="161"/>
      <c r="L104" s="162" t="e">
        <f ca="1">_xll.EVPRO($B$1,H104,"JDEID")</f>
        <v>#NAME?</v>
      </c>
      <c r="M104" s="162" t="str">
        <f>IF(AND(I104="N",J104="N"),_xll.EVPRO($B$1,H104,"PSFTID"),"")</f>
        <v/>
      </c>
      <c r="N104" s="162" t="e">
        <f ca="1">IF(_xll.EVDES(H104,$B$1)="#NODATA","",_xll.EVDES(H104,$B$1))</f>
        <v>#NAME?</v>
      </c>
      <c r="O104" s="21"/>
      <c r="P104" s="21"/>
      <c r="Q104" s="21"/>
      <c r="R104" s="21"/>
      <c r="S104" s="21">
        <v>700</v>
      </c>
      <c r="T104" s="21"/>
      <c r="U104" s="21"/>
      <c r="V104" s="21"/>
      <c r="W104" s="21"/>
      <c r="X104" s="21"/>
      <c r="Y104" s="21"/>
      <c r="Z104" s="21">
        <v>53.79</v>
      </c>
      <c r="AA104" s="21">
        <f>SUM(O104:Z104)</f>
        <v>753.79</v>
      </c>
      <c r="AB104" s="17" t="str">
        <f ca="1">IF(AA104=0,"",IFERROR(AA104/AA$19,""))</f>
        <v/>
      </c>
      <c r="AD104" s="21"/>
      <c r="AE104" s="17" t="str">
        <f>IF(AD104=0,"",IFERROR(AD104/AD$19,""))</f>
        <v/>
      </c>
      <c r="AF104" s="50">
        <f>IF(AND($AA104="",AD104=""),"",$AA104-AD104)</f>
        <v>753.79</v>
      </c>
      <c r="AG104" s="21"/>
      <c r="AH104" s="17" t="str">
        <f>IF(AG104=0,"",IFERROR(AG104/AG$19,""))</f>
        <v/>
      </c>
      <c r="AI104" s="50">
        <f>IF(AND($AA104="",AG104=""),"",$AA104-AG104)</f>
        <v>753.79</v>
      </c>
    </row>
    <row r="105" spans="3:35" x14ac:dyDescent="0.25">
      <c r="C105" s="32"/>
      <c r="H105" s="149" t="s">
        <v>810</v>
      </c>
      <c r="I105" s="161"/>
      <c r="J105" s="161"/>
      <c r="L105" s="162" t="e">
        <f ca="1">_xll.EVPRO($B$1,H105,"JDEID")</f>
        <v>#NAME?</v>
      </c>
      <c r="M105" s="162" t="str">
        <f>IF(AND(I105="N",J105="N"),_xll.EVPRO($B$1,H105,"PSFTID"),"")</f>
        <v/>
      </c>
      <c r="N105" s="162" t="e">
        <f ca="1">IF(_xll.EVDES(H105,$B$1)="#NODATA","",_xll.EVDES(H105,$B$1))</f>
        <v>#NAME?</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341</v>
      </c>
      <c r="I106" s="161"/>
      <c r="J106" s="161"/>
      <c r="L106" s="162" t="e">
        <f ca="1">_xll.EVPRO($B$1,H106,"JDEID")</f>
        <v>#NAME?</v>
      </c>
      <c r="M106" s="162" t="str">
        <f>IF(AND(I106="N",J106="N"),_xll.EVPRO($B$1,H106,"PSFTID"),"")</f>
        <v/>
      </c>
      <c r="N106" s="25" t="e">
        <f ca="1">IF(_xll.EVDES(H106,$B$1)="#NODATA","",_xll.EVDES(H106,$B$1))</f>
        <v>#NAME?</v>
      </c>
      <c r="O106" s="164"/>
      <c r="P106" s="164"/>
      <c r="Q106" s="164"/>
      <c r="R106" s="164"/>
      <c r="S106" s="164">
        <v>700</v>
      </c>
      <c r="T106" s="164"/>
      <c r="U106" s="164"/>
      <c r="V106" s="164"/>
      <c r="W106" s="164"/>
      <c r="X106" s="164"/>
      <c r="Y106" s="164"/>
      <c r="Z106" s="164">
        <v>53.79</v>
      </c>
      <c r="AA106" s="164">
        <f>SUM(O106:Z106)</f>
        <v>753.79</v>
      </c>
      <c r="AB106" s="175" t="str">
        <f ca="1">IF(AA106=0,"",IFERROR(AA106/AA$19,""))</f>
        <v/>
      </c>
      <c r="AD106" s="164"/>
      <c r="AE106" s="175" t="str">
        <f>IF(AD106=0,"",IFERROR(AD106/AD$19,""))</f>
        <v/>
      </c>
      <c r="AF106" s="165">
        <f>IF(AND($AA106="",AD106=""),"",$AA106-AD106)</f>
        <v>753.79</v>
      </c>
      <c r="AG106" s="164"/>
      <c r="AH106" s="175" t="str">
        <f>IF(AG106=0,"",IFERROR(AG106/AG$19,""))</f>
        <v/>
      </c>
      <c r="AI106" s="165">
        <f>IF(AND($AA106="",AG106=""),"",$AA106-AG106)</f>
        <v>753.79</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t="e">
        <f ca="1">_xll.EVPRO($B$1,H108,"JDEID")</f>
        <v>#NAME?</v>
      </c>
      <c r="M108" s="162" t="str">
        <f>IF(AND(I108="N",J108="N"),_xll.EVPRO($B$1,H108,"PSFTID"),"")</f>
        <v/>
      </c>
      <c r="N108" s="162" t="e">
        <f ca="1">IF(_xll.EVDES(H108,$B$1)="#NODATA","",_xll.EVDES(H108,$B$1))</f>
        <v>#NAME?</v>
      </c>
      <c r="O108" s="21">
        <f t="shared" ref="O108:Z111" si="24">O88+O95+O102</f>
        <v>0</v>
      </c>
      <c r="P108" s="21">
        <f t="shared" si="24"/>
        <v>0</v>
      </c>
      <c r="Q108" s="21">
        <f t="shared" si="24"/>
        <v>0</v>
      </c>
      <c r="R108" s="21">
        <f t="shared" si="24"/>
        <v>0</v>
      </c>
      <c r="S108" s="21">
        <f t="shared" si="24"/>
        <v>0</v>
      </c>
      <c r="T108" s="21">
        <f t="shared" si="24"/>
        <v>0</v>
      </c>
      <c r="U108" s="21">
        <f t="shared" si="24"/>
        <v>0</v>
      </c>
      <c r="V108" s="21">
        <f t="shared" si="24"/>
        <v>0</v>
      </c>
      <c r="W108" s="21">
        <f t="shared" si="24"/>
        <v>0</v>
      </c>
      <c r="X108" s="21">
        <f t="shared" si="24"/>
        <v>0</v>
      </c>
      <c r="Y108" s="21">
        <f t="shared" si="24"/>
        <v>0</v>
      </c>
      <c r="Z108" s="21">
        <f t="shared" si="24"/>
        <v>0</v>
      </c>
      <c r="AA108" s="21">
        <f>SUM(O108:Z108)</f>
        <v>0</v>
      </c>
      <c r="AB108" s="17" t="str">
        <f>IF(AA108=0,"",IFERROR(AA108/AA$19,""))</f>
        <v/>
      </c>
      <c r="AD108" s="21">
        <f>AD88+AD95+AD102</f>
        <v>0</v>
      </c>
      <c r="AE108" s="17" t="str">
        <f>IF(AD108=0,"",IFERROR(AD108/AD$19,""))</f>
        <v/>
      </c>
      <c r="AF108" s="50">
        <f>IF(AND($AA108="",AD108=""),"",$AA108-AD108)</f>
        <v>0</v>
      </c>
      <c r="AG108" s="21">
        <f>AG88+AG95+AG102</f>
        <v>0</v>
      </c>
      <c r="AH108" s="17" t="str">
        <f>IF(AG108=0,"",IFERROR(AG108/AG$19,""))</f>
        <v/>
      </c>
      <c r="AI108" s="50">
        <f>IF(AND($AA108="",AG108=""),"",$AA108-AG108)</f>
        <v>0</v>
      </c>
    </row>
    <row r="109" spans="3:35" x14ac:dyDescent="0.25">
      <c r="C109" s="32"/>
      <c r="H109" s="15" t="s">
        <v>268</v>
      </c>
      <c r="I109" s="161"/>
      <c r="J109" s="161"/>
      <c r="L109" s="162" t="e">
        <f ca="1">_xll.EVPRO($B$1,H109,"JDEID")</f>
        <v>#NAME?</v>
      </c>
      <c r="M109" s="162" t="str">
        <f>IF(AND(I109="N",J109="N"),_xll.EVPRO($B$1,H109,"PSFTID"),"")</f>
        <v/>
      </c>
      <c r="N109" s="162" t="e">
        <f ca="1">IF(_xll.EVDES(H109,$B$1)="#NODATA","",_xll.EVDES(H109,$B$1))</f>
        <v>#NAME?</v>
      </c>
      <c r="O109" s="21">
        <f t="shared" si="24"/>
        <v>0</v>
      </c>
      <c r="P109" s="21">
        <f t="shared" si="24"/>
        <v>0</v>
      </c>
      <c r="Q109" s="21">
        <f t="shared" si="24"/>
        <v>0</v>
      </c>
      <c r="R109" s="21">
        <f t="shared" si="24"/>
        <v>0</v>
      </c>
      <c r="S109" s="21">
        <f t="shared" si="24"/>
        <v>0</v>
      </c>
      <c r="T109" s="21">
        <f t="shared" si="24"/>
        <v>0</v>
      </c>
      <c r="U109" s="21">
        <f t="shared" si="24"/>
        <v>0</v>
      </c>
      <c r="V109" s="21">
        <f t="shared" si="24"/>
        <v>0</v>
      </c>
      <c r="W109" s="21">
        <f t="shared" si="24"/>
        <v>0</v>
      </c>
      <c r="X109" s="21">
        <f t="shared" si="24"/>
        <v>0</v>
      </c>
      <c r="Y109" s="21">
        <f t="shared" si="24"/>
        <v>0</v>
      </c>
      <c r="Z109" s="21">
        <f t="shared" si="24"/>
        <v>0</v>
      </c>
      <c r="AA109" s="21">
        <f>SUM(O109:Z109)</f>
        <v>0</v>
      </c>
      <c r="AB109" s="17" t="str">
        <f>IF(AA109=0,"",IFERROR(AA109/AA$19,""))</f>
        <v/>
      </c>
      <c r="AD109" s="21">
        <f>AD89+AD96+AD103</f>
        <v>0</v>
      </c>
      <c r="AE109" s="17" t="str">
        <f>IF(AD109=0,"",IFERROR(AD109/AD$19,""))</f>
        <v/>
      </c>
      <c r="AF109" s="50">
        <f>IF(AND($AA109="",AD109=""),"",$AA109-AD109)</f>
        <v>0</v>
      </c>
      <c r="AG109" s="21">
        <f>AG89+AG96+AG103</f>
        <v>0</v>
      </c>
      <c r="AH109" s="17" t="str">
        <f>IF(AG109=0,"",IFERROR(AG109/AG$19,""))</f>
        <v/>
      </c>
      <c r="AI109" s="50">
        <f>IF(AND($AA109="",AG109=""),"",$AA109-AG109)</f>
        <v>0</v>
      </c>
    </row>
    <row r="110" spans="3:35" x14ac:dyDescent="0.25">
      <c r="C110" s="32"/>
      <c r="H110" s="149" t="s">
        <v>269</v>
      </c>
      <c r="I110" s="161"/>
      <c r="J110" s="161"/>
      <c r="L110" s="162" t="e">
        <f ca="1">_xll.EVPRO($B$1,H110,"JDEID")</f>
        <v>#NAME?</v>
      </c>
      <c r="M110" s="162" t="str">
        <f>IF(AND(I110="N",J110="N"),_xll.EVPRO($B$1,H110,"PSFTID"),"")</f>
        <v/>
      </c>
      <c r="N110" s="162" t="e">
        <f ca="1">IF(_xll.EVDES(H110,$B$1)="#NODATA","",_xll.EVDES(H110,$B$1))</f>
        <v>#NAME?</v>
      </c>
      <c r="O110" s="21">
        <f t="shared" si="24"/>
        <v>0</v>
      </c>
      <c r="P110" s="21">
        <f t="shared" si="24"/>
        <v>0</v>
      </c>
      <c r="Q110" s="21">
        <f t="shared" si="24"/>
        <v>0</v>
      </c>
      <c r="R110" s="21">
        <f t="shared" si="24"/>
        <v>0</v>
      </c>
      <c r="S110" s="21">
        <f t="shared" si="24"/>
        <v>8000</v>
      </c>
      <c r="T110" s="21">
        <f t="shared" si="24"/>
        <v>238</v>
      </c>
      <c r="U110" s="21">
        <f t="shared" si="24"/>
        <v>0</v>
      </c>
      <c r="V110" s="21">
        <f t="shared" si="24"/>
        <v>0</v>
      </c>
      <c r="W110" s="21">
        <f t="shared" si="24"/>
        <v>0</v>
      </c>
      <c r="X110" s="21">
        <f t="shared" si="24"/>
        <v>0</v>
      </c>
      <c r="Y110" s="21">
        <f t="shared" si="24"/>
        <v>0</v>
      </c>
      <c r="Z110" s="21">
        <f t="shared" si="24"/>
        <v>53.79</v>
      </c>
      <c r="AA110" s="21">
        <f>SUM(O110:Z110)</f>
        <v>8291.7900000000009</v>
      </c>
      <c r="AB110" s="17" t="str">
        <f ca="1">IF(AA110=0,"",IFERROR(AA110/AA$19,""))</f>
        <v/>
      </c>
      <c r="AD110" s="21">
        <f>AD90+AD97+AD104</f>
        <v>1957.9905000000001</v>
      </c>
      <c r="AE110" s="17" t="str">
        <f ca="1">IF(AD110=0,"",IFERROR(AD110/AD$19,""))</f>
        <v/>
      </c>
      <c r="AF110" s="50">
        <f>IF(AND($AA110="",AD110=""),"",$AA110-AD110)</f>
        <v>6333.799500000001</v>
      </c>
      <c r="AG110" s="21">
        <f>AG90+AG97+AG104</f>
        <v>630</v>
      </c>
      <c r="AH110" s="17" t="str">
        <f ca="1">IF(AG110=0,"",IFERROR(AG110/AG$19,""))</f>
        <v/>
      </c>
      <c r="AI110" s="50">
        <f>IF(AND($AA110="",AG110=""),"",$AA110-AG110)</f>
        <v>7661.7900000000009</v>
      </c>
    </row>
    <row r="111" spans="3:35" x14ac:dyDescent="0.25">
      <c r="C111" s="32"/>
      <c r="H111" s="149" t="s">
        <v>791</v>
      </c>
      <c r="I111" s="161"/>
      <c r="J111" s="161"/>
      <c r="L111" s="162" t="e">
        <f ca="1">_xll.EVPRO($B$1,H111,"JDEID")</f>
        <v>#NAME?</v>
      </c>
      <c r="M111" s="162" t="str">
        <f>IF(AND(I111="N",J111="N"),_xll.EVPRO($B$1,H111,"PSFTID"),"")</f>
        <v/>
      </c>
      <c r="N111" s="162" t="e">
        <f ca="1">IF(_xll.EVDES(H111,$B$1)="#NODATA","",_xll.EVDES(H111,$B$1))</f>
        <v>#NAME?</v>
      </c>
      <c r="O111" s="21">
        <f t="shared" si="24"/>
        <v>0</v>
      </c>
      <c r="P111" s="21">
        <f t="shared" si="24"/>
        <v>0</v>
      </c>
      <c r="Q111" s="21">
        <f t="shared" si="24"/>
        <v>0</v>
      </c>
      <c r="R111" s="21">
        <f t="shared" si="24"/>
        <v>0</v>
      </c>
      <c r="S111" s="21">
        <f t="shared" si="24"/>
        <v>0</v>
      </c>
      <c r="T111" s="21">
        <f t="shared" si="24"/>
        <v>0</v>
      </c>
      <c r="U111" s="21">
        <f t="shared" si="24"/>
        <v>0</v>
      </c>
      <c r="V111" s="21">
        <f t="shared" si="24"/>
        <v>0</v>
      </c>
      <c r="W111" s="21">
        <f t="shared" si="24"/>
        <v>0</v>
      </c>
      <c r="X111" s="21">
        <f t="shared" si="24"/>
        <v>0</v>
      </c>
      <c r="Y111" s="21">
        <f t="shared" si="24"/>
        <v>0</v>
      </c>
      <c r="Z111" s="21">
        <f t="shared" si="24"/>
        <v>2240</v>
      </c>
      <c r="AA111" s="21">
        <f>SUM(O111:Z111)</f>
        <v>2240</v>
      </c>
      <c r="AB111" s="17" t="str">
        <f ca="1">IF(AA111=0,"",IFERROR(AA111/AA$19,""))</f>
        <v/>
      </c>
      <c r="AD111" s="21">
        <f>AD91+AD98+AD105</f>
        <v>244.46</v>
      </c>
      <c r="AE111" s="17" t="str">
        <f ca="1">IF(AD111=0,"",IFERROR(AD111/AD$19,""))</f>
        <v/>
      </c>
      <c r="AF111" s="50">
        <f>IF(AND($AA111="",AD111=""),"",$AA111-AD111)</f>
        <v>1995.54</v>
      </c>
      <c r="AG111" s="21">
        <f>AG91+AG98+AG105</f>
        <v>0</v>
      </c>
      <c r="AH111" s="17" t="str">
        <f>IF(AG111=0,"",IFERROR(AG111/AG$19,""))</f>
        <v/>
      </c>
      <c r="AI111" s="50">
        <f>IF(AND($AA111="",AG111=""),"",$AA111-AG111)</f>
        <v>2240</v>
      </c>
    </row>
    <row r="112" spans="3:35" x14ac:dyDescent="0.25">
      <c r="C112" s="32"/>
      <c r="H112" s="15" t="s">
        <v>272</v>
      </c>
      <c r="I112" s="161"/>
      <c r="J112" s="161"/>
      <c r="L112" s="162" t="e">
        <f ca="1">_xll.EVPRO($B$1,H112,"JDEID")</f>
        <v>#NAME?</v>
      </c>
      <c r="M112" s="162" t="str">
        <f>IF(AND(I112="N",J112="N"),_xll.EVPRO($B$1,H112,"PSFTID"),"")</f>
        <v/>
      </c>
      <c r="N112" s="25" t="e">
        <f ca="1">IF(_xll.EVDES(H112,$B$1)="#NODATA","",_xll.EVDES(H112,$B$1))</f>
        <v>#NAME?</v>
      </c>
      <c r="O112" s="164">
        <f t="shared" ref="O112:Z112" si="25">SUM(O108:O111)</f>
        <v>0</v>
      </c>
      <c r="P112" s="164">
        <f t="shared" si="25"/>
        <v>0</v>
      </c>
      <c r="Q112" s="164">
        <f t="shared" si="25"/>
        <v>0</v>
      </c>
      <c r="R112" s="164">
        <f t="shared" si="25"/>
        <v>0</v>
      </c>
      <c r="S112" s="164">
        <f t="shared" si="25"/>
        <v>8000</v>
      </c>
      <c r="T112" s="164">
        <f t="shared" si="25"/>
        <v>238</v>
      </c>
      <c r="U112" s="164">
        <f t="shared" si="25"/>
        <v>0</v>
      </c>
      <c r="V112" s="164">
        <f t="shared" si="25"/>
        <v>0</v>
      </c>
      <c r="W112" s="164">
        <f t="shared" si="25"/>
        <v>0</v>
      </c>
      <c r="X112" s="164">
        <f t="shared" si="25"/>
        <v>0</v>
      </c>
      <c r="Y112" s="164">
        <f t="shared" si="25"/>
        <v>0</v>
      </c>
      <c r="Z112" s="164">
        <f t="shared" si="25"/>
        <v>2293.79</v>
      </c>
      <c r="AA112" s="164">
        <f>SUM(O112:Z112)</f>
        <v>10531.79</v>
      </c>
      <c r="AB112" s="175" t="str">
        <f ca="1">IF(AA112=0,"",IFERROR(AA112/AA$19,""))</f>
        <v/>
      </c>
      <c r="AD112" s="164">
        <f>SUM(AD108:AD111)</f>
        <v>2202.4504999999999</v>
      </c>
      <c r="AE112" s="175" t="str">
        <f ca="1">IF(AD112=0,"",IFERROR(AD112/AD$19,""))</f>
        <v/>
      </c>
      <c r="AF112" s="165">
        <f>IF(AND($AA112="",AD112=""),"",$AA112-AD112)</f>
        <v>8329.3395000000019</v>
      </c>
      <c r="AG112" s="164">
        <f>SUM(AG108:AG111)</f>
        <v>630</v>
      </c>
      <c r="AH112" s="175" t="str">
        <f ca="1">IF(AG112=0,"",IFERROR(AG112/AG$19,""))</f>
        <v/>
      </c>
      <c r="AI112" s="165">
        <f>IF(AND($AA112="",AG112=""),"",$AA112-AG112)</f>
        <v>9901.7900000000009</v>
      </c>
    </row>
    <row r="113" spans="3:35" x14ac:dyDescent="0.25">
      <c r="C113" s="32"/>
      <c r="H113" s="149"/>
      <c r="I113" s="161"/>
      <c r="J113" s="161"/>
      <c r="O113" s="139">
        <f t="shared" ref="O113:AA113" si="26">O92+O99+O106-O112</f>
        <v>0</v>
      </c>
      <c r="P113" s="139">
        <f t="shared" si="26"/>
        <v>0</v>
      </c>
      <c r="Q113" s="139">
        <f t="shared" si="26"/>
        <v>0</v>
      </c>
      <c r="R113" s="139">
        <f t="shared" si="26"/>
        <v>0</v>
      </c>
      <c r="S113" s="139">
        <f t="shared" si="26"/>
        <v>0</v>
      </c>
      <c r="T113" s="139">
        <f t="shared" si="26"/>
        <v>0</v>
      </c>
      <c r="U113" s="139">
        <f t="shared" si="26"/>
        <v>0</v>
      </c>
      <c r="V113" s="139">
        <f t="shared" si="26"/>
        <v>0</v>
      </c>
      <c r="W113" s="139">
        <f t="shared" si="26"/>
        <v>0</v>
      </c>
      <c r="X113" s="139">
        <f t="shared" si="26"/>
        <v>0</v>
      </c>
      <c r="Y113" s="139">
        <f t="shared" si="26"/>
        <v>0</v>
      </c>
      <c r="Z113" s="139">
        <f t="shared" si="26"/>
        <v>0</v>
      </c>
      <c r="AA113" s="139">
        <f t="shared" si="26"/>
        <v>0</v>
      </c>
      <c r="AB113" s="17"/>
      <c r="AD113" s="139">
        <f>AD92+AD99+AD106-AD112</f>
        <v>0</v>
      </c>
      <c r="AE113" s="17"/>
      <c r="AF113" s="21"/>
      <c r="AG113" s="139">
        <f>AG92+AG99+AG106-AG112</f>
        <v>0</v>
      </c>
      <c r="AH113" s="17"/>
      <c r="AI113" s="21"/>
    </row>
    <row r="114" spans="3:35" x14ac:dyDescent="0.25">
      <c r="C114" s="32"/>
      <c r="H114" s="149"/>
      <c r="I114" s="161"/>
      <c r="J114" s="161"/>
      <c r="O114" s="41"/>
      <c r="P114" s="45"/>
      <c r="Q114" s="45"/>
      <c r="R114" s="45"/>
      <c r="S114" s="45"/>
      <c r="T114" s="45"/>
      <c r="U114" s="45"/>
      <c r="V114" s="45"/>
      <c r="W114" s="45"/>
      <c r="X114" s="45"/>
      <c r="Y114" s="45"/>
      <c r="Z114" s="45"/>
      <c r="AA114" s="45"/>
      <c r="AB114" s="42"/>
      <c r="AD114" s="41"/>
      <c r="AE114" s="45"/>
      <c r="AF114" s="42"/>
      <c r="AG114" s="41"/>
      <c r="AH114" s="45"/>
      <c r="AI114" s="42"/>
    </row>
    <row r="115" spans="3:35" x14ac:dyDescent="0.25">
      <c r="C115" s="32"/>
    </row>
    <row r="116" spans="3:35" x14ac:dyDescent="0.25">
      <c r="C116" s="32"/>
      <c r="H116" s="149"/>
      <c r="I116" s="161"/>
      <c r="J116" s="161"/>
      <c r="N116" s="26" t="e">
        <f ca="1">N82&amp;" - Check"</f>
        <v>#NAME?</v>
      </c>
      <c r="O116" s="139">
        <f t="shared" ref="O116:AA116" si="27">O39+O49+O59+O69+O75+O80-O82</f>
        <v>0</v>
      </c>
      <c r="P116" s="139">
        <f t="shared" si="27"/>
        <v>0</v>
      </c>
      <c r="Q116" s="139">
        <f t="shared" si="27"/>
        <v>0</v>
      </c>
      <c r="R116" s="139">
        <f t="shared" si="27"/>
        <v>0</v>
      </c>
      <c r="S116" s="139">
        <f t="shared" si="27"/>
        <v>0</v>
      </c>
      <c r="T116" s="139">
        <f t="shared" si="27"/>
        <v>0</v>
      </c>
      <c r="U116" s="139">
        <f t="shared" si="27"/>
        <v>0</v>
      </c>
      <c r="V116" s="139">
        <f t="shared" si="27"/>
        <v>0</v>
      </c>
      <c r="W116" s="139">
        <f t="shared" si="27"/>
        <v>0</v>
      </c>
      <c r="X116" s="139">
        <f t="shared" si="27"/>
        <v>0</v>
      </c>
      <c r="Y116" s="139">
        <f t="shared" si="27"/>
        <v>0</v>
      </c>
      <c r="Z116" s="139">
        <f t="shared" si="27"/>
        <v>0</v>
      </c>
      <c r="AA116" s="139">
        <f t="shared" si="27"/>
        <v>0</v>
      </c>
      <c r="AB116" s="17"/>
      <c r="AD116" s="139">
        <f>AD39+AD49+AD59+AD69+AD75+AD80-AD82</f>
        <v>0</v>
      </c>
      <c r="AE116" s="17"/>
      <c r="AF116" s="21"/>
      <c r="AG116" s="139">
        <f>AG39+AG49+AG59+AG69+AG75+AG80-AG82</f>
        <v>0</v>
      </c>
      <c r="AH116" s="17"/>
      <c r="AI116" s="21"/>
    </row>
    <row r="117" spans="3:35" x14ac:dyDescent="0.25">
      <c r="C117" s="32"/>
      <c r="H117" s="149"/>
      <c r="I117" s="161"/>
      <c r="J117" s="161"/>
      <c r="N117" s="26" t="e">
        <f ca="1">N83&amp;" - Check"</f>
        <v>#NAME?</v>
      </c>
      <c r="O117" s="139">
        <f t="shared" ref="O117:AA117" si="28">O41+O51+O61+O70+O76-O83</f>
        <v>0</v>
      </c>
      <c r="P117" s="139">
        <f t="shared" si="28"/>
        <v>0</v>
      </c>
      <c r="Q117" s="139">
        <f t="shared" si="28"/>
        <v>0</v>
      </c>
      <c r="R117" s="139">
        <f t="shared" si="28"/>
        <v>0</v>
      </c>
      <c r="S117" s="139">
        <f t="shared" si="28"/>
        <v>0</v>
      </c>
      <c r="T117" s="139">
        <f t="shared" si="28"/>
        <v>0</v>
      </c>
      <c r="U117" s="139">
        <f t="shared" si="28"/>
        <v>0</v>
      </c>
      <c r="V117" s="139">
        <f t="shared" si="28"/>
        <v>0</v>
      </c>
      <c r="W117" s="139">
        <f t="shared" si="28"/>
        <v>0</v>
      </c>
      <c r="X117" s="139">
        <f t="shared" si="28"/>
        <v>0</v>
      </c>
      <c r="Y117" s="139">
        <f t="shared" si="28"/>
        <v>0</v>
      </c>
      <c r="Z117" s="139">
        <f t="shared" si="28"/>
        <v>0</v>
      </c>
      <c r="AA117" s="139">
        <f t="shared" si="28"/>
        <v>0</v>
      </c>
      <c r="AB117" s="17"/>
      <c r="AD117" s="139">
        <f>AD41+AD51+AD61+AD70+AD76-AD83</f>
        <v>0</v>
      </c>
      <c r="AE117" s="17"/>
      <c r="AF117" s="21"/>
      <c r="AG117" s="139">
        <f>AG41+AG51+AG61+AG70+AG76-AG83</f>
        <v>0</v>
      </c>
      <c r="AH117" s="17"/>
      <c r="AI117" s="21"/>
    </row>
    <row r="118" spans="3:35" x14ac:dyDescent="0.25">
      <c r="C118" s="32"/>
      <c r="H118" s="149"/>
      <c r="I118" s="161"/>
      <c r="J118" s="161"/>
      <c r="N118" s="26" t="e">
        <f ca="1">N84&amp;" - Check"</f>
        <v>#NAME?</v>
      </c>
      <c r="O118" s="178" t="e">
        <f t="shared" ref="O118:AA118" si="29">IFERROR(O$82/O83,"")-O84</f>
        <v>#VALUE!</v>
      </c>
      <c r="P118" s="178" t="e">
        <f t="shared" si="29"/>
        <v>#VALUE!</v>
      </c>
      <c r="Q118" s="178" t="e">
        <f t="shared" si="29"/>
        <v>#VALUE!</v>
      </c>
      <c r="R118" s="178" t="e">
        <f t="shared" si="29"/>
        <v>#VALUE!</v>
      </c>
      <c r="S118" s="178">
        <f t="shared" si="29"/>
        <v>0</v>
      </c>
      <c r="T118" s="178" t="e">
        <f t="shared" si="29"/>
        <v>#VALUE!</v>
      </c>
      <c r="U118" s="178" t="e">
        <f t="shared" si="29"/>
        <v>#VALUE!</v>
      </c>
      <c r="V118" s="178">
        <f t="shared" si="29"/>
        <v>0</v>
      </c>
      <c r="W118" s="178" t="e">
        <f t="shared" si="29"/>
        <v>#VALUE!</v>
      </c>
      <c r="X118" s="178" t="e">
        <f t="shared" si="29"/>
        <v>#VALUE!</v>
      </c>
      <c r="Y118" s="178" t="e">
        <f t="shared" si="29"/>
        <v>#VALUE!</v>
      </c>
      <c r="Z118" s="178">
        <f t="shared" si="29"/>
        <v>0</v>
      </c>
      <c r="AA118" s="178">
        <f t="shared" si="29"/>
        <v>0</v>
      </c>
      <c r="AB118" s="17"/>
      <c r="AD118" s="178">
        <f>IFERROR(AD$82/AD83,"")-AD84</f>
        <v>0</v>
      </c>
      <c r="AE118" s="17"/>
      <c r="AF118" s="21"/>
      <c r="AG118" s="178">
        <f>IFERROR(AG$82/AG83,"")-AG84</f>
        <v>0</v>
      </c>
      <c r="AH118" s="17"/>
      <c r="AI118" s="21"/>
    </row>
    <row r="119" spans="3:35" x14ac:dyDescent="0.25">
      <c r="C119" s="32"/>
    </row>
    <row r="120" spans="3:35" x14ac:dyDescent="0.25">
      <c r="C120" s="32"/>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4" spans="3:34" x14ac:dyDescent="0.25">
      <c r="C134"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c r="I141" s="76"/>
      <c r="J141" s="1"/>
      <c r="K141" s="76"/>
      <c r="L141" s="76"/>
      <c r="M141" s="76"/>
      <c r="O141" s="76"/>
      <c r="P141" s="76"/>
      <c r="Q141" s="76"/>
      <c r="R141" s="76"/>
      <c r="S141" s="76"/>
      <c r="T141" s="76"/>
      <c r="U141" s="76"/>
      <c r="V141" s="76"/>
      <c r="W141" s="76"/>
      <c r="X141" s="76"/>
      <c r="Y141" s="76"/>
      <c r="Z141" s="76"/>
      <c r="AA141" s="76"/>
      <c r="AD141" s="76"/>
      <c r="AF141" s="76"/>
      <c r="AH141" s="76"/>
    </row>
    <row r="142" spans="3:34" x14ac:dyDescent="0.25">
      <c r="C142" s="32"/>
    </row>
    <row r="143" spans="3:34" x14ac:dyDescent="0.25">
      <c r="C143" s="32"/>
    </row>
    <row r="144" spans="3:34" x14ac:dyDescent="0.25">
      <c r="C144" s="32"/>
    </row>
    <row r="145" spans="3:34" x14ac:dyDescent="0.25">
      <c r="C145" s="32"/>
      <c r="I145" s="76"/>
      <c r="J145" s="1"/>
      <c r="K145" s="76"/>
      <c r="L145" s="76"/>
      <c r="M145" s="76"/>
      <c r="O145" s="76"/>
      <c r="P145" s="76"/>
      <c r="Q145" s="76"/>
      <c r="R145" s="76"/>
      <c r="S145" s="76"/>
      <c r="T145" s="76"/>
      <c r="U145" s="76"/>
      <c r="V145" s="76"/>
      <c r="W145" s="76"/>
      <c r="X145" s="76"/>
      <c r="Y145" s="76"/>
      <c r="Z145" s="76"/>
      <c r="AA145" s="76"/>
      <c r="AD145" s="76"/>
      <c r="AF145" s="76"/>
      <c r="AH145" s="76"/>
    </row>
    <row r="146" spans="3:34" x14ac:dyDescent="0.25">
      <c r="C146" s="32"/>
    </row>
    <row r="147" spans="3:34" x14ac:dyDescent="0.25">
      <c r="C147" s="32"/>
    </row>
    <row r="148" spans="3:34" x14ac:dyDescent="0.25">
      <c r="C148" s="32"/>
    </row>
    <row r="202" spans="5:5" x14ac:dyDescent="0.25">
      <c r="E202" s="76"/>
    </row>
    <row r="206" spans="5:5" x14ac:dyDescent="0.25">
      <c r="E206" s="76"/>
    </row>
  </sheetData>
  <mergeCells count="2">
    <mergeCell ref="AD31:AE31"/>
    <mergeCell ref="AG31:AH31"/>
  </mergeCells>
  <conditionalFormatting sqref="AD43 AF43:AG43 O43:AA43">
    <cfRule type="expression" dxfId="23" priority="10">
      <formula>ROUND(O42,2)&lt;&gt;ROUND(O43,2)</formula>
    </cfRule>
  </conditionalFormatting>
  <conditionalFormatting sqref="O53:AA53 AD53 AF53:AG53">
    <cfRule type="expression" dxfId="22" priority="9">
      <formula>ROUND(O52,2)&lt;&gt;ROUND(O53,2)</formula>
    </cfRule>
  </conditionalFormatting>
  <conditionalFormatting sqref="O63:AA63 AD63 AF63:AG63">
    <cfRule type="expression" dxfId="21" priority="8">
      <formula>ROUND(O62,2)&lt;&gt;ROUND(O63,2)</formula>
    </cfRule>
  </conditionalFormatting>
  <conditionalFormatting sqref="O72:AA72 AD72 AF72:AG72">
    <cfRule type="expression" dxfId="20" priority="7">
      <formula>ROUND(O71,2)&lt;&gt;ROUND(O72,2)</formula>
    </cfRule>
  </conditionalFormatting>
  <conditionalFormatting sqref="AD78 AF78:AG78 O78:AA78">
    <cfRule type="expression" dxfId="19" priority="6">
      <formula>ROUND(O77,2)&lt;&gt;ROUND(O78,2)</formula>
    </cfRule>
  </conditionalFormatting>
  <conditionalFormatting sqref="AI43">
    <cfRule type="expression" dxfId="18" priority="5">
      <formula>ROUND(AI42,2)&lt;&gt;ROUND(AI43,2)</formula>
    </cfRule>
  </conditionalFormatting>
  <conditionalFormatting sqref="AI53">
    <cfRule type="expression" dxfId="17" priority="4">
      <formula>ROUND(AI52,2)&lt;&gt;ROUND(AI53,2)</formula>
    </cfRule>
  </conditionalFormatting>
  <conditionalFormatting sqref="AI63">
    <cfRule type="expression" dxfId="16" priority="3">
      <formula>ROUND(AI62,2)&lt;&gt;ROUND(AI63,2)</formula>
    </cfRule>
  </conditionalFormatting>
  <conditionalFormatting sqref="AI72">
    <cfRule type="expression" dxfId="15" priority="2">
      <formula>ROUND(AI71,2)&lt;&gt;ROUND(AI72,2)</formula>
    </cfRule>
  </conditionalFormatting>
  <conditionalFormatting sqref="AI78">
    <cfRule type="expression" dxfId="14" priority="1">
      <formula>ROUND(AI77,2)&lt;&gt;ROUND(AI78,2)</formula>
    </cfRule>
  </conditionalFormatting>
  <conditionalFormatting sqref="N43 N53 N63 N72 N78">
    <cfRule type="expression" dxfId="13" priority="11">
      <formula>$G44&lt;&gt;0</formula>
    </cfRule>
  </conditionalFormatting>
  <conditionalFormatting sqref="N79">
    <cfRule type="expression" dxfId="12" priority="12">
      <formula>#REF!&lt;&gt;0</formula>
    </cfRule>
  </conditionalFormatting>
  <dataValidations count="2">
    <dataValidation type="list" allowBlank="1" sqref="B29" xr:uid="{00000000-0002-0000-3800-000000000000}">
      <formula1>"SELF,ALL,BAS,DEP,BASMEMBERS,MEMBERS,NOEXPAND,GDEP"</formula1>
    </dataValidation>
    <dataValidation type="list" allowBlank="1" sqref="B28" xr:uid="{00000000-0002-0000-38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9249"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9249" r:id="rId7" name="FPMExcelClientSheetOptionstb1"/>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78">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c r="N1" s="18"/>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806</v>
      </c>
      <c r="C6" s="1" t="s">
        <v>1503</v>
      </c>
      <c r="E6" s="49" t="s">
        <v>1469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1512</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1513</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AA11</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1514</v>
      </c>
      <c r="G19" s="18" t="str">
        <f>$B$6</f>
        <v>D2348</v>
      </c>
      <c r="H19" s="18" t="s">
        <v>273</v>
      </c>
      <c r="I19" s="19"/>
      <c r="J19" s="19"/>
      <c r="K19" s="18"/>
      <c r="L19" s="18"/>
      <c r="M19" s="18"/>
      <c r="N19" s="18" t="s">
        <v>1214</v>
      </c>
      <c r="O19" s="20">
        <v>0</v>
      </c>
      <c r="P19" s="20">
        <v>0</v>
      </c>
      <c r="Q19" s="20">
        <v>0</v>
      </c>
      <c r="R19" s="20">
        <v>0</v>
      </c>
      <c r="S19" s="20">
        <v>9500</v>
      </c>
      <c r="T19" s="20">
        <v>3981</v>
      </c>
      <c r="U19" s="20">
        <v>0</v>
      </c>
      <c r="V19" s="20">
        <v>2361</v>
      </c>
      <c r="W19" s="20">
        <v>0</v>
      </c>
      <c r="X19" s="20">
        <v>0</v>
      </c>
      <c r="Y19" s="20">
        <v>0</v>
      </c>
      <c r="Z19" s="20">
        <v>5037</v>
      </c>
      <c r="AA19" s="20">
        <f>SUM(O19:Z19)</f>
        <v>20879</v>
      </c>
      <c r="AB19" s="18"/>
      <c r="AC19" s="18"/>
      <c r="AD19" s="20">
        <v>47246</v>
      </c>
      <c r="AE19" s="18"/>
      <c r="AF19" s="18"/>
      <c r="AG19" s="20">
        <v>27274</v>
      </c>
      <c r="AH19" s="18"/>
      <c r="AI19" s="18"/>
    </row>
    <row r="20" spans="1:35" hidden="1" outlineLevel="1" x14ac:dyDescent="0.25">
      <c r="A20" s="6" t="s">
        <v>5</v>
      </c>
      <c r="B20" s="7"/>
      <c r="G20" s="18" t="str">
        <f>$B$6</f>
        <v>D2348</v>
      </c>
      <c r="H20" s="18">
        <v>946000</v>
      </c>
      <c r="I20" s="19"/>
      <c r="J20" s="19"/>
      <c r="K20" s="18"/>
      <c r="L20" s="18"/>
      <c r="M20" s="18"/>
      <c r="N20" s="18" t="s">
        <v>1196</v>
      </c>
      <c r="O20" s="20">
        <v>0</v>
      </c>
      <c r="P20" s="20">
        <v>0</v>
      </c>
      <c r="Q20" s="20">
        <v>0</v>
      </c>
      <c r="R20" s="20">
        <v>0</v>
      </c>
      <c r="S20" s="20">
        <v>250</v>
      </c>
      <c r="T20" s="20">
        <v>0</v>
      </c>
      <c r="U20" s="20">
        <v>0</v>
      </c>
      <c r="V20" s="20">
        <v>57</v>
      </c>
      <c r="W20" s="20">
        <v>0</v>
      </c>
      <c r="X20" s="20">
        <v>0</v>
      </c>
      <c r="Y20" s="20">
        <v>0</v>
      </c>
      <c r="Z20" s="20">
        <v>32</v>
      </c>
      <c r="AA20" s="20">
        <f>SUM(O20:Z20)</f>
        <v>339</v>
      </c>
      <c r="AB20" s="18"/>
      <c r="AC20" s="18"/>
      <c r="AD20" s="20">
        <v>513</v>
      </c>
      <c r="AE20" s="18"/>
      <c r="AF20" s="18"/>
      <c r="AG20" s="20">
        <v>317</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16" t="s">
        <v>1515</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1509</v>
      </c>
    </row>
    <row r="28" spans="1:35" ht="15.75" x14ac:dyDescent="0.25">
      <c r="A28" s="6" t="s">
        <v>12</v>
      </c>
      <c r="B28" s="7" t="s">
        <v>22</v>
      </c>
      <c r="N28" s="71" t="s">
        <v>1005</v>
      </c>
    </row>
    <row r="29" spans="1:35" ht="15" customHeight="1" x14ac:dyDescent="0.25">
      <c r="A29" s="6" t="s">
        <v>13</v>
      </c>
      <c r="B29" s="7" t="s">
        <v>293</v>
      </c>
      <c r="N29" s="71" t="s">
        <v>985</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E32" s="1"/>
      <c r="H32" s="257"/>
      <c r="I32" s="258"/>
      <c r="J32" s="258"/>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s">
        <v>1058</v>
      </c>
      <c r="J35" s="161" t="s">
        <v>78</v>
      </c>
      <c r="K35" s="162"/>
      <c r="L35" s="162">
        <v>461100</v>
      </c>
      <c r="M35" s="162"/>
      <c r="N35" s="162" t="s">
        <v>1258</v>
      </c>
      <c r="O35" s="21"/>
      <c r="P35" s="21"/>
      <c r="Q35" s="21"/>
      <c r="R35" s="21"/>
      <c r="S35" s="21"/>
      <c r="T35" s="21"/>
      <c r="U35" s="21"/>
      <c r="V35" s="21">
        <v>2361</v>
      </c>
      <c r="W35" s="21"/>
      <c r="X35" s="21"/>
      <c r="Y35" s="21"/>
      <c r="Z35" s="21"/>
      <c r="AA35" s="21">
        <f t="shared" ref="AA35:AA41" si="0">SUM(O35:Z35)</f>
        <v>2361</v>
      </c>
      <c r="AB35" s="17">
        <f>IF(AA35=0,"",IFERROR(AA35/AA$19,""))</f>
        <v>0.11308012835863787</v>
      </c>
      <c r="AD35" s="21"/>
      <c r="AE35" s="17" t="str">
        <f>IF(AD35=0,"",IFERROR(AD35/AD$19,""))</f>
        <v/>
      </c>
      <c r="AF35" s="50">
        <f t="shared" ref="AF35:AF42" si="1">IF(AND($AA35="",AD35=""),"",$AA35-AD35)</f>
        <v>2361</v>
      </c>
      <c r="AG35" s="21"/>
      <c r="AH35" s="17" t="str">
        <f>IF(AG35=0,"",IFERROR(AG35/AG$19,""))</f>
        <v/>
      </c>
      <c r="AI35" s="50">
        <f t="shared" ref="AI35:AI42" si="2">IF(AND($AA35="",AG35=""),"",$AA35-AG35)</f>
        <v>2361</v>
      </c>
    </row>
    <row r="36" spans="1:35" x14ac:dyDescent="0.25">
      <c r="A36" s="3" t="s">
        <v>23</v>
      </c>
      <c r="B36" s="5" t="s">
        <v>24</v>
      </c>
      <c r="H36" s="15" t="s">
        <v>294</v>
      </c>
      <c r="I36" s="161" t="s">
        <v>1123</v>
      </c>
      <c r="J36" s="161" t="s">
        <v>78</v>
      </c>
      <c r="K36" s="162"/>
      <c r="L36" s="162">
        <v>461200</v>
      </c>
      <c r="M36" s="162"/>
      <c r="N36" s="162" t="s">
        <v>1259</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IF(AG36=0,"",IFERROR(AG36/AG$19,""))</f>
        <v/>
      </c>
      <c r="AI36" s="50">
        <f t="shared" si="2"/>
        <v>0</v>
      </c>
    </row>
    <row r="37" spans="1:35" x14ac:dyDescent="0.25">
      <c r="A37" s="6" t="s">
        <v>25</v>
      </c>
      <c r="B37" s="7"/>
      <c r="H37" s="15" t="s">
        <v>295</v>
      </c>
      <c r="I37" s="161" t="s">
        <v>1123</v>
      </c>
      <c r="J37" s="161" t="s">
        <v>78</v>
      </c>
      <c r="K37" s="162"/>
      <c r="L37" s="162">
        <v>461300</v>
      </c>
      <c r="M37" s="162"/>
      <c r="N37" s="162" t="s">
        <v>1260</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IF(AG37=0,"",IFERROR(AG37/AG$19,""))</f>
        <v/>
      </c>
      <c r="AI37" s="50">
        <f t="shared" si="2"/>
        <v>0</v>
      </c>
    </row>
    <row r="38" spans="1:35" x14ac:dyDescent="0.25">
      <c r="A38" s="6" t="s">
        <v>26</v>
      </c>
      <c r="B38" s="7"/>
      <c r="H38" s="15" t="s">
        <v>296</v>
      </c>
      <c r="I38" s="161" t="s">
        <v>1123</v>
      </c>
      <c r="J38" s="161" t="s">
        <v>78</v>
      </c>
      <c r="K38" s="162"/>
      <c r="L38" s="162">
        <v>461400</v>
      </c>
      <c r="M38" s="162"/>
      <c r="N38" s="162" t="s">
        <v>1261</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IF(AG38=0,"",IFERROR(AG38/AG$19,""))</f>
        <v/>
      </c>
      <c r="AI38" s="51">
        <f t="shared" si="2"/>
        <v>0</v>
      </c>
    </row>
    <row r="39" spans="1:35" x14ac:dyDescent="0.25">
      <c r="A39" s="6" t="s">
        <v>27</v>
      </c>
      <c r="B39" s="7"/>
      <c r="H39" s="15" t="s">
        <v>318</v>
      </c>
      <c r="I39" s="161" t="s">
        <v>1009</v>
      </c>
      <c r="J39" s="161" t="s">
        <v>78</v>
      </c>
      <c r="K39" s="162"/>
      <c r="L39" s="162"/>
      <c r="M39" s="162"/>
      <c r="N39" s="25" t="s">
        <v>1262</v>
      </c>
      <c r="O39" s="164"/>
      <c r="P39" s="164"/>
      <c r="Q39" s="164"/>
      <c r="R39" s="164"/>
      <c r="S39" s="164"/>
      <c r="T39" s="164"/>
      <c r="U39" s="164"/>
      <c r="V39" s="164">
        <v>2361</v>
      </c>
      <c r="W39" s="164"/>
      <c r="X39" s="164"/>
      <c r="Y39" s="164"/>
      <c r="Z39" s="164"/>
      <c r="AA39" s="164">
        <f t="shared" si="0"/>
        <v>2361</v>
      </c>
      <c r="AB39" s="175">
        <f>IF(AA39=0,"",IFERROR(AA39/AA$19,""))</f>
        <v>0.11308012835863787</v>
      </c>
      <c r="AD39" s="164"/>
      <c r="AE39" s="175" t="str">
        <f>IF(AD39=0,"",IFERROR(AD39/AD$19,""))</f>
        <v/>
      </c>
      <c r="AF39" s="165">
        <f t="shared" si="1"/>
        <v>2361</v>
      </c>
      <c r="AG39" s="164"/>
      <c r="AH39" s="175" t="str">
        <f>IF(AG39=0,"",IFERROR(AG39/AG$19,""))</f>
        <v/>
      </c>
      <c r="AI39" s="165">
        <f t="shared" si="2"/>
        <v>2361</v>
      </c>
    </row>
    <row r="40" spans="1:35" x14ac:dyDescent="0.25">
      <c r="A40" s="6" t="s">
        <v>28</v>
      </c>
      <c r="B40" s="7"/>
      <c r="H40" s="15" t="s">
        <v>763</v>
      </c>
      <c r="I40" s="161" t="s">
        <v>1009</v>
      </c>
      <c r="J40" s="161" t="s">
        <v>1009</v>
      </c>
      <c r="K40" s="162"/>
      <c r="L40" s="162">
        <v>947100</v>
      </c>
      <c r="M40" s="162">
        <v>999991</v>
      </c>
      <c r="N40" s="162" t="s">
        <v>1351</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s">
        <v>1009</v>
      </c>
      <c r="J41" s="161" t="s">
        <v>1009</v>
      </c>
      <c r="K41" s="162"/>
      <c r="L41" s="162">
        <v>946100</v>
      </c>
      <c r="M41" s="162">
        <v>991501</v>
      </c>
      <c r="N41" s="162" t="s">
        <v>1263</v>
      </c>
      <c r="O41" s="38"/>
      <c r="P41" s="38"/>
      <c r="Q41" s="38"/>
      <c r="R41" s="38"/>
      <c r="S41" s="38"/>
      <c r="T41" s="38"/>
      <c r="U41" s="38"/>
      <c r="V41" s="38">
        <v>31</v>
      </c>
      <c r="W41" s="38"/>
      <c r="X41" s="38"/>
      <c r="Y41" s="38"/>
      <c r="Z41" s="38"/>
      <c r="AA41" s="38">
        <f t="shared" si="0"/>
        <v>31</v>
      </c>
      <c r="AB41" s="39">
        <f>IF(AA41=0,"",IFERROR(AA41/AA$83,""))</f>
        <v>9.1445427728613568E-2</v>
      </c>
      <c r="AD41" s="38"/>
      <c r="AE41" s="39" t="str">
        <f>IF(AD41=0,"",IFERROR(AD41/AD$83,""))</f>
        <v/>
      </c>
      <c r="AF41" s="132">
        <f t="shared" si="1"/>
        <v>31</v>
      </c>
      <c r="AG41" s="38"/>
      <c r="AH41" s="39" t="str">
        <f>IF(AG41=0,"",IFERROR(AG41/AG$83,""))</f>
        <v/>
      </c>
      <c r="AI41" s="132">
        <f t="shared" si="2"/>
        <v>31</v>
      </c>
    </row>
    <row r="42" spans="1:35" x14ac:dyDescent="0.25">
      <c r="A42" s="6" t="s">
        <v>30</v>
      </c>
      <c r="B42" s="7" t="s">
        <v>78</v>
      </c>
      <c r="H42" s="15" t="s">
        <v>313</v>
      </c>
      <c r="I42" s="161" t="s">
        <v>1009</v>
      </c>
      <c r="J42" s="161" t="s">
        <v>78</v>
      </c>
      <c r="K42" s="162"/>
      <c r="L42" s="162"/>
      <c r="M42" s="162"/>
      <c r="N42" s="170" t="s">
        <v>1264</v>
      </c>
      <c r="O42" s="176"/>
      <c r="P42" s="176"/>
      <c r="Q42" s="176"/>
      <c r="R42" s="176"/>
      <c r="S42" s="176"/>
      <c r="T42" s="176"/>
      <c r="U42" s="176"/>
      <c r="V42" s="176">
        <v>76.161290322580598</v>
      </c>
      <c r="W42" s="176"/>
      <c r="X42" s="176"/>
      <c r="Y42" s="176"/>
      <c r="Z42" s="176"/>
      <c r="AA42" s="176">
        <f>IFERROR(AA39/AA41,"")</f>
        <v>76.161290322580641</v>
      </c>
      <c r="AB42" s="176"/>
      <c r="AD42" s="176"/>
      <c r="AE42" s="176"/>
      <c r="AF42" s="177">
        <f t="shared" si="1"/>
        <v>76.161290322580641</v>
      </c>
      <c r="AG42" s="176"/>
      <c r="AH42" s="176"/>
      <c r="AI42" s="177">
        <f t="shared" si="2"/>
        <v>76.161290322580641</v>
      </c>
    </row>
    <row r="43" spans="1:35" x14ac:dyDescent="0.25">
      <c r="A43" s="6" t="s">
        <v>31</v>
      </c>
      <c r="B43" s="7" t="s">
        <v>78</v>
      </c>
      <c r="H43" s="15"/>
      <c r="I43" s="161"/>
      <c r="J43" s="161"/>
      <c r="K43" s="162"/>
      <c r="L43" s="162"/>
      <c r="M43" s="162"/>
      <c r="N43" s="182" t="s">
        <v>345</v>
      </c>
      <c r="O43" s="179">
        <f t="shared" ref="O43:AA43" si="3">ROUND(IFERROR(O39/O41,0),2)</f>
        <v>0</v>
      </c>
      <c r="P43" s="184">
        <f t="shared" si="3"/>
        <v>0</v>
      </c>
      <c r="Q43" s="184">
        <f t="shared" si="3"/>
        <v>0</v>
      </c>
      <c r="R43" s="184">
        <f t="shared" si="3"/>
        <v>0</v>
      </c>
      <c r="S43" s="184">
        <f t="shared" si="3"/>
        <v>0</v>
      </c>
      <c r="T43" s="184">
        <f t="shared" si="3"/>
        <v>0</v>
      </c>
      <c r="U43" s="184">
        <f t="shared" si="3"/>
        <v>0</v>
      </c>
      <c r="V43" s="184">
        <f t="shared" si="3"/>
        <v>76.16</v>
      </c>
      <c r="W43" s="184">
        <f t="shared" si="3"/>
        <v>0</v>
      </c>
      <c r="X43" s="184">
        <f t="shared" si="3"/>
        <v>0</v>
      </c>
      <c r="Y43" s="184">
        <f t="shared" si="3"/>
        <v>0</v>
      </c>
      <c r="Z43" s="184">
        <f t="shared" si="3"/>
        <v>0</v>
      </c>
      <c r="AA43" s="184">
        <f t="shared" si="3"/>
        <v>76.16</v>
      </c>
      <c r="AB43" s="183"/>
      <c r="AD43" s="179">
        <f>ROUND(IFERROR(AD39/AD41,0),2)</f>
        <v>0</v>
      </c>
      <c r="AE43" s="184"/>
      <c r="AF43" s="180"/>
      <c r="AG43" s="179">
        <f>ROUND(IFERROR(AG39/AG41,0),2)</f>
        <v>0</v>
      </c>
      <c r="AH43" s="184"/>
      <c r="AI43" s="180"/>
    </row>
    <row r="44" spans="1:35" x14ac:dyDescent="0.25">
      <c r="A44" s="6" t="s">
        <v>32</v>
      </c>
      <c r="B44" s="7"/>
      <c r="G44" s="181">
        <f>COUNTIF(O44:AI44,FALSE)</f>
        <v>0</v>
      </c>
      <c r="H44" s="15"/>
      <c r="I44" s="161"/>
      <c r="J44" s="161"/>
      <c r="K44" s="162"/>
      <c r="L44" s="162"/>
      <c r="M44" s="162"/>
      <c r="N44" s="8" t="s">
        <v>314</v>
      </c>
      <c r="O44" s="319" t="b">
        <f t="shared" ref="O44:AA44" si="4">ROUND(O42,2)=ROUND(O43,2)</f>
        <v>1</v>
      </c>
      <c r="P44" s="320" t="b">
        <f t="shared" si="4"/>
        <v>1</v>
      </c>
      <c r="Q44" s="320" t="b">
        <f t="shared" si="4"/>
        <v>1</v>
      </c>
      <c r="R44" s="320" t="b">
        <f t="shared" si="4"/>
        <v>1</v>
      </c>
      <c r="S44" s="320" t="b">
        <f t="shared" si="4"/>
        <v>1</v>
      </c>
      <c r="T44" s="320" t="b">
        <f t="shared" si="4"/>
        <v>1</v>
      </c>
      <c r="U44" s="320" t="b">
        <f t="shared" si="4"/>
        <v>1</v>
      </c>
      <c r="V44" s="320" t="b">
        <f t="shared" si="4"/>
        <v>1</v>
      </c>
      <c r="W44" s="320" t="b">
        <f t="shared" si="4"/>
        <v>1</v>
      </c>
      <c r="X44" s="320" t="b">
        <f t="shared" si="4"/>
        <v>1</v>
      </c>
      <c r="Y44" s="320" t="b">
        <f t="shared" si="4"/>
        <v>1</v>
      </c>
      <c r="Z44" s="320" t="b">
        <f t="shared" si="4"/>
        <v>1</v>
      </c>
      <c r="AA44" s="320" t="b">
        <f t="shared" si="4"/>
        <v>1</v>
      </c>
      <c r="AB44" s="321"/>
      <c r="AC44" s="322"/>
      <c r="AD44" s="319"/>
      <c r="AE44" s="320" t="b">
        <f>ROUND(AD42,2)=ROUND(AD43,2)</f>
        <v>1</v>
      </c>
      <c r="AF44" s="321"/>
      <c r="AG44" s="319"/>
      <c r="AH44" s="320" t="b">
        <f>ROUND(AG42,2)=ROUND(AG43,2)</f>
        <v>1</v>
      </c>
      <c r="AI44" s="321"/>
    </row>
    <row r="45" spans="1:35" x14ac:dyDescent="0.25">
      <c r="A45" s="6" t="s">
        <v>33</v>
      </c>
      <c r="B45" s="7"/>
      <c r="H45" s="15" t="s">
        <v>261</v>
      </c>
      <c r="I45" s="161" t="s">
        <v>1058</v>
      </c>
      <c r="J45" s="161" t="s">
        <v>78</v>
      </c>
      <c r="K45" s="162"/>
      <c r="L45" s="162">
        <v>462100</v>
      </c>
      <c r="M45" s="162"/>
      <c r="N45" s="162" t="s">
        <v>1265</v>
      </c>
      <c r="O45" s="21"/>
      <c r="P45" s="21"/>
      <c r="Q45" s="21"/>
      <c r="R45" s="21"/>
      <c r="S45" s="21"/>
      <c r="T45" s="21"/>
      <c r="U45" s="21"/>
      <c r="V45" s="21"/>
      <c r="W45" s="21"/>
      <c r="X45" s="21"/>
      <c r="Y45" s="21"/>
      <c r="Z45" s="21"/>
      <c r="AA45" s="21">
        <f t="shared" ref="AA45:AA51" si="5">SUM(O45:Z45)</f>
        <v>0</v>
      </c>
      <c r="AB45" s="17" t="str">
        <f>IF(AA45=0,"",IFERROR(AA45/AA$19,""))</f>
        <v/>
      </c>
      <c r="AD45" s="21">
        <v>9461</v>
      </c>
      <c r="AE45" s="17">
        <f>IF(AD45=0,"",IFERROR(AD45/AD$19,""))</f>
        <v>0.20024975659315075</v>
      </c>
      <c r="AF45" s="50">
        <f t="shared" ref="AF45:AF52" si="6">IF(AND($AA45="",AD45=""),"",$AA45-AD45)</f>
        <v>-9461</v>
      </c>
      <c r="AG45" s="21">
        <v>5189</v>
      </c>
      <c r="AH45" s="17">
        <f>IF(AG45=0,"",IFERROR(AG45/AG$19,""))</f>
        <v>0.1902544547921097</v>
      </c>
      <c r="AI45" s="50">
        <f t="shared" ref="AI45:AI52" si="7">IF(AND($AA45="",AG45=""),"",$AA45-AG45)</f>
        <v>-5189</v>
      </c>
    </row>
    <row r="46" spans="1:35" x14ac:dyDescent="0.25">
      <c r="A46" s="6" t="s">
        <v>34</v>
      </c>
      <c r="B46" s="7"/>
      <c r="H46" s="149" t="s">
        <v>301</v>
      </c>
      <c r="I46" s="161" t="s">
        <v>1123</v>
      </c>
      <c r="J46" s="161" t="s">
        <v>78</v>
      </c>
      <c r="K46" s="162"/>
      <c r="L46" s="162">
        <v>462200</v>
      </c>
      <c r="M46" s="162"/>
      <c r="N46" s="162" t="s">
        <v>1266</v>
      </c>
      <c r="O46" s="21"/>
      <c r="P46" s="21"/>
      <c r="Q46" s="21"/>
      <c r="R46" s="21"/>
      <c r="S46" s="21"/>
      <c r="T46" s="21"/>
      <c r="U46" s="21"/>
      <c r="V46" s="21"/>
      <c r="W46" s="21"/>
      <c r="X46" s="21"/>
      <c r="Y46" s="21"/>
      <c r="Z46" s="21"/>
      <c r="AA46" s="21">
        <f t="shared" si="5"/>
        <v>0</v>
      </c>
      <c r="AB46" s="17" t="str">
        <f>IF(AA46=0,"",IFERROR(AA46/AA$19,""))</f>
        <v/>
      </c>
      <c r="AD46" s="21"/>
      <c r="AE46" s="17" t="str">
        <f>IF(AD46=0,"",IFERROR(AD46/AD$19,""))</f>
        <v/>
      </c>
      <c r="AF46" s="50">
        <f t="shared" si="6"/>
        <v>0</v>
      </c>
      <c r="AG46" s="21"/>
      <c r="AH46" s="17" t="str">
        <f>IF(AG46=0,"",IFERROR(AG46/AG$19,""))</f>
        <v/>
      </c>
      <c r="AI46" s="50">
        <f t="shared" si="7"/>
        <v>0</v>
      </c>
    </row>
    <row r="47" spans="1:35" x14ac:dyDescent="0.25">
      <c r="A47" s="6" t="s">
        <v>35</v>
      </c>
      <c r="B47" s="7"/>
      <c r="H47" s="149" t="s">
        <v>305</v>
      </c>
      <c r="I47" s="161" t="s">
        <v>1123</v>
      </c>
      <c r="J47" s="161" t="s">
        <v>78</v>
      </c>
      <c r="K47" s="162"/>
      <c r="L47" s="162">
        <v>462300</v>
      </c>
      <c r="M47" s="162"/>
      <c r="N47" s="162" t="s">
        <v>1267</v>
      </c>
      <c r="O47" s="21"/>
      <c r="P47" s="21"/>
      <c r="Q47" s="21"/>
      <c r="R47" s="21"/>
      <c r="S47" s="21"/>
      <c r="T47" s="21"/>
      <c r="U47" s="21"/>
      <c r="V47" s="21"/>
      <c r="W47" s="21"/>
      <c r="X47" s="21"/>
      <c r="Y47" s="21"/>
      <c r="Z47" s="21"/>
      <c r="AA47" s="21">
        <f t="shared" si="5"/>
        <v>0</v>
      </c>
      <c r="AB47" s="17" t="str">
        <f>IF(AA47=0,"",IFERROR(AA47/AA$19,""))</f>
        <v/>
      </c>
      <c r="AD47" s="21"/>
      <c r="AE47" s="17" t="str">
        <f>IF(AD47=0,"",IFERROR(AD47/AD$19,""))</f>
        <v/>
      </c>
      <c r="AF47" s="50">
        <f t="shared" si="6"/>
        <v>0</v>
      </c>
      <c r="AG47" s="21"/>
      <c r="AH47" s="17" t="str">
        <f>IF(AG47=0,"",IFERROR(AG47/AG$19,""))</f>
        <v/>
      </c>
      <c r="AI47" s="50">
        <f t="shared" si="7"/>
        <v>0</v>
      </c>
    </row>
    <row r="48" spans="1:35" x14ac:dyDescent="0.25">
      <c r="A48" s="6" t="s">
        <v>36</v>
      </c>
      <c r="B48" s="7"/>
      <c r="H48" s="149" t="s">
        <v>303</v>
      </c>
      <c r="I48" s="161" t="s">
        <v>1123</v>
      </c>
      <c r="J48" s="161" t="s">
        <v>78</v>
      </c>
      <c r="K48" s="162"/>
      <c r="L48" s="162">
        <v>462400</v>
      </c>
      <c r="M48" s="162"/>
      <c r="N48" s="162" t="s">
        <v>1268</v>
      </c>
      <c r="O48" s="30"/>
      <c r="P48" s="30"/>
      <c r="Q48" s="30"/>
      <c r="R48" s="30"/>
      <c r="S48" s="30"/>
      <c r="T48" s="30"/>
      <c r="U48" s="30"/>
      <c r="V48" s="30"/>
      <c r="W48" s="30"/>
      <c r="X48" s="30"/>
      <c r="Y48" s="30"/>
      <c r="Z48" s="30"/>
      <c r="AA48" s="30">
        <f t="shared" si="5"/>
        <v>0</v>
      </c>
      <c r="AB48" s="31" t="str">
        <f>IF(AA48=0,"",IFERROR(AA48/AA$19,""))</f>
        <v/>
      </c>
      <c r="AD48" s="30"/>
      <c r="AE48" s="31" t="str">
        <f>IF(AD48=0,"",IFERROR(AD48/AD$19,""))</f>
        <v/>
      </c>
      <c r="AF48" s="51">
        <f t="shared" si="6"/>
        <v>0</v>
      </c>
      <c r="AG48" s="30"/>
      <c r="AH48" s="31" t="str">
        <f>IF(AG48=0,"",IFERROR(AG48/AG$19,""))</f>
        <v/>
      </c>
      <c r="AI48" s="51">
        <f t="shared" si="7"/>
        <v>0</v>
      </c>
    </row>
    <row r="49" spans="1:35" x14ac:dyDescent="0.25">
      <c r="A49" s="6" t="s">
        <v>37</v>
      </c>
      <c r="B49" s="7"/>
      <c r="H49" s="15" t="s">
        <v>319</v>
      </c>
      <c r="I49" s="161" t="s">
        <v>1009</v>
      </c>
      <c r="J49" s="161" t="s">
        <v>78</v>
      </c>
      <c r="K49" s="162"/>
      <c r="L49" s="162"/>
      <c r="M49" s="162"/>
      <c r="N49" s="25" t="s">
        <v>1269</v>
      </c>
      <c r="O49" s="164"/>
      <c r="P49" s="164"/>
      <c r="Q49" s="164"/>
      <c r="R49" s="164"/>
      <c r="S49" s="164"/>
      <c r="T49" s="164"/>
      <c r="U49" s="164"/>
      <c r="V49" s="164"/>
      <c r="W49" s="164"/>
      <c r="X49" s="164"/>
      <c r="Y49" s="164"/>
      <c r="Z49" s="164"/>
      <c r="AA49" s="164">
        <f t="shared" si="5"/>
        <v>0</v>
      </c>
      <c r="AB49" s="175" t="str">
        <f>IF(AA49=0,"",IFERROR(AA49/AA$19,""))</f>
        <v/>
      </c>
      <c r="AD49" s="164">
        <v>9461</v>
      </c>
      <c r="AE49" s="175">
        <f>IF(AD49=0,"",IFERROR(AD49/AD$19,""))</f>
        <v>0.20024975659315075</v>
      </c>
      <c r="AF49" s="165">
        <f t="shared" si="6"/>
        <v>-9461</v>
      </c>
      <c r="AG49" s="164">
        <v>5189</v>
      </c>
      <c r="AH49" s="175">
        <f>IF(AG49=0,"",IFERROR(AG49/AG$19,""))</f>
        <v>0.1902544547921097</v>
      </c>
      <c r="AI49" s="165">
        <f t="shared" si="7"/>
        <v>-5189</v>
      </c>
    </row>
    <row r="50" spans="1:35" x14ac:dyDescent="0.25">
      <c r="A50" s="6" t="s">
        <v>38</v>
      </c>
      <c r="B50" s="7"/>
      <c r="H50" s="15" t="s">
        <v>764</v>
      </c>
      <c r="I50" s="161" t="s">
        <v>1009</v>
      </c>
      <c r="J50" s="161" t="s">
        <v>1009</v>
      </c>
      <c r="K50" s="162"/>
      <c r="L50" s="162">
        <v>947200</v>
      </c>
      <c r="M50" s="162">
        <v>999992</v>
      </c>
      <c r="N50" s="162" t="s">
        <v>1352</v>
      </c>
      <c r="O50" s="38"/>
      <c r="P50" s="38"/>
      <c r="Q50" s="38"/>
      <c r="R50" s="38"/>
      <c r="S50" s="38"/>
      <c r="T50" s="38"/>
      <c r="U50" s="38"/>
      <c r="V50" s="38"/>
      <c r="W50" s="38"/>
      <c r="X50" s="38"/>
      <c r="Y50" s="38"/>
      <c r="Z50" s="38"/>
      <c r="AA50" s="38">
        <f t="shared" si="5"/>
        <v>0</v>
      </c>
      <c r="AB50" s="39"/>
      <c r="AD50" s="38"/>
      <c r="AE50" s="39"/>
      <c r="AF50" s="132">
        <f t="shared" si="6"/>
        <v>0</v>
      </c>
      <c r="AG50" s="38"/>
      <c r="AH50" s="39"/>
      <c r="AI50" s="132">
        <f t="shared" si="7"/>
        <v>0</v>
      </c>
    </row>
    <row r="51" spans="1:35" x14ac:dyDescent="0.25">
      <c r="A51" s="6" t="s">
        <v>39</v>
      </c>
      <c r="B51" s="7"/>
      <c r="H51" s="15" t="s">
        <v>298</v>
      </c>
      <c r="I51" s="161" t="s">
        <v>1009</v>
      </c>
      <c r="J51" s="161" t="s">
        <v>1009</v>
      </c>
      <c r="K51" s="162"/>
      <c r="L51" s="162">
        <v>946200</v>
      </c>
      <c r="M51" s="162">
        <v>991502</v>
      </c>
      <c r="N51" s="162" t="s">
        <v>1270</v>
      </c>
      <c r="O51" s="38"/>
      <c r="P51" s="38"/>
      <c r="Q51" s="38"/>
      <c r="R51" s="38"/>
      <c r="S51" s="38"/>
      <c r="T51" s="38"/>
      <c r="U51" s="38"/>
      <c r="V51" s="38"/>
      <c r="W51" s="38"/>
      <c r="X51" s="38"/>
      <c r="Y51" s="38"/>
      <c r="Z51" s="38"/>
      <c r="AA51" s="38">
        <f t="shared" si="5"/>
        <v>0</v>
      </c>
      <c r="AB51" s="39" t="str">
        <f>IF(AA51=0,"",IFERROR(AA51/AA$83,""))</f>
        <v/>
      </c>
      <c r="AD51" s="38">
        <v>141</v>
      </c>
      <c r="AE51" s="39">
        <f>IF(AD51=0,"",IFERROR(AD51/AD$83,""))</f>
        <v>0.27485380116959063</v>
      </c>
      <c r="AF51" s="132">
        <f t="shared" si="6"/>
        <v>-141</v>
      </c>
      <c r="AG51" s="38">
        <v>71</v>
      </c>
      <c r="AH51" s="39">
        <f>IF(AG51=0,"",IFERROR(AG51/AG$83,""))</f>
        <v>0.22397476340694006</v>
      </c>
      <c r="AI51" s="132">
        <f t="shared" si="7"/>
        <v>-71</v>
      </c>
    </row>
    <row r="52" spans="1:35" x14ac:dyDescent="0.25">
      <c r="A52" s="6" t="s">
        <v>40</v>
      </c>
      <c r="B52" s="7"/>
      <c r="H52" s="15" t="s">
        <v>315</v>
      </c>
      <c r="I52" s="161" t="s">
        <v>1009</v>
      </c>
      <c r="J52" s="161" t="s">
        <v>78</v>
      </c>
      <c r="K52" s="162"/>
      <c r="L52" s="162"/>
      <c r="M52" s="162"/>
      <c r="N52" s="170" t="s">
        <v>1271</v>
      </c>
      <c r="O52" s="176"/>
      <c r="P52" s="176"/>
      <c r="Q52" s="176"/>
      <c r="R52" s="176"/>
      <c r="S52" s="176"/>
      <c r="T52" s="176"/>
      <c r="U52" s="176"/>
      <c r="V52" s="176"/>
      <c r="W52" s="176"/>
      <c r="X52" s="176"/>
      <c r="Y52" s="176"/>
      <c r="Z52" s="176"/>
      <c r="AA52" s="176" t="str">
        <f>IFERROR(AA49/AA51,"")</f>
        <v/>
      </c>
      <c r="AB52" s="176"/>
      <c r="AD52" s="176">
        <v>67.0992907801418</v>
      </c>
      <c r="AE52" s="176"/>
      <c r="AF52" s="177" t="e">
        <f t="shared" si="6"/>
        <v>#VALUE!</v>
      </c>
      <c r="AG52" s="176">
        <v>73.084507042253506</v>
      </c>
      <c r="AH52" s="176"/>
      <c r="AI52" s="177" t="e">
        <f t="shared" si="7"/>
        <v>#VALUE!</v>
      </c>
    </row>
    <row r="53" spans="1:35" x14ac:dyDescent="0.25">
      <c r="A53" s="6" t="s">
        <v>41</v>
      </c>
      <c r="B53" s="7"/>
      <c r="H53" s="15"/>
      <c r="I53" s="161"/>
      <c r="J53" s="161"/>
      <c r="K53" s="162"/>
      <c r="L53" s="162"/>
      <c r="M53" s="162"/>
      <c r="N53" s="182" t="s">
        <v>345</v>
      </c>
      <c r="O53" s="179">
        <f t="shared" ref="O53:AA53" si="8">ROUND(IFERROR(O49/O51,0),2)</f>
        <v>0</v>
      </c>
      <c r="P53" s="184">
        <f t="shared" si="8"/>
        <v>0</v>
      </c>
      <c r="Q53" s="184">
        <f t="shared" si="8"/>
        <v>0</v>
      </c>
      <c r="R53" s="184">
        <f t="shared" si="8"/>
        <v>0</v>
      </c>
      <c r="S53" s="184">
        <f t="shared" si="8"/>
        <v>0</v>
      </c>
      <c r="T53" s="184">
        <f t="shared" si="8"/>
        <v>0</v>
      </c>
      <c r="U53" s="184">
        <f t="shared" si="8"/>
        <v>0</v>
      </c>
      <c r="V53" s="184">
        <f t="shared" si="8"/>
        <v>0</v>
      </c>
      <c r="W53" s="184">
        <f t="shared" si="8"/>
        <v>0</v>
      </c>
      <c r="X53" s="184">
        <f t="shared" si="8"/>
        <v>0</v>
      </c>
      <c r="Y53" s="184">
        <f t="shared" si="8"/>
        <v>0</v>
      </c>
      <c r="Z53" s="184">
        <f t="shared" si="8"/>
        <v>0</v>
      </c>
      <c r="AA53" s="184">
        <f t="shared" si="8"/>
        <v>0</v>
      </c>
      <c r="AB53" s="183"/>
      <c r="AD53" s="179">
        <f>ROUND(IFERROR(AD49/AD51,0),2)</f>
        <v>67.099999999999994</v>
      </c>
      <c r="AE53" s="184"/>
      <c r="AF53" s="180"/>
      <c r="AG53" s="179">
        <f>ROUND(IFERROR(AG49/AG51,0),2)</f>
        <v>73.08</v>
      </c>
      <c r="AH53" s="184"/>
      <c r="AI53" s="180"/>
    </row>
    <row r="54" spans="1:35" x14ac:dyDescent="0.25">
      <c r="A54" s="6" t="s">
        <v>42</v>
      </c>
      <c r="B54" s="7"/>
      <c r="G54" s="181">
        <f>COUNTIF(O54:AI54,FALSE)</f>
        <v>0</v>
      </c>
      <c r="H54" s="15"/>
      <c r="I54" s="161"/>
      <c r="J54" s="161"/>
      <c r="K54" s="162"/>
      <c r="L54" s="162"/>
      <c r="M54" s="162"/>
      <c r="N54" s="8" t="s">
        <v>316</v>
      </c>
      <c r="O54" s="319" t="b">
        <f t="shared" ref="O54:AA54" si="9">ROUND(O52,2)=ROUND(O53,2)</f>
        <v>1</v>
      </c>
      <c r="P54" s="320" t="b">
        <f t="shared" si="9"/>
        <v>1</v>
      </c>
      <c r="Q54" s="320" t="b">
        <f t="shared" si="9"/>
        <v>1</v>
      </c>
      <c r="R54" s="320" t="b">
        <f t="shared" si="9"/>
        <v>1</v>
      </c>
      <c r="S54" s="320" t="b">
        <f t="shared" si="9"/>
        <v>1</v>
      </c>
      <c r="T54" s="320" t="b">
        <f t="shared" si="9"/>
        <v>1</v>
      </c>
      <c r="U54" s="320" t="b">
        <f t="shared" si="9"/>
        <v>1</v>
      </c>
      <c r="V54" s="320" t="b">
        <f t="shared" si="9"/>
        <v>1</v>
      </c>
      <c r="W54" s="320" t="b">
        <f t="shared" si="9"/>
        <v>1</v>
      </c>
      <c r="X54" s="320" t="b">
        <f t="shared" si="9"/>
        <v>1</v>
      </c>
      <c r="Y54" s="320" t="b">
        <f t="shared" si="9"/>
        <v>1</v>
      </c>
      <c r="Z54" s="320" t="b">
        <f t="shared" si="9"/>
        <v>1</v>
      </c>
      <c r="AA54" s="320" t="e">
        <f t="shared" si="9"/>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s">
        <v>1058</v>
      </c>
      <c r="J55" s="161" t="s">
        <v>78</v>
      </c>
      <c r="K55" s="162"/>
      <c r="L55" s="162">
        <v>463100</v>
      </c>
      <c r="M55" s="162"/>
      <c r="N55" s="162" t="s">
        <v>1272</v>
      </c>
      <c r="O55" s="21"/>
      <c r="P55" s="21"/>
      <c r="Q55" s="21"/>
      <c r="R55" s="21"/>
      <c r="S55" s="21">
        <v>1500</v>
      </c>
      <c r="T55" s="21">
        <v>3743</v>
      </c>
      <c r="U55" s="21"/>
      <c r="V55" s="21"/>
      <c r="W55" s="21"/>
      <c r="X55" s="21"/>
      <c r="Y55" s="21"/>
      <c r="Z55" s="21">
        <v>656.21</v>
      </c>
      <c r="AA55" s="21">
        <f t="shared" ref="AA55:AA61" si="10">SUM(O55:Z55)</f>
        <v>5899.21</v>
      </c>
      <c r="AB55" s="17">
        <f>IF(AA55=0,"",IFERROR(AA55/AA$19,""))</f>
        <v>0.28254274630011017</v>
      </c>
      <c r="AD55" s="21">
        <v>29027.0095</v>
      </c>
      <c r="AE55" s="17">
        <f>IF(AD55=0,"",IFERROR(AD55/AD$19,""))</f>
        <v>0.61438025441307198</v>
      </c>
      <c r="AF55" s="50">
        <f t="shared" ref="AF55:AF62" si="11">IF(AND($AA55="",AD55=""),"",$AA55-AD55)</f>
        <v>-23127.799500000001</v>
      </c>
      <c r="AG55" s="21">
        <v>21455</v>
      </c>
      <c r="AH55" s="17">
        <f>IF(AG55=0,"",IFERROR(AG55/AG$19,""))</f>
        <v>0.78664662315758593</v>
      </c>
      <c r="AI55" s="50">
        <f t="shared" ref="AI55:AI62" si="12">IF(AND($AA55="",AG55=""),"",$AA55-AG55)</f>
        <v>-15555.79</v>
      </c>
    </row>
    <row r="56" spans="1:35" x14ac:dyDescent="0.25">
      <c r="A56" s="6" t="s">
        <v>44</v>
      </c>
      <c r="B56" s="7"/>
      <c r="H56" s="15" t="s">
        <v>302</v>
      </c>
      <c r="I56" s="161" t="s">
        <v>1123</v>
      </c>
      <c r="J56" s="161" t="s">
        <v>78</v>
      </c>
      <c r="K56" s="162"/>
      <c r="L56" s="162">
        <v>463200</v>
      </c>
      <c r="M56" s="162"/>
      <c r="N56" s="162" t="s">
        <v>1273</v>
      </c>
      <c r="O56" s="21"/>
      <c r="P56" s="21"/>
      <c r="Q56" s="21"/>
      <c r="R56" s="21"/>
      <c r="S56" s="21">
        <v>6800</v>
      </c>
      <c r="T56" s="21">
        <v>228</v>
      </c>
      <c r="U56" s="21"/>
      <c r="V56" s="21"/>
      <c r="W56" s="21"/>
      <c r="X56" s="21"/>
      <c r="Y56" s="21"/>
      <c r="Z56" s="21"/>
      <c r="AA56" s="21">
        <f t="shared" si="10"/>
        <v>7028</v>
      </c>
      <c r="AB56" s="17">
        <f>IF(AA56=0,"",IFERROR(AA56/AA$19,""))</f>
        <v>0.33660615929881699</v>
      </c>
      <c r="AD56" s="21">
        <v>1957.9905000000001</v>
      </c>
      <c r="AE56" s="17">
        <f>IF(AD56=0,"",IFERROR(AD56/AD$19,""))</f>
        <v>4.1442460737416927E-2</v>
      </c>
      <c r="AF56" s="50">
        <f t="shared" si="11"/>
        <v>5070.0095000000001</v>
      </c>
      <c r="AG56" s="21">
        <v>630</v>
      </c>
      <c r="AH56" s="17">
        <f>IF(AG56=0,"",IFERROR(AG56/AG$19,""))</f>
        <v>2.3098922050304321E-2</v>
      </c>
      <c r="AI56" s="50">
        <f t="shared" si="12"/>
        <v>6398</v>
      </c>
    </row>
    <row r="57" spans="1:35" x14ac:dyDescent="0.25">
      <c r="A57" s="6" t="s">
        <v>45</v>
      </c>
      <c r="B57" s="7"/>
      <c r="H57" s="15" t="s">
        <v>306</v>
      </c>
      <c r="I57" s="161" t="s">
        <v>1123</v>
      </c>
      <c r="J57" s="161" t="s">
        <v>78</v>
      </c>
      <c r="K57" s="162"/>
      <c r="L57" s="162">
        <v>463300</v>
      </c>
      <c r="M57" s="162"/>
      <c r="N57" s="162" t="s">
        <v>1274</v>
      </c>
      <c r="O57" s="21"/>
      <c r="P57" s="21"/>
      <c r="Q57" s="21"/>
      <c r="R57" s="21"/>
      <c r="S57" s="21">
        <v>500</v>
      </c>
      <c r="T57" s="21">
        <v>10</v>
      </c>
      <c r="U57" s="21"/>
      <c r="V57" s="21"/>
      <c r="W57" s="21"/>
      <c r="X57" s="21"/>
      <c r="Y57" s="21"/>
      <c r="Z57" s="21"/>
      <c r="AA57" s="21">
        <f t="shared" si="10"/>
        <v>510</v>
      </c>
      <c r="AB57" s="17">
        <f>IF(AA57=0,"",IFERROR(AA57/AA$19,""))</f>
        <v>2.4426457205804875E-2</v>
      </c>
      <c r="AD57" s="21"/>
      <c r="AE57" s="17" t="str">
        <f>IF(AD57=0,"",IFERROR(AD57/AD$19,""))</f>
        <v/>
      </c>
      <c r="AF57" s="50">
        <f t="shared" si="11"/>
        <v>510</v>
      </c>
      <c r="AG57" s="21"/>
      <c r="AH57" s="17" t="str">
        <f>IF(AG57=0,"",IFERROR(AG57/AG$19,""))</f>
        <v/>
      </c>
      <c r="AI57" s="50">
        <f t="shared" si="12"/>
        <v>510</v>
      </c>
    </row>
    <row r="58" spans="1:35" x14ac:dyDescent="0.25">
      <c r="A58" s="6" t="s">
        <v>46</v>
      </c>
      <c r="B58" s="7"/>
      <c r="H58" s="15" t="s">
        <v>304</v>
      </c>
      <c r="I58" s="161" t="s">
        <v>1123</v>
      </c>
      <c r="J58" s="161" t="s">
        <v>78</v>
      </c>
      <c r="K58" s="162"/>
      <c r="L58" s="162">
        <v>463400</v>
      </c>
      <c r="M58" s="162"/>
      <c r="N58" s="162" t="s">
        <v>1275</v>
      </c>
      <c r="O58" s="30"/>
      <c r="P58" s="30"/>
      <c r="Q58" s="30"/>
      <c r="R58" s="30"/>
      <c r="S58" s="30">
        <v>700</v>
      </c>
      <c r="T58" s="30"/>
      <c r="U58" s="30"/>
      <c r="V58" s="30"/>
      <c r="W58" s="30"/>
      <c r="X58" s="30"/>
      <c r="Y58" s="30"/>
      <c r="Z58" s="30">
        <v>53.79</v>
      </c>
      <c r="AA58" s="30">
        <f t="shared" si="10"/>
        <v>753.79</v>
      </c>
      <c r="AB58" s="31">
        <f>IF(AA58=0,"",IFERROR(AA58/AA$19,""))</f>
        <v>3.6102782700320891E-2</v>
      </c>
      <c r="AD58" s="30"/>
      <c r="AE58" s="31" t="str">
        <f>IF(AD58=0,"",IFERROR(AD58/AD$19,""))</f>
        <v/>
      </c>
      <c r="AF58" s="51">
        <f t="shared" si="11"/>
        <v>753.79</v>
      </c>
      <c r="AG58" s="30"/>
      <c r="AH58" s="31" t="str">
        <f>IF(AG58=0,"",IFERROR(AG58/AG$19,""))</f>
        <v/>
      </c>
      <c r="AI58" s="51">
        <f t="shared" si="12"/>
        <v>753.79</v>
      </c>
    </row>
    <row r="59" spans="1:35" x14ac:dyDescent="0.25">
      <c r="H59" s="15" t="s">
        <v>320</v>
      </c>
      <c r="I59" s="161" t="s">
        <v>1009</v>
      </c>
      <c r="J59" s="161" t="s">
        <v>78</v>
      </c>
      <c r="K59" s="162"/>
      <c r="L59" s="162"/>
      <c r="M59" s="162"/>
      <c r="N59" s="25" t="s">
        <v>1276</v>
      </c>
      <c r="O59" s="164"/>
      <c r="P59" s="164"/>
      <c r="Q59" s="164"/>
      <c r="R59" s="164"/>
      <c r="S59" s="164">
        <v>9500</v>
      </c>
      <c r="T59" s="164">
        <v>3981</v>
      </c>
      <c r="U59" s="164"/>
      <c r="V59" s="164"/>
      <c r="W59" s="164"/>
      <c r="X59" s="164"/>
      <c r="Y59" s="164"/>
      <c r="Z59" s="164">
        <v>710</v>
      </c>
      <c r="AA59" s="164">
        <f t="shared" si="10"/>
        <v>14191</v>
      </c>
      <c r="AB59" s="175">
        <f>IF(AA59=0,"",IFERROR(AA59/AA$19,""))</f>
        <v>0.6796781455050529</v>
      </c>
      <c r="AD59" s="164">
        <v>30985</v>
      </c>
      <c r="AE59" s="175">
        <f>IF(AD59=0,"",IFERROR(AD59/AD$19,""))</f>
        <v>0.65582271515048896</v>
      </c>
      <c r="AF59" s="165">
        <f t="shared" si="11"/>
        <v>-16794</v>
      </c>
      <c r="AG59" s="164">
        <v>22085</v>
      </c>
      <c r="AH59" s="175">
        <f>IF(AG59=0,"",IFERROR(AG59/AG$19,""))</f>
        <v>0.80974554520789033</v>
      </c>
      <c r="AI59" s="165">
        <f t="shared" si="12"/>
        <v>-7894</v>
      </c>
    </row>
    <row r="60" spans="1:35" x14ac:dyDescent="0.25">
      <c r="H60" s="15" t="s">
        <v>765</v>
      </c>
      <c r="I60" s="161" t="s">
        <v>1009</v>
      </c>
      <c r="J60" s="161" t="s">
        <v>1009</v>
      </c>
      <c r="K60" s="162"/>
      <c r="L60" s="162">
        <v>947300</v>
      </c>
      <c r="M60" s="162">
        <v>999993</v>
      </c>
      <c r="N60" s="162" t="s">
        <v>1353</v>
      </c>
      <c r="O60" s="38"/>
      <c r="P60" s="38"/>
      <c r="Q60" s="38"/>
      <c r="R60" s="38"/>
      <c r="S60" s="38"/>
      <c r="T60" s="38"/>
      <c r="U60" s="38"/>
      <c r="V60" s="38"/>
      <c r="W60" s="38"/>
      <c r="X60" s="38"/>
      <c r="Y60" s="38"/>
      <c r="Z60" s="38"/>
      <c r="AA60" s="38">
        <f t="shared" si="10"/>
        <v>0</v>
      </c>
      <c r="AB60" s="39"/>
      <c r="AD60" s="38"/>
      <c r="AE60" s="39"/>
      <c r="AF60" s="132">
        <f t="shared" si="11"/>
        <v>0</v>
      </c>
      <c r="AG60" s="38"/>
      <c r="AH60" s="39"/>
      <c r="AI60" s="132">
        <f t="shared" si="12"/>
        <v>0</v>
      </c>
    </row>
    <row r="61" spans="1:35" x14ac:dyDescent="0.25">
      <c r="H61" s="15" t="s">
        <v>299</v>
      </c>
      <c r="I61" s="161" t="s">
        <v>1009</v>
      </c>
      <c r="J61" s="161" t="s">
        <v>1009</v>
      </c>
      <c r="K61" s="162"/>
      <c r="L61" s="162">
        <v>946300</v>
      </c>
      <c r="M61" s="162">
        <v>991503</v>
      </c>
      <c r="N61" s="162" t="s">
        <v>1277</v>
      </c>
      <c r="O61" s="38"/>
      <c r="P61" s="38"/>
      <c r="Q61" s="38"/>
      <c r="R61" s="38"/>
      <c r="S61" s="38">
        <v>250</v>
      </c>
      <c r="T61" s="38"/>
      <c r="U61" s="38"/>
      <c r="V61" s="38">
        <v>8</v>
      </c>
      <c r="W61" s="38"/>
      <c r="X61" s="38"/>
      <c r="Y61" s="38"/>
      <c r="Z61" s="38">
        <v>8</v>
      </c>
      <c r="AA61" s="38">
        <f t="shared" si="10"/>
        <v>266</v>
      </c>
      <c r="AB61" s="39">
        <f>IF(AA61=0,"",IFERROR(AA61/AA$83,""))</f>
        <v>0.78466076696165188</v>
      </c>
      <c r="AD61" s="38">
        <v>292</v>
      </c>
      <c r="AE61" s="39">
        <f>IF(AD61=0,"",IFERROR(AD61/AD$83,""))</f>
        <v>0.56920077972709548</v>
      </c>
      <c r="AF61" s="132">
        <f t="shared" si="11"/>
        <v>-26</v>
      </c>
      <c r="AG61" s="38">
        <v>246</v>
      </c>
      <c r="AH61" s="39">
        <f>IF(AG61=0,"",IFERROR(AG61/AG$83,""))</f>
        <v>0.77602523659305989</v>
      </c>
      <c r="AI61" s="132">
        <f t="shared" si="12"/>
        <v>20</v>
      </c>
    </row>
    <row r="62" spans="1:35" x14ac:dyDescent="0.25">
      <c r="H62" s="149" t="s">
        <v>317</v>
      </c>
      <c r="I62" s="161" t="s">
        <v>1009</v>
      </c>
      <c r="J62" s="161" t="s">
        <v>78</v>
      </c>
      <c r="K62" s="162"/>
      <c r="L62" s="162"/>
      <c r="M62" s="162"/>
      <c r="N62" s="170" t="s">
        <v>1278</v>
      </c>
      <c r="O62" s="176"/>
      <c r="P62" s="176"/>
      <c r="Q62" s="176"/>
      <c r="R62" s="176"/>
      <c r="S62" s="176">
        <v>38</v>
      </c>
      <c r="T62" s="176"/>
      <c r="U62" s="176"/>
      <c r="V62" s="176"/>
      <c r="W62" s="176"/>
      <c r="X62" s="176"/>
      <c r="Y62" s="176"/>
      <c r="Z62" s="176">
        <v>88.75</v>
      </c>
      <c r="AA62" s="176">
        <f>IFERROR(AA59/AA61,"")</f>
        <v>53.349624060150376</v>
      </c>
      <c r="AB62" s="176"/>
      <c r="AD62" s="176">
        <v>106.11301369863</v>
      </c>
      <c r="AE62" s="176"/>
      <c r="AF62" s="177">
        <f t="shared" si="11"/>
        <v>-52.763389638479623</v>
      </c>
      <c r="AG62" s="176">
        <v>89.776422764227604</v>
      </c>
      <c r="AH62" s="176"/>
      <c r="AI62" s="177">
        <f t="shared" si="12"/>
        <v>-36.426798704077228</v>
      </c>
    </row>
    <row r="63" spans="1:35" x14ac:dyDescent="0.25">
      <c r="H63" s="15"/>
      <c r="I63" s="161"/>
      <c r="J63" s="161"/>
      <c r="K63" s="162"/>
      <c r="L63" s="162"/>
      <c r="M63" s="162"/>
      <c r="N63" s="182" t="s">
        <v>345</v>
      </c>
      <c r="O63" s="179">
        <f t="shared" ref="O63:AA63" si="13">ROUND(IFERROR(O59/O61,0),2)</f>
        <v>0</v>
      </c>
      <c r="P63" s="184">
        <f t="shared" si="13"/>
        <v>0</v>
      </c>
      <c r="Q63" s="184">
        <f t="shared" si="13"/>
        <v>0</v>
      </c>
      <c r="R63" s="184">
        <f t="shared" si="13"/>
        <v>0</v>
      </c>
      <c r="S63" s="184">
        <f t="shared" si="13"/>
        <v>38</v>
      </c>
      <c r="T63" s="184">
        <f t="shared" si="13"/>
        <v>0</v>
      </c>
      <c r="U63" s="184">
        <f t="shared" si="13"/>
        <v>0</v>
      </c>
      <c r="V63" s="184">
        <f t="shared" si="13"/>
        <v>0</v>
      </c>
      <c r="W63" s="184">
        <f t="shared" si="13"/>
        <v>0</v>
      </c>
      <c r="X63" s="184">
        <f t="shared" si="13"/>
        <v>0</v>
      </c>
      <c r="Y63" s="184">
        <f t="shared" si="13"/>
        <v>0</v>
      </c>
      <c r="Z63" s="184">
        <f t="shared" si="13"/>
        <v>88.75</v>
      </c>
      <c r="AA63" s="184">
        <f t="shared" si="13"/>
        <v>53.35</v>
      </c>
      <c r="AB63" s="183"/>
      <c r="AD63" s="179">
        <f>ROUND(IFERROR(AD59/AD61,0),2)</f>
        <v>106.11</v>
      </c>
      <c r="AE63" s="184"/>
      <c r="AF63" s="180"/>
      <c r="AG63" s="179">
        <f>ROUND(IFERROR(AG59/AG61,0),2)</f>
        <v>89.78</v>
      </c>
      <c r="AH63" s="184"/>
      <c r="AI63" s="180"/>
    </row>
    <row r="64" spans="1:35" x14ac:dyDescent="0.25">
      <c r="G64" s="181">
        <f>COUNTIF(O64:AI64,FALSE)</f>
        <v>0</v>
      </c>
      <c r="H64" s="149"/>
      <c r="I64" s="161"/>
      <c r="J64" s="161"/>
      <c r="K64" s="162"/>
      <c r="L64" s="162"/>
      <c r="M64" s="162"/>
      <c r="N64" s="8" t="s">
        <v>807</v>
      </c>
      <c r="O64" s="319" t="b">
        <f t="shared" ref="O64:AA64" si="14">ROUND(O62,2)=ROUND(O63,2)</f>
        <v>1</v>
      </c>
      <c r="P64" s="320" t="b">
        <f t="shared" si="14"/>
        <v>1</v>
      </c>
      <c r="Q64" s="320" t="b">
        <f t="shared" si="14"/>
        <v>1</v>
      </c>
      <c r="R64" s="320" t="b">
        <f t="shared" si="14"/>
        <v>1</v>
      </c>
      <c r="S64" s="320" t="b">
        <f t="shared" si="14"/>
        <v>1</v>
      </c>
      <c r="T64" s="320" t="b">
        <f t="shared" si="14"/>
        <v>1</v>
      </c>
      <c r="U64" s="320" t="b">
        <f t="shared" si="14"/>
        <v>1</v>
      </c>
      <c r="V64" s="320" t="b">
        <f t="shared" si="14"/>
        <v>1</v>
      </c>
      <c r="W64" s="320" t="b">
        <f t="shared" si="14"/>
        <v>1</v>
      </c>
      <c r="X64" s="320" t="b">
        <f t="shared" si="14"/>
        <v>1</v>
      </c>
      <c r="Y64" s="320" t="b">
        <f t="shared" si="14"/>
        <v>1</v>
      </c>
      <c r="Z64" s="320" t="b">
        <f t="shared" si="14"/>
        <v>1</v>
      </c>
      <c r="AA64" s="320" t="b">
        <f t="shared" si="14"/>
        <v>1</v>
      </c>
      <c r="AB64" s="321"/>
      <c r="AC64" s="322"/>
      <c r="AD64" s="319"/>
      <c r="AE64" s="320" t="b">
        <f>ROUND(AD62,2)=ROUND(AD63,2)</f>
        <v>1</v>
      </c>
      <c r="AF64" s="321"/>
      <c r="AG64" s="319"/>
      <c r="AH64" s="320" t="b">
        <f>ROUND(AG62,2)=ROUND(AG63,2)</f>
        <v>1</v>
      </c>
      <c r="AI64" s="321"/>
    </row>
    <row r="65" spans="3:35" x14ac:dyDescent="0.25">
      <c r="H65" s="149" t="s">
        <v>790</v>
      </c>
      <c r="I65" s="161" t="s">
        <v>1009</v>
      </c>
      <c r="J65" s="161" t="s">
        <v>1009</v>
      </c>
      <c r="K65" s="162"/>
      <c r="L65" s="162">
        <v>471110</v>
      </c>
      <c r="M65" s="162">
        <v>201017</v>
      </c>
      <c r="N65" s="162" t="s">
        <v>1293</v>
      </c>
      <c r="O65" s="21"/>
      <c r="P65" s="21"/>
      <c r="Q65" s="21"/>
      <c r="R65" s="21"/>
      <c r="S65" s="21"/>
      <c r="T65" s="21"/>
      <c r="U65" s="21"/>
      <c r="V65" s="21"/>
      <c r="W65" s="21"/>
      <c r="X65" s="21"/>
      <c r="Y65" s="21"/>
      <c r="Z65" s="21">
        <v>2087</v>
      </c>
      <c r="AA65" s="21">
        <f t="shared" ref="AA65:AA70" si="15">SUM(O65:Z65)</f>
        <v>2087</v>
      </c>
      <c r="AB65" s="17">
        <f>IF(AA65=0,"",IFERROR(AA65/AA$19,""))</f>
        <v>9.995689448728387E-2</v>
      </c>
      <c r="AD65" s="21">
        <v>6555.54</v>
      </c>
      <c r="AE65" s="17">
        <f>IF(AD65=0,"",IFERROR(AD65/AD$19,""))</f>
        <v>0.13875333361554418</v>
      </c>
      <c r="AF65" s="50">
        <f t="shared" ref="AF65:AF71" si="16">IF(AND($AA65="",AD65=""),"",$AA65-AD65)</f>
        <v>-4468.54</v>
      </c>
      <c r="AG65" s="21"/>
      <c r="AH65" s="17" t="str">
        <f>IF(AG65=0,"",IFERROR(AG65/AG$19,""))</f>
        <v/>
      </c>
      <c r="AI65" s="50">
        <f t="shared" ref="AI65:AI71" si="17">IF(AND($AA65="",AG65=""),"",$AA65-AG65)</f>
        <v>2087</v>
      </c>
    </row>
    <row r="66" spans="3:35" x14ac:dyDescent="0.25">
      <c r="H66" s="149" t="s">
        <v>808</v>
      </c>
      <c r="I66" s="161" t="s">
        <v>1009</v>
      </c>
      <c r="J66" s="161" t="s">
        <v>1009</v>
      </c>
      <c r="K66" s="162"/>
      <c r="L66" s="162">
        <v>471210</v>
      </c>
      <c r="M66" s="162" t="s">
        <v>1294</v>
      </c>
      <c r="N66" s="162" t="s">
        <v>1295</v>
      </c>
      <c r="O66" s="21"/>
      <c r="P66" s="21"/>
      <c r="Q66" s="21"/>
      <c r="R66" s="21"/>
      <c r="S66" s="21"/>
      <c r="T66" s="21"/>
      <c r="U66" s="21"/>
      <c r="V66" s="21"/>
      <c r="W66" s="21"/>
      <c r="X66" s="21"/>
      <c r="Y66" s="21"/>
      <c r="Z66" s="21">
        <v>2240</v>
      </c>
      <c r="AA66" s="21">
        <f t="shared" si="15"/>
        <v>2240</v>
      </c>
      <c r="AB66" s="17">
        <f>IF(AA66=0,"",IFERROR(AA66/AA$19,""))</f>
        <v>0.10728483164902533</v>
      </c>
      <c r="AD66" s="21">
        <v>244.46</v>
      </c>
      <c r="AE66" s="17">
        <f>IF(AD66=0,"",IFERROR(AD66/AD$19,""))</f>
        <v>5.1741946408161536E-3</v>
      </c>
      <c r="AF66" s="50">
        <f t="shared" si="16"/>
        <v>1995.54</v>
      </c>
      <c r="AG66" s="21"/>
      <c r="AH66" s="17" t="str">
        <f>IF(AG66=0,"",IFERROR(AG66/AG$19,""))</f>
        <v/>
      </c>
      <c r="AI66" s="50">
        <f t="shared" si="17"/>
        <v>2240</v>
      </c>
    </row>
    <row r="67" spans="3:35" x14ac:dyDescent="0.25">
      <c r="H67" s="149" t="s">
        <v>809</v>
      </c>
      <c r="I67" s="161" t="s">
        <v>1009</v>
      </c>
      <c r="J67" s="161" t="s">
        <v>1009</v>
      </c>
      <c r="K67" s="162"/>
      <c r="L67" s="162">
        <v>471310</v>
      </c>
      <c r="M67" s="162" t="s">
        <v>1294</v>
      </c>
      <c r="N67" s="162" t="s">
        <v>1296</v>
      </c>
      <c r="O67" s="21"/>
      <c r="P67" s="21"/>
      <c r="Q67" s="21"/>
      <c r="R67" s="21"/>
      <c r="S67" s="21"/>
      <c r="T67" s="21"/>
      <c r="U67" s="21"/>
      <c r="V67" s="21"/>
      <c r="W67" s="21"/>
      <c r="X67" s="21"/>
      <c r="Y67" s="21"/>
      <c r="Z67" s="21"/>
      <c r="AA67" s="21">
        <f t="shared" si="15"/>
        <v>0</v>
      </c>
      <c r="AB67" s="17" t="str">
        <f>IF(AA67=0,"",IFERROR(AA67/AA$19,""))</f>
        <v/>
      </c>
      <c r="AD67" s="21"/>
      <c r="AE67" s="17" t="str">
        <f>IF(AD67=0,"",IFERROR(AD67/AD$19,""))</f>
        <v/>
      </c>
      <c r="AF67" s="50">
        <f t="shared" si="16"/>
        <v>0</v>
      </c>
      <c r="AG67" s="21"/>
      <c r="AH67" s="17" t="str">
        <f>IF(AG67=0,"",IFERROR(AG67/AG$19,""))</f>
        <v/>
      </c>
      <c r="AI67" s="50">
        <f t="shared" si="17"/>
        <v>0</v>
      </c>
    </row>
    <row r="68" spans="3:35" x14ac:dyDescent="0.25">
      <c r="H68" s="149" t="s">
        <v>810</v>
      </c>
      <c r="I68" s="161" t="s">
        <v>1009</v>
      </c>
      <c r="J68" s="161" t="s">
        <v>1009</v>
      </c>
      <c r="K68" s="162"/>
      <c r="L68" s="162">
        <v>471410</v>
      </c>
      <c r="M68" s="162" t="s">
        <v>1294</v>
      </c>
      <c r="N68" s="162" t="s">
        <v>1297</v>
      </c>
      <c r="O68" s="30"/>
      <c r="P68" s="30"/>
      <c r="Q68" s="30"/>
      <c r="R68" s="30"/>
      <c r="S68" s="30"/>
      <c r="T68" s="30"/>
      <c r="U68" s="30"/>
      <c r="V68" s="30"/>
      <c r="W68" s="30"/>
      <c r="X68" s="30"/>
      <c r="Y68" s="30"/>
      <c r="Z68" s="30"/>
      <c r="AA68" s="30">
        <f t="shared" si="15"/>
        <v>0</v>
      </c>
      <c r="AB68" s="31" t="str">
        <f>IF(AA68=0,"",IFERROR(AA68/AA$19,""))</f>
        <v/>
      </c>
      <c r="AD68" s="30"/>
      <c r="AE68" s="31" t="str">
        <f>IF(AD68=0,"",IFERROR(AD68/AD$19,""))</f>
        <v/>
      </c>
      <c r="AF68" s="51">
        <f t="shared" si="16"/>
        <v>0</v>
      </c>
      <c r="AG68" s="30"/>
      <c r="AH68" s="31" t="str">
        <f>IF(AG68=0,"",IFERROR(AG68/AG$19,""))</f>
        <v/>
      </c>
      <c r="AI68" s="51">
        <f t="shared" si="17"/>
        <v>0</v>
      </c>
    </row>
    <row r="69" spans="3:35" x14ac:dyDescent="0.25">
      <c r="H69" s="149" t="s">
        <v>811</v>
      </c>
      <c r="I69" s="161" t="s">
        <v>1009</v>
      </c>
      <c r="J69" s="161" t="s">
        <v>78</v>
      </c>
      <c r="K69" s="162"/>
      <c r="L69" s="162"/>
      <c r="M69" s="162"/>
      <c r="N69" s="25" t="s">
        <v>1298</v>
      </c>
      <c r="O69" s="164"/>
      <c r="P69" s="164"/>
      <c r="Q69" s="164"/>
      <c r="R69" s="164"/>
      <c r="S69" s="164"/>
      <c r="T69" s="164"/>
      <c r="U69" s="164"/>
      <c r="V69" s="164"/>
      <c r="W69" s="164"/>
      <c r="X69" s="164"/>
      <c r="Y69" s="164"/>
      <c r="Z69" s="164">
        <v>4327</v>
      </c>
      <c r="AA69" s="164">
        <f t="shared" si="15"/>
        <v>4327</v>
      </c>
      <c r="AB69" s="175">
        <f>IF(AA69=0,"",IFERROR(AA69/AA$19,""))</f>
        <v>0.2072417261363092</v>
      </c>
      <c r="AD69" s="164">
        <v>6800</v>
      </c>
      <c r="AE69" s="175">
        <f>IF(AD69=0,"",IFERROR(AD69/AD$19,""))</f>
        <v>0.14392752825636032</v>
      </c>
      <c r="AF69" s="165">
        <f t="shared" si="16"/>
        <v>-2473</v>
      </c>
      <c r="AG69" s="164"/>
      <c r="AH69" s="175" t="str">
        <f>IF(AG69=0,"",IFERROR(AG69/AG$19,""))</f>
        <v/>
      </c>
      <c r="AI69" s="165">
        <f t="shared" si="17"/>
        <v>4327</v>
      </c>
    </row>
    <row r="70" spans="3:35" x14ac:dyDescent="0.25">
      <c r="H70" s="149" t="s">
        <v>812</v>
      </c>
      <c r="I70" s="161" t="s">
        <v>1009</v>
      </c>
      <c r="J70" s="161" t="s">
        <v>1009</v>
      </c>
      <c r="K70" s="162"/>
      <c r="L70" s="162">
        <v>946700</v>
      </c>
      <c r="M70" s="162">
        <v>991508</v>
      </c>
      <c r="N70" s="162" t="s">
        <v>1299</v>
      </c>
      <c r="O70" s="38"/>
      <c r="P70" s="38"/>
      <c r="Q70" s="38"/>
      <c r="R70" s="38"/>
      <c r="S70" s="38"/>
      <c r="T70" s="38"/>
      <c r="U70" s="38"/>
      <c r="V70" s="38">
        <v>18</v>
      </c>
      <c r="W70" s="38"/>
      <c r="X70" s="38"/>
      <c r="Y70" s="38"/>
      <c r="Z70" s="38">
        <v>24</v>
      </c>
      <c r="AA70" s="38">
        <f t="shared" si="15"/>
        <v>42</v>
      </c>
      <c r="AB70" s="39">
        <f>IF(AA70=0,"",IFERROR(AA70/AA$83,""))</f>
        <v>0.12389380530973451</v>
      </c>
      <c r="AD70" s="38">
        <v>80</v>
      </c>
      <c r="AE70" s="39">
        <f>IF(AD70=0,"",IFERROR(AD70/AD$83,""))</f>
        <v>0.15594541910331383</v>
      </c>
      <c r="AF70" s="132">
        <f t="shared" si="16"/>
        <v>-38</v>
      </c>
      <c r="AG70" s="38"/>
      <c r="AH70" s="39" t="str">
        <f>IF(AG70=0,"",IFERROR(AG70/AG$83,""))</f>
        <v/>
      </c>
      <c r="AI70" s="132">
        <f t="shared" si="17"/>
        <v>42</v>
      </c>
    </row>
    <row r="71" spans="3:35" x14ac:dyDescent="0.25">
      <c r="H71" s="149" t="s">
        <v>813</v>
      </c>
      <c r="I71" s="161" t="s">
        <v>1009</v>
      </c>
      <c r="J71" s="161" t="s">
        <v>78</v>
      </c>
      <c r="K71" s="162"/>
      <c r="L71" s="162"/>
      <c r="M71" s="162"/>
      <c r="N71" s="170" t="s">
        <v>1300</v>
      </c>
      <c r="O71" s="176"/>
      <c r="P71" s="176"/>
      <c r="Q71" s="176"/>
      <c r="R71" s="176"/>
      <c r="S71" s="176"/>
      <c r="T71" s="176"/>
      <c r="U71" s="176"/>
      <c r="V71" s="176"/>
      <c r="W71" s="176"/>
      <c r="X71" s="176"/>
      <c r="Y71" s="176"/>
      <c r="Z71" s="176">
        <v>180.291666666667</v>
      </c>
      <c r="AA71" s="176">
        <f>IFERROR(AA69/AA70,"")</f>
        <v>103.02380952380952</v>
      </c>
      <c r="AB71" s="176"/>
      <c r="AD71" s="176">
        <v>85</v>
      </c>
      <c r="AE71" s="176"/>
      <c r="AF71" s="177">
        <f t="shared" si="16"/>
        <v>18.023809523809518</v>
      </c>
      <c r="AG71" s="176"/>
      <c r="AH71" s="176"/>
      <c r="AI71" s="177">
        <f t="shared" si="17"/>
        <v>103.02380952380952</v>
      </c>
    </row>
    <row r="72" spans="3:35" x14ac:dyDescent="0.25">
      <c r="H72" s="15"/>
      <c r="I72" s="161"/>
      <c r="J72" s="161"/>
      <c r="K72" s="162"/>
      <c r="L72" s="162"/>
      <c r="M72" s="162"/>
      <c r="N72" s="182" t="s">
        <v>345</v>
      </c>
      <c r="O72" s="179">
        <f t="shared" ref="O72:AA72" si="18">ROUND(IFERROR(O69/O70,0),2)</f>
        <v>0</v>
      </c>
      <c r="P72" s="184">
        <f t="shared" si="18"/>
        <v>0</v>
      </c>
      <c r="Q72" s="184">
        <f t="shared" si="18"/>
        <v>0</v>
      </c>
      <c r="R72" s="184">
        <f t="shared" si="18"/>
        <v>0</v>
      </c>
      <c r="S72" s="184">
        <f t="shared" si="18"/>
        <v>0</v>
      </c>
      <c r="T72" s="184">
        <f t="shared" si="18"/>
        <v>0</v>
      </c>
      <c r="U72" s="184">
        <f t="shared" si="18"/>
        <v>0</v>
      </c>
      <c r="V72" s="184">
        <f t="shared" si="18"/>
        <v>0</v>
      </c>
      <c r="W72" s="184">
        <f t="shared" si="18"/>
        <v>0</v>
      </c>
      <c r="X72" s="184">
        <f t="shared" si="18"/>
        <v>0</v>
      </c>
      <c r="Y72" s="184">
        <f t="shared" si="18"/>
        <v>0</v>
      </c>
      <c r="Z72" s="184">
        <f t="shared" si="18"/>
        <v>180.29</v>
      </c>
      <c r="AA72" s="184">
        <f t="shared" si="18"/>
        <v>103.02</v>
      </c>
      <c r="AB72" s="183"/>
      <c r="AD72" s="179">
        <f>ROUND(IFERROR(AD69/AD70,0),2)</f>
        <v>85</v>
      </c>
      <c r="AE72" s="184"/>
      <c r="AF72" s="180"/>
      <c r="AG72" s="179">
        <f>ROUND(IFERROR(AG69/AG70,0),2)</f>
        <v>0</v>
      </c>
      <c r="AH72" s="184"/>
      <c r="AI72" s="180"/>
    </row>
    <row r="73" spans="3:35" x14ac:dyDescent="0.25">
      <c r="G73" s="181">
        <f>COUNTIF(O73:AI73,FALSE)</f>
        <v>0</v>
      </c>
      <c r="H73" s="149"/>
      <c r="I73" s="161"/>
      <c r="J73" s="161"/>
      <c r="K73" s="162"/>
      <c r="L73" s="162"/>
      <c r="M73" s="162"/>
      <c r="N73" s="8" t="s">
        <v>814</v>
      </c>
      <c r="O73" s="319" t="b">
        <f t="shared" ref="O73:AA73" si="19">ROUND(O71,2)=ROUND(O72,2)</f>
        <v>1</v>
      </c>
      <c r="P73" s="320" t="b">
        <f t="shared" si="19"/>
        <v>1</v>
      </c>
      <c r="Q73" s="320" t="b">
        <f t="shared" si="19"/>
        <v>1</v>
      </c>
      <c r="R73" s="320" t="b">
        <f t="shared" si="19"/>
        <v>1</v>
      </c>
      <c r="S73" s="320" t="b">
        <f t="shared" si="19"/>
        <v>1</v>
      </c>
      <c r="T73" s="320" t="b">
        <f t="shared" si="19"/>
        <v>1</v>
      </c>
      <c r="U73" s="320" t="b">
        <f t="shared" si="19"/>
        <v>1</v>
      </c>
      <c r="V73" s="320" t="b">
        <f t="shared" si="19"/>
        <v>1</v>
      </c>
      <c r="W73" s="320" t="b">
        <f t="shared" si="19"/>
        <v>1</v>
      </c>
      <c r="X73" s="320" t="b">
        <f t="shared" si="19"/>
        <v>1</v>
      </c>
      <c r="Y73" s="320" t="b">
        <f t="shared" si="19"/>
        <v>1</v>
      </c>
      <c r="Z73" s="320" t="b">
        <f t="shared" si="19"/>
        <v>1</v>
      </c>
      <c r="AA73" s="320" t="b">
        <f t="shared" si="19"/>
        <v>1</v>
      </c>
      <c r="AB73" s="321"/>
      <c r="AC73" s="322"/>
      <c r="AD73" s="319"/>
      <c r="AE73" s="320" t="b">
        <f>ROUND(AD71,2)=ROUND(AD72,2)</f>
        <v>1</v>
      </c>
      <c r="AF73" s="321"/>
      <c r="AG73" s="319"/>
      <c r="AH73" s="320" t="b">
        <f>ROUND(AG71,2)=ROUND(AG72,2)</f>
        <v>1</v>
      </c>
      <c r="AI73" s="321"/>
    </row>
    <row r="74" spans="3:35" x14ac:dyDescent="0.25">
      <c r="H74" s="149" t="s">
        <v>789</v>
      </c>
      <c r="I74" s="161" t="s">
        <v>1009</v>
      </c>
      <c r="J74" s="161" t="s">
        <v>1009</v>
      </c>
      <c r="K74" s="162"/>
      <c r="L74" s="162">
        <v>470110</v>
      </c>
      <c r="M74" s="162">
        <v>201016</v>
      </c>
      <c r="N74" s="162" t="s">
        <v>1301</v>
      </c>
      <c r="O74" s="21"/>
      <c r="P74" s="21"/>
      <c r="Q74" s="21"/>
      <c r="R74" s="21"/>
      <c r="S74" s="21"/>
      <c r="T74" s="21"/>
      <c r="U74" s="21"/>
      <c r="V74" s="21"/>
      <c r="W74" s="21"/>
      <c r="X74" s="21"/>
      <c r="Y74" s="21"/>
      <c r="Z74" s="21"/>
      <c r="AA74" s="21">
        <f>SUM(O74:Z74)</f>
        <v>0</v>
      </c>
      <c r="AB74" s="17" t="str">
        <f>IF(AA74=0,"",IFERROR(AA74/AA$19,""))</f>
        <v/>
      </c>
      <c r="AD74" s="21"/>
      <c r="AE74" s="17" t="str">
        <f>IF(AD74=0,"",IFERROR(AD74/AD$19,""))</f>
        <v/>
      </c>
      <c r="AF74" s="50">
        <f>IF(AND($AA74="",AD74=""),"",$AA74-AD74)</f>
        <v>0</v>
      </c>
      <c r="AG74" s="21"/>
      <c r="AH74" s="17" t="str">
        <f>IF(AG74=0,"",IFERROR(AG74/AG$19,""))</f>
        <v/>
      </c>
      <c r="AI74" s="50">
        <f>IF(AND($AA74="",AG74=""),"",$AA74-AG74)</f>
        <v>0</v>
      </c>
    </row>
    <row r="75" spans="3:35" x14ac:dyDescent="0.25">
      <c r="C75" s="32"/>
      <c r="H75" s="149" t="s">
        <v>815</v>
      </c>
      <c r="I75" s="161" t="s">
        <v>1009</v>
      </c>
      <c r="J75" s="161" t="s">
        <v>78</v>
      </c>
      <c r="K75" s="162"/>
      <c r="L75" s="162"/>
      <c r="M75" s="162"/>
      <c r="N75" s="25" t="s">
        <v>1302</v>
      </c>
      <c r="O75" s="164"/>
      <c r="P75" s="164"/>
      <c r="Q75" s="164"/>
      <c r="R75" s="164"/>
      <c r="S75" s="164"/>
      <c r="T75" s="164"/>
      <c r="U75" s="164"/>
      <c r="V75" s="164"/>
      <c r="W75" s="164"/>
      <c r="X75" s="164"/>
      <c r="Y75" s="164"/>
      <c r="Z75" s="164"/>
      <c r="AA75" s="164">
        <f>SUM(O75:Z75)</f>
        <v>0</v>
      </c>
      <c r="AB75" s="175" t="str">
        <f>IF(AA75=0,"",IFERROR(AA75/AA$19,""))</f>
        <v/>
      </c>
      <c r="AD75" s="164"/>
      <c r="AE75" s="175" t="str">
        <f>IF(AD75=0,"",IFERROR(AD75/AD$19,""))</f>
        <v/>
      </c>
      <c r="AF75" s="165">
        <f>IF(AND($AA75="",AD75=""),"",$AA75-AD75)</f>
        <v>0</v>
      </c>
      <c r="AG75" s="164"/>
      <c r="AH75" s="175" t="str">
        <f>IF(AG75=0,"",IFERROR(AG75/AG$19,""))</f>
        <v/>
      </c>
      <c r="AI75" s="165">
        <f>IF(AND($AA75="",AG75=""),"",$AA75-AG75)</f>
        <v>0</v>
      </c>
    </row>
    <row r="76" spans="3:35" x14ac:dyDescent="0.25">
      <c r="C76" s="32"/>
      <c r="H76" s="149" t="s">
        <v>816</v>
      </c>
      <c r="I76" s="161" t="s">
        <v>1009</v>
      </c>
      <c r="J76" s="161" t="s">
        <v>1009</v>
      </c>
      <c r="K76" s="162"/>
      <c r="L76" s="162">
        <v>946600</v>
      </c>
      <c r="M76" s="162">
        <v>991507</v>
      </c>
      <c r="N76" s="162" t="s">
        <v>1303</v>
      </c>
      <c r="O76" s="38"/>
      <c r="P76" s="38"/>
      <c r="Q76" s="38"/>
      <c r="R76" s="38"/>
      <c r="S76" s="38"/>
      <c r="T76" s="38"/>
      <c r="U76" s="38"/>
      <c r="V76" s="38"/>
      <c r="W76" s="38"/>
      <c r="X76" s="38"/>
      <c r="Y76" s="38"/>
      <c r="Z76" s="38"/>
      <c r="AA76" s="38">
        <f>SUM(O76:Z76)</f>
        <v>0</v>
      </c>
      <c r="AB76" s="39" t="str">
        <f>IF(AA76=0,"",IFERROR(AA76/AA$83,""))</f>
        <v/>
      </c>
      <c r="AD76" s="38"/>
      <c r="AE76" s="39" t="str">
        <f>IF(AD76=0,"",IFERROR(AD76/AD$83,""))</f>
        <v/>
      </c>
      <c r="AF76" s="132">
        <f>IF(AND($AA76="",AD76=""),"",$AA76-AD76)</f>
        <v>0</v>
      </c>
      <c r="AG76" s="38"/>
      <c r="AH76" s="39" t="str">
        <f>IF(AG76=0,"",IFERROR(AG76/AG$83,""))</f>
        <v/>
      </c>
      <c r="AI76" s="132">
        <f>IF(AND($AA76="",AG76=""),"",$AA76-AG76)</f>
        <v>0</v>
      </c>
    </row>
    <row r="77" spans="3:35" x14ac:dyDescent="0.25">
      <c r="C77" s="32"/>
      <c r="H77" s="149" t="s">
        <v>817</v>
      </c>
      <c r="I77" s="161" t="s">
        <v>1009</v>
      </c>
      <c r="J77" s="161" t="s">
        <v>78</v>
      </c>
      <c r="K77" s="162"/>
      <c r="L77" s="162"/>
      <c r="M77" s="162"/>
      <c r="N77" s="170" t="s">
        <v>1304</v>
      </c>
      <c r="O77" s="176"/>
      <c r="P77" s="176"/>
      <c r="Q77" s="176"/>
      <c r="R77" s="176"/>
      <c r="S77" s="176"/>
      <c r="T77" s="176"/>
      <c r="U77" s="176"/>
      <c r="V77" s="176"/>
      <c r="W77" s="176"/>
      <c r="X77" s="176"/>
      <c r="Y77" s="176"/>
      <c r="Z77" s="176"/>
      <c r="AA77" s="176" t="str">
        <f>IFERROR(AA75/AA76,"")</f>
        <v/>
      </c>
      <c r="AB77" s="176"/>
      <c r="AD77" s="176"/>
      <c r="AE77" s="176"/>
      <c r="AF77" s="177" t="str">
        <f>IF(AND($AA77="",AD77=""),"",$AA77-AD77)</f>
        <v/>
      </c>
      <c r="AG77" s="176"/>
      <c r="AH77" s="176"/>
      <c r="AI77" s="177" t="str">
        <f>IF(AND($AA77="",AG77=""),"",$AA77-AG77)</f>
        <v/>
      </c>
    </row>
    <row r="78" spans="3:35" x14ac:dyDescent="0.25">
      <c r="C78" s="32"/>
      <c r="H78" s="15"/>
      <c r="I78" s="161"/>
      <c r="J78" s="161"/>
      <c r="K78" s="162"/>
      <c r="L78" s="162"/>
      <c r="M78" s="162"/>
      <c r="N78" s="182" t="s">
        <v>345</v>
      </c>
      <c r="O78" s="179">
        <f t="shared" ref="O78:AA78" si="20">ROUND(IFERROR(O75/O76,0),2)</f>
        <v>0</v>
      </c>
      <c r="P78" s="184">
        <f t="shared" si="20"/>
        <v>0</v>
      </c>
      <c r="Q78" s="184">
        <f t="shared" si="20"/>
        <v>0</v>
      </c>
      <c r="R78" s="184">
        <f t="shared" si="20"/>
        <v>0</v>
      </c>
      <c r="S78" s="184">
        <f t="shared" si="20"/>
        <v>0</v>
      </c>
      <c r="T78" s="184">
        <f t="shared" si="20"/>
        <v>0</v>
      </c>
      <c r="U78" s="184">
        <f t="shared" si="20"/>
        <v>0</v>
      </c>
      <c r="V78" s="184">
        <f t="shared" si="20"/>
        <v>0</v>
      </c>
      <c r="W78" s="184">
        <f t="shared" si="20"/>
        <v>0</v>
      </c>
      <c r="X78" s="184">
        <f t="shared" si="20"/>
        <v>0</v>
      </c>
      <c r="Y78" s="184">
        <f t="shared" si="20"/>
        <v>0</v>
      </c>
      <c r="Z78" s="184">
        <f t="shared" si="20"/>
        <v>0</v>
      </c>
      <c r="AA78" s="184">
        <f t="shared" si="20"/>
        <v>0</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1">ROUND(O77,2)=ROUND(O78,2)</f>
        <v>1</v>
      </c>
      <c r="P79" s="320" t="b">
        <f t="shared" si="21"/>
        <v>1</v>
      </c>
      <c r="Q79" s="320" t="b">
        <f t="shared" si="21"/>
        <v>1</v>
      </c>
      <c r="R79" s="320" t="b">
        <f t="shared" si="21"/>
        <v>1</v>
      </c>
      <c r="S79" s="320" t="b">
        <f t="shared" si="21"/>
        <v>1</v>
      </c>
      <c r="T79" s="320" t="b">
        <f t="shared" si="21"/>
        <v>1</v>
      </c>
      <c r="U79" s="320" t="b">
        <f t="shared" si="21"/>
        <v>1</v>
      </c>
      <c r="V79" s="320" t="b">
        <f t="shared" si="21"/>
        <v>1</v>
      </c>
      <c r="W79" s="320" t="b">
        <f t="shared" si="21"/>
        <v>1</v>
      </c>
      <c r="X79" s="320" t="b">
        <f t="shared" si="21"/>
        <v>1</v>
      </c>
      <c r="Y79" s="320" t="b">
        <f t="shared" si="21"/>
        <v>1</v>
      </c>
      <c r="Z79" s="320" t="b">
        <f t="shared" si="21"/>
        <v>1</v>
      </c>
      <c r="AA79" s="320" t="e">
        <f t="shared" si="21"/>
        <v>#VALUE!</v>
      </c>
      <c r="AB79" s="321"/>
      <c r="AC79" s="322"/>
      <c r="AD79" s="319"/>
      <c r="AE79" s="320" t="b">
        <f>ROUND(AD77,2)=ROUND(AD78,2)</f>
        <v>1</v>
      </c>
      <c r="AF79" s="321"/>
      <c r="AG79" s="319"/>
      <c r="AH79" s="320" t="b">
        <f>ROUND(AG77,2)=ROUND(AG78,2)</f>
        <v>1</v>
      </c>
      <c r="AI79" s="321"/>
    </row>
    <row r="80" spans="3:35" x14ac:dyDescent="0.25">
      <c r="C80" s="32"/>
      <c r="H80" s="15" t="s">
        <v>486</v>
      </c>
      <c r="I80" s="161" t="s">
        <v>1058</v>
      </c>
      <c r="J80" s="161" t="s">
        <v>78</v>
      </c>
      <c r="K80" s="162"/>
      <c r="L80" s="162"/>
      <c r="M80" s="162"/>
      <c r="N80" s="162" t="s">
        <v>1213</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s">
        <v>1064</v>
      </c>
      <c r="J82" s="161" t="s">
        <v>78</v>
      </c>
      <c r="L82" s="162"/>
      <c r="M82" s="162"/>
      <c r="N82" s="162" t="s">
        <v>1214</v>
      </c>
      <c r="O82" s="171"/>
      <c r="P82" s="171"/>
      <c r="Q82" s="171"/>
      <c r="R82" s="171"/>
      <c r="S82" s="171">
        <v>9500</v>
      </c>
      <c r="T82" s="171">
        <v>3981</v>
      </c>
      <c r="U82" s="171"/>
      <c r="V82" s="171">
        <v>2361</v>
      </c>
      <c r="W82" s="171"/>
      <c r="X82" s="171"/>
      <c r="Y82" s="171"/>
      <c r="Z82" s="171">
        <v>5037</v>
      </c>
      <c r="AA82" s="171">
        <f>SUM(O82:Z82)</f>
        <v>20879</v>
      </c>
      <c r="AB82" s="172">
        <f>IF(AA82=0,"",IFERROR(AA82/AA$19,""))</f>
        <v>1</v>
      </c>
      <c r="AD82" s="171">
        <v>47246</v>
      </c>
      <c r="AE82" s="172">
        <f>IF(AD82=0,"",IFERROR(AD82/AD$19,""))</f>
        <v>1</v>
      </c>
      <c r="AF82" s="173">
        <f>IF(AND($AA82="",AD82=""),"",$AA82-AD82)</f>
        <v>-26367</v>
      </c>
      <c r="AG82" s="171">
        <v>27274</v>
      </c>
      <c r="AH82" s="172">
        <f>IF(AG82=0,"",IFERROR(AG82/AG$19,""))</f>
        <v>1</v>
      </c>
      <c r="AI82" s="173">
        <f>IF(AND($AA82="",AG82=""),"",$AA82-AG82)</f>
        <v>-6395</v>
      </c>
    </row>
    <row r="83" spans="3:35" x14ac:dyDescent="0.25">
      <c r="C83" s="32"/>
      <c r="H83" s="149" t="s">
        <v>331</v>
      </c>
      <c r="I83" s="161" t="s">
        <v>1010</v>
      </c>
      <c r="J83" s="161" t="s">
        <v>78</v>
      </c>
      <c r="L83" s="162">
        <v>946000</v>
      </c>
      <c r="M83" s="162"/>
      <c r="N83" s="162" t="s">
        <v>1196</v>
      </c>
      <c r="O83" s="171"/>
      <c r="P83" s="171"/>
      <c r="Q83" s="171"/>
      <c r="R83" s="171"/>
      <c r="S83" s="171">
        <v>250</v>
      </c>
      <c r="T83" s="171"/>
      <c r="U83" s="171"/>
      <c r="V83" s="171">
        <v>57</v>
      </c>
      <c r="W83" s="171"/>
      <c r="X83" s="171"/>
      <c r="Y83" s="171"/>
      <c r="Z83" s="171">
        <v>32</v>
      </c>
      <c r="AA83" s="171">
        <f>SUM(O83:Z83)</f>
        <v>339</v>
      </c>
      <c r="AB83" s="172">
        <f>IF(AA83=0,"",IFERROR(AA83/AA$20,""))</f>
        <v>1</v>
      </c>
      <c r="AD83" s="171">
        <v>513</v>
      </c>
      <c r="AE83" s="172">
        <f>IF(AD83=0,"",IFERROR(AD83/AD$20,""))</f>
        <v>1</v>
      </c>
      <c r="AF83" s="173">
        <f>IF(AND($AA83="",AD83=""),"",$AA83-AD83)</f>
        <v>-174</v>
      </c>
      <c r="AG83" s="171">
        <v>317</v>
      </c>
      <c r="AH83" s="172">
        <f>IF(AG83=0,"",IFERROR(AG83/AG$20,""))</f>
        <v>1</v>
      </c>
      <c r="AI83" s="173">
        <f>IF(AND($AA83="",AG83=""),"",$AA83-AG83)</f>
        <v>22</v>
      </c>
    </row>
    <row r="84" spans="3:35" x14ac:dyDescent="0.25">
      <c r="C84" s="32"/>
      <c r="H84" s="149" t="s">
        <v>311</v>
      </c>
      <c r="I84" s="161" t="s">
        <v>1009</v>
      </c>
      <c r="J84" s="161" t="s">
        <v>78</v>
      </c>
      <c r="L84" s="162"/>
      <c r="M84" s="162"/>
      <c r="N84" s="162" t="s">
        <v>1355</v>
      </c>
      <c r="O84" s="176"/>
      <c r="P84" s="176"/>
      <c r="Q84" s="176"/>
      <c r="R84" s="176"/>
      <c r="S84" s="176">
        <v>38</v>
      </c>
      <c r="T84" s="176"/>
      <c r="U84" s="176"/>
      <c r="V84" s="176">
        <v>41.421052631578902</v>
      </c>
      <c r="W84" s="176"/>
      <c r="X84" s="176"/>
      <c r="Y84" s="176"/>
      <c r="Z84" s="176">
        <v>157.40625</v>
      </c>
      <c r="AA84" s="176">
        <f>IFERROR(AA82/AA83,"")</f>
        <v>61.589970501474923</v>
      </c>
      <c r="AB84" s="176"/>
      <c r="AD84" s="176">
        <v>92.097465886939602</v>
      </c>
      <c r="AE84" s="176"/>
      <c r="AF84" s="177">
        <f>IF(AND($AA84="",AD84=""),"",$AA84-AD84)</f>
        <v>-30.507495385464679</v>
      </c>
      <c r="AG84" s="176">
        <v>86.037854889589894</v>
      </c>
      <c r="AH84" s="176"/>
      <c r="AI84" s="177">
        <f>IF(AND($AA84="",AG84=""),"",$AA84-AG84)</f>
        <v>-24.447884388114971</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v>461200</v>
      </c>
      <c r="M88" s="162"/>
      <c r="N88" s="162" t="s">
        <v>1259</v>
      </c>
      <c r="O88" s="21"/>
      <c r="P88" s="21"/>
      <c r="Q88" s="21"/>
      <c r="R88" s="21"/>
      <c r="S88" s="21"/>
      <c r="T88" s="21"/>
      <c r="U88" s="21"/>
      <c r="V88" s="21"/>
      <c r="W88" s="21"/>
      <c r="X88" s="21"/>
      <c r="Y88" s="21"/>
      <c r="Z88" s="21"/>
      <c r="AA88" s="21">
        <f>SUM(O88:Z88)</f>
        <v>0</v>
      </c>
      <c r="AB88" s="17" t="str">
        <f>IF(AA88=0,"",IFERROR(AA88/AA$19,""))</f>
        <v/>
      </c>
      <c r="AD88" s="21"/>
      <c r="AE88" s="17" t="str">
        <f>IF(AD88=0,"",IFERROR(AD88/AD$19,""))</f>
        <v/>
      </c>
      <c r="AF88" s="50">
        <f>IF(AND($AA88="",AD88=""),"",$AA88-AD88)</f>
        <v>0</v>
      </c>
      <c r="AG88" s="21"/>
      <c r="AH88" s="17" t="str">
        <f>IF(AG88=0,"",IFERROR(AG88/AG$19,""))</f>
        <v/>
      </c>
      <c r="AI88" s="50">
        <f>IF(AND($AA88="",AG88=""),"",$AA88-AG88)</f>
        <v>0</v>
      </c>
    </row>
    <row r="89" spans="3:35" x14ac:dyDescent="0.25">
      <c r="C89" s="32"/>
      <c r="H89" s="149" t="s">
        <v>301</v>
      </c>
      <c r="I89" s="161"/>
      <c r="J89" s="161"/>
      <c r="L89" s="162">
        <v>462200</v>
      </c>
      <c r="M89" s="162"/>
      <c r="N89" s="162" t="s">
        <v>1266</v>
      </c>
      <c r="O89" s="21"/>
      <c r="P89" s="21"/>
      <c r="Q89" s="21"/>
      <c r="R89" s="21"/>
      <c r="S89" s="21"/>
      <c r="T89" s="21"/>
      <c r="U89" s="21"/>
      <c r="V89" s="21"/>
      <c r="W89" s="21"/>
      <c r="X89" s="21"/>
      <c r="Y89" s="21"/>
      <c r="Z89" s="21"/>
      <c r="AA89" s="21">
        <f>SUM(O89:Z89)</f>
        <v>0</v>
      </c>
      <c r="AB89" s="17" t="str">
        <f>IF(AA89=0,"",IFERROR(AA89/AA$19,""))</f>
        <v/>
      </c>
      <c r="AD89" s="21"/>
      <c r="AE89" s="17" t="str">
        <f>IF(AD89=0,"",IFERROR(AD89/AD$19,""))</f>
        <v/>
      </c>
      <c r="AF89" s="50">
        <f>IF(AND($AA89="",AD89=""),"",$AA89-AD89)</f>
        <v>0</v>
      </c>
      <c r="AG89" s="21"/>
      <c r="AH89" s="17" t="str">
        <f>IF(AG89=0,"",IFERROR(AG89/AG$19,""))</f>
        <v/>
      </c>
      <c r="AI89" s="50">
        <f>IF(AND($AA89="",AG89=""),"",$AA89-AG89)</f>
        <v>0</v>
      </c>
    </row>
    <row r="90" spans="3:35" x14ac:dyDescent="0.25">
      <c r="C90" s="32"/>
      <c r="H90" s="149" t="s">
        <v>302</v>
      </c>
      <c r="I90" s="161"/>
      <c r="J90" s="161"/>
      <c r="L90" s="162">
        <v>463200</v>
      </c>
      <c r="M90" s="162"/>
      <c r="N90" s="162" t="s">
        <v>1273</v>
      </c>
      <c r="O90" s="21"/>
      <c r="P90" s="21"/>
      <c r="Q90" s="21"/>
      <c r="R90" s="21"/>
      <c r="S90" s="21">
        <v>6800</v>
      </c>
      <c r="T90" s="21">
        <v>228</v>
      </c>
      <c r="U90" s="21"/>
      <c r="V90" s="21"/>
      <c r="W90" s="21"/>
      <c r="X90" s="21"/>
      <c r="Y90" s="21"/>
      <c r="Z90" s="21"/>
      <c r="AA90" s="21">
        <f>SUM(O90:Z90)</f>
        <v>7028</v>
      </c>
      <c r="AB90" s="17">
        <f>IF(AA90=0,"",IFERROR(AA90/AA$19,""))</f>
        <v>0.33660615929881699</v>
      </c>
      <c r="AD90" s="21">
        <v>1957.9905000000001</v>
      </c>
      <c r="AE90" s="17">
        <f>IF(AD90=0,"",IFERROR(AD90/AD$19,""))</f>
        <v>4.1442460737416927E-2</v>
      </c>
      <c r="AF90" s="50">
        <f>IF(AND($AA90="",AD90=""),"",$AA90-AD90)</f>
        <v>5070.0095000000001</v>
      </c>
      <c r="AG90" s="21">
        <v>630</v>
      </c>
      <c r="AH90" s="17">
        <f>IF(AG90=0,"",IFERROR(AG90/AG$19,""))</f>
        <v>2.3098922050304321E-2</v>
      </c>
      <c r="AI90" s="50">
        <f>IF(AND($AA90="",AG90=""),"",$AA90-AG90)</f>
        <v>6398</v>
      </c>
    </row>
    <row r="91" spans="3:35" collapsed="1" x14ac:dyDescent="0.25">
      <c r="C91" s="32"/>
      <c r="H91" s="149" t="s">
        <v>808</v>
      </c>
      <c r="I91" s="161"/>
      <c r="J91" s="161"/>
      <c r="L91" s="162">
        <v>471210</v>
      </c>
      <c r="M91" s="162"/>
      <c r="N91" s="162" t="s">
        <v>1295</v>
      </c>
      <c r="O91" s="21"/>
      <c r="P91" s="21"/>
      <c r="Q91" s="21"/>
      <c r="R91" s="21"/>
      <c r="S91" s="21"/>
      <c r="T91" s="21"/>
      <c r="U91" s="21"/>
      <c r="V91" s="21"/>
      <c r="W91" s="21"/>
      <c r="X91" s="21"/>
      <c r="Y91" s="21"/>
      <c r="Z91" s="21">
        <v>2240</v>
      </c>
      <c r="AA91" s="21">
        <f>SUM(O91:Z91)</f>
        <v>2240</v>
      </c>
      <c r="AB91" s="17">
        <f>IF(AA91=0,"",IFERROR(AA91/AA$19,""))</f>
        <v>0.10728483164902533</v>
      </c>
      <c r="AD91" s="21">
        <v>244.46</v>
      </c>
      <c r="AE91" s="17">
        <f>IF(AD91=0,"",IFERROR(AD91/AD$19,""))</f>
        <v>5.1741946408161536E-3</v>
      </c>
      <c r="AF91" s="50">
        <f>IF(AND($AA91="",AD91=""),"",$AA91-AD91)</f>
        <v>1995.54</v>
      </c>
      <c r="AG91" s="21"/>
      <c r="AH91" s="17" t="str">
        <f>IF(AG91=0,"",IFERROR(AG91/AG$19,""))</f>
        <v/>
      </c>
      <c r="AI91" s="50">
        <f>IF(AND($AA91="",AG91=""),"",$AA91-AG91)</f>
        <v>2240</v>
      </c>
    </row>
    <row r="92" spans="3:35" x14ac:dyDescent="0.25">
      <c r="C92" s="32"/>
      <c r="H92" s="149" t="s">
        <v>340</v>
      </c>
      <c r="I92" s="161"/>
      <c r="J92" s="161"/>
      <c r="L92" s="162"/>
      <c r="M92" s="162"/>
      <c r="N92" s="25" t="s">
        <v>1313</v>
      </c>
      <c r="O92" s="164"/>
      <c r="P92" s="164"/>
      <c r="Q92" s="164"/>
      <c r="R92" s="164"/>
      <c r="S92" s="164">
        <v>6800</v>
      </c>
      <c r="T92" s="164">
        <v>228</v>
      </c>
      <c r="U92" s="164"/>
      <c r="V92" s="164"/>
      <c r="W92" s="164"/>
      <c r="X92" s="164"/>
      <c r="Y92" s="164"/>
      <c r="Z92" s="164">
        <v>2240</v>
      </c>
      <c r="AA92" s="164">
        <f>SUM(O92:Z92)</f>
        <v>9268</v>
      </c>
      <c r="AB92" s="175">
        <f>IF(AA92=0,"",IFERROR(AA92/AA$19,""))</f>
        <v>0.44389099094784235</v>
      </c>
      <c r="AD92" s="164">
        <v>2202.4504999999999</v>
      </c>
      <c r="AE92" s="175">
        <f>IF(AD92=0,"",IFERROR(AD92/AD$19,""))</f>
        <v>4.6616655378233077E-2</v>
      </c>
      <c r="AF92" s="165">
        <f>IF(AND($AA92="",AD92=""),"",$AA92-AD92)</f>
        <v>7065.5495000000001</v>
      </c>
      <c r="AG92" s="164">
        <v>630</v>
      </c>
      <c r="AH92" s="175">
        <f>IF(AG92=0,"",IFERROR(AG92/AG$19,""))</f>
        <v>2.3098922050304321E-2</v>
      </c>
      <c r="AI92" s="165">
        <f>IF(AND($AA92="",AG92=""),"",$AA92-AG92)</f>
        <v>8638</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v>461300</v>
      </c>
      <c r="M95" s="162"/>
      <c r="N95" s="162" t="s">
        <v>1260</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v>462300</v>
      </c>
      <c r="M96" s="162"/>
      <c r="N96" s="162" t="s">
        <v>1267</v>
      </c>
      <c r="O96" s="21"/>
      <c r="P96" s="21"/>
      <c r="Q96" s="21"/>
      <c r="R96" s="21"/>
      <c r="S96" s="21"/>
      <c r="T96" s="21"/>
      <c r="U96" s="21"/>
      <c r="V96" s="21"/>
      <c r="W96" s="21"/>
      <c r="X96" s="21"/>
      <c r="Y96" s="21"/>
      <c r="Z96" s="21"/>
      <c r="AA96" s="21">
        <f>SUM(O96:Z96)</f>
        <v>0</v>
      </c>
      <c r="AB96" s="17" t="str">
        <f>IF(AA96=0,"",IFERROR(AA96/AA$19,""))</f>
        <v/>
      </c>
      <c r="AD96" s="21"/>
      <c r="AE96" s="17" t="str">
        <f>IF(AD96=0,"",IFERROR(AD96/AD$19,""))</f>
        <v/>
      </c>
      <c r="AF96" s="50">
        <f>IF(AND($AA96="",AD96=""),"",$AA96-AD96)</f>
        <v>0</v>
      </c>
      <c r="AG96" s="21"/>
      <c r="AH96" s="17" t="str">
        <f>IF(AG96=0,"",IFERROR(AG96/AG$19,""))</f>
        <v/>
      </c>
      <c r="AI96" s="50">
        <f>IF(AND($AA96="",AG96=""),"",$AA96-AG96)</f>
        <v>0</v>
      </c>
    </row>
    <row r="97" spans="3:35" x14ac:dyDescent="0.25">
      <c r="C97" s="32"/>
      <c r="H97" s="149" t="s">
        <v>306</v>
      </c>
      <c r="I97" s="161"/>
      <c r="J97" s="161"/>
      <c r="L97" s="162">
        <v>463300</v>
      </c>
      <c r="M97" s="162"/>
      <c r="N97" s="162" t="s">
        <v>1274</v>
      </c>
      <c r="O97" s="21"/>
      <c r="P97" s="21"/>
      <c r="Q97" s="21"/>
      <c r="R97" s="21"/>
      <c r="S97" s="21">
        <v>500</v>
      </c>
      <c r="T97" s="21">
        <v>10</v>
      </c>
      <c r="U97" s="21"/>
      <c r="V97" s="21"/>
      <c r="W97" s="21"/>
      <c r="X97" s="21"/>
      <c r="Y97" s="21"/>
      <c r="Z97" s="21"/>
      <c r="AA97" s="21">
        <f>SUM(O97:Z97)</f>
        <v>510</v>
      </c>
      <c r="AB97" s="17">
        <f>IF(AA97=0,"",IFERROR(AA97/AA$19,""))</f>
        <v>2.4426457205804875E-2</v>
      </c>
      <c r="AD97" s="21"/>
      <c r="AE97" s="17" t="str">
        <f>IF(AD97=0,"",IFERROR(AD97/AD$19,""))</f>
        <v/>
      </c>
      <c r="AF97" s="50">
        <f>IF(AND($AA97="",AD97=""),"",$AA97-AD97)</f>
        <v>510</v>
      </c>
      <c r="AG97" s="21"/>
      <c r="AH97" s="17" t="str">
        <f>IF(AG97=0,"",IFERROR(AG97/AG$19,""))</f>
        <v/>
      </c>
      <c r="AI97" s="50">
        <f>IF(AND($AA97="",AG97=""),"",$AA97-AG97)</f>
        <v>510</v>
      </c>
    </row>
    <row r="98" spans="3:35" x14ac:dyDescent="0.25">
      <c r="C98" s="32"/>
      <c r="H98" s="149" t="s">
        <v>809</v>
      </c>
      <c r="I98" s="161"/>
      <c r="J98" s="161"/>
      <c r="L98" s="162">
        <v>471310</v>
      </c>
      <c r="M98" s="162"/>
      <c r="N98" s="162" t="s">
        <v>1296</v>
      </c>
      <c r="O98" s="21"/>
      <c r="P98" s="21"/>
      <c r="Q98" s="21"/>
      <c r="R98" s="21"/>
      <c r="S98" s="21"/>
      <c r="T98" s="21"/>
      <c r="U98" s="21"/>
      <c r="V98" s="21"/>
      <c r="W98" s="21"/>
      <c r="X98" s="21"/>
      <c r="Y98" s="21"/>
      <c r="Z98" s="21"/>
      <c r="AA98" s="21">
        <f>SUM(O98:Z98)</f>
        <v>0</v>
      </c>
      <c r="AB98" s="17" t="str">
        <f>IF(AA98=0,"",IFERROR(AA98/AA$19,""))</f>
        <v/>
      </c>
      <c r="AD98" s="21"/>
      <c r="AE98" s="17" t="str">
        <f>IF(AD98=0,"",IFERROR(AD98/AD$19,""))</f>
        <v/>
      </c>
      <c r="AF98" s="50">
        <f>IF(AND($AA98="",AD98=""),"",$AA98-AD98)</f>
        <v>0</v>
      </c>
      <c r="AG98" s="21"/>
      <c r="AH98" s="17" t="str">
        <f>IF(AG98=0,"",IFERROR(AG98/AG$19,""))</f>
        <v/>
      </c>
      <c r="AI98" s="50">
        <f>IF(AND($AA98="",AG98=""),"",$AA98-AG98)</f>
        <v>0</v>
      </c>
    </row>
    <row r="99" spans="3:35" x14ac:dyDescent="0.25">
      <c r="C99" s="32"/>
      <c r="H99" s="149" t="s">
        <v>342</v>
      </c>
      <c r="I99" s="161"/>
      <c r="J99" s="161"/>
      <c r="L99" s="162"/>
      <c r="M99" s="162"/>
      <c r="N99" s="25" t="s">
        <v>1314</v>
      </c>
      <c r="O99" s="164"/>
      <c r="P99" s="164"/>
      <c r="Q99" s="164"/>
      <c r="R99" s="164"/>
      <c r="S99" s="164">
        <v>500</v>
      </c>
      <c r="T99" s="164">
        <v>10</v>
      </c>
      <c r="U99" s="164"/>
      <c r="V99" s="164"/>
      <c r="W99" s="164"/>
      <c r="X99" s="164"/>
      <c r="Y99" s="164"/>
      <c r="Z99" s="164"/>
      <c r="AA99" s="164">
        <f>SUM(O99:Z99)</f>
        <v>510</v>
      </c>
      <c r="AB99" s="175">
        <f>IF(AA99=0,"",IFERROR(AA99/AA$19,""))</f>
        <v>2.4426457205804875E-2</v>
      </c>
      <c r="AD99" s="164"/>
      <c r="AE99" s="175" t="str">
        <f>IF(AD99=0,"",IFERROR(AD99/AD$19,""))</f>
        <v/>
      </c>
      <c r="AF99" s="165">
        <f>IF(AND($AA99="",AD99=""),"",$AA99-AD99)</f>
        <v>510</v>
      </c>
      <c r="AG99" s="164"/>
      <c r="AH99" s="175" t="str">
        <f>IF(AG99=0,"",IFERROR(AG99/AG$19,""))</f>
        <v/>
      </c>
      <c r="AI99" s="165">
        <f>IF(AND($AA99="",AG99=""),"",$AA99-AG99)</f>
        <v>510</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v>461400</v>
      </c>
      <c r="M102" s="162"/>
      <c r="N102" s="162" t="s">
        <v>1261</v>
      </c>
      <c r="O102" s="21"/>
      <c r="P102" s="21"/>
      <c r="Q102" s="21"/>
      <c r="R102" s="21"/>
      <c r="S102" s="21"/>
      <c r="T102" s="21"/>
      <c r="U102" s="21"/>
      <c r="V102" s="21"/>
      <c r="W102" s="21"/>
      <c r="X102" s="21"/>
      <c r="Y102" s="21"/>
      <c r="Z102" s="21"/>
      <c r="AA102" s="21">
        <f>SUM(O102:Z102)</f>
        <v>0</v>
      </c>
      <c r="AB102" s="17" t="str">
        <f>IF(AA102=0,"",IFERROR(AA102/AA$19,""))</f>
        <v/>
      </c>
      <c r="AD102" s="21"/>
      <c r="AE102" s="17" t="str">
        <f>IF(AD102=0,"",IFERROR(AD102/AD$19,""))</f>
        <v/>
      </c>
      <c r="AF102" s="50">
        <f>IF(AND($AA102="",AD102=""),"",$AA102-AD102)</f>
        <v>0</v>
      </c>
      <c r="AG102" s="21"/>
      <c r="AH102" s="17" t="str">
        <f>IF(AG102=0,"",IFERROR(AG102/AG$19,""))</f>
        <v/>
      </c>
      <c r="AI102" s="50">
        <f>IF(AND($AA102="",AG102=""),"",$AA102-AG102)</f>
        <v>0</v>
      </c>
    </row>
    <row r="103" spans="3:35" x14ac:dyDescent="0.25">
      <c r="C103" s="32"/>
      <c r="H103" s="149" t="s">
        <v>303</v>
      </c>
      <c r="I103" s="161"/>
      <c r="J103" s="161"/>
      <c r="L103" s="162">
        <v>462400</v>
      </c>
      <c r="M103" s="162"/>
      <c r="N103" s="162" t="s">
        <v>1268</v>
      </c>
      <c r="O103" s="21"/>
      <c r="P103" s="21"/>
      <c r="Q103" s="21"/>
      <c r="R103" s="21"/>
      <c r="S103" s="21"/>
      <c r="T103" s="21"/>
      <c r="U103" s="21"/>
      <c r="V103" s="21"/>
      <c r="W103" s="21"/>
      <c r="X103" s="21"/>
      <c r="Y103" s="21"/>
      <c r="Z103" s="21"/>
      <c r="AA103" s="21">
        <f>SUM(O103:Z103)</f>
        <v>0</v>
      </c>
      <c r="AB103" s="17" t="str">
        <f>IF(AA103=0,"",IFERROR(AA103/AA$19,""))</f>
        <v/>
      </c>
      <c r="AD103" s="21"/>
      <c r="AE103" s="17" t="str">
        <f>IF(AD103=0,"",IFERROR(AD103/AD$19,""))</f>
        <v/>
      </c>
      <c r="AF103" s="50">
        <f>IF(AND($AA103="",AD103=""),"",$AA103-AD103)</f>
        <v>0</v>
      </c>
      <c r="AG103" s="21"/>
      <c r="AH103" s="17" t="str">
        <f>IF(AG103=0,"",IFERROR(AG103/AG$19,""))</f>
        <v/>
      </c>
      <c r="AI103" s="50">
        <f>IF(AND($AA103="",AG103=""),"",$AA103-AG103)</f>
        <v>0</v>
      </c>
    </row>
    <row r="104" spans="3:35" x14ac:dyDescent="0.25">
      <c r="C104" s="32"/>
      <c r="H104" s="149" t="s">
        <v>304</v>
      </c>
      <c r="I104" s="161"/>
      <c r="J104" s="161"/>
      <c r="L104" s="162">
        <v>463400</v>
      </c>
      <c r="M104" s="162"/>
      <c r="N104" s="162" t="s">
        <v>1275</v>
      </c>
      <c r="O104" s="21"/>
      <c r="P104" s="21"/>
      <c r="Q104" s="21"/>
      <c r="R104" s="21"/>
      <c r="S104" s="21">
        <v>700</v>
      </c>
      <c r="T104" s="21"/>
      <c r="U104" s="21"/>
      <c r="V104" s="21"/>
      <c r="W104" s="21"/>
      <c r="X104" s="21"/>
      <c r="Y104" s="21"/>
      <c r="Z104" s="21">
        <v>53.79</v>
      </c>
      <c r="AA104" s="21">
        <f>SUM(O104:Z104)</f>
        <v>753.79</v>
      </c>
      <c r="AB104" s="17">
        <f>IF(AA104=0,"",IFERROR(AA104/AA$19,""))</f>
        <v>3.6102782700320891E-2</v>
      </c>
      <c r="AD104" s="21"/>
      <c r="AE104" s="17" t="str">
        <f>IF(AD104=0,"",IFERROR(AD104/AD$19,""))</f>
        <v/>
      </c>
      <c r="AF104" s="50">
        <f>IF(AND($AA104="",AD104=""),"",$AA104-AD104)</f>
        <v>753.79</v>
      </c>
      <c r="AG104" s="21"/>
      <c r="AH104" s="17" t="str">
        <f>IF(AG104=0,"",IFERROR(AG104/AG$19,""))</f>
        <v/>
      </c>
      <c r="AI104" s="50">
        <f>IF(AND($AA104="",AG104=""),"",$AA104-AG104)</f>
        <v>753.79</v>
      </c>
    </row>
    <row r="105" spans="3:35" x14ac:dyDescent="0.25">
      <c r="C105" s="32"/>
      <c r="H105" s="149" t="s">
        <v>810</v>
      </c>
      <c r="I105" s="161"/>
      <c r="J105" s="161"/>
      <c r="L105" s="162">
        <v>471410</v>
      </c>
      <c r="M105" s="162"/>
      <c r="N105" s="162" t="s">
        <v>1297</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341</v>
      </c>
      <c r="I106" s="161"/>
      <c r="J106" s="161"/>
      <c r="L106" s="162"/>
      <c r="M106" s="162"/>
      <c r="N106" s="25" t="s">
        <v>1315</v>
      </c>
      <c r="O106" s="164"/>
      <c r="P106" s="164"/>
      <c r="Q106" s="164"/>
      <c r="R106" s="164"/>
      <c r="S106" s="164">
        <v>700</v>
      </c>
      <c r="T106" s="164"/>
      <c r="U106" s="164"/>
      <c r="V106" s="164"/>
      <c r="W106" s="164"/>
      <c r="X106" s="164"/>
      <c r="Y106" s="164"/>
      <c r="Z106" s="164">
        <v>53.79</v>
      </c>
      <c r="AA106" s="164">
        <f>SUM(O106:Z106)</f>
        <v>753.79</v>
      </c>
      <c r="AB106" s="175">
        <f>IF(AA106=0,"",IFERROR(AA106/AA$19,""))</f>
        <v>3.6102782700320891E-2</v>
      </c>
      <c r="AD106" s="164"/>
      <c r="AE106" s="175" t="str">
        <f>IF(AD106=0,"",IFERROR(AD106/AD$19,""))</f>
        <v/>
      </c>
      <c r="AF106" s="165">
        <f>IF(AND($AA106="",AD106=""),"",$AA106-AD106)</f>
        <v>753.79</v>
      </c>
      <c r="AG106" s="164"/>
      <c r="AH106" s="175" t="str">
        <f>IF(AG106=0,"",IFERROR(AG106/AG$19,""))</f>
        <v/>
      </c>
      <c r="AI106" s="165">
        <f>IF(AND($AA106="",AG106=""),"",$AA106-AG106)</f>
        <v>753.79</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c r="M108" s="162"/>
      <c r="N108" s="162" t="s">
        <v>1316</v>
      </c>
      <c r="O108" s="21">
        <f t="shared" ref="O108:Z108" si="22">O88+O95+O102</f>
        <v>0</v>
      </c>
      <c r="P108" s="21">
        <f t="shared" si="22"/>
        <v>0</v>
      </c>
      <c r="Q108" s="21">
        <f t="shared" si="22"/>
        <v>0</v>
      </c>
      <c r="R108" s="21">
        <f t="shared" si="22"/>
        <v>0</v>
      </c>
      <c r="S108" s="21">
        <f t="shared" si="22"/>
        <v>0</v>
      </c>
      <c r="T108" s="21">
        <f t="shared" si="22"/>
        <v>0</v>
      </c>
      <c r="U108" s="21">
        <f t="shared" si="22"/>
        <v>0</v>
      </c>
      <c r="V108" s="21">
        <f t="shared" si="22"/>
        <v>0</v>
      </c>
      <c r="W108" s="21">
        <f t="shared" si="22"/>
        <v>0</v>
      </c>
      <c r="X108" s="21">
        <f t="shared" si="22"/>
        <v>0</v>
      </c>
      <c r="Y108" s="21">
        <f t="shared" si="22"/>
        <v>0</v>
      </c>
      <c r="Z108" s="21">
        <f t="shared" si="22"/>
        <v>0</v>
      </c>
      <c r="AA108" s="21">
        <f>SUM(O108:Z108)</f>
        <v>0</v>
      </c>
      <c r="AB108" s="17" t="str">
        <f>IF(AA108=0,"",IFERROR(AA108/AA$19,""))</f>
        <v/>
      </c>
      <c r="AD108" s="21">
        <f>AD88+AD95+AD102</f>
        <v>0</v>
      </c>
      <c r="AE108" s="17" t="str">
        <f>IF(AD108=0,"",IFERROR(AD108/AD$19,""))</f>
        <v/>
      </c>
      <c r="AF108" s="50">
        <f>IF(AND($AA108="",AD108=""),"",$AA108-AD108)</f>
        <v>0</v>
      </c>
      <c r="AG108" s="21">
        <f>AG88+AG95+AG102</f>
        <v>0</v>
      </c>
      <c r="AH108" s="17" t="str">
        <f>IF(AG108=0,"",IFERROR(AG108/AG$19,""))</f>
        <v/>
      </c>
      <c r="AI108" s="50">
        <f>IF(AND($AA108="",AG108=""),"",$AA108-AG108)</f>
        <v>0</v>
      </c>
    </row>
    <row r="109" spans="3:35" x14ac:dyDescent="0.25">
      <c r="C109" s="32"/>
      <c r="H109" s="15" t="s">
        <v>268</v>
      </c>
      <c r="I109" s="161"/>
      <c r="J109" s="161"/>
      <c r="L109" s="162"/>
      <c r="M109" s="162"/>
      <c r="N109" s="162" t="s">
        <v>1317</v>
      </c>
      <c r="O109" s="21">
        <f t="shared" ref="O109:Z109" si="23">O89+O96+O103</f>
        <v>0</v>
      </c>
      <c r="P109" s="21">
        <f t="shared" si="23"/>
        <v>0</v>
      </c>
      <c r="Q109" s="21">
        <f t="shared" si="23"/>
        <v>0</v>
      </c>
      <c r="R109" s="21">
        <f t="shared" si="23"/>
        <v>0</v>
      </c>
      <c r="S109" s="21">
        <f t="shared" si="23"/>
        <v>0</v>
      </c>
      <c r="T109" s="21">
        <f t="shared" si="23"/>
        <v>0</v>
      </c>
      <c r="U109" s="21">
        <f t="shared" si="23"/>
        <v>0</v>
      </c>
      <c r="V109" s="21">
        <f t="shared" si="23"/>
        <v>0</v>
      </c>
      <c r="W109" s="21">
        <f t="shared" si="23"/>
        <v>0</v>
      </c>
      <c r="X109" s="21">
        <f t="shared" si="23"/>
        <v>0</v>
      </c>
      <c r="Y109" s="21">
        <f t="shared" si="23"/>
        <v>0</v>
      </c>
      <c r="Z109" s="21">
        <f t="shared" si="23"/>
        <v>0</v>
      </c>
      <c r="AA109" s="21">
        <f>SUM(O109:Z109)</f>
        <v>0</v>
      </c>
      <c r="AB109" s="17" t="str">
        <f>IF(AA109=0,"",IFERROR(AA109/AA$19,""))</f>
        <v/>
      </c>
      <c r="AD109" s="21">
        <f>AD89+AD96+AD103</f>
        <v>0</v>
      </c>
      <c r="AE109" s="17" t="str">
        <f>IF(AD109=0,"",IFERROR(AD109/AD$19,""))</f>
        <v/>
      </c>
      <c r="AF109" s="50">
        <f>IF(AND($AA109="",AD109=""),"",$AA109-AD109)</f>
        <v>0</v>
      </c>
      <c r="AG109" s="21">
        <f>AG89+AG96+AG103</f>
        <v>0</v>
      </c>
      <c r="AH109" s="17" t="str">
        <f>IF(AG109=0,"",IFERROR(AG109/AG$19,""))</f>
        <v/>
      </c>
      <c r="AI109" s="50">
        <f>IF(AND($AA109="",AG109=""),"",$AA109-AG109)</f>
        <v>0</v>
      </c>
    </row>
    <row r="110" spans="3:35" x14ac:dyDescent="0.25">
      <c r="C110" s="32"/>
      <c r="H110" s="149" t="s">
        <v>269</v>
      </c>
      <c r="I110" s="161"/>
      <c r="J110" s="161"/>
      <c r="L110" s="162"/>
      <c r="M110" s="162"/>
      <c r="N110" s="162" t="s">
        <v>1318</v>
      </c>
      <c r="O110" s="21">
        <f t="shared" ref="O110:Z110" si="24">O90+O97+O104</f>
        <v>0</v>
      </c>
      <c r="P110" s="21">
        <f t="shared" si="24"/>
        <v>0</v>
      </c>
      <c r="Q110" s="21">
        <f t="shared" si="24"/>
        <v>0</v>
      </c>
      <c r="R110" s="21">
        <f t="shared" si="24"/>
        <v>0</v>
      </c>
      <c r="S110" s="21">
        <f t="shared" si="24"/>
        <v>8000</v>
      </c>
      <c r="T110" s="21">
        <f t="shared" si="24"/>
        <v>238</v>
      </c>
      <c r="U110" s="21">
        <f t="shared" si="24"/>
        <v>0</v>
      </c>
      <c r="V110" s="21">
        <f t="shared" si="24"/>
        <v>0</v>
      </c>
      <c r="W110" s="21">
        <f t="shared" si="24"/>
        <v>0</v>
      </c>
      <c r="X110" s="21">
        <f t="shared" si="24"/>
        <v>0</v>
      </c>
      <c r="Y110" s="21">
        <f t="shared" si="24"/>
        <v>0</v>
      </c>
      <c r="Z110" s="21">
        <f t="shared" si="24"/>
        <v>53.79</v>
      </c>
      <c r="AA110" s="21">
        <f>SUM(O110:Z110)</f>
        <v>8291.7900000000009</v>
      </c>
      <c r="AB110" s="17">
        <f>IF(AA110=0,"",IFERROR(AA110/AA$19,""))</f>
        <v>0.39713539920494279</v>
      </c>
      <c r="AD110" s="21">
        <f>AD90+AD97+AD104</f>
        <v>1957.9905000000001</v>
      </c>
      <c r="AE110" s="17">
        <f>IF(AD110=0,"",IFERROR(AD110/AD$19,""))</f>
        <v>4.1442460737416927E-2</v>
      </c>
      <c r="AF110" s="50">
        <f>IF(AND($AA110="",AD110=""),"",$AA110-AD110)</f>
        <v>6333.799500000001</v>
      </c>
      <c r="AG110" s="21">
        <f>AG90+AG97+AG104</f>
        <v>630</v>
      </c>
      <c r="AH110" s="17">
        <f>IF(AG110=0,"",IFERROR(AG110/AG$19,""))</f>
        <v>2.3098922050304321E-2</v>
      </c>
      <c r="AI110" s="50">
        <f>IF(AND($AA110="",AG110=""),"",$AA110-AG110)</f>
        <v>7661.7900000000009</v>
      </c>
    </row>
    <row r="111" spans="3:35" x14ac:dyDescent="0.25">
      <c r="C111" s="32"/>
      <c r="H111" s="149" t="s">
        <v>791</v>
      </c>
      <c r="I111" s="161"/>
      <c r="J111" s="161"/>
      <c r="L111" s="162"/>
      <c r="M111" s="162"/>
      <c r="N111" s="162" t="s">
        <v>1477</v>
      </c>
      <c r="O111" s="21">
        <f t="shared" ref="O111:Z111" si="25">O91+O98+O105</f>
        <v>0</v>
      </c>
      <c r="P111" s="21">
        <f t="shared" si="25"/>
        <v>0</v>
      </c>
      <c r="Q111" s="21">
        <f t="shared" si="25"/>
        <v>0</v>
      </c>
      <c r="R111" s="21">
        <f t="shared" si="25"/>
        <v>0</v>
      </c>
      <c r="S111" s="21">
        <f t="shared" si="25"/>
        <v>0</v>
      </c>
      <c r="T111" s="21">
        <f t="shared" si="25"/>
        <v>0</v>
      </c>
      <c r="U111" s="21">
        <f t="shared" si="25"/>
        <v>0</v>
      </c>
      <c r="V111" s="21">
        <f t="shared" si="25"/>
        <v>0</v>
      </c>
      <c r="W111" s="21">
        <f t="shared" si="25"/>
        <v>0</v>
      </c>
      <c r="X111" s="21">
        <f t="shared" si="25"/>
        <v>0</v>
      </c>
      <c r="Y111" s="21">
        <f t="shared" si="25"/>
        <v>0</v>
      </c>
      <c r="Z111" s="21">
        <f t="shared" si="25"/>
        <v>2240</v>
      </c>
      <c r="AA111" s="21">
        <f>SUM(O111:Z111)</f>
        <v>2240</v>
      </c>
      <c r="AB111" s="17">
        <f>IF(AA111=0,"",IFERROR(AA111/AA$19,""))</f>
        <v>0.10728483164902533</v>
      </c>
      <c r="AD111" s="21">
        <f>AD91+AD98+AD105</f>
        <v>244.46</v>
      </c>
      <c r="AE111" s="17">
        <f>IF(AD111=0,"",IFERROR(AD111/AD$19,""))</f>
        <v>5.1741946408161536E-3</v>
      </c>
      <c r="AF111" s="50">
        <f>IF(AND($AA111="",AD111=""),"",$AA111-AD111)</f>
        <v>1995.54</v>
      </c>
      <c r="AG111" s="21">
        <f>AG91+AG98+AG105</f>
        <v>0</v>
      </c>
      <c r="AH111" s="17" t="str">
        <f>IF(AG111=0,"",IFERROR(AG111/AG$19,""))</f>
        <v/>
      </c>
      <c r="AI111" s="50">
        <f>IF(AND($AA111="",AG111=""),"",$AA111-AG111)</f>
        <v>2240</v>
      </c>
    </row>
    <row r="112" spans="3:35" x14ac:dyDescent="0.25">
      <c r="C112" s="32"/>
      <c r="H112" s="15" t="s">
        <v>272</v>
      </c>
      <c r="I112" s="161"/>
      <c r="J112" s="161"/>
      <c r="L112" s="162"/>
      <c r="M112" s="162"/>
      <c r="N112" s="25" t="s">
        <v>1212</v>
      </c>
      <c r="O112" s="164">
        <f t="shared" ref="O112:Z112" si="26">SUM(O108:O111)</f>
        <v>0</v>
      </c>
      <c r="P112" s="164">
        <f t="shared" si="26"/>
        <v>0</v>
      </c>
      <c r="Q112" s="164">
        <f t="shared" si="26"/>
        <v>0</v>
      </c>
      <c r="R112" s="164">
        <f t="shared" si="26"/>
        <v>0</v>
      </c>
      <c r="S112" s="164">
        <f t="shared" si="26"/>
        <v>8000</v>
      </c>
      <c r="T112" s="164">
        <f t="shared" si="26"/>
        <v>238</v>
      </c>
      <c r="U112" s="164">
        <f t="shared" si="26"/>
        <v>0</v>
      </c>
      <c r="V112" s="164">
        <f t="shared" si="26"/>
        <v>0</v>
      </c>
      <c r="W112" s="164">
        <f t="shared" si="26"/>
        <v>0</v>
      </c>
      <c r="X112" s="164">
        <f t="shared" si="26"/>
        <v>0</v>
      </c>
      <c r="Y112" s="164">
        <f t="shared" si="26"/>
        <v>0</v>
      </c>
      <c r="Z112" s="164">
        <f t="shared" si="26"/>
        <v>2293.79</v>
      </c>
      <c r="AA112" s="164">
        <f>SUM(O112:Z112)</f>
        <v>10531.79</v>
      </c>
      <c r="AB112" s="175">
        <f>IF(AA112=0,"",IFERROR(AA112/AA$19,""))</f>
        <v>0.50442023085396814</v>
      </c>
      <c r="AD112" s="164">
        <f>SUM(AD108:AD111)</f>
        <v>2202.4504999999999</v>
      </c>
      <c r="AE112" s="175">
        <f>IF(AD112=0,"",IFERROR(AD112/AD$19,""))</f>
        <v>4.6616655378233077E-2</v>
      </c>
      <c r="AF112" s="165">
        <f>IF(AND($AA112="",AD112=""),"",$AA112-AD112)</f>
        <v>8329.3395000000019</v>
      </c>
      <c r="AG112" s="164">
        <f>SUM(AG108:AG111)</f>
        <v>630</v>
      </c>
      <c r="AH112" s="175">
        <f>IF(AG112=0,"",IFERROR(AG112/AG$19,""))</f>
        <v>2.3098922050304321E-2</v>
      </c>
      <c r="AI112" s="165">
        <f>IF(AND($AA112="",AG112=""),"",$AA112-AG112)</f>
        <v>9901.7900000000009</v>
      </c>
    </row>
    <row r="113" spans="3:35" x14ac:dyDescent="0.25">
      <c r="C113" s="32"/>
      <c r="H113" s="149"/>
      <c r="I113" s="161"/>
      <c r="J113" s="161"/>
      <c r="O113" s="139">
        <f t="shared" ref="O113:AA113" si="27">O92+O99+O106-O112</f>
        <v>0</v>
      </c>
      <c r="P113" s="139">
        <f t="shared" si="27"/>
        <v>0</v>
      </c>
      <c r="Q113" s="139">
        <f t="shared" si="27"/>
        <v>0</v>
      </c>
      <c r="R113" s="139">
        <f t="shared" si="27"/>
        <v>0</v>
      </c>
      <c r="S113" s="139">
        <f t="shared" si="27"/>
        <v>0</v>
      </c>
      <c r="T113" s="139">
        <f t="shared" si="27"/>
        <v>0</v>
      </c>
      <c r="U113" s="139">
        <f t="shared" si="27"/>
        <v>0</v>
      </c>
      <c r="V113" s="139">
        <f t="shared" si="27"/>
        <v>0</v>
      </c>
      <c r="W113" s="139">
        <f t="shared" si="27"/>
        <v>0</v>
      </c>
      <c r="X113" s="139">
        <f t="shared" si="27"/>
        <v>0</v>
      </c>
      <c r="Y113" s="139">
        <f t="shared" si="27"/>
        <v>0</v>
      </c>
      <c r="Z113" s="139">
        <f t="shared" si="27"/>
        <v>0</v>
      </c>
      <c r="AA113" s="139">
        <f t="shared" si="27"/>
        <v>0</v>
      </c>
      <c r="AB113" s="17"/>
      <c r="AD113" s="139">
        <f>AD92+AD99+AD106-AD112</f>
        <v>0</v>
      </c>
      <c r="AE113" s="17"/>
      <c r="AF113" s="21"/>
      <c r="AG113" s="139">
        <f>AG92+AG99+AG106-AG112</f>
        <v>0</v>
      </c>
      <c r="AH113" s="17"/>
      <c r="AI113" s="21"/>
    </row>
    <row r="114" spans="3:35" x14ac:dyDescent="0.25">
      <c r="C114" s="32"/>
      <c r="H114" s="149"/>
      <c r="I114" s="161"/>
      <c r="J114" s="161"/>
      <c r="O114" s="41"/>
      <c r="P114" s="45"/>
      <c r="Q114" s="45"/>
      <c r="R114" s="45"/>
      <c r="S114" s="45"/>
      <c r="T114" s="45"/>
      <c r="U114" s="45"/>
      <c r="V114" s="45"/>
      <c r="W114" s="45"/>
      <c r="X114" s="45"/>
      <c r="Y114" s="45"/>
      <c r="Z114" s="45"/>
      <c r="AA114" s="45"/>
      <c r="AB114" s="42"/>
      <c r="AD114" s="41"/>
      <c r="AE114" s="45"/>
      <c r="AF114" s="42"/>
      <c r="AG114" s="41"/>
      <c r="AH114" s="45"/>
      <c r="AI114" s="42"/>
    </row>
    <row r="115" spans="3:35" x14ac:dyDescent="0.25">
      <c r="C115" s="32"/>
    </row>
    <row r="116" spans="3:35" x14ac:dyDescent="0.25">
      <c r="C116" s="32"/>
      <c r="H116" s="149"/>
      <c r="I116" s="161"/>
      <c r="J116" s="161"/>
      <c r="N116" s="26" t="str">
        <f>N82&amp;" - Check"</f>
        <v>Total Food &amp; Beverage Revenue - Check</v>
      </c>
      <c r="O116" s="139">
        <f t="shared" ref="O116:AA116" si="28">O39+O49+O59+O69+O75+O80-O82</f>
        <v>0</v>
      </c>
      <c r="P116" s="139">
        <f t="shared" si="28"/>
        <v>0</v>
      </c>
      <c r="Q116" s="139">
        <f t="shared" si="28"/>
        <v>0</v>
      </c>
      <c r="R116" s="139">
        <f t="shared" si="28"/>
        <v>0</v>
      </c>
      <c r="S116" s="139">
        <f t="shared" si="28"/>
        <v>0</v>
      </c>
      <c r="T116" s="139">
        <f t="shared" si="28"/>
        <v>0</v>
      </c>
      <c r="U116" s="139">
        <f t="shared" si="28"/>
        <v>0</v>
      </c>
      <c r="V116" s="139">
        <f t="shared" si="28"/>
        <v>0</v>
      </c>
      <c r="W116" s="139">
        <f t="shared" si="28"/>
        <v>0</v>
      </c>
      <c r="X116" s="139">
        <f t="shared" si="28"/>
        <v>0</v>
      </c>
      <c r="Y116" s="139">
        <f t="shared" si="28"/>
        <v>0</v>
      </c>
      <c r="Z116" s="139">
        <f t="shared" si="28"/>
        <v>0</v>
      </c>
      <c r="AA116" s="139">
        <f t="shared" si="28"/>
        <v>0</v>
      </c>
      <c r="AB116" s="17"/>
      <c r="AD116" s="139">
        <f>AD39+AD49+AD59+AD69+AD75+AD80-AD82</f>
        <v>0</v>
      </c>
      <c r="AE116" s="17"/>
      <c r="AF116" s="21"/>
      <c r="AG116" s="139">
        <f>AG39+AG49+AG59+AG69+AG75+AG80-AG82</f>
        <v>0</v>
      </c>
      <c r="AH116" s="17"/>
      <c r="AI116" s="21"/>
    </row>
    <row r="117" spans="3:35" x14ac:dyDescent="0.25">
      <c r="C117" s="32"/>
      <c r="H117" s="149"/>
      <c r="I117" s="161"/>
      <c r="J117" s="161"/>
      <c r="N117" s="26" t="str">
        <f>N83&amp;" - Check"</f>
        <v>Total Customers - Check</v>
      </c>
      <c r="O117" s="139">
        <f t="shared" ref="O117:AA117" si="29">O41+O51+O61+O70+O76-O83</f>
        <v>0</v>
      </c>
      <c r="P117" s="139">
        <f t="shared" si="29"/>
        <v>0</v>
      </c>
      <c r="Q117" s="139">
        <f t="shared" si="29"/>
        <v>0</v>
      </c>
      <c r="R117" s="139">
        <f t="shared" si="29"/>
        <v>0</v>
      </c>
      <c r="S117" s="139">
        <f t="shared" si="29"/>
        <v>0</v>
      </c>
      <c r="T117" s="139">
        <f t="shared" si="29"/>
        <v>0</v>
      </c>
      <c r="U117" s="139">
        <f t="shared" si="29"/>
        <v>0</v>
      </c>
      <c r="V117" s="139">
        <f t="shared" si="29"/>
        <v>0</v>
      </c>
      <c r="W117" s="139">
        <f t="shared" si="29"/>
        <v>0</v>
      </c>
      <c r="X117" s="139">
        <f t="shared" si="29"/>
        <v>0</v>
      </c>
      <c r="Y117" s="139">
        <f t="shared" si="29"/>
        <v>0</v>
      </c>
      <c r="Z117" s="139">
        <f t="shared" si="29"/>
        <v>0</v>
      </c>
      <c r="AA117" s="139">
        <f t="shared" si="29"/>
        <v>0</v>
      </c>
      <c r="AB117" s="17"/>
      <c r="AD117" s="139">
        <f>AD41+AD51+AD61+AD70+AD76-AD83</f>
        <v>0</v>
      </c>
      <c r="AE117" s="17"/>
      <c r="AF117" s="21"/>
      <c r="AG117" s="139">
        <f>AG41+AG51+AG61+AG70+AG76-AG83</f>
        <v>0</v>
      </c>
      <c r="AH117" s="17"/>
      <c r="AI117" s="21"/>
    </row>
    <row r="118" spans="3:35" x14ac:dyDescent="0.25">
      <c r="C118" s="32"/>
      <c r="H118" s="149"/>
      <c r="I118" s="161"/>
      <c r="J118" s="161"/>
      <c r="N118" s="26" t="str">
        <f>N84&amp;" - Check"</f>
        <v>Total Average Check - Check</v>
      </c>
      <c r="O118" s="178" t="e">
        <f t="shared" ref="O118:AA118" si="30">IFERROR(O$82/O83,"")-O84</f>
        <v>#VALUE!</v>
      </c>
      <c r="P118" s="178" t="e">
        <f t="shared" si="30"/>
        <v>#VALUE!</v>
      </c>
      <c r="Q118" s="178" t="e">
        <f t="shared" si="30"/>
        <v>#VALUE!</v>
      </c>
      <c r="R118" s="178" t="e">
        <f t="shared" si="30"/>
        <v>#VALUE!</v>
      </c>
      <c r="S118" s="178">
        <f t="shared" si="30"/>
        <v>0</v>
      </c>
      <c r="T118" s="178" t="e">
        <f t="shared" si="30"/>
        <v>#VALUE!</v>
      </c>
      <c r="U118" s="178" t="e">
        <f t="shared" si="30"/>
        <v>#VALUE!</v>
      </c>
      <c r="V118" s="178">
        <f t="shared" si="30"/>
        <v>0</v>
      </c>
      <c r="W118" s="178" t="e">
        <f t="shared" si="30"/>
        <v>#VALUE!</v>
      </c>
      <c r="X118" s="178" t="e">
        <f t="shared" si="30"/>
        <v>#VALUE!</v>
      </c>
      <c r="Y118" s="178" t="e">
        <f t="shared" si="30"/>
        <v>#VALUE!</v>
      </c>
      <c r="Z118" s="178">
        <f t="shared" si="30"/>
        <v>0</v>
      </c>
      <c r="AA118" s="178">
        <f t="shared" si="30"/>
        <v>0</v>
      </c>
      <c r="AB118" s="17"/>
      <c r="AD118" s="178">
        <f>IFERROR(AD$82/AD83,"")-AD84</f>
        <v>0</v>
      </c>
      <c r="AE118" s="17"/>
      <c r="AF118" s="21"/>
      <c r="AG118" s="178">
        <f>IFERROR(AG$82/AG83,"")-AG84</f>
        <v>0</v>
      </c>
      <c r="AH118" s="17"/>
      <c r="AI118" s="21"/>
    </row>
    <row r="119" spans="3:35" x14ac:dyDescent="0.25">
      <c r="C119" s="32"/>
    </row>
    <row r="120" spans="3:35" x14ac:dyDescent="0.25">
      <c r="C120" s="32"/>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4" spans="3:34" x14ac:dyDescent="0.25">
      <c r="C134"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c r="I141" s="76"/>
      <c r="J141" s="1"/>
      <c r="K141" s="76"/>
      <c r="L141" s="76"/>
      <c r="M141" s="76"/>
      <c r="O141" s="76"/>
      <c r="P141" s="76"/>
      <c r="Q141" s="76"/>
      <c r="R141" s="76"/>
      <c r="S141" s="76"/>
      <c r="T141" s="76"/>
      <c r="U141" s="76"/>
      <c r="V141" s="76"/>
      <c r="W141" s="76"/>
      <c r="X141" s="76"/>
      <c r="Y141" s="76"/>
      <c r="Z141" s="76"/>
      <c r="AA141" s="76"/>
      <c r="AD141" s="76"/>
      <c r="AF141" s="76"/>
      <c r="AH141" s="76"/>
    </row>
    <row r="142" spans="3:34" x14ac:dyDescent="0.25">
      <c r="C142" s="32"/>
    </row>
    <row r="143" spans="3:34" x14ac:dyDescent="0.25">
      <c r="C143" s="32"/>
    </row>
    <row r="144" spans="3:34" x14ac:dyDescent="0.25">
      <c r="C144" s="32"/>
    </row>
    <row r="145" spans="3:34" x14ac:dyDescent="0.25">
      <c r="C145" s="32"/>
      <c r="I145" s="76"/>
      <c r="J145" s="1"/>
      <c r="K145" s="76"/>
      <c r="L145" s="76"/>
      <c r="M145" s="76"/>
      <c r="O145" s="76"/>
      <c r="P145" s="76"/>
      <c r="Q145" s="76"/>
      <c r="R145" s="76"/>
      <c r="S145" s="76"/>
      <c r="T145" s="76"/>
      <c r="U145" s="76"/>
      <c r="V145" s="76"/>
      <c r="W145" s="76"/>
      <c r="X145" s="76"/>
      <c r="Y145" s="76"/>
      <c r="Z145" s="76"/>
      <c r="AA145" s="76"/>
      <c r="AD145" s="76"/>
      <c r="AF145" s="76"/>
      <c r="AH145" s="76"/>
    </row>
    <row r="146" spans="3:34" x14ac:dyDescent="0.25">
      <c r="C146" s="32"/>
    </row>
    <row r="147" spans="3:34" x14ac:dyDescent="0.25">
      <c r="C147" s="32"/>
    </row>
    <row r="148" spans="3:34" x14ac:dyDescent="0.25">
      <c r="C148" s="32"/>
    </row>
    <row r="202" spans="5:5" x14ac:dyDescent="0.25">
      <c r="E202" s="76"/>
    </row>
    <row r="206" spans="5:5" x14ac:dyDescent="0.25">
      <c r="E206" s="76"/>
    </row>
  </sheetData>
  <mergeCells count="2">
    <mergeCell ref="AD31:AE31"/>
    <mergeCell ref="AG31:AH31"/>
  </mergeCells>
  <conditionalFormatting sqref="AD43 AF43:AG43 O43:AA43">
    <cfRule type="expression" dxfId="11" priority="10">
      <formula>ROUND(O42,2)&lt;&gt;ROUND(O43,2)</formula>
    </cfRule>
  </conditionalFormatting>
  <conditionalFormatting sqref="O53:AA53 AD53 AF53:AG53">
    <cfRule type="expression" dxfId="10" priority="9">
      <formula>ROUND(O52,2)&lt;&gt;ROUND(O53,2)</formula>
    </cfRule>
  </conditionalFormatting>
  <conditionalFormatting sqref="O63:AA63 AD63 AF63:AG63">
    <cfRule type="expression" dxfId="9" priority="8">
      <formula>ROUND(O62,2)&lt;&gt;ROUND(O63,2)</formula>
    </cfRule>
  </conditionalFormatting>
  <conditionalFormatting sqref="O72:AA72 AD72 AF72:AG72">
    <cfRule type="expression" dxfId="8" priority="7">
      <formula>ROUND(O71,2)&lt;&gt;ROUND(O72,2)</formula>
    </cfRule>
  </conditionalFormatting>
  <conditionalFormatting sqref="AD78 AF78:AG78 O78:AA78">
    <cfRule type="expression" dxfId="7" priority="6">
      <formula>ROUND(O77,2)&lt;&gt;ROUND(O78,2)</formula>
    </cfRule>
  </conditionalFormatting>
  <conditionalFormatting sqref="AI43">
    <cfRule type="expression" dxfId="6" priority="5">
      <formula>ROUND(AI42,2)&lt;&gt;ROUND(AI43,2)</formula>
    </cfRule>
  </conditionalFormatting>
  <conditionalFormatting sqref="AI53">
    <cfRule type="expression" dxfId="5" priority="4">
      <formula>ROUND(AI52,2)&lt;&gt;ROUND(AI53,2)</formula>
    </cfRule>
  </conditionalFormatting>
  <conditionalFormatting sqref="AI63">
    <cfRule type="expression" dxfId="4" priority="3">
      <formula>ROUND(AI62,2)&lt;&gt;ROUND(AI63,2)</formula>
    </cfRule>
  </conditionalFormatting>
  <conditionalFormatting sqref="AI72">
    <cfRule type="expression" dxfId="3" priority="2">
      <formula>ROUND(AI71,2)&lt;&gt;ROUND(AI72,2)</formula>
    </cfRule>
  </conditionalFormatting>
  <conditionalFormatting sqref="AI78">
    <cfRule type="expression" dxfId="2" priority="1">
      <formula>ROUND(AI77,2)&lt;&gt;ROUND(AI78,2)</formula>
    </cfRule>
  </conditionalFormatting>
  <conditionalFormatting sqref="N43 N53 N63 N72 N78">
    <cfRule type="expression" dxfId="1" priority="11">
      <formula>$G44&lt;&gt;0</formula>
    </cfRule>
  </conditionalFormatting>
  <conditionalFormatting sqref="N79">
    <cfRule type="expression" dxfId="0" priority="12">
      <formula>#REF!&lt;&gt;0</formula>
    </cfRule>
  </conditionalFormatting>
  <dataValidations count="2">
    <dataValidation type="list" allowBlank="1" sqref="B28" xr:uid="{00000000-0002-0000-3900-000000000000}">
      <formula1>"ACCOUNT,BUSINESSUNIT,CATEGORY,DATASRC,DEPARTMENT,INTCO,MEASURES,RPTCURRENCY,TIME"</formula1>
    </dataValidation>
    <dataValidation type="list" allowBlank="1" sqref="B29" xr:uid="{00000000-0002-0000-3900-000001000000}">
      <formula1>"SELF,ALL,BAS,DEP,BASMEMBERS,MEMBERS,NOEXPAND,GDEP"</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operties>
  <drawing r:id="rId3"/>
  <legacyDrawing r:id="rId4"/>
  <controls>
    <mc:AlternateContent xmlns:mc="http://schemas.openxmlformats.org/markup-compatibility/2006">
      <mc:Choice Requires="x14">
        <control shapeId="359427"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59427" r:id="rId5" name="FPMExcelClientSheetOptionstb1"/>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349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_xll.EVRNG(H35:H41)</f>
        <v>#NAME?</v>
      </c>
      <c r="G19" s="18" t="str">
        <f>$B$6</f>
        <v>D1149</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_xll.EVRNG(A36:F43)</f>
        <v>#NAME?</v>
      </c>
      <c r="I22" s="1"/>
      <c r="J22" s="1"/>
    </row>
    <row r="23" spans="1:40" hidden="1" outlineLevel="1" x14ac:dyDescent="0.25">
      <c r="A23" s="6" t="s">
        <v>47</v>
      </c>
      <c r="B23" s="7" t="e">
        <f ca="1">_xll.EVRNG($A$123:$B$144)</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"&amp;$E$6&amp;"=Y,DEP(REV_BEV) AND "&amp;$E$6&amp;"=Y,ALLOW_FB,REV_FB,DEP(REV_MISC_OTHR) AND "&amp;$E$6&amp;"=Y,468990,400000"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L34" s="196" t="s">
        <v>364</v>
      </c>
      <c r="M34" s="196" t="s">
        <v>782</v>
      </c>
      <c r="N34" s="8" t="s">
        <v>356</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350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449">
        <v>2891</v>
      </c>
      <c r="P35" s="449">
        <v>2684</v>
      </c>
      <c r="Q35" s="449">
        <v>3121</v>
      </c>
      <c r="R35" s="449">
        <v>1855.55</v>
      </c>
      <c r="S35" s="449">
        <v>2588.5500000000002</v>
      </c>
      <c r="T35" s="21">
        <v>3167</v>
      </c>
      <c r="U35" s="21">
        <v>3980.01</v>
      </c>
      <c r="V35" s="21">
        <v>2569</v>
      </c>
      <c r="W35" s="21">
        <v>2175</v>
      </c>
      <c r="X35" s="21">
        <v>2440.4899999999998</v>
      </c>
      <c r="Y35" s="21">
        <v>2356</v>
      </c>
      <c r="Z35" s="21">
        <v>1058</v>
      </c>
      <c r="AA35" s="310" t="e">
        <f t="shared" ref="AA35:AA41" ca="1" si="0">IF($I35="B1","",SUM(O35:Z35))</f>
        <v>#NAME?</v>
      </c>
      <c r="AB35" s="17" t="e">
        <f t="shared" ref="AB35:AB41" ca="1" si="1">IF(AA35=0,"",IFERROR(AA35/AA$19,""))</f>
        <v>#NAME?</v>
      </c>
      <c r="AD35" s="21">
        <v>67573.5</v>
      </c>
      <c r="AE35" s="17" t="str">
        <f t="shared" ref="AE35:AE41" ca="1" si="2">IF(AD35=0,"",IFERROR(AD35/AD$19,""))</f>
        <v/>
      </c>
      <c r="AF35" s="50" t="e">
        <f t="shared" ref="AF35:AF41" ca="1" si="3">IF(AND($AA35="",AD35=""),"",$AA35-AD35)</f>
        <v>#NAME?</v>
      </c>
      <c r="AG35" s="21">
        <v>53085.5</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351</v>
      </c>
      <c r="I36" s="161" t="e">
        <f ca="1">_xll.EVPRO($B$1,$H36,"STYLE")</f>
        <v>#NAME?</v>
      </c>
      <c r="J36" s="161" t="e">
        <f ca="1">_xll.EVPRO($B$1,$H36,"CALC")</f>
        <v>#NAME?</v>
      </c>
      <c r="K36" s="68" t="e">
        <f t="shared" ref="K36:K41" ca="1" si="4">IF(AND(I36&gt;="T5"),"&gt;","")</f>
        <v>#NAME?</v>
      </c>
      <c r="L36" s="162" t="e">
        <f ca="1">_xll.EVPRO($B$1,H36,"JDEID")</f>
        <v>#NAME?</v>
      </c>
      <c r="M36" s="162" t="e">
        <f ca="1">IF(AND(I36="N",J36="N"),_xll.EVPRO($B$1,H36,"PSFTID"),"")</f>
        <v>#NAME?</v>
      </c>
      <c r="N36" s="162" t="e">
        <f ca="1">IF(_xll.EVDES(H36,$B$1)="#NODATA","",_xll.EVDES(H36,$B$1))</f>
        <v>#NAME?</v>
      </c>
      <c r="O36" s="449">
        <v>2412.34</v>
      </c>
      <c r="P36" s="449">
        <v>2979.96</v>
      </c>
      <c r="Q36" s="449">
        <v>4543</v>
      </c>
      <c r="R36" s="449">
        <v>2210.63</v>
      </c>
      <c r="S36" s="449">
        <v>2956</v>
      </c>
      <c r="T36" s="21">
        <v>2486</v>
      </c>
      <c r="U36" s="21">
        <v>2531.31</v>
      </c>
      <c r="V36" s="21">
        <v>2954.78</v>
      </c>
      <c r="W36" s="21">
        <v>2044.38</v>
      </c>
      <c r="X36" s="21">
        <v>2888</v>
      </c>
      <c r="Y36" s="21">
        <v>2261.89</v>
      </c>
      <c r="Z36" s="21">
        <v>5406</v>
      </c>
      <c r="AA36" s="310" t="e">
        <f t="shared" ca="1" si="0"/>
        <v>#NAME?</v>
      </c>
      <c r="AB36" s="17" t="e">
        <f t="shared" ca="1" si="1"/>
        <v>#NAME?</v>
      </c>
      <c r="AD36" s="21">
        <v>33002.400000000001</v>
      </c>
      <c r="AE36" s="17" t="str">
        <f t="shared" ca="1" si="2"/>
        <v/>
      </c>
      <c r="AF36" s="50" t="e">
        <f t="shared" ca="1" si="3"/>
        <v>#NAME?</v>
      </c>
      <c r="AG36" s="21">
        <v>12618.35</v>
      </c>
      <c r="AH36" s="17" t="str">
        <f t="shared" ref="AH36:AH41" ca="1" si="5">IF(AG36=0,"",IFERROR(AG36/AG$19,""))</f>
        <v/>
      </c>
      <c r="AI36" s="50" t="e">
        <f t="shared" ref="AI36:AI41" ca="1" si="6">IF(AND($AA36="",AG36=""),"",$AA36-AG36)</f>
        <v>#NAME?</v>
      </c>
      <c r="AJ36" s="399">
        <f t="shared" ref="AJ36:AJ41" ca="1" si="7">IFERROR(AA36/AA$20,0)</f>
        <v>0</v>
      </c>
      <c r="AK36" s="400">
        <f t="shared" ref="AK36:AK41" ca="1" si="8">IFERROR(AD36/AD$20,0)</f>
        <v>0</v>
      </c>
      <c r="AL36" s="401">
        <f t="shared" ref="AL36:AL41" ca="1" si="9">IFERROR(AG36/AG$20,0)</f>
        <v>0</v>
      </c>
      <c r="AM36" s="402">
        <f t="shared" ref="AM36:AM41" ca="1" si="10">+IFERROR(ROUND(($AB36-AE36)*100,2)&amp;" pts.",0)</f>
        <v>0</v>
      </c>
      <c r="AN36" s="403">
        <f t="shared" ref="AN36:AN41" ca="1" si="11">+IFERROR(ROUND(($AB36-AH36)*100,2)&amp;" pts.",0)</f>
        <v>0</v>
      </c>
    </row>
    <row r="37" spans="1:40" x14ac:dyDescent="0.25">
      <c r="A37" s="1" t="s">
        <v>105</v>
      </c>
      <c r="C37" s="26" t="s">
        <v>101</v>
      </c>
      <c r="D37" s="1" t="s">
        <v>106</v>
      </c>
      <c r="F37" s="1" t="s">
        <v>98</v>
      </c>
      <c r="H37" s="15" t="s">
        <v>486</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450"/>
      <c r="P37" s="450"/>
      <c r="Q37" s="450"/>
      <c r="R37" s="450"/>
      <c r="S37" s="450"/>
      <c r="T37" s="30"/>
      <c r="U37" s="30">
        <v>-13.07</v>
      </c>
      <c r="V37" s="30">
        <v>-10.89</v>
      </c>
      <c r="W37" s="30"/>
      <c r="X37" s="30"/>
      <c r="Y37" s="30"/>
      <c r="Z37" s="30"/>
      <c r="AA37" s="324" t="e">
        <f t="shared" ca="1" si="0"/>
        <v>#NAME?</v>
      </c>
      <c r="AB37" s="31" t="e">
        <f t="shared" ca="1" si="1"/>
        <v>#NAME?</v>
      </c>
      <c r="AD37" s="30"/>
      <c r="AE37" s="31" t="str">
        <f t="shared" si="2"/>
        <v/>
      </c>
      <c r="AF37" s="51" t="e">
        <f t="shared" ca="1" si="3"/>
        <v>#NAME?</v>
      </c>
      <c r="AG37" s="30"/>
      <c r="AH37" s="31" t="str">
        <f t="shared" si="5"/>
        <v/>
      </c>
      <c r="AI37" s="51" t="e">
        <f t="shared" ca="1" si="6"/>
        <v>#NAME?</v>
      </c>
      <c r="AJ37" s="409">
        <f t="shared" ca="1" si="7"/>
        <v>0</v>
      </c>
      <c r="AK37" s="410">
        <f t="shared" ca="1" si="8"/>
        <v>0</v>
      </c>
      <c r="AL37" s="411">
        <f t="shared" ca="1" si="9"/>
        <v>0</v>
      </c>
      <c r="AM37" s="412">
        <f t="shared" ca="1" si="10"/>
        <v>0</v>
      </c>
      <c r="AN37" s="413">
        <f t="shared" ca="1" si="11"/>
        <v>0</v>
      </c>
    </row>
    <row r="38" spans="1:40" x14ac:dyDescent="0.25">
      <c r="A38" s="1" t="s">
        <v>104</v>
      </c>
      <c r="C38" s="26" t="s">
        <v>101</v>
      </c>
      <c r="D38" s="1" t="s">
        <v>106</v>
      </c>
      <c r="F38" s="1" t="s">
        <v>98</v>
      </c>
      <c r="H38" s="15" t="s">
        <v>273</v>
      </c>
      <c r="I38" s="479" t="e">
        <f ca="1">_xll.EVPRO($B$1,$H38,"STYLE")</f>
        <v>#NAME?</v>
      </c>
      <c r="J38" s="479" t="e">
        <f ca="1">_xll.EVPRO($B$1,$H38,"CALC")</f>
        <v>#NAME?</v>
      </c>
      <c r="K38" s="480" t="e">
        <f t="shared" ca="1" si="4"/>
        <v>#NAME?</v>
      </c>
      <c r="L38" s="170" t="e">
        <f ca="1">_xll.EVPRO($B$1,H38,"JDEID")</f>
        <v>#NAME?</v>
      </c>
      <c r="M38" s="170" t="e">
        <f ca="1">IF(AND(I38="N",J38="N"),_xll.EVPRO($B$1,H38,"PSFTID"),"")</f>
        <v>#NAME?</v>
      </c>
      <c r="N38" s="170" t="e">
        <f ca="1">IF(_xll.EVDES(H38,$B$1)="#NODATA","",_xll.EVDES(H38,$B$1))</f>
        <v>#NAME?</v>
      </c>
      <c r="O38" s="452">
        <v>5303.34</v>
      </c>
      <c r="P38" s="452">
        <v>5663.96</v>
      </c>
      <c r="Q38" s="452">
        <v>7664</v>
      </c>
      <c r="R38" s="452">
        <v>4066.18</v>
      </c>
      <c r="S38" s="452">
        <v>5544.55</v>
      </c>
      <c r="T38" s="134">
        <v>5653</v>
      </c>
      <c r="U38" s="134">
        <v>6498.25</v>
      </c>
      <c r="V38" s="134">
        <v>5512.89</v>
      </c>
      <c r="W38" s="134">
        <v>4219.38</v>
      </c>
      <c r="X38" s="134">
        <v>5328.49</v>
      </c>
      <c r="Y38" s="134">
        <v>4617.8900000000003</v>
      </c>
      <c r="Z38" s="134">
        <v>6464</v>
      </c>
      <c r="AA38" s="134" t="e">
        <f t="shared" ca="1" si="0"/>
        <v>#NAME?</v>
      </c>
      <c r="AB38" s="135" t="e">
        <f t="shared" ca="1" si="1"/>
        <v>#NAME?</v>
      </c>
      <c r="AC38" s="137"/>
      <c r="AD38" s="134">
        <v>100575.9</v>
      </c>
      <c r="AE38" s="135" t="str">
        <f t="shared" ca="1" si="2"/>
        <v/>
      </c>
      <c r="AF38" s="136" t="e">
        <f t="shared" ca="1" si="3"/>
        <v>#NAME?</v>
      </c>
      <c r="AG38" s="134">
        <v>65703.850000000006</v>
      </c>
      <c r="AH38" s="135" t="str">
        <f t="shared" ca="1" si="5"/>
        <v/>
      </c>
      <c r="AI38" s="136" t="e">
        <f t="shared" ca="1" si="6"/>
        <v>#NAME?</v>
      </c>
      <c r="AJ38" s="360">
        <f t="shared" ca="1" si="7"/>
        <v>0</v>
      </c>
      <c r="AK38" s="361">
        <f t="shared" ca="1" si="8"/>
        <v>0</v>
      </c>
      <c r="AL38" s="363">
        <f t="shared" ca="1" si="9"/>
        <v>0</v>
      </c>
      <c r="AM38" s="405">
        <f t="shared" ca="1" si="10"/>
        <v>0</v>
      </c>
      <c r="AN38" s="406">
        <f t="shared" ca="1" si="11"/>
        <v>0</v>
      </c>
    </row>
    <row r="39" spans="1:40" x14ac:dyDescent="0.25">
      <c r="A39" s="1" t="s">
        <v>100</v>
      </c>
      <c r="C39" s="8" t="s">
        <v>101</v>
      </c>
      <c r="D39" s="1" t="s">
        <v>106</v>
      </c>
      <c r="F39" s="1" t="s">
        <v>98</v>
      </c>
      <c r="H39" s="15" t="s">
        <v>352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451"/>
      <c r="P39" s="451"/>
      <c r="Q39" s="451"/>
      <c r="R39" s="451">
        <v>-13.08</v>
      </c>
      <c r="S39" s="451"/>
      <c r="T39" s="38"/>
      <c r="U39" s="38"/>
      <c r="V39" s="38"/>
      <c r="W39" s="38">
        <v>13.08</v>
      </c>
      <c r="X39" s="38"/>
      <c r="Y39" s="38"/>
      <c r="Z39" s="38">
        <v>1955</v>
      </c>
      <c r="AA39" s="315" t="e">
        <f t="shared" ca="1" si="0"/>
        <v>#NAME?</v>
      </c>
      <c r="AB39" s="39" t="e">
        <f t="shared" ca="1" si="1"/>
        <v>#NAME?</v>
      </c>
      <c r="AD39" s="38"/>
      <c r="AE39" s="39" t="str">
        <f t="shared" si="2"/>
        <v/>
      </c>
      <c r="AF39" s="132" t="e">
        <f t="shared" ca="1" si="3"/>
        <v>#NAME?</v>
      </c>
      <c r="AG39" s="38">
        <v>-175.49</v>
      </c>
      <c r="AH39" s="39" t="str">
        <f t="shared" ca="1" si="5"/>
        <v/>
      </c>
      <c r="AI39" s="132" t="e">
        <f t="shared" ca="1" si="6"/>
        <v>#NAME?</v>
      </c>
      <c r="AJ39" s="353">
        <f t="shared" ca="1" si="7"/>
        <v>0</v>
      </c>
      <c r="AK39" s="354">
        <f t="shared" ca="1" si="8"/>
        <v>0</v>
      </c>
      <c r="AL39" s="356">
        <f t="shared" ca="1" si="9"/>
        <v>0</v>
      </c>
      <c r="AM39" s="390">
        <f t="shared" ca="1" si="10"/>
        <v>0</v>
      </c>
      <c r="AN39" s="404">
        <f t="shared" ca="1" si="11"/>
        <v>0</v>
      </c>
    </row>
    <row r="40" spans="1:40" x14ac:dyDescent="0.25">
      <c r="A40" s="1" t="s">
        <v>102</v>
      </c>
      <c r="C40" s="25" t="s">
        <v>101</v>
      </c>
      <c r="D40" s="1" t="s">
        <v>106</v>
      </c>
      <c r="F40" s="1" t="s">
        <v>98</v>
      </c>
      <c r="H40" s="15" t="s">
        <v>473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50"/>
      <c r="P40" s="450"/>
      <c r="Q40" s="450"/>
      <c r="R40" s="450"/>
      <c r="S40" s="450"/>
      <c r="T40" s="30"/>
      <c r="U40" s="30"/>
      <c r="V40" s="30"/>
      <c r="W40" s="30"/>
      <c r="X40" s="30"/>
      <c r="Y40" s="30"/>
      <c r="Z40" s="30"/>
      <c r="AA40" s="324" t="e">
        <f t="shared" ca="1" si="0"/>
        <v>#NAME?</v>
      </c>
      <c r="AB40" s="31" t="e">
        <f t="shared" ca="1" si="1"/>
        <v>#NAME?</v>
      </c>
      <c r="AD40" s="30"/>
      <c r="AE40" s="31" t="str">
        <f t="shared" si="2"/>
        <v/>
      </c>
      <c r="AF40" s="51" t="e">
        <f t="shared" ca="1" si="3"/>
        <v>#NAME?</v>
      </c>
      <c r="AG40" s="30"/>
      <c r="AH40" s="31" t="str">
        <f t="shared" si="5"/>
        <v/>
      </c>
      <c r="AI40" s="51" t="e">
        <f t="shared" ca="1" si="6"/>
        <v>#NAME?</v>
      </c>
      <c r="AJ40" s="409">
        <f t="shared" ca="1" si="7"/>
        <v>0</v>
      </c>
      <c r="AK40" s="410">
        <f t="shared" ca="1" si="8"/>
        <v>0</v>
      </c>
      <c r="AL40" s="411">
        <f t="shared" ca="1" si="9"/>
        <v>0</v>
      </c>
      <c r="AM40" s="412">
        <f t="shared" ca="1" si="10"/>
        <v>0</v>
      </c>
      <c r="AN40" s="413">
        <f t="shared" ca="1" si="11"/>
        <v>0</v>
      </c>
    </row>
    <row r="41" spans="1:40" x14ac:dyDescent="0.25">
      <c r="A41" s="1" t="s">
        <v>102</v>
      </c>
      <c r="C41" s="151" t="s">
        <v>101</v>
      </c>
      <c r="D41" s="1" t="s">
        <v>107</v>
      </c>
      <c r="F41" s="1" t="s">
        <v>99</v>
      </c>
      <c r="H41" s="15" t="s">
        <v>280</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452">
        <v>5303.34</v>
      </c>
      <c r="P41" s="452">
        <v>5663.96</v>
      </c>
      <c r="Q41" s="452">
        <v>7664</v>
      </c>
      <c r="R41" s="452">
        <v>4053.1</v>
      </c>
      <c r="S41" s="452">
        <v>5544.55</v>
      </c>
      <c r="T41" s="134">
        <v>5653</v>
      </c>
      <c r="U41" s="134">
        <v>6498.25</v>
      </c>
      <c r="V41" s="134">
        <v>5512.89</v>
      </c>
      <c r="W41" s="134">
        <v>4232.46</v>
      </c>
      <c r="X41" s="134">
        <v>5328.49</v>
      </c>
      <c r="Y41" s="134">
        <v>4617.8900000000003</v>
      </c>
      <c r="Z41" s="134">
        <v>8419</v>
      </c>
      <c r="AA41" s="134" t="e">
        <f t="shared" ca="1" si="0"/>
        <v>#NAME?</v>
      </c>
      <c r="AB41" s="135" t="e">
        <f t="shared" ca="1" si="1"/>
        <v>#NAME?</v>
      </c>
      <c r="AC41" s="137"/>
      <c r="AD41" s="134">
        <v>100575.9</v>
      </c>
      <c r="AE41" s="135" t="str">
        <f t="shared" ca="1" si="2"/>
        <v/>
      </c>
      <c r="AF41" s="136" t="e">
        <f t="shared" ca="1" si="3"/>
        <v>#NAME?</v>
      </c>
      <c r="AG41" s="134">
        <v>65528.36</v>
      </c>
      <c r="AH41" s="135" t="str">
        <f t="shared" ca="1" si="5"/>
        <v/>
      </c>
      <c r="AI41" s="136" t="e">
        <f t="shared" ca="1" si="6"/>
        <v>#NAME?</v>
      </c>
      <c r="AJ41" s="360">
        <f t="shared" ca="1" si="7"/>
        <v>0</v>
      </c>
      <c r="AK41" s="361">
        <f t="shared" ca="1" si="8"/>
        <v>0</v>
      </c>
      <c r="AL41" s="363">
        <f t="shared" ca="1" si="9"/>
        <v>0</v>
      </c>
      <c r="AM41" s="405">
        <f t="shared" ca="1" si="10"/>
        <v>0</v>
      </c>
      <c r="AN41" s="406">
        <f t="shared" ca="1" si="11"/>
        <v>0</v>
      </c>
    </row>
    <row r="42" spans="1:40" x14ac:dyDescent="0.25">
      <c r="A42" s="1" t="s">
        <v>108</v>
      </c>
      <c r="C42" s="25" t="s">
        <v>101</v>
      </c>
      <c r="D42" s="1" t="s">
        <v>106</v>
      </c>
      <c r="F42" s="1" t="s">
        <v>98</v>
      </c>
      <c r="O42" s="53"/>
      <c r="P42" s="54"/>
      <c r="Q42" s="54"/>
      <c r="R42" s="54"/>
      <c r="S42" s="54"/>
      <c r="T42" s="54"/>
      <c r="U42" s="54"/>
      <c r="V42" s="54"/>
      <c r="W42" s="54"/>
      <c r="X42" s="54"/>
      <c r="Y42" s="54"/>
      <c r="Z42" s="54"/>
      <c r="AA42" s="54"/>
      <c r="AB42" s="55"/>
      <c r="AD42" s="53"/>
      <c r="AE42" s="54"/>
      <c r="AF42" s="55"/>
      <c r="AG42" s="53"/>
      <c r="AH42" s="54"/>
      <c r="AI42" s="55"/>
    </row>
    <row r="43" spans="1:40" x14ac:dyDescent="0.25">
      <c r="A43" s="1" t="s">
        <v>108</v>
      </c>
      <c r="C43" s="151" t="s">
        <v>101</v>
      </c>
      <c r="D43" s="1" t="s">
        <v>107</v>
      </c>
      <c r="F43" s="1" t="s">
        <v>99</v>
      </c>
      <c r="H43" s="1" t="s">
        <v>281</v>
      </c>
      <c r="I43" s="11" t="e">
        <f ca="1">_xll.EVPRO($B$1,$H43,"STYLE")</f>
        <v>#NAME?</v>
      </c>
      <c r="J43" s="11" t="e">
        <f ca="1">_xll.EVPRO($B$1,$H43,"CALC")</f>
        <v>#NAME?</v>
      </c>
      <c r="N43" s="40" t="e">
        <f ca="1">IF(_xll.EVDES(H43,$B$1)="#NODATA","",_xll.EVDES(H43,$B$1))</f>
        <v>#NAME?</v>
      </c>
      <c r="O43" s="53"/>
      <c r="P43" s="54"/>
      <c r="Q43" s="54"/>
      <c r="R43" s="54"/>
      <c r="S43" s="54"/>
      <c r="T43" s="54"/>
      <c r="U43" s="54"/>
      <c r="V43" s="54"/>
      <c r="W43" s="54"/>
      <c r="X43" s="54"/>
      <c r="Y43" s="54"/>
      <c r="Z43" s="54"/>
      <c r="AA43" s="54"/>
      <c r="AB43" s="55"/>
      <c r="AD43" s="53"/>
      <c r="AE43" s="54"/>
      <c r="AF43" s="55"/>
      <c r="AG43" s="53"/>
      <c r="AH43" s="54"/>
      <c r="AI43" s="55"/>
    </row>
    <row r="44" spans="1:40" x14ac:dyDescent="0.25">
      <c r="H44" s="1" t="s">
        <v>284</v>
      </c>
      <c r="I44" s="11" t="e">
        <f ca="1">_xll.EVPRO($B$1,$H44,"STYLE")</f>
        <v>#NAME?</v>
      </c>
      <c r="J44" s="11" t="e">
        <f ca="1">_xll.EVPRO($B$1,$H44,"CALC")</f>
        <v>#NAME?</v>
      </c>
      <c r="N44" s="8" t="e">
        <f ca="1">IF(_xll.EVDES(H44,$B$1)="#NODATA","",_xll.EVDES(H44,$B$1))</f>
        <v>#NAME?</v>
      </c>
      <c r="O44" s="53"/>
      <c r="P44" s="54"/>
      <c r="Q44" s="54"/>
      <c r="R44" s="54"/>
      <c r="S44" s="54"/>
      <c r="T44" s="54"/>
      <c r="U44" s="54"/>
      <c r="V44" s="54"/>
      <c r="W44" s="54"/>
      <c r="X44" s="54"/>
      <c r="Y44" s="54"/>
      <c r="Z44" s="54"/>
      <c r="AA44" s="54"/>
      <c r="AB44" s="55"/>
      <c r="AD44" s="53"/>
      <c r="AE44" s="54"/>
      <c r="AF44" s="55"/>
      <c r="AG44" s="53"/>
      <c r="AH44" s="54"/>
      <c r="AI44" s="55"/>
    </row>
    <row r="45" spans="1:40" x14ac:dyDescent="0.25">
      <c r="H45" s="15" t="s">
        <v>353</v>
      </c>
      <c r="I45" s="161" t="e">
        <f ca="1">_xll.EVPRO($B$1,$H45,"STYLE")</f>
        <v>#NAME?</v>
      </c>
      <c r="J45" s="161" t="e">
        <f ca="1">_xll.EVPRO($B$1,$H45,"CALC")</f>
        <v>#NAME?</v>
      </c>
      <c r="K45" s="68" t="e">
        <f t="shared" ref="K45:K51" ca="1" si="12">IF(AND(I45&gt;="T5"),"&gt;","")</f>
        <v>#NAME?</v>
      </c>
      <c r="L45" s="162" t="e">
        <f ca="1">_xll.EVPRO($B$1,H45,"JDEID")</f>
        <v>#NAME?</v>
      </c>
      <c r="M45" s="162" t="e">
        <f ca="1">IF(AND(I45="N",J45="N"),_xll.EVPRO($B$1,H45,"PSFTID"),"")</f>
        <v>#NAME?</v>
      </c>
      <c r="N45" s="162" t="e">
        <f ca="1">IF(_xll.EVDES(H45,$B$1)="#NODATA","",_xll.EVDES(H45,$B$1))</f>
        <v>#NAME?</v>
      </c>
      <c r="O45" s="449">
        <v>624.33000000000004</v>
      </c>
      <c r="P45" s="449">
        <v>812.38</v>
      </c>
      <c r="Q45" s="449">
        <v>841.89</v>
      </c>
      <c r="R45" s="449">
        <v>331.7</v>
      </c>
      <c r="S45" s="449">
        <v>746.66</v>
      </c>
      <c r="T45" s="21">
        <v>507.51</v>
      </c>
      <c r="U45" s="21">
        <v>875.02</v>
      </c>
      <c r="V45" s="21">
        <v>729.51</v>
      </c>
      <c r="W45" s="21">
        <v>637.21</v>
      </c>
      <c r="X45" s="21">
        <v>1242.71</v>
      </c>
      <c r="Y45" s="21">
        <v>474.85</v>
      </c>
      <c r="Z45" s="21">
        <v>565.49</v>
      </c>
      <c r="AA45" s="310" t="e">
        <f ca="1">IF($I45="B1","",SUM(O45:Z45))</f>
        <v>#NAME?</v>
      </c>
      <c r="AB45" s="17" t="e">
        <f ca="1">IF(AA45=0,"",IFERROR(AA45/_xll.EVGTS($B$1,1,_xll.EVPRO($B$1,$H45,"COSBASIS"),$B$3,$B$5,$B$6,$B$7,$B$9,AA$16,AA$17,AA$11),""))</f>
        <v>#NAME?</v>
      </c>
      <c r="AD45" s="21">
        <v>17465.383774999998</v>
      </c>
      <c r="AE45" s="17" t="str">
        <f ca="1">IF(AD45=0,"",IFERROR(AD45/_xll.EVGTS($B$1,1,_xll.EVPRO($B$1,$H45,"COSBASIS"),$B$3,$B$5,$B$6,$B$7,$B$9,AD$16,AD$17,AD$18),""))</f>
        <v/>
      </c>
      <c r="AF45" s="50" t="e">
        <f ca="1">IF(AND($AA45="",AD45=""),"",$AA45-AD45)</f>
        <v>#NAME?</v>
      </c>
      <c r="AG45" s="21">
        <v>13410.22</v>
      </c>
      <c r="AH45" s="17" t="str">
        <f ca="1">IF(AG45=0,"",IFERROR(AG45/_xll.EVGTS($B$1,1,_xll.EVPRO($B$1,$H45,"COSBASIS"),$B$3,$B$5,$B$6,$B$7,$B$9,AG$16,AG$17,AG$18),""))</f>
        <v/>
      </c>
      <c r="AI45" s="50" t="e">
        <f t="shared" ref="AI45:AI51" ca="1" si="13">IF(AND($AA45="",AG45=""),"",$AA45-AG45)</f>
        <v>#NAME?</v>
      </c>
      <c r="AJ45" s="399">
        <f t="shared" ref="AJ45:AJ51" ca="1" si="14">IFERROR(AA45/AA$20,0)</f>
        <v>0</v>
      </c>
      <c r="AK45" s="400">
        <f t="shared" ref="AK45:AK51" ca="1" si="15">IFERROR(AD45/AD$20,0)</f>
        <v>0</v>
      </c>
      <c r="AL45" s="401">
        <f t="shared" ref="AL45:AL51" ca="1" si="16">IFERROR(AG45/AG$20,0)</f>
        <v>0</v>
      </c>
      <c r="AM45" s="402">
        <f t="shared" ref="AM45:AM51" ca="1" si="17">+IFERROR(ROUND(($AB45-AE45)*100,2)&amp;" pts.",0)</f>
        <v>0</v>
      </c>
      <c r="AN45" s="403">
        <f t="shared" ref="AN45:AN51" ca="1" si="18">+IFERROR(ROUND(($AB45-AH45)*100,2)&amp;" pts.",0)</f>
        <v>0</v>
      </c>
    </row>
    <row r="46" spans="1:40" x14ac:dyDescent="0.25">
      <c r="A46" s="4" t="e">
        <f ca="1">_xll.EVDRE($B$1,A49:B56,A59:B65)</f>
        <v>#NAME?</v>
      </c>
      <c r="H46" s="15" t="s">
        <v>354</v>
      </c>
      <c r="I46" s="161" t="e">
        <f ca="1">_xll.EVPRO($B$1,$H46,"STYLE")</f>
        <v>#NAME?</v>
      </c>
      <c r="J46" s="161" t="e">
        <f ca="1">_xll.EVPRO($B$1,$H46,"CALC")</f>
        <v>#NAME?</v>
      </c>
      <c r="K46" s="68" t="e">
        <f t="shared" ref="K46:K49" ca="1" si="19">IF(AND(I46&gt;="T5"),"&gt;","")</f>
        <v>#NAME?</v>
      </c>
      <c r="L46" s="162" t="e">
        <f ca="1">_xll.EVPRO($B$1,H46,"JDEID")</f>
        <v>#NAME?</v>
      </c>
      <c r="M46" s="162" t="e">
        <f ca="1">IF(AND(I46="N",J46="N"),_xll.EVPRO($B$1,H46,"PSFTID"),"")</f>
        <v>#NAME?</v>
      </c>
      <c r="N46" s="162" t="e">
        <f ca="1">IF(_xll.EVDES(H46,$B$1)="#NODATA","",_xll.EVDES(H46,$B$1))</f>
        <v>#NAME?</v>
      </c>
      <c r="O46" s="450">
        <v>283.23</v>
      </c>
      <c r="P46" s="450">
        <v>972.18</v>
      </c>
      <c r="Q46" s="450">
        <v>1365.24</v>
      </c>
      <c r="R46" s="450">
        <v>344.44</v>
      </c>
      <c r="S46" s="450">
        <v>1040.54</v>
      </c>
      <c r="T46" s="30">
        <v>670.59</v>
      </c>
      <c r="U46" s="30">
        <v>756</v>
      </c>
      <c r="V46" s="30">
        <v>791.86</v>
      </c>
      <c r="W46" s="30">
        <v>510.98</v>
      </c>
      <c r="X46" s="30">
        <v>988.88</v>
      </c>
      <c r="Y46" s="30">
        <v>1343.7</v>
      </c>
      <c r="Z46" s="30">
        <v>1394.09</v>
      </c>
      <c r="AA46" s="324" t="e">
        <f ca="1">IF($I46="B1","",SUM(O46:Z46))</f>
        <v>#NAME?</v>
      </c>
      <c r="AB46" s="31" t="e">
        <f ca="1">IF(AA46=0,"",IFERROR(AA46/_xll.EVGTS($B$1,1,_xll.EVPRO($B$1,$H46,"COSBASIS"),$B$3,$B$5,$B$6,$B$7,$B$9,AA$16,AA$17,AA$11),""))</f>
        <v>#NAME?</v>
      </c>
      <c r="AD46" s="30">
        <v>9504.6911999999993</v>
      </c>
      <c r="AE46" s="31" t="str">
        <f ca="1">IF(AD46=0,"",IFERROR(AD46/_xll.EVGTS($B$1,1,_xll.EVPRO($B$1,$H46,"COSBASIS"),$B$3,$B$5,$B$6,$B$7,$B$9,AD$16,AD$17,AD$18),""))</f>
        <v/>
      </c>
      <c r="AF46" s="51" t="e">
        <f ca="1">IF(AND($AA46="",AD46=""),"",$AA46-AD46)</f>
        <v>#NAME?</v>
      </c>
      <c r="AG46" s="30">
        <v>3939.37</v>
      </c>
      <c r="AH46" s="31" t="str">
        <f ca="1">IF(AG46=0,"",IFERROR(AG46/_xll.EVGTS($B$1,1,_xll.EVPRO($B$1,$H46,"COSBASIS"),$B$3,$B$5,$B$6,$B$7,$B$9,AG$16,AG$17,AG$18),""))</f>
        <v/>
      </c>
      <c r="AI46" s="51" t="e">
        <f t="shared" ref="AI46:AI49" ca="1" si="20">IF(AND($AA46="",AG46=""),"",$AA46-AG46)</f>
        <v>#NAME?</v>
      </c>
      <c r="AJ46" s="409">
        <f t="shared" ref="AJ46:AJ49" ca="1" si="21">IFERROR(AA46/AA$20,0)</f>
        <v>0</v>
      </c>
      <c r="AK46" s="410">
        <f t="shared" ref="AK46:AK49" ca="1" si="22">IFERROR(AD46/AD$20,0)</f>
        <v>0</v>
      </c>
      <c r="AL46" s="411">
        <f t="shared" ref="AL46:AL49" ca="1" si="23">IFERROR(AG46/AG$20,0)</f>
        <v>0</v>
      </c>
      <c r="AM46" s="412">
        <f t="shared" ref="AM46:AM49" ca="1" si="24">+IFERROR(ROUND(($AB46-AE46)*100,2)&amp;" pts.",0)</f>
        <v>0</v>
      </c>
      <c r="AN46" s="413">
        <f t="shared" ref="AN46:AN49" ca="1" si="25">+IFERROR(ROUND(($AB46-AH46)*100,2)&amp;" pts.",0)</f>
        <v>0</v>
      </c>
    </row>
    <row r="47" spans="1:40" x14ac:dyDescent="0.25">
      <c r="H47" s="15" t="s">
        <v>286</v>
      </c>
      <c r="I47" s="479" t="e">
        <f ca="1">_xll.EVPRO($B$1,$H47,"STYLE")</f>
        <v>#NAME?</v>
      </c>
      <c r="J47" s="479" t="e">
        <f ca="1">_xll.EVPRO($B$1,$H47,"CALC")</f>
        <v>#NAME?</v>
      </c>
      <c r="K47" s="480" t="e">
        <f t="shared" ca="1" si="19"/>
        <v>#NAME?</v>
      </c>
      <c r="L47" s="170" t="e">
        <f ca="1">_xll.EVPRO($B$1,H47,"JDEID")</f>
        <v>#NAME?</v>
      </c>
      <c r="M47" s="170" t="e">
        <f ca="1">IF(AND(I47="N",J47="N"),_xll.EVPRO($B$1,H47,"PSFTID"),"")</f>
        <v>#NAME?</v>
      </c>
      <c r="N47" s="170" t="e">
        <f ca="1">IF(_xll.EVDES(H47,$B$1)="#NODATA","",_xll.EVDES(H47,$B$1))</f>
        <v>#NAME?</v>
      </c>
      <c r="O47" s="452">
        <v>907.56</v>
      </c>
      <c r="P47" s="452">
        <v>1784.56</v>
      </c>
      <c r="Q47" s="452">
        <v>2207.13</v>
      </c>
      <c r="R47" s="452">
        <v>676.14</v>
      </c>
      <c r="S47" s="452">
        <v>1787.2</v>
      </c>
      <c r="T47" s="134">
        <v>1178.0999999999999</v>
      </c>
      <c r="U47" s="134">
        <v>1631.02</v>
      </c>
      <c r="V47" s="134">
        <v>1521.37</v>
      </c>
      <c r="W47" s="134">
        <v>1148.19</v>
      </c>
      <c r="X47" s="134">
        <v>2231.59</v>
      </c>
      <c r="Y47" s="134">
        <v>1818.55</v>
      </c>
      <c r="Z47" s="134">
        <v>1959.58</v>
      </c>
      <c r="AA47" s="134" t="e">
        <f ca="1">IF($I47="B1","",SUM(O47:Z47))</f>
        <v>#NAME?</v>
      </c>
      <c r="AB47" s="135" t="e">
        <f ca="1">IF(AA47=0,"",IFERROR(AA47/_xll.EVGTS($B$1,1,_xll.EVPRO($B$1,$H47,"COSBASIS"),$B$3,$B$5,$B$6,$B$7,$B$9,AA$16,AA$17,AA$11),""))</f>
        <v>#NAME?</v>
      </c>
      <c r="AC47" s="137"/>
      <c r="AD47" s="134">
        <v>26970.074975</v>
      </c>
      <c r="AE47" s="135" t="str">
        <f ca="1">IF(AD47=0,"",IFERROR(AD47/_xll.EVGTS($B$1,1,_xll.EVPRO($B$1,$H47,"COSBASIS"),$B$3,$B$5,$B$6,$B$7,$B$9,AD$16,AD$17,AD$18),""))</f>
        <v/>
      </c>
      <c r="AF47" s="136" t="e">
        <f ca="1">IF(AND($AA47="",AD47=""),"",$AA47-AD47)</f>
        <v>#NAME?</v>
      </c>
      <c r="AG47" s="134">
        <v>17349.59</v>
      </c>
      <c r="AH47" s="135" t="str">
        <f ca="1">IF(AG47=0,"",IFERROR(AG47/_xll.EVGTS($B$1,1,_xll.EVPRO($B$1,$H47,"COSBASIS"),$B$3,$B$5,$B$6,$B$7,$B$9,AG$16,AG$17,AG$18),""))</f>
        <v/>
      </c>
      <c r="AI47" s="136" t="e">
        <f t="shared" ca="1" si="20"/>
        <v>#NAME?</v>
      </c>
      <c r="AJ47" s="360">
        <f t="shared" ca="1" si="21"/>
        <v>0</v>
      </c>
      <c r="AK47" s="361">
        <f t="shared" ca="1" si="22"/>
        <v>0</v>
      </c>
      <c r="AL47" s="363">
        <f t="shared" ca="1" si="23"/>
        <v>0</v>
      </c>
      <c r="AM47" s="405">
        <f t="shared" ca="1" si="24"/>
        <v>0</v>
      </c>
      <c r="AN47" s="406">
        <f t="shared" ca="1" si="25"/>
        <v>0</v>
      </c>
    </row>
    <row r="48" spans="1:40" x14ac:dyDescent="0.25">
      <c r="A48" s="3" t="s">
        <v>0</v>
      </c>
      <c r="B48" s="5" t="s">
        <v>1</v>
      </c>
      <c r="H48" s="15" t="s">
        <v>355</v>
      </c>
      <c r="I48" s="161" t="e">
        <f ca="1">_xll.EVPRO($B$1,$H48,"STYLE")</f>
        <v>#NAME?</v>
      </c>
      <c r="J48" s="161" t="e">
        <f ca="1">_xll.EVPRO($B$1,$H48,"CALC")</f>
        <v>#NAME?</v>
      </c>
      <c r="K48" s="68" t="e">
        <f t="shared" ca="1" si="19"/>
        <v>#NAME?</v>
      </c>
      <c r="L48" s="162" t="e">
        <f ca="1">_xll.EVPRO($B$1,H48,"JDEID")</f>
        <v>#NAME?</v>
      </c>
      <c r="M48" s="162" t="e">
        <f ca="1">IF(AND(I48="N",J48="N"),_xll.EVPRO($B$1,H48,"PSFTID"),"")</f>
        <v>#NAME?</v>
      </c>
      <c r="N48" s="162" t="e">
        <f ca="1">IF(_xll.EVDES(H48,$B$1)="#NODATA","",_xll.EVDES(H48,$B$1))</f>
        <v>#NAME?</v>
      </c>
      <c r="O48" s="453"/>
      <c r="P48" s="453"/>
      <c r="Q48" s="453"/>
      <c r="R48" s="453"/>
      <c r="S48" s="453"/>
      <c r="T48" s="47">
        <v>112.05</v>
      </c>
      <c r="U48" s="47"/>
      <c r="V48" s="47"/>
      <c r="W48" s="47"/>
      <c r="X48" s="47">
        <v>394</v>
      </c>
      <c r="Y48" s="47"/>
      <c r="Z48" s="47">
        <v>722.15</v>
      </c>
      <c r="AA48" s="47" t="e">
        <f ca="1">IF($I48="B1","",SUM(O48:Z48))</f>
        <v>#NAME?</v>
      </c>
      <c r="AB48" s="48" t="e">
        <f ca="1">IF(AA48=0,"",IFERROR(AA48/_xll.EVGTS($B$1,1,_xll.EVPRO($B$1,$H48,"COSBASIS"),$B$3,$B$5,$B$6,$B$7,$B$9,AA$16,AA$17,AA$11),""))</f>
        <v>#NAME?</v>
      </c>
      <c r="AD48" s="47"/>
      <c r="AE48" s="48" t="str">
        <f>IF(AD48=0,"",IFERROR(AD48/_xll.EVGTS($B$1,1,_xll.EVPRO($B$1,$H48,"COSBASIS"),$B$3,$B$5,$B$6,$B$7,$B$9,AD$16,AD$17,AD$18),""))</f>
        <v/>
      </c>
      <c r="AF48" s="150" t="e">
        <f ca="1">IF(AND($AA48="",AD48=""),"",$AA48-AD48)</f>
        <v>#NAME?</v>
      </c>
      <c r="AG48" s="47">
        <v>973.01</v>
      </c>
      <c r="AH48" s="48" t="str">
        <f ca="1">IF(AG48=0,"",IFERROR(AG48/_xll.EVGTS($B$1,1,_xll.EVPRO($B$1,$H48,"COSBASIS"),$B$3,$B$5,$B$6,$B$7,$B$9,AG$16,AG$17,AG$18),""))</f>
        <v/>
      </c>
      <c r="AI48" s="150" t="e">
        <f t="shared" ca="1" si="20"/>
        <v>#NAME?</v>
      </c>
      <c r="AJ48" s="420">
        <f t="shared" ca="1" si="21"/>
        <v>0</v>
      </c>
      <c r="AK48" s="421">
        <f t="shared" ca="1" si="22"/>
        <v>0</v>
      </c>
      <c r="AL48" s="422">
        <f t="shared" ca="1" si="23"/>
        <v>0</v>
      </c>
      <c r="AM48" s="423">
        <f t="shared" ca="1" si="24"/>
        <v>0</v>
      </c>
      <c r="AN48" s="424">
        <f t="shared" ca="1" si="25"/>
        <v>0</v>
      </c>
    </row>
    <row r="49" spans="1:40" x14ac:dyDescent="0.25">
      <c r="A49" s="6" t="s">
        <v>2</v>
      </c>
      <c r="B49" s="7" t="e">
        <f ca="1">_xll.EVRNG($B$2:$B$10)</f>
        <v>#NAME?</v>
      </c>
      <c r="H49" s="15" t="s">
        <v>289</v>
      </c>
      <c r="I49" s="479" t="e">
        <f ca="1">_xll.EVPRO($B$1,$H49,"STYLE")</f>
        <v>#NAME?</v>
      </c>
      <c r="J49" s="479" t="e">
        <f ca="1">_xll.EVPRO($B$1,$H49,"CALC")</f>
        <v>#NAME?</v>
      </c>
      <c r="K49" s="480" t="e">
        <f t="shared" ca="1" si="19"/>
        <v>#NAME?</v>
      </c>
      <c r="L49" s="170" t="e">
        <f ca="1">_xll.EVPRO($B$1,H49,"JDEID")</f>
        <v>#NAME?</v>
      </c>
      <c r="M49" s="170" t="e">
        <f ca="1">IF(AND(I49="N",J49="N"),_xll.EVPRO($B$1,H49,"PSFTID"),"")</f>
        <v>#NAME?</v>
      </c>
      <c r="N49" s="170" t="e">
        <f ca="1">IF(_xll.EVDES(H49,$B$1)="#NODATA","",_xll.EVDES(H49,$B$1))</f>
        <v>#NAME?</v>
      </c>
      <c r="O49" s="452">
        <v>907.56</v>
      </c>
      <c r="P49" s="452">
        <v>1784.56</v>
      </c>
      <c r="Q49" s="452">
        <v>2207.13</v>
      </c>
      <c r="R49" s="452">
        <v>676.14</v>
      </c>
      <c r="S49" s="452">
        <v>1787.2</v>
      </c>
      <c r="T49" s="134">
        <v>1290.1500000000001</v>
      </c>
      <c r="U49" s="134">
        <v>1631.02</v>
      </c>
      <c r="V49" s="134">
        <v>1521.37</v>
      </c>
      <c r="W49" s="134">
        <v>1148.19</v>
      </c>
      <c r="X49" s="134">
        <v>2625.59</v>
      </c>
      <c r="Y49" s="134">
        <v>1818.55</v>
      </c>
      <c r="Z49" s="134">
        <v>2681.73</v>
      </c>
      <c r="AA49" s="134" t="e">
        <f ca="1">IF($I49="B1","",SUM(O49:Z49))</f>
        <v>#NAME?</v>
      </c>
      <c r="AB49" s="135" t="e">
        <f ca="1">IF(AA49=0,"",IFERROR(AA49/_xll.EVGTS($B$1,1,_xll.EVPRO($B$1,$H49,"COSBASIS"),$B$3,$B$5,$B$6,$B$7,$B$9,AA$16,AA$17,AA$11),""))</f>
        <v>#NAME?</v>
      </c>
      <c r="AC49" s="137"/>
      <c r="AD49" s="134">
        <v>26970.074975</v>
      </c>
      <c r="AE49" s="135" t="str">
        <f ca="1">IF(AD49=0,"",IFERROR(AD49/_xll.EVGTS($B$1,1,_xll.EVPRO($B$1,$H49,"COSBASIS"),$B$3,$B$5,$B$6,$B$7,$B$9,AD$16,AD$17,AD$18),""))</f>
        <v/>
      </c>
      <c r="AF49" s="136" t="e">
        <f ca="1">IF(AND($AA49="",AD49=""),"",$AA49-AD49)</f>
        <v>#NAME?</v>
      </c>
      <c r="AG49" s="134">
        <v>18322.599999999999</v>
      </c>
      <c r="AH49" s="135" t="str">
        <f ca="1">IF(AG49=0,"",IFERROR(AG49/_xll.EVGTS($B$1,1,_xll.EVPRO($B$1,$H49,"COSBASIS"),$B$3,$B$5,$B$6,$B$7,$B$9,AG$16,AG$17,AG$18),""))</f>
        <v/>
      </c>
      <c r="AI49" s="136" t="e">
        <f t="shared" ca="1" si="20"/>
        <v>#NAME?</v>
      </c>
      <c r="AJ49" s="360">
        <f t="shared" ca="1" si="21"/>
        <v>0</v>
      </c>
      <c r="AK49" s="361">
        <f t="shared" ca="1" si="22"/>
        <v>0</v>
      </c>
      <c r="AL49" s="363">
        <f t="shared" ca="1" si="23"/>
        <v>0</v>
      </c>
      <c r="AM49" s="405">
        <f t="shared" ca="1" si="24"/>
        <v>0</v>
      </c>
      <c r="AN49" s="406">
        <f t="shared" ca="1" si="25"/>
        <v>0</v>
      </c>
    </row>
    <row r="50" spans="1:40" x14ac:dyDescent="0.25">
      <c r="A50" s="6" t="s">
        <v>3</v>
      </c>
      <c r="B50" s="7" t="e">
        <f ca="1">_xll.EVRNG($O$16:$AN$18)</f>
        <v>#NAME?</v>
      </c>
      <c r="H50" s="149" t="s">
        <v>175</v>
      </c>
      <c r="I50" s="28" t="e">
        <f ca="1">_xll.EVPRO($B$1,$H50,"STYLE")</f>
        <v>#NAME?</v>
      </c>
      <c r="J50" s="28" t="e">
        <f ca="1">_xll.EVPRO($B$1,$H50,"CALC")</f>
        <v>#NAME?</v>
      </c>
      <c r="K50" s="69" t="e">
        <f t="shared" ca="1" si="12"/>
        <v>#NAME?</v>
      </c>
      <c r="L50" s="69"/>
      <c r="M50" s="69"/>
      <c r="N50" s="25" t="e">
        <f ca="1">IF(_xll.EVDES(H50,$B$1)="#NODATA","",_xll.EVDES(H50,$B$1))</f>
        <v>#NAME?</v>
      </c>
      <c r="O50" s="47"/>
      <c r="P50" s="47"/>
      <c r="Q50" s="47"/>
      <c r="R50" s="47"/>
      <c r="S50" s="47"/>
      <c r="T50" s="47"/>
      <c r="U50" s="47"/>
      <c r="V50" s="47"/>
      <c r="W50" s="47"/>
      <c r="X50" s="47"/>
      <c r="Y50" s="47"/>
      <c r="Z50" s="47"/>
      <c r="AA50" s="47"/>
      <c r="AB50" s="48" t="str">
        <f>IF(O50=0,"",IFERROR(O50/_xll.EVGTS($B$1,1,INDEX($C$150:$C$173,MATCH($H50,$A$150:$A$173,0)),$B$3,$B$5,$B$6,$B$7,$B$9,O$16,O$17,O$18),""))</f>
        <v/>
      </c>
      <c r="AD50" s="47"/>
      <c r="AE50" s="48" t="str">
        <f>IF(AD50=0,"",IFERROR(AD50/_xll.EVGTS($B$1,1,INDEX($C$150:$C$173,MATCH($H50,$A$150:$A$173,0)),$B$3,$B$5,$B$6,$B$7,$B$9,AD$16,AD$17,AD$18),""))</f>
        <v/>
      </c>
      <c r="AF50" s="150" t="str">
        <f t="shared" ref="AF50:AF51" si="26">IF(AND($AA50="",AD50=""),"",$AA50-AD50)</f>
        <v/>
      </c>
      <c r="AG50" s="47"/>
      <c r="AH50" s="48" t="str">
        <f>IF(AG50=0,"",IFERROR(AG50/_xll.EVGTS($B$1,1,INDEX($C$150:$C$173,MATCH($H50,$A$150:$A$173,0)),$B$3,$B$5,$B$6,$B$7,$B$9,AG$16,AG$17,AG$18),""))</f>
        <v/>
      </c>
      <c r="AI50" s="150" t="str">
        <f t="shared" si="13"/>
        <v/>
      </c>
      <c r="AJ50" s="420">
        <f t="shared" ca="1" si="14"/>
        <v>0</v>
      </c>
      <c r="AK50" s="421">
        <f t="shared" ca="1" si="15"/>
        <v>0</v>
      </c>
      <c r="AL50" s="422">
        <f t="shared" ca="1" si="16"/>
        <v>0</v>
      </c>
      <c r="AM50" s="423">
        <f t="shared" si="17"/>
        <v>0</v>
      </c>
      <c r="AN50" s="424">
        <f t="shared" si="18"/>
        <v>0</v>
      </c>
    </row>
    <row r="51" spans="1:40" x14ac:dyDescent="0.25">
      <c r="A51" s="6" t="s">
        <v>4</v>
      </c>
      <c r="B51" s="7" t="e">
        <f ca="1">_xll.EVRNG(H45:H49)</f>
        <v>#NAME?</v>
      </c>
      <c r="H51" s="149" t="s">
        <v>292</v>
      </c>
      <c r="I51" s="28" t="e">
        <f ca="1">_xll.EVPRO($B$1,$H51,"STYLE")</f>
        <v>#NAME?</v>
      </c>
      <c r="J51" s="28" t="e">
        <f ca="1">_xll.EVPRO($B$1,$H51,"CALC")</f>
        <v>#NAME?</v>
      </c>
      <c r="K51" s="69" t="e">
        <f t="shared" ca="1" si="12"/>
        <v>#NAME?</v>
      </c>
      <c r="L51" s="69"/>
      <c r="M51" s="69"/>
      <c r="N51" s="25" t="e">
        <f ca="1">IF(_xll.EVDES(H51,$B$1)="#NODATA","",_xll.EVDES(H51,$B$1))</f>
        <v>#NAME?</v>
      </c>
      <c r="O51" s="164">
        <f>SUMIF($H$35:$H$49,"400000",O35:O49)-SUMIF($H$35:$H$49,"500001",O35:O49)</f>
        <v>4395.7800000000007</v>
      </c>
      <c r="P51" s="164">
        <f t="shared" ref="P51:Z51" si="27">SUMIF($H$35:$H$49,"400000",P35:P49)-SUMIF($H$35:$H$49,"500001",P35:P49)</f>
        <v>3879.4</v>
      </c>
      <c r="Q51" s="164">
        <f t="shared" si="27"/>
        <v>5456.87</v>
      </c>
      <c r="R51" s="164">
        <f t="shared" si="27"/>
        <v>3376.96</v>
      </c>
      <c r="S51" s="164">
        <f t="shared" si="27"/>
        <v>3757.3500000000004</v>
      </c>
      <c r="T51" s="164">
        <f t="shared" si="27"/>
        <v>4362.8500000000004</v>
      </c>
      <c r="U51" s="164">
        <f t="shared" si="27"/>
        <v>4867.2299999999996</v>
      </c>
      <c r="V51" s="164">
        <f t="shared" si="27"/>
        <v>3991.5200000000004</v>
      </c>
      <c r="W51" s="164">
        <f t="shared" si="27"/>
        <v>3084.27</v>
      </c>
      <c r="X51" s="164">
        <f t="shared" si="27"/>
        <v>2702.8999999999996</v>
      </c>
      <c r="Y51" s="164">
        <f t="shared" si="27"/>
        <v>2799.34</v>
      </c>
      <c r="Z51" s="164">
        <f t="shared" si="27"/>
        <v>5737.27</v>
      </c>
      <c r="AA51" s="164" t="e">
        <f ca="1">IF($I51="B1","",SUM(O51:Z51))</f>
        <v>#NAME?</v>
      </c>
      <c r="AB51" s="135" t="e">
        <f ca="1">IF(AA51=0,"",IFERROR(AA51/AA$19,""))</f>
        <v>#NAME?</v>
      </c>
      <c r="AD51" s="164">
        <f>SUMIF($H$35:$H$49,"400000",AD35:AD49)-SUMIF($H$35:$H$49,"500001",AD35:AD49)</f>
        <v>73605.825024999998</v>
      </c>
      <c r="AE51" s="135" t="str">
        <f ca="1">IF(AD51=0,"",IFERROR(AD51/AD$19,""))</f>
        <v/>
      </c>
      <c r="AF51" s="165" t="e">
        <f t="shared" ca="1" si="26"/>
        <v>#NAME?</v>
      </c>
      <c r="AG51" s="164">
        <f>SUMIF($H$35:$H$49,"400000",AG35:AG49)-SUMIF($H$35:$H$49,"500001",AG35:AG49)</f>
        <v>47205.760000000002</v>
      </c>
      <c r="AH51" s="135" t="str">
        <f ca="1">IF(AG51=0,"",IFERROR(AG51/AG$19,""))</f>
        <v/>
      </c>
      <c r="AI51" s="165" t="e">
        <f t="shared" ca="1" si="13"/>
        <v>#NAME?</v>
      </c>
      <c r="AJ51" s="392">
        <f t="shared" ca="1" si="14"/>
        <v>0</v>
      </c>
      <c r="AK51" s="393">
        <f t="shared" ca="1" si="15"/>
        <v>0</v>
      </c>
      <c r="AL51" s="394">
        <f t="shared" ca="1" si="16"/>
        <v>0</v>
      </c>
      <c r="AM51" s="395">
        <f t="shared" ca="1" si="17"/>
        <v>0</v>
      </c>
      <c r="AN51" s="437">
        <f t="shared" ca="1" si="18"/>
        <v>0</v>
      </c>
    </row>
    <row r="52" spans="1:40" x14ac:dyDescent="0.25">
      <c r="A52" s="6" t="s">
        <v>5</v>
      </c>
      <c r="B52" s="7"/>
      <c r="F52" s="152"/>
      <c r="O52" s="163"/>
      <c r="P52" s="287"/>
      <c r="Q52" s="287"/>
      <c r="R52" s="287"/>
      <c r="S52" s="287"/>
      <c r="T52" s="287"/>
      <c r="U52" s="287"/>
      <c r="V52" s="287"/>
      <c r="W52" s="287"/>
      <c r="X52" s="287"/>
      <c r="Y52" s="287"/>
      <c r="Z52" s="287"/>
      <c r="AA52" s="287"/>
      <c r="AB52" s="55"/>
      <c r="AD52" s="163"/>
      <c r="AE52" s="54"/>
      <c r="AF52" s="55"/>
      <c r="AG52" s="163"/>
      <c r="AH52" s="54"/>
      <c r="AI52" s="55"/>
    </row>
    <row r="53" spans="1:40" x14ac:dyDescent="0.25">
      <c r="A53" s="6" t="s">
        <v>6</v>
      </c>
      <c r="B53" s="7"/>
      <c r="F53" s="152"/>
      <c r="H53" s="1" t="s">
        <v>73</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7</v>
      </c>
      <c r="B54" s="7" t="e">
        <f ca="1">_xll.EVRNG(A68:F75)</f>
        <v>#NAME?</v>
      </c>
      <c r="F54" s="152"/>
      <c r="H54" s="1" t="s">
        <v>74</v>
      </c>
      <c r="I54" s="11" t="e">
        <f ca="1">_xll.EVPRO($B$1,$H54,"STYLE")</f>
        <v>#NAME?</v>
      </c>
      <c r="J54" s="11" t="e">
        <f ca="1">_xll.EVPRO($B$1,$H54,"CALC")</f>
        <v>#NAME?</v>
      </c>
      <c r="N54" s="8" t="e">
        <f ca="1">IF(_xll.EVDES(H54,$B$1)="#NODATA","",_xll.EVDES(H54,$B$1))</f>
        <v>#NAME?</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6" t="s">
        <v>47</v>
      </c>
      <c r="B55" s="7" t="e">
        <f ca="1">_xll.EVRNG($A$123:$B$144)</f>
        <v>#NAME?</v>
      </c>
      <c r="H55" s="15" t="s">
        <v>667</v>
      </c>
      <c r="I55" s="161" t="e">
        <f ca="1">_xll.EVPRO($B$1,$H55,"STYLE")</f>
        <v>#NAME?</v>
      </c>
      <c r="J55" s="161" t="e">
        <f ca="1">_xll.EVPRO($B$1,$H55,"CALC")</f>
        <v>#NAME?</v>
      </c>
      <c r="K55" s="68" t="e">
        <f ca="1">IF(AND(I55&lt;&gt;"B1",J55="Y"),"&gt;","")</f>
        <v>#NAME?</v>
      </c>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310" t="e">
        <f ca="1">IF($I55="B1","",SUM(O55:Z55))</f>
        <v>#NAME?</v>
      </c>
      <c r="AB55" s="17" t="e">
        <f ca="1">IF(AA55=0,"",IFERROR(AA55/AA$19,""))</f>
        <v>#NAME?</v>
      </c>
      <c r="AD55" s="21"/>
      <c r="AE55" s="17" t="str">
        <f>IF(AD55=0,"",IFERROR(AD55/AD$19,""))</f>
        <v/>
      </c>
      <c r="AF55" s="50" t="e">
        <f ca="1">IF(AND($AA55="",AD55=""),"",$AA55-AD55)</f>
        <v>#NAME?</v>
      </c>
      <c r="AG55" s="21"/>
      <c r="AH55" s="17" t="str">
        <f>IF(AG55=0,"",IFERROR(AG55/AG$19,""))</f>
        <v/>
      </c>
      <c r="AI55" s="50"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8</v>
      </c>
      <c r="B56" s="7"/>
      <c r="H56" s="15"/>
      <c r="I56" s="161" t="e">
        <f ca="1">_xll.EVPRO($B$1,$H56,"STYLE")</f>
        <v>#NAME?</v>
      </c>
      <c r="J56" s="161" t="e">
        <f ca="1">_xll.EVPRO($B$1,$H56,"CALC")</f>
        <v>#NAME?</v>
      </c>
      <c r="K56" s="68" t="e">
        <f ca="1">IF(AND(I56&lt;&gt;"B1",J56="Y"),"&gt;","")</f>
        <v>#NAME?</v>
      </c>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310"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H57" s="15" t="s">
        <v>75</v>
      </c>
      <c r="I57" s="28" t="e">
        <f ca="1">_xll.EVPRO($B$1,$H57,"STYLE")</f>
        <v>#NAME?</v>
      </c>
      <c r="J57" s="28" t="e">
        <f ca="1">_xll.EVPRO($B$1,$H57,"CALC")</f>
        <v>#NAME?</v>
      </c>
      <c r="K57" s="69" t="e">
        <f ca="1">IF(AND(I57&gt;="T3"),"&gt;","")</f>
        <v>#NAME?</v>
      </c>
      <c r="L57" s="25"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310" t="e">
        <f ca="1">IF($I57="B1","",SUM(O57:Z57))</f>
        <v>#NAME?</v>
      </c>
      <c r="AB57" s="39" t="e">
        <f ca="1">IF(AA57=0,"",IFERROR(AA57/AA$19,""))</f>
        <v>#NAME?</v>
      </c>
      <c r="AD57" s="38"/>
      <c r="AE57" s="39" t="str">
        <f>IF(AD57=0,"",IFERROR(AD57/AD$19,""))</f>
        <v/>
      </c>
      <c r="AF57" s="132" t="e">
        <f ca="1">IF(AND($AA57="",AD57=""),"",$AA57-AD57)</f>
        <v>#NAME?</v>
      </c>
      <c r="AG57" s="38"/>
      <c r="AH57" s="39" t="str">
        <f>IF(AG57=0,"",IFERROR(AG57/AG$19,""))</f>
        <v/>
      </c>
      <c r="AI57" s="132"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hidden="1" x14ac:dyDescent="0.25">
      <c r="A58" s="3" t="s">
        <v>9</v>
      </c>
      <c r="B58" s="5" t="s">
        <v>10</v>
      </c>
      <c r="H58" s="15" t="s">
        <v>667</v>
      </c>
      <c r="I58" s="161" t="e">
        <f ca="1">_xll.EVPRO($B$1,$H58,"STYLE")</f>
        <v>#NAME?</v>
      </c>
      <c r="J58" s="161" t="e">
        <f ca="1">_xll.EVPRO($B$1,$H58,"CALC")</f>
        <v>#NAME?</v>
      </c>
      <c r="K58" s="68" t="e">
        <f ca="1">IF(AND(I58&lt;&gt;"B1",J58="Y"),"&gt;","")</f>
        <v>#NAME?</v>
      </c>
      <c r="L58" s="162" t="e">
        <f ca="1">_xll.EVPRO($B$1,H58,"JDEID")</f>
        <v>#NAME?</v>
      </c>
      <c r="M58" s="162" t="e">
        <f ca="1">IF(AND(I58="N",J58="N"),_xll.EVPRO($B$1,H58,"PSFTID"),"")</f>
        <v>#NAME?</v>
      </c>
      <c r="N58" s="162" t="e">
        <f ca="1">IF(_xll.EVDES(H58,$B$1)="#NODATA","",_xll.EVDES(H58,$B$1))</f>
        <v>#NAME?</v>
      </c>
      <c r="O58" s="450"/>
      <c r="P58" s="450"/>
      <c r="Q58" s="450"/>
      <c r="R58" s="450"/>
      <c r="S58" s="450"/>
      <c r="T58" s="30"/>
      <c r="U58" s="30"/>
      <c r="V58" s="30"/>
      <c r="W58" s="30"/>
      <c r="X58" s="30"/>
      <c r="Y58" s="30"/>
      <c r="Z58" s="30"/>
      <c r="AA58" s="324" t="e">
        <f ca="1">IF($I58="B1","",SUM(O58:Z58))</f>
        <v>#NAME?</v>
      </c>
      <c r="AB58" s="31" t="e">
        <f ca="1">IF(AA58=0,"",IFERROR(AA58/AA$19,""))</f>
        <v>#NAME?</v>
      </c>
      <c r="AD58" s="30"/>
      <c r="AE58" s="31" t="str">
        <f>IF(AD58=0,"",IFERROR(AD58/AD$19,""))</f>
        <v/>
      </c>
      <c r="AF58" s="51" t="e">
        <f ca="1">IF(AND($AA58="",AD58=""),"",$AA58-AD58)</f>
        <v>#NAME?</v>
      </c>
      <c r="AG58" s="30"/>
      <c r="AH58" s="31" t="str">
        <f>IF(AG58=0,"",IFERROR(AG58/AG$19,""))</f>
        <v/>
      </c>
      <c r="AI58" s="51" t="e">
        <f ca="1">IF(AND($AA58="",AG58=""),"",$AA58-AG58)</f>
        <v>#NAME?</v>
      </c>
      <c r="AJ58" s="409">
        <f ca="1">IFERROR(AA58/AA$20,0)</f>
        <v>0</v>
      </c>
      <c r="AK58" s="410">
        <f ca="1">IFERROR(AD58/AD$20,0)</f>
        <v>0</v>
      </c>
      <c r="AL58" s="411">
        <f ca="1">IFERROR(AG58/AG$20,0)</f>
        <v>0</v>
      </c>
      <c r="AM58" s="412">
        <f ca="1">+IFERROR(ROUND(($AB58-AE58)*100,2)&amp;" pts.",0)</f>
        <v>0</v>
      </c>
      <c r="AN58" s="413">
        <f ca="1">+IFERROR(ROUND(($AB58-AH58)*100,2)&amp;" pts.",0)</f>
        <v>0</v>
      </c>
    </row>
    <row r="59" spans="1:40" hidden="1" x14ac:dyDescent="0.25">
      <c r="A59" s="6" t="s">
        <v>11</v>
      </c>
      <c r="B59" s="7" t="s">
        <v>21</v>
      </c>
      <c r="H59" s="15"/>
      <c r="I59" s="161" t="e">
        <f ca="1">_xll.EVPRO($B$1,$H59,"STYLE")</f>
        <v>#NAME?</v>
      </c>
      <c r="J59" s="161" t="e">
        <f ca="1">_xll.EVPRO($B$1,$H59,"CALC")</f>
        <v>#NAME?</v>
      </c>
      <c r="K59" s="68" t="e">
        <f ca="1">IF(AND(I59&lt;&gt;"B1",J59="Y"),"&gt;","")</f>
        <v>#NAME?</v>
      </c>
      <c r="L59" s="162" t="e">
        <f ca="1">_xll.EVPRO($B$1,H59,"JDEID")</f>
        <v>#NAME?</v>
      </c>
      <c r="M59" s="162" t="e">
        <f ca="1">IF(AND(I59="N",J59="N"),_xll.EVPRO($B$1,H59,"PSFTID"),"")</f>
        <v>#NAME?</v>
      </c>
      <c r="N59" s="162" t="e">
        <f ca="1">IF(_xll.EVDES(H59,$B$1)="#NODATA","",_xll.EVDES(H59,$B$1))</f>
        <v>#NAME?</v>
      </c>
      <c r="O59" s="450"/>
      <c r="P59" s="450"/>
      <c r="Q59" s="450"/>
      <c r="R59" s="450"/>
      <c r="S59" s="450"/>
      <c r="T59" s="30"/>
      <c r="U59" s="30"/>
      <c r="V59" s="30"/>
      <c r="W59" s="30"/>
      <c r="X59" s="30"/>
      <c r="Y59" s="30"/>
      <c r="Z59" s="30"/>
      <c r="AA59" s="324" t="e">
        <f ca="1">IF($I59="B1","",SUM(O59:Z59))</f>
        <v>#NAME?</v>
      </c>
      <c r="AB59" s="31" t="e">
        <f ca="1">IF(AA59=0,"",IFERROR(AA59/AA$19,""))</f>
        <v>#NAME?</v>
      </c>
      <c r="AD59" s="30"/>
      <c r="AE59" s="31" t="str">
        <f>IF(AD59=0,"",IFERROR(AD59/AD$19,""))</f>
        <v/>
      </c>
      <c r="AF59" s="51" t="e">
        <f ca="1">IF(AND($AA59="",AD59=""),"",$AA59-AD59)</f>
        <v>#NAME?</v>
      </c>
      <c r="AG59" s="30"/>
      <c r="AH59" s="31" t="str">
        <f>IF(AG59=0,"",IFERROR(AG59/AG$19,""))</f>
        <v/>
      </c>
      <c r="AI59" s="51" t="e">
        <f ca="1">IF(AND($AA59="",AG59=""),"",$AA59-AG59)</f>
        <v>#NAME?</v>
      </c>
      <c r="AJ59" s="409">
        <f ca="1">IFERROR(AA59/AA$20,0)</f>
        <v>0</v>
      </c>
      <c r="AK59" s="410">
        <f ca="1">IFERROR(AD59/AD$20,0)</f>
        <v>0</v>
      </c>
      <c r="AL59" s="411">
        <f ca="1">IFERROR(AG59/AG$20,0)</f>
        <v>0</v>
      </c>
      <c r="AM59" s="412">
        <f ca="1">+IFERROR(ROUND(($AB59-AE59)*100,2)&amp;" pts.",0)</f>
        <v>0</v>
      </c>
      <c r="AN59" s="413">
        <f ca="1">+IFERROR(ROUND(($AB59-AH59)*100,2)&amp;" pts.",0)</f>
        <v>0</v>
      </c>
    </row>
    <row r="60" spans="1:40" x14ac:dyDescent="0.25">
      <c r="A60" s="6" t="s">
        <v>12</v>
      </c>
      <c r="B60" s="7" t="s">
        <v>22</v>
      </c>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13</v>
      </c>
      <c r="B61" s="7" t="e">
        <f ca="1">"lDEP(2,COS_FB) AND "&amp;$E$6&amp;"=Y,COS_FB,DEP(COS_MISC) AND "&amp;$E$6&amp;"=Y,500001"</f>
        <v>#NAME?</v>
      </c>
      <c r="G61" s="14"/>
      <c r="H61" s="1" t="s">
        <v>82</v>
      </c>
      <c r="I61" s="11" t="e">
        <f ca="1">_xll.EVPRO($B$1,$H61,"STYLE")</f>
        <v>#NAME?</v>
      </c>
      <c r="J61" s="11" t="e">
        <f ca="1">_xll.EVPRO($B$1,$H61,"CALC")</f>
        <v>#NAME?</v>
      </c>
      <c r="N61" s="40" t="e">
        <f ca="1">IF(_xll.EVDES(H61,$B$1)="#NODATA","",_xll.EVDES(H61,$B$1))</f>
        <v>#NAME?</v>
      </c>
      <c r="O61" s="43"/>
      <c r="P61" s="46"/>
      <c r="Q61" s="46"/>
      <c r="R61" s="46"/>
      <c r="S61" s="46"/>
      <c r="T61" s="46"/>
      <c r="U61" s="46"/>
      <c r="V61" s="46"/>
      <c r="W61" s="46"/>
      <c r="X61" s="46"/>
      <c r="Y61" s="46"/>
      <c r="Z61" s="46"/>
      <c r="AA61" s="46"/>
      <c r="AB61" s="44"/>
      <c r="AD61" s="43"/>
      <c r="AE61" s="46"/>
      <c r="AF61" s="44"/>
      <c r="AG61" s="43"/>
      <c r="AH61" s="46"/>
      <c r="AI61" s="44"/>
    </row>
    <row r="62" spans="1:40" x14ac:dyDescent="0.25">
      <c r="A62" s="6" t="s">
        <v>14</v>
      </c>
      <c r="B62" s="7"/>
      <c r="H62" s="15" t="s">
        <v>832</v>
      </c>
      <c r="I62" s="161" t="e">
        <f ca="1">_xll.EVPRO($B$1,$H62,"STYLE")</f>
        <v>#NAME?</v>
      </c>
      <c r="J62" s="161" t="e">
        <f ca="1">_xll.EVPRO($B$1,$H62,"CALC")</f>
        <v>#NAME?</v>
      </c>
      <c r="K62" s="68" t="e">
        <f ca="1">IF(AND(I62&lt;&gt;"B1",J62="Y"),"&gt;","")</f>
        <v>#NAME?</v>
      </c>
      <c r="L62" s="162" t="e">
        <f ca="1">_xll.EVPRO($B$1,H62,"JDEID")</f>
        <v>#NAME?</v>
      </c>
      <c r="M62" s="162" t="e">
        <f ca="1">IF(AND(I62="N",J62="N"),_xll.EVPRO($B$1,H62,"PSFTID"),"")</f>
        <v>#NAME?</v>
      </c>
      <c r="N62" s="162" t="e">
        <f ca="1">IF(_xll.EVDES(H62,$B$1)="#NODATA","",_xll.EVDES(H62,$B$1))</f>
        <v>#NAME?</v>
      </c>
      <c r="O62" s="21"/>
      <c r="P62" s="21"/>
      <c r="Q62" s="21"/>
      <c r="R62" s="21"/>
      <c r="S62" s="21"/>
      <c r="T62" s="21"/>
      <c r="U62" s="21">
        <v>340.16</v>
      </c>
      <c r="V62" s="21">
        <v>278</v>
      </c>
      <c r="W62" s="21"/>
      <c r="X62" s="21">
        <v>474.58</v>
      </c>
      <c r="Y62" s="21"/>
      <c r="Z62" s="21"/>
      <c r="AA62" s="310" t="e">
        <f ca="1">IF($I62="B1","",SUM(O62:Z62))</f>
        <v>#NAME?</v>
      </c>
      <c r="AB62" s="17" t="e">
        <f ca="1">IF(AA62=0,"",IFERROR(AA62/AA$19,""))</f>
        <v>#NAME?</v>
      </c>
      <c r="AD62" s="21"/>
      <c r="AE62" s="17" t="str">
        <f>IF(AD62=0,"",IFERROR(AD62/AD$19,""))</f>
        <v/>
      </c>
      <c r="AF62" s="50" t="e">
        <f ca="1">IF(AND($AA62="",AD62=""),"",$AA62-AD62)</f>
        <v>#NAME?</v>
      </c>
      <c r="AG62" s="21">
        <v>782.49</v>
      </c>
      <c r="AH62" s="17" t="str">
        <f ca="1">IF(AG62=0,"",IFERROR(AG62/AG$19,""))</f>
        <v/>
      </c>
      <c r="AI62" s="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A63" s="6" t="s">
        <v>15</v>
      </c>
      <c r="B63" s="7"/>
      <c r="H63" s="15"/>
      <c r="I63" s="161" t="e">
        <f ca="1">_xll.EVPRO($B$1,$H63,"STYLE")</f>
        <v>#NAME?</v>
      </c>
      <c r="J63" s="161" t="e">
        <f ca="1">_xll.EVPRO($B$1,$H63,"CALC")</f>
        <v>#NAME?</v>
      </c>
      <c r="K63" s="68" t="e">
        <f ca="1">IF(AND(I63&lt;&gt;"B1",J63="Y"),"&gt;","")</f>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10" t="e">
        <f ca="1">IF($I63="B1","",SUM(O63:Z63))</f>
        <v>#NAME?</v>
      </c>
      <c r="AB63" s="17" t="e">
        <f ca="1">IF(AA63=0,"",IFERROR(AA63/AA$19,""))</f>
        <v>#NAME?</v>
      </c>
      <c r="AD63" s="21"/>
      <c r="AE63" s="17" t="str">
        <f>IF(AD63=0,"",IFERROR(AD63/AD$19,""))</f>
        <v/>
      </c>
      <c r="AF63" s="50" t="e">
        <f ca="1">IF(AND($AA63="",AD63=""),"",$AA63-AD63)</f>
        <v>#NAME?</v>
      </c>
      <c r="AG63" s="21"/>
      <c r="AH63" s="17" t="str">
        <f>IF(AG63=0,"",IFERROR(AG63/AG$19,""))</f>
        <v/>
      </c>
      <c r="AI63" s="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A64" s="6" t="s">
        <v>16</v>
      </c>
      <c r="B64" s="7"/>
      <c r="H64" s="15" t="s">
        <v>79</v>
      </c>
      <c r="I64" s="27" t="e">
        <f ca="1">_xll.EVPRO($B$1,$H64,"STYLE")</f>
        <v>#NAME?</v>
      </c>
      <c r="J64" s="27" t="e">
        <f ca="1">_xll.EVPRO($B$1,$H64,"CALC")</f>
        <v>#NAME?</v>
      </c>
      <c r="K64" s="26"/>
      <c r="L64" s="26"/>
      <c r="M64" s="26"/>
      <c r="N64" s="25" t="e">
        <f ca="1">IF(_xll.EVDES(H64,$B$1)="#NODATA","",_xll.EVDES(H64,$B$1))</f>
        <v>#NAME?</v>
      </c>
      <c r="O64" s="33"/>
      <c r="P64" s="33"/>
      <c r="Q64" s="33"/>
      <c r="R64" s="33"/>
      <c r="S64" s="33"/>
      <c r="T64" s="33"/>
      <c r="U64" s="33">
        <v>340.16</v>
      </c>
      <c r="V64" s="33">
        <v>278</v>
      </c>
      <c r="W64" s="33"/>
      <c r="X64" s="33">
        <v>474.58</v>
      </c>
      <c r="Y64" s="33"/>
      <c r="Z64" s="33"/>
      <c r="AA64" s="33" t="e">
        <f ca="1">IF($I64="B1","",SUM(O64:Z64))</f>
        <v>#NAME?</v>
      </c>
      <c r="AB64" s="34" t="e">
        <f ca="1">IF(AA64=0,"",IFERROR(AA64/AA$19,""))</f>
        <v>#NAME?</v>
      </c>
      <c r="AD64" s="33"/>
      <c r="AE64" s="34" t="str">
        <f>IF(AD64=0,"",IFERROR(AD64/AD$19,""))</f>
        <v/>
      </c>
      <c r="AF64" s="52" t="e">
        <f ca="1">IF(AND($AA64="",AD64=""),"",$AA64-AD64)</f>
        <v>#NAME?</v>
      </c>
      <c r="AG64" s="33">
        <v>782.49</v>
      </c>
      <c r="AH64" s="34" t="str">
        <f ca="1">IF(AG64=0,"",IFERROR(AG64/AG$19,""))</f>
        <v/>
      </c>
      <c r="AI64" s="52" t="e">
        <f ca="1">IF(AND($AA64="",AG64=""),"",$AA64-AG64)</f>
        <v>#NAME?</v>
      </c>
      <c r="AJ64" s="415">
        <f ca="1">IFERROR(AA64/AA$20,0)</f>
        <v>0</v>
      </c>
      <c r="AK64" s="416">
        <f ca="1">IFERROR(AD64/AD$20,0)</f>
        <v>0</v>
      </c>
      <c r="AL64" s="417">
        <f ca="1">IFERROR(AG64/AG$20,0)</f>
        <v>0</v>
      </c>
      <c r="AM64" s="418">
        <f ca="1">+IFERROR(ROUND(($AB64-AE64)*100,2)&amp;" pts.",0)</f>
        <v>0</v>
      </c>
      <c r="AN64" s="436">
        <f ca="1">+IFERROR(ROUND(($AB64-AH64)*100,2)&amp;" pts.",0)</f>
        <v>0</v>
      </c>
    </row>
    <row r="65" spans="1:40" x14ac:dyDescent="0.25">
      <c r="A65" s="6" t="s">
        <v>17</v>
      </c>
      <c r="B65" s="7"/>
    </row>
    <row r="66" spans="1:40" x14ac:dyDescent="0.25">
      <c r="H66" s="15" t="s">
        <v>80</v>
      </c>
      <c r="I66" s="27" t="e">
        <f ca="1">_xll.EVPRO($B$1,$H66,"STYLE")</f>
        <v>#NAME?</v>
      </c>
      <c r="J66" s="27" t="e">
        <f ca="1">_xll.EVPRO($B$1,$H66,"CALC")</f>
        <v>#NAME?</v>
      </c>
      <c r="K66" s="25"/>
      <c r="L66" s="25"/>
      <c r="M66" s="25"/>
      <c r="N66" s="25" t="e">
        <f ca="1">IF(_xll.EVDES(H66,$B$1)="#NODATA","",_xll.EVDES(H66,$B$1))</f>
        <v>#NAME?</v>
      </c>
      <c r="O66" s="36"/>
      <c r="P66" s="36"/>
      <c r="Q66" s="36"/>
      <c r="R66" s="36"/>
      <c r="S66" s="36"/>
      <c r="T66" s="36"/>
      <c r="U66" s="36">
        <v>340.16</v>
      </c>
      <c r="V66" s="36">
        <v>278</v>
      </c>
      <c r="W66" s="36"/>
      <c r="X66" s="36">
        <v>474.58</v>
      </c>
      <c r="Y66" s="36"/>
      <c r="Z66" s="36"/>
      <c r="AA66" s="36" t="e">
        <f ca="1">IF($I66="B1","",SUM(O66:Z66))</f>
        <v>#NAME?</v>
      </c>
      <c r="AB66" s="37" t="e">
        <f ca="1">IF(AA66=0,"",IFERROR(AA66/AA$19,""))</f>
        <v>#NAME?</v>
      </c>
      <c r="AD66" s="36"/>
      <c r="AE66" s="37" t="str">
        <f>IF(AD66=0,"",IFERROR(AD66/AD$19,""))</f>
        <v/>
      </c>
      <c r="AF66" s="59" t="e">
        <f ca="1">IF(AND($AA66="",AD66=""),"",$AA66-AD66)</f>
        <v>#NAME?</v>
      </c>
      <c r="AG66" s="60">
        <v>782.49</v>
      </c>
      <c r="AH66" s="61" t="str">
        <f ca="1">IF(AG66=0,"",IFERROR(AG66/AG$19,""))</f>
        <v/>
      </c>
      <c r="AI66" s="59" t="e">
        <f ca="1">IF(AND($AA66="",AG66=""),"",$AA66-AG66)</f>
        <v>#NAME?</v>
      </c>
      <c r="AJ66" s="392">
        <f ca="1">IFERROR(AA66/AA$20,0)</f>
        <v>0</v>
      </c>
      <c r="AK66" s="393">
        <f ca="1">IFERROR(AD66/AD$20,0)</f>
        <v>0</v>
      </c>
      <c r="AL66" s="394">
        <f ca="1">IFERROR(AG66/AG$20,0)</f>
        <v>0</v>
      </c>
      <c r="AM66" s="395">
        <f ca="1">+IFERROR(ROUND(($AB66-AE66)*100,2)&amp;" pts.",0)</f>
        <v>0</v>
      </c>
      <c r="AN66" s="437">
        <f ca="1">+IFERROR(ROUND(($AB66-AH66)*100,2)&amp;" pts.",0)</f>
        <v>0</v>
      </c>
    </row>
    <row r="67" spans="1:40" ht="15.75" thickBot="1" x14ac:dyDescent="0.3">
      <c r="A67" s="22" t="s">
        <v>92</v>
      </c>
      <c r="B67" s="23" t="s">
        <v>93</v>
      </c>
      <c r="C67" s="23" t="s">
        <v>94</v>
      </c>
      <c r="D67" s="23" t="s">
        <v>95</v>
      </c>
      <c r="E67" s="23" t="s">
        <v>96</v>
      </c>
      <c r="F67" s="24" t="s">
        <v>97</v>
      </c>
      <c r="H67" s="15" t="s">
        <v>81</v>
      </c>
      <c r="I67" s="27" t="e">
        <f ca="1">_xll.EVPRO($B$1,$H67,"STYLE")</f>
        <v>#NAME?</v>
      </c>
      <c r="J67" s="27" t="e">
        <f ca="1">_xll.EVPRO($B$1,$H67,"CALC")</f>
        <v>#NAME?</v>
      </c>
      <c r="K67" s="25"/>
      <c r="L67" s="25"/>
      <c r="M67" s="25"/>
      <c r="N67" s="25" t="e">
        <f ca="1">IF(_xll.EVDES(H67,$B$1)="#NODATA","",_xll.EVDES(H67,$B$1))</f>
        <v>#NAME?</v>
      </c>
      <c r="O67" s="62">
        <v>4395.78</v>
      </c>
      <c r="P67" s="62">
        <v>3879.4</v>
      </c>
      <c r="Q67" s="62">
        <v>5456.87</v>
      </c>
      <c r="R67" s="62">
        <v>3376.96</v>
      </c>
      <c r="S67" s="62">
        <v>3757.35</v>
      </c>
      <c r="T67" s="62">
        <v>4362.8500000000004</v>
      </c>
      <c r="U67" s="62">
        <v>4527.07</v>
      </c>
      <c r="V67" s="62">
        <v>3713.52</v>
      </c>
      <c r="W67" s="62">
        <v>3084.27</v>
      </c>
      <c r="X67" s="62">
        <v>2228.3200000000002</v>
      </c>
      <c r="Y67" s="62">
        <v>2799.34</v>
      </c>
      <c r="Z67" s="62">
        <v>5737.27</v>
      </c>
      <c r="AA67" s="62" t="e">
        <f ca="1">IF($I67="B1","",SUM(O67:Z67))</f>
        <v>#NAME?</v>
      </c>
      <c r="AB67" s="63" t="e">
        <f ca="1">IF(AA67=0,"",IFERROR(AA67/AA$19,""))</f>
        <v>#NAME?</v>
      </c>
      <c r="AD67" s="62">
        <v>73605.825024999998</v>
      </c>
      <c r="AE67" s="63" t="str">
        <f ca="1">IF(AD67=0,"",IFERROR(AD67/AD$19,""))</f>
        <v/>
      </c>
      <c r="AF67" s="64" t="e">
        <f ca="1">IF(AND($AA67="",AD67=""),"",$AA67-AD67)</f>
        <v>#NAME?</v>
      </c>
      <c r="AG67" s="62">
        <v>46423.27</v>
      </c>
      <c r="AH67" s="63" t="str">
        <f ca="1">IF(AG67=0,"",IFERROR(AG67/AG$19,""))</f>
        <v/>
      </c>
      <c r="AI67" s="64" t="e">
        <f ca="1">IF(AND($AA67="",AG67=""),"",$AA67-AG67)</f>
        <v>#NAME?</v>
      </c>
      <c r="AJ67" s="430">
        <f ca="1">IFERROR(AA67/AA$20,0)</f>
        <v>0</v>
      </c>
      <c r="AK67" s="431">
        <f ca="1">IFERROR(AD67/AD$20,0)</f>
        <v>0</v>
      </c>
      <c r="AL67" s="432">
        <f ca="1">IFERROR(AG67/AG$20,0)</f>
        <v>0</v>
      </c>
      <c r="AM67" s="433">
        <f ca="1">+IFERROR(ROUND(($AB67-AE67)*100,2)&amp;" pts.",0)</f>
        <v>0</v>
      </c>
      <c r="AN67" s="438">
        <f ca="1">+IFERROR(ROUND(($AB67-AH67)*100,2)&amp;" pts.",0)</f>
        <v>0</v>
      </c>
    </row>
    <row r="68" spans="1:40" ht="15.75" thickTop="1" x14ac:dyDescent="0.25"/>
    <row r="69" spans="1:40" x14ac:dyDescent="0.25">
      <c r="A69" s="1" t="s">
        <v>105</v>
      </c>
      <c r="C69" s="26" t="s">
        <v>101</v>
      </c>
      <c r="D69" s="1" t="s">
        <v>106</v>
      </c>
      <c r="F69" s="1" t="s">
        <v>98</v>
      </c>
      <c r="N69" s="26" t="e">
        <f ca="1">N66&amp;" - Check"</f>
        <v>#NAME?</v>
      </c>
      <c r="O69" s="139">
        <f t="shared" ref="O69:AA69" si="28">SUMIF($H$35:$H$67,"600000",O$35:O$67)+SUMIF($H$35:$H$67,"700000",O$35:O$67)-SUMIF($H$35:$H$67,"TOTDEPTEXP",O$35:O$67)</f>
        <v>0</v>
      </c>
      <c r="P69" s="139">
        <f t="shared" si="28"/>
        <v>0</v>
      </c>
      <c r="Q69" s="139">
        <f t="shared" si="28"/>
        <v>0</v>
      </c>
      <c r="R69" s="139">
        <f t="shared" si="28"/>
        <v>0</v>
      </c>
      <c r="S69" s="139">
        <f t="shared" si="28"/>
        <v>0</v>
      </c>
      <c r="T69" s="139">
        <f t="shared" si="28"/>
        <v>0</v>
      </c>
      <c r="U69" s="139">
        <f t="shared" si="28"/>
        <v>0</v>
      </c>
      <c r="V69" s="139">
        <f t="shared" si="28"/>
        <v>0</v>
      </c>
      <c r="W69" s="139">
        <f t="shared" si="28"/>
        <v>0</v>
      </c>
      <c r="X69" s="139">
        <f t="shared" si="28"/>
        <v>0</v>
      </c>
      <c r="Y69" s="139">
        <f t="shared" si="28"/>
        <v>0</v>
      </c>
      <c r="Z69" s="139">
        <f t="shared" si="28"/>
        <v>0</v>
      </c>
      <c r="AA69" s="139" t="e">
        <f t="shared" ca="1" si="28"/>
        <v>#NAME?</v>
      </c>
      <c r="AB69" s="17"/>
      <c r="AD69" s="139">
        <f>SUMIF($H$35:$H$67,"600000",AD$35:AD$67)+SUMIF($H$35:$H$67,"700000",AD$35:AD$67)-SUMIF($H$35:$H$67,"TOTDEPTEXP",AD$35:AD$67)</f>
        <v>0</v>
      </c>
      <c r="AE69" s="17"/>
      <c r="AF69" s="21"/>
      <c r="AG69" s="139">
        <f>SUMIF($H$35:$H$67,"600000",AG$35:AG$67)+SUMIF($H$35:$H$67,"700000",AG$35:AG$67)-SUMIF($H$35:$H$67,"TOTDEPTEXP",AG$35:AG$67)</f>
        <v>0</v>
      </c>
      <c r="AH69" s="17"/>
      <c r="AI69" s="21"/>
    </row>
    <row r="70" spans="1:40" x14ac:dyDescent="0.25">
      <c r="A70" s="1" t="s">
        <v>104</v>
      </c>
      <c r="C70" s="26" t="s">
        <v>101</v>
      </c>
      <c r="D70" s="1" t="s">
        <v>106</v>
      </c>
      <c r="F70" s="1" t="s">
        <v>98</v>
      </c>
      <c r="N70" s="26" t="e">
        <f ca="1">N67&amp;" - Check"</f>
        <v>#NAME?</v>
      </c>
      <c r="O70" s="139">
        <f t="shared" ref="O70:AA70" si="29">SUMIF($H$35:$H$67,"KPI_GP",O$35:O$67)-SUMIF($H$35:$H$67,"TOTDEPTEXP",O$35:O$67)-SUMIF($H$35:$H$67,"TOTDEPTPL",O$35:O$67)</f>
        <v>0</v>
      </c>
      <c r="P70" s="139">
        <f t="shared" si="29"/>
        <v>0</v>
      </c>
      <c r="Q70" s="139">
        <f t="shared" si="29"/>
        <v>0</v>
      </c>
      <c r="R70" s="139">
        <f t="shared" si="29"/>
        <v>0</v>
      </c>
      <c r="S70" s="139">
        <f t="shared" si="29"/>
        <v>0</v>
      </c>
      <c r="T70" s="139">
        <f t="shared" si="29"/>
        <v>0</v>
      </c>
      <c r="U70" s="139">
        <f t="shared" si="29"/>
        <v>0</v>
      </c>
      <c r="V70" s="139">
        <f t="shared" si="29"/>
        <v>0</v>
      </c>
      <c r="W70" s="139">
        <f t="shared" si="29"/>
        <v>0</v>
      </c>
      <c r="X70" s="139">
        <f t="shared" si="29"/>
        <v>0</v>
      </c>
      <c r="Y70" s="139">
        <f t="shared" si="29"/>
        <v>0</v>
      </c>
      <c r="Z70" s="139">
        <f t="shared" si="29"/>
        <v>0</v>
      </c>
      <c r="AA70" s="139" t="e">
        <f t="shared" ca="1" si="29"/>
        <v>#NAME?</v>
      </c>
      <c r="AB70" s="17"/>
      <c r="AD70" s="139">
        <f>SUMIF($H$35:$H$67,"KPI_GP",AD$35:AD$67)-SUMIF($H$35:$H$67,"TOTDEPTEXP",AD$35:AD$67)-SUMIF($H$35:$H$67,"TOTDEPTPL",AD$35:AD$67)</f>
        <v>0</v>
      </c>
      <c r="AE70" s="17"/>
      <c r="AF70" s="21"/>
      <c r="AG70" s="139">
        <f>SUMIF($H$35:$H$67,"KPI_GP",AG$35:AG$67)-SUMIF($H$35:$H$67,"TOTDEPTEXP",AG$35:AG$67)-SUMIF($H$35:$H$67,"TOTDEPTPL",AG$35:AG$67)</f>
        <v>0</v>
      </c>
      <c r="AH70" s="17"/>
      <c r="AI70" s="21"/>
    </row>
    <row r="71" spans="1:40" x14ac:dyDescent="0.25">
      <c r="A71" s="1" t="s">
        <v>100</v>
      </c>
      <c r="C71" s="8" t="s">
        <v>101</v>
      </c>
      <c r="D71" s="1" t="s">
        <v>106</v>
      </c>
      <c r="F71" s="1" t="s">
        <v>98</v>
      </c>
    </row>
    <row r="72" spans="1:40" x14ac:dyDescent="0.25">
      <c r="A72" s="1" t="s">
        <v>102</v>
      </c>
      <c r="C72" s="25" t="s">
        <v>101</v>
      </c>
      <c r="D72" s="1" t="s">
        <v>106</v>
      </c>
      <c r="F72" s="1" t="s">
        <v>98</v>
      </c>
      <c r="O72" s="166"/>
      <c r="P72" s="166"/>
      <c r="Q72" s="166"/>
      <c r="R72" s="166"/>
      <c r="S72" s="166"/>
      <c r="T72" s="166"/>
      <c r="U72" s="166"/>
      <c r="V72" s="166"/>
      <c r="W72" s="166"/>
      <c r="X72" s="166"/>
      <c r="Y72" s="166"/>
      <c r="Z72" s="166"/>
      <c r="AA72" s="166"/>
      <c r="AD72" s="166"/>
      <c r="AG72" s="166"/>
    </row>
    <row r="73" spans="1:40" x14ac:dyDescent="0.25">
      <c r="A73" s="1" t="s">
        <v>102</v>
      </c>
      <c r="C73" s="151" t="s">
        <v>101</v>
      </c>
      <c r="D73" s="1" t="s">
        <v>107</v>
      </c>
      <c r="F73" s="1" t="s">
        <v>99</v>
      </c>
    </row>
    <row r="74" spans="1:40" x14ac:dyDescent="0.25">
      <c r="A74" s="1" t="s">
        <v>108</v>
      </c>
      <c r="C74" s="25" t="s">
        <v>101</v>
      </c>
      <c r="D74" s="1" t="s">
        <v>106</v>
      </c>
      <c r="F74" s="1" t="s">
        <v>98</v>
      </c>
      <c r="O74" s="166"/>
      <c r="P74" s="166"/>
      <c r="Q74" s="166"/>
      <c r="R74" s="166"/>
      <c r="S74" s="166"/>
      <c r="T74" s="166"/>
      <c r="U74" s="166"/>
      <c r="V74" s="166"/>
      <c r="W74" s="166"/>
      <c r="X74" s="166"/>
      <c r="Y74" s="166"/>
      <c r="Z74" s="166"/>
      <c r="AA74" s="166"/>
      <c r="AD74" s="166"/>
      <c r="AG74" s="166"/>
    </row>
    <row r="75" spans="1:40" x14ac:dyDescent="0.25">
      <c r="A75" s="1" t="s">
        <v>108</v>
      </c>
      <c r="C75" s="151" t="s">
        <v>101</v>
      </c>
      <c r="D75" s="1" t="s">
        <v>107</v>
      </c>
      <c r="F75" s="1" t="s">
        <v>99</v>
      </c>
    </row>
    <row r="77" spans="1:40" x14ac:dyDescent="0.25">
      <c r="C77" s="32"/>
      <c r="H77" s="11"/>
      <c r="J77" s="1"/>
    </row>
    <row r="78" spans="1:40" x14ac:dyDescent="0.25">
      <c r="A78" s="4" t="e">
        <f ca="1">_xll.EVDRE($B$1,A81:B88,A91:B97)</f>
        <v>#NAME?</v>
      </c>
      <c r="H78" s="11"/>
      <c r="J78" s="1"/>
    </row>
    <row r="79" spans="1:40" x14ac:dyDescent="0.25">
      <c r="H79" s="11"/>
      <c r="J79" s="1"/>
    </row>
    <row r="80" spans="1:40" x14ac:dyDescent="0.25">
      <c r="A80" s="3" t="s">
        <v>0</v>
      </c>
      <c r="B80" s="5" t="s">
        <v>1</v>
      </c>
      <c r="H80" s="11"/>
      <c r="J80" s="1"/>
    </row>
    <row r="81" spans="1:10" x14ac:dyDescent="0.25">
      <c r="A81" s="6" t="s">
        <v>2</v>
      </c>
      <c r="B81" s="7" t="e">
        <f ca="1">_xll.EVRNG($B$2:$B$10)</f>
        <v>#NAME?</v>
      </c>
      <c r="H81" s="11"/>
      <c r="J81" s="1"/>
    </row>
    <row r="82" spans="1:10" x14ac:dyDescent="0.25">
      <c r="A82" s="6" t="s">
        <v>3</v>
      </c>
      <c r="B82" s="7" t="e">
        <f ca="1">_xll.EVRNG($O$16:$AN$18)</f>
        <v>#NAME?</v>
      </c>
      <c r="H82" s="11"/>
      <c r="J82" s="1"/>
    </row>
    <row r="83" spans="1:10" x14ac:dyDescent="0.25">
      <c r="A83" s="6" t="s">
        <v>4</v>
      </c>
      <c r="B83" s="7" t="e">
        <f ca="1">_xll.EVRNG(H55:H56,H58:H59,H62:H63)</f>
        <v>#NAME?</v>
      </c>
      <c r="H83" s="11"/>
      <c r="J83" s="1"/>
    </row>
    <row r="84" spans="1:10" x14ac:dyDescent="0.25">
      <c r="A84" s="6" t="s">
        <v>5</v>
      </c>
      <c r="B84" s="7"/>
      <c r="H84" s="11"/>
      <c r="J84" s="1"/>
    </row>
    <row r="85" spans="1:10" x14ac:dyDescent="0.25">
      <c r="A85" s="6" t="s">
        <v>6</v>
      </c>
      <c r="B85" s="7"/>
      <c r="H85" s="11"/>
      <c r="J85" s="1"/>
    </row>
    <row r="86" spans="1:10" x14ac:dyDescent="0.25">
      <c r="A86" s="6" t="s">
        <v>7</v>
      </c>
      <c r="B86" s="7" t="e">
        <f ca="1">_xll.EVRNG(A100:F106)</f>
        <v>#NAME?</v>
      </c>
      <c r="H86" s="11"/>
      <c r="J86" s="1"/>
    </row>
    <row r="87" spans="1:10" x14ac:dyDescent="0.25">
      <c r="A87" s="6" t="s">
        <v>47</v>
      </c>
      <c r="B87" s="7" t="e">
        <f ca="1">_xll.EVRNG($A$123:$B$144)</f>
        <v>#NAME?</v>
      </c>
      <c r="H87" s="11"/>
      <c r="J87" s="1"/>
    </row>
    <row r="88" spans="1:10" x14ac:dyDescent="0.25">
      <c r="A88" s="6" t="s">
        <v>8</v>
      </c>
      <c r="B88" s="7"/>
      <c r="H88" s="11"/>
      <c r="J88" s="1"/>
    </row>
    <row r="89" spans="1:10" x14ac:dyDescent="0.25">
      <c r="H89" s="11"/>
      <c r="J89" s="1"/>
    </row>
    <row r="90" spans="1:10" x14ac:dyDescent="0.25">
      <c r="A90" s="3" t="s">
        <v>9</v>
      </c>
      <c r="B90" s="5" t="s">
        <v>10</v>
      </c>
      <c r="H90" s="11"/>
      <c r="J90" s="1"/>
    </row>
    <row r="91" spans="1:10" x14ac:dyDescent="0.25">
      <c r="A91" s="6" t="s">
        <v>11</v>
      </c>
      <c r="B91" s="7" t="s">
        <v>21</v>
      </c>
      <c r="H91" s="11"/>
      <c r="J91" s="1"/>
    </row>
    <row r="92" spans="1:10" x14ac:dyDescent="0.25">
      <c r="A92" s="6" t="s">
        <v>12</v>
      </c>
      <c r="B92" s="7" t="s">
        <v>22</v>
      </c>
      <c r="H92" s="11"/>
      <c r="J92" s="1"/>
    </row>
    <row r="93" spans="1:10" x14ac:dyDescent="0.25">
      <c r="A93" s="6" t="s">
        <v>13</v>
      </c>
      <c r="B93" s="7" t="s">
        <v>737</v>
      </c>
      <c r="H93" s="11"/>
      <c r="J93" s="1"/>
    </row>
    <row r="94" spans="1:10" x14ac:dyDescent="0.25">
      <c r="A94" s="6" t="s">
        <v>14</v>
      </c>
      <c r="B94" s="7"/>
      <c r="G94" s="14"/>
      <c r="H94" s="11"/>
      <c r="J94" s="1"/>
    </row>
    <row r="95" spans="1:10" x14ac:dyDescent="0.25">
      <c r="A95" s="6" t="s">
        <v>15</v>
      </c>
      <c r="B95" s="7"/>
      <c r="H95" s="11"/>
      <c r="J95" s="1"/>
    </row>
    <row r="96" spans="1:10" x14ac:dyDescent="0.25">
      <c r="A96" s="6" t="s">
        <v>16</v>
      </c>
      <c r="B96" s="7" t="s">
        <v>78</v>
      </c>
      <c r="H96" s="11"/>
      <c r="J96" s="1"/>
    </row>
    <row r="97" spans="1:10" x14ac:dyDescent="0.25">
      <c r="A97" s="6" t="s">
        <v>17</v>
      </c>
      <c r="B97" s="7"/>
      <c r="H97" s="11"/>
      <c r="J97" s="1"/>
    </row>
    <row r="98" spans="1:10" x14ac:dyDescent="0.25">
      <c r="H98" s="11"/>
      <c r="J98" s="1"/>
    </row>
    <row r="99" spans="1:10" x14ac:dyDescent="0.25">
      <c r="A99" s="22" t="s">
        <v>92</v>
      </c>
      <c r="B99" s="23" t="s">
        <v>93</v>
      </c>
      <c r="C99" s="23" t="s">
        <v>94</v>
      </c>
      <c r="D99" s="23" t="s">
        <v>95</v>
      </c>
      <c r="E99" s="23" t="s">
        <v>96</v>
      </c>
      <c r="F99" s="24" t="s">
        <v>97</v>
      </c>
      <c r="H99" s="11"/>
      <c r="J99" s="1"/>
    </row>
    <row r="101" spans="1:10" x14ac:dyDescent="0.25">
      <c r="A101" s="1" t="s">
        <v>108</v>
      </c>
      <c r="C101" s="26" t="s">
        <v>101</v>
      </c>
      <c r="D101" s="1" t="s">
        <v>106</v>
      </c>
      <c r="F101" s="1" t="s">
        <v>98</v>
      </c>
    </row>
    <row r="102" spans="1:10" x14ac:dyDescent="0.25">
      <c r="A102" s="1" t="s">
        <v>100</v>
      </c>
      <c r="C102" s="8" t="s">
        <v>101</v>
      </c>
      <c r="D102" s="1" t="s">
        <v>106</v>
      </c>
      <c r="F102" s="1" t="s">
        <v>98</v>
      </c>
    </row>
    <row r="103" spans="1:10" x14ac:dyDescent="0.25">
      <c r="A103" s="1" t="s">
        <v>109</v>
      </c>
      <c r="C103" s="25" t="s">
        <v>101</v>
      </c>
      <c r="D103" s="1" t="s">
        <v>106</v>
      </c>
      <c r="F103" s="1" t="s">
        <v>98</v>
      </c>
    </row>
    <row r="104" spans="1:10" x14ac:dyDescent="0.25">
      <c r="A104" s="1" t="s">
        <v>109</v>
      </c>
      <c r="C104" s="151" t="s">
        <v>101</v>
      </c>
      <c r="D104" s="1" t="s">
        <v>107</v>
      </c>
      <c r="F104" s="1" t="s">
        <v>99</v>
      </c>
    </row>
    <row r="105" spans="1:10" x14ac:dyDescent="0.25">
      <c r="A105" s="1" t="s">
        <v>110</v>
      </c>
      <c r="C105" s="25" t="s">
        <v>101</v>
      </c>
      <c r="D105" s="1" t="s">
        <v>106</v>
      </c>
      <c r="F105" s="1" t="s">
        <v>98</v>
      </c>
    </row>
    <row r="106" spans="1:10" x14ac:dyDescent="0.25">
      <c r="A106" s="1" t="s">
        <v>110</v>
      </c>
      <c r="C106" s="29" t="s">
        <v>101</v>
      </c>
      <c r="D106" s="1" t="s">
        <v>107</v>
      </c>
      <c r="F106" s="1" t="s">
        <v>99</v>
      </c>
    </row>
    <row r="107" spans="1:10" x14ac:dyDescent="0.25">
      <c r="C107" s="32"/>
    </row>
    <row r="108" spans="1:10" x14ac:dyDescent="0.25">
      <c r="G108" s="14"/>
    </row>
    <row r="109" spans="1:10" x14ac:dyDescent="0.25">
      <c r="A109" s="4" t="e">
        <f ca="1">_xll.EVDRE($B$1,A112:B119)</f>
        <v>#NAME?</v>
      </c>
      <c r="B109" s="1" t="s">
        <v>736</v>
      </c>
    </row>
    <row r="111" spans="1:10" x14ac:dyDescent="0.25">
      <c r="A111" s="3" t="s">
        <v>0</v>
      </c>
      <c r="B111" s="5" t="s">
        <v>1</v>
      </c>
    </row>
    <row r="112" spans="1:10" x14ac:dyDescent="0.25">
      <c r="A112" s="6" t="s">
        <v>2</v>
      </c>
      <c r="B112" s="7" t="e">
        <f ca="1">_xll.EVRNG($B$2:$B$10)</f>
        <v>#NAME?</v>
      </c>
    </row>
    <row r="113" spans="1:2" x14ac:dyDescent="0.25">
      <c r="A113" s="6" t="s">
        <v>3</v>
      </c>
      <c r="B113" s="7" t="e">
        <f ca="1">_xll.EVRNG($O$16:$AN$18)</f>
        <v>#NAME?</v>
      </c>
    </row>
    <row r="114" spans="1:2" x14ac:dyDescent="0.25">
      <c r="A114" s="6" t="s">
        <v>4</v>
      </c>
      <c r="B114" s="7" t="e">
        <f ca="1">_xll.EVRNG(H64:H67)</f>
        <v>#NAME?</v>
      </c>
    </row>
    <row r="115" spans="1:2" x14ac:dyDescent="0.25">
      <c r="A115" s="6" t="s">
        <v>5</v>
      </c>
      <c r="B115" s="7"/>
    </row>
    <row r="116" spans="1:2" x14ac:dyDescent="0.25">
      <c r="A116" s="6" t="s">
        <v>6</v>
      </c>
      <c r="B116" s="7"/>
    </row>
    <row r="117" spans="1:2" x14ac:dyDescent="0.25">
      <c r="A117" s="6" t="s">
        <v>7</v>
      </c>
      <c r="B117" s="7"/>
    </row>
    <row r="118" spans="1:2" x14ac:dyDescent="0.25">
      <c r="A118" s="6" t="s">
        <v>47</v>
      </c>
      <c r="B118" s="7" t="e">
        <f ca="1">_xll.EVRNG($A$123:$B$144)</f>
        <v>#NAME?</v>
      </c>
    </row>
    <row r="119" spans="1:2" x14ac:dyDescent="0.25">
      <c r="A119" s="6" t="s">
        <v>8</v>
      </c>
      <c r="B119" s="7"/>
    </row>
    <row r="122" spans="1:2" x14ac:dyDescent="0.25">
      <c r="A122" s="3" t="s">
        <v>23</v>
      </c>
      <c r="B122" s="5" t="s">
        <v>24</v>
      </c>
    </row>
    <row r="123" spans="1:2" x14ac:dyDescent="0.25">
      <c r="A123" s="6" t="s">
        <v>25</v>
      </c>
      <c r="B123" s="7"/>
    </row>
    <row r="124" spans="1:2" x14ac:dyDescent="0.25">
      <c r="A124" s="6" t="s">
        <v>26</v>
      </c>
      <c r="B124" s="7"/>
    </row>
    <row r="125" spans="1:2" x14ac:dyDescent="0.25">
      <c r="A125" s="6" t="s">
        <v>27</v>
      </c>
      <c r="B125" s="7"/>
    </row>
    <row r="126" spans="1:2" x14ac:dyDescent="0.25">
      <c r="A126" s="6" t="s">
        <v>28</v>
      </c>
      <c r="B126" s="7"/>
    </row>
    <row r="127" spans="1:2" x14ac:dyDescent="0.25">
      <c r="A127" s="6" t="s">
        <v>29</v>
      </c>
      <c r="B127" s="7"/>
    </row>
    <row r="128" spans="1:2" x14ac:dyDescent="0.25">
      <c r="A128" s="6" t="s">
        <v>30</v>
      </c>
      <c r="B128" s="7" t="s">
        <v>78</v>
      </c>
    </row>
    <row r="129" spans="1:34" x14ac:dyDescent="0.25">
      <c r="A129" s="6" t="s">
        <v>31</v>
      </c>
      <c r="B129" s="7" t="s">
        <v>78</v>
      </c>
    </row>
    <row r="130" spans="1:34" x14ac:dyDescent="0.25">
      <c r="A130" s="6" t="s">
        <v>32</v>
      </c>
      <c r="B130" s="7"/>
    </row>
    <row r="131" spans="1:34" x14ac:dyDescent="0.25">
      <c r="A131" s="6" t="s">
        <v>33</v>
      </c>
      <c r="B131" s="7"/>
    </row>
    <row r="132" spans="1:34" x14ac:dyDescent="0.25">
      <c r="A132" s="6" t="s">
        <v>34</v>
      </c>
      <c r="B132" s="7"/>
    </row>
    <row r="133" spans="1:34" x14ac:dyDescent="0.25">
      <c r="A133" s="6" t="s">
        <v>35</v>
      </c>
      <c r="B133" s="7"/>
    </row>
    <row r="134" spans="1:34" x14ac:dyDescent="0.25">
      <c r="A134" s="6" t="s">
        <v>36</v>
      </c>
      <c r="B134" s="7"/>
    </row>
    <row r="135" spans="1:34" x14ac:dyDescent="0.25">
      <c r="A135" s="6" t="s">
        <v>37</v>
      </c>
      <c r="B135" s="7"/>
    </row>
    <row r="136" spans="1:34" x14ac:dyDescent="0.25">
      <c r="A136" s="6" t="s">
        <v>38</v>
      </c>
      <c r="B136" s="7"/>
    </row>
    <row r="137" spans="1:34" x14ac:dyDescent="0.25">
      <c r="A137" s="6" t="s">
        <v>39</v>
      </c>
      <c r="B137" s="7"/>
    </row>
    <row r="138" spans="1:34" x14ac:dyDescent="0.25">
      <c r="A138" s="6" t="s">
        <v>40</v>
      </c>
      <c r="B138" s="7"/>
    </row>
    <row r="139" spans="1:34" x14ac:dyDescent="0.25">
      <c r="A139" s="6" t="s">
        <v>41</v>
      </c>
      <c r="B139" s="7"/>
    </row>
    <row r="140" spans="1:34" x14ac:dyDescent="0.25">
      <c r="A140" s="6" t="s">
        <v>42</v>
      </c>
      <c r="B140" s="7"/>
      <c r="I140" s="76"/>
      <c r="J140" s="1"/>
      <c r="K140" s="76"/>
      <c r="L140" s="76"/>
      <c r="M140" s="76"/>
      <c r="O140" s="76"/>
      <c r="P140" s="76"/>
      <c r="Q140" s="76"/>
      <c r="R140" s="76"/>
      <c r="S140" s="76"/>
      <c r="T140" s="76"/>
      <c r="U140" s="76"/>
      <c r="V140" s="76"/>
      <c r="W140" s="76"/>
      <c r="X140" s="76"/>
      <c r="Y140" s="76"/>
      <c r="Z140" s="76"/>
      <c r="AA140" s="76"/>
      <c r="AD140" s="76"/>
      <c r="AF140" s="76"/>
      <c r="AH140" s="76"/>
    </row>
    <row r="141" spans="1:34" x14ac:dyDescent="0.25">
      <c r="A141" s="6" t="s">
        <v>43</v>
      </c>
      <c r="B141" s="7"/>
    </row>
    <row r="142" spans="1:34" x14ac:dyDescent="0.25">
      <c r="A142" s="6" t="s">
        <v>44</v>
      </c>
      <c r="B142" s="7"/>
    </row>
    <row r="143" spans="1:34" x14ac:dyDescent="0.25">
      <c r="A143" s="6" t="s">
        <v>45</v>
      </c>
      <c r="B143" s="7"/>
    </row>
    <row r="144" spans="1:34" x14ac:dyDescent="0.25">
      <c r="A144" s="6" t="s">
        <v>46</v>
      </c>
      <c r="B144" s="7"/>
      <c r="I144" s="76"/>
      <c r="J144" s="1"/>
      <c r="K144" s="76"/>
      <c r="L144" s="76"/>
      <c r="M144" s="76"/>
      <c r="O144" s="76"/>
      <c r="P144" s="76"/>
      <c r="Q144" s="76"/>
      <c r="R144" s="76"/>
      <c r="S144" s="76"/>
      <c r="T144" s="76"/>
      <c r="U144" s="76"/>
      <c r="V144" s="76"/>
      <c r="W144" s="76"/>
      <c r="X144" s="76"/>
      <c r="Y144" s="76"/>
      <c r="Z144" s="76"/>
      <c r="AA144" s="76"/>
      <c r="AD144" s="76"/>
      <c r="AF144" s="76"/>
      <c r="AH144" s="76"/>
    </row>
    <row r="161" spans="5:7" x14ac:dyDescent="0.25">
      <c r="E161" s="76"/>
    </row>
    <row r="165" spans="5:7" x14ac:dyDescent="0.25">
      <c r="E165" s="76"/>
    </row>
    <row r="170" spans="5:7" x14ac:dyDescent="0.25">
      <c r="G170" s="76"/>
    </row>
    <row r="174" spans="5:7" x14ac:dyDescent="0.25">
      <c r="G174" s="76"/>
    </row>
  </sheetData>
  <mergeCells count="2">
    <mergeCell ref="AD31:AE31"/>
    <mergeCell ref="AG31:AH31"/>
  </mergeCells>
  <dataValidations disablePrompts="1" count="2">
    <dataValidation type="list" allowBlank="1" sqref="B93 B29 B61" xr:uid="{00000000-0002-0000-3A00-000000000000}">
      <formula1>"SELF,ALL,BAS,DEP,BASMEMBERS,MEMBERS,NOEXPAND,GDEP"</formula1>
    </dataValidation>
    <dataValidation type="list" allowBlank="1" sqref="B60 B28 B92" xr:uid="{00000000-0002-0000-3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491"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0491" r:id="rId7" name="FPMExcelClientSheetOptionstb1"/>
      </mc:Fallback>
    </mc:AlternateContent>
  </control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349</v>
      </c>
      <c r="C6" s="1" t="s">
        <v>362</v>
      </c>
      <c r="E6" s="49" t="s">
        <v>349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1516</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1517</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1518</v>
      </c>
      <c r="G19" s="18" t="str">
        <f>$B$6</f>
        <v>D1149</v>
      </c>
      <c r="H19" s="18">
        <v>400000</v>
      </c>
      <c r="I19" s="19"/>
      <c r="J19" s="19"/>
      <c r="K19" s="18"/>
      <c r="L19" s="18"/>
      <c r="M19" s="18"/>
      <c r="N19" s="18" t="s">
        <v>1003</v>
      </c>
      <c r="O19" s="20">
        <v>5303.34</v>
      </c>
      <c r="P19" s="20">
        <v>5663.96</v>
      </c>
      <c r="Q19" s="20">
        <v>7664</v>
      </c>
      <c r="R19" s="20">
        <v>4053.1</v>
      </c>
      <c r="S19" s="20">
        <v>5544.55</v>
      </c>
      <c r="T19" s="20">
        <v>5653</v>
      </c>
      <c r="U19" s="20">
        <v>6498.25</v>
      </c>
      <c r="V19" s="20">
        <v>5512.89</v>
      </c>
      <c r="W19" s="20">
        <v>4232.46</v>
      </c>
      <c r="X19" s="20">
        <v>5328.49</v>
      </c>
      <c r="Y19" s="20">
        <v>4617.8900000000003</v>
      </c>
      <c r="Z19" s="20">
        <v>8419</v>
      </c>
      <c r="AA19" s="20">
        <f>SUM(O19:Z19)</f>
        <v>68490.929999999993</v>
      </c>
      <c r="AB19" s="18"/>
      <c r="AC19" s="18"/>
      <c r="AD19" s="20">
        <v>100575.9</v>
      </c>
      <c r="AE19" s="18"/>
      <c r="AF19" s="18"/>
      <c r="AG19" s="20">
        <v>65528.36</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1519</v>
      </c>
      <c r="I22" s="1"/>
      <c r="J22" s="1"/>
    </row>
    <row r="23" spans="1:40" hidden="1" outlineLevel="1" x14ac:dyDescent="0.25">
      <c r="A23" s="6" t="s">
        <v>47</v>
      </c>
      <c r="B23" s="16" t="s">
        <v>1520</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1521</v>
      </c>
    </row>
    <row r="28" spans="1:40" ht="15.75" x14ac:dyDescent="0.25">
      <c r="A28" s="6" t="s">
        <v>12</v>
      </c>
      <c r="B28" s="7" t="s">
        <v>22</v>
      </c>
      <c r="N28" s="71" t="s">
        <v>1005</v>
      </c>
    </row>
    <row r="29" spans="1:40" ht="15" customHeight="1" x14ac:dyDescent="0.25">
      <c r="A29" s="6" t="s">
        <v>13</v>
      </c>
      <c r="B29" s="7" t="str">
        <f>"DEP(REV_F) AND "&amp;$E$6&amp;"=Y,DEP(REV_BEV) AND "&amp;$E$6&amp;"=Y,ALLOW_FB,REV_FB,DEP(REV_MISC_OTHR) AND "&amp;$E$6&amp;"=Y,468990,400000"</f>
        <v>DEP(REV_F) AND D1149=Y,DEP(REV_BEV) AND D1149=Y,ALLOW_FB,REV_FB,DEP(REV_MISC_OTHR) AND D1149=Y,468990,400000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L34" s="196" t="s">
        <v>364</v>
      </c>
      <c r="M34" s="196" t="s">
        <v>782</v>
      </c>
      <c r="N34" s="8" t="s">
        <v>356</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350</v>
      </c>
      <c r="I35" s="161" t="s">
        <v>1058</v>
      </c>
      <c r="J35" s="161" t="s">
        <v>78</v>
      </c>
      <c r="K35" s="68" t="str">
        <f t="shared" ref="K35:K41" si="0">IF(AND(I35&gt;="T5"),"&gt;","")</f>
        <v>&gt;</v>
      </c>
      <c r="L35" s="162">
        <v>467100</v>
      </c>
      <c r="M35" s="162"/>
      <c r="N35" s="162" t="s">
        <v>1305</v>
      </c>
      <c r="O35" s="449">
        <v>2891</v>
      </c>
      <c r="P35" s="449">
        <v>2684</v>
      </c>
      <c r="Q35" s="449">
        <v>3121</v>
      </c>
      <c r="R35" s="449">
        <v>1855.55</v>
      </c>
      <c r="S35" s="449">
        <v>2588.5500000000002</v>
      </c>
      <c r="T35" s="21">
        <v>3167</v>
      </c>
      <c r="U35" s="21">
        <v>3980.01</v>
      </c>
      <c r="V35" s="21">
        <v>2569</v>
      </c>
      <c r="W35" s="21">
        <v>2175</v>
      </c>
      <c r="X35" s="21">
        <v>2440.4899999999998</v>
      </c>
      <c r="Y35" s="21">
        <v>2356</v>
      </c>
      <c r="Z35" s="21">
        <v>1058</v>
      </c>
      <c r="AA35" s="310">
        <f t="shared" ref="AA35:AA41" si="1">IF($I35="B1","",SUM(O35:Z35))</f>
        <v>30885.599999999999</v>
      </c>
      <c r="AB35" s="17">
        <f t="shared" ref="AB35:AB41" si="2">IF(AA35=0,"",IFERROR(AA35/AA$19,""))</f>
        <v>0.45094438051870522</v>
      </c>
      <c r="AD35" s="21">
        <v>67573.5</v>
      </c>
      <c r="AE35" s="17">
        <f t="shared" ref="AE35:AE41" si="3">IF(AD35=0,"",IFERROR(AD35/AD$19,""))</f>
        <v>0.6718657252880661</v>
      </c>
      <c r="AF35" s="50">
        <f t="shared" ref="AF35:AF41" si="4">IF(AND($AA35="",AD35=""),"",$AA35-AD35)</f>
        <v>-36687.9</v>
      </c>
      <c r="AG35" s="21">
        <v>53085.5</v>
      </c>
      <c r="AH35" s="17">
        <f t="shared" ref="AH35:AH41" si="5">IF(AG35=0,"",IFERROR(AG35/AG$19,""))</f>
        <v>0.81011488766085404</v>
      </c>
      <c r="AI35" s="50">
        <f t="shared" ref="AI35:AI41" si="6">IF(AND($AA35="",AG35=""),"",$AA35-AG35)</f>
        <v>-22199.9</v>
      </c>
      <c r="AJ35" s="399">
        <f t="shared" ref="AJ35:AJ41" si="7">IFERROR(AA35/AA$20,0)</f>
        <v>0.77434688863260293</v>
      </c>
      <c r="AK35" s="400">
        <f t="shared" ref="AK35:AK41" si="8">IFERROR(AD35/AD$20,0)</f>
        <v>1.6380263253581557</v>
      </c>
      <c r="AL35" s="401">
        <f t="shared" ref="AL35:AL41" si="9">IFERROR(AG35/AG$20,0)</f>
        <v>1.2849276274386408</v>
      </c>
      <c r="AM35" s="402" t="str">
        <f t="shared" ref="AM35:AM41" si="10">+IFERROR(ROUND(($AB35-AE35)*100,2)&amp;" pts.",0)</f>
        <v>-22.09 pts.</v>
      </c>
      <c r="AN35" s="403" t="str">
        <f t="shared" ref="AN35:AN41" si="11">+IFERROR(ROUND(($AB35-AH35)*100,2)&amp;" pts.",0)</f>
        <v>-35.92 pts.</v>
      </c>
    </row>
    <row r="36" spans="1:40" x14ac:dyDescent="0.25">
      <c r="H36" s="15" t="s">
        <v>351</v>
      </c>
      <c r="I36" s="161" t="s">
        <v>1058</v>
      </c>
      <c r="J36" s="161" t="s">
        <v>78</v>
      </c>
      <c r="K36" s="68" t="str">
        <f t="shared" si="0"/>
        <v>&gt;</v>
      </c>
      <c r="L36" s="162">
        <v>467200</v>
      </c>
      <c r="M36" s="162"/>
      <c r="N36" s="162" t="s">
        <v>1306</v>
      </c>
      <c r="O36" s="449">
        <v>2412.34</v>
      </c>
      <c r="P36" s="449">
        <v>2979.96</v>
      </c>
      <c r="Q36" s="449">
        <v>4543</v>
      </c>
      <c r="R36" s="449">
        <v>2210.63</v>
      </c>
      <c r="S36" s="449">
        <v>2956</v>
      </c>
      <c r="T36" s="21">
        <v>2486</v>
      </c>
      <c r="U36" s="21">
        <v>2531.31</v>
      </c>
      <c r="V36" s="21">
        <v>2954.78</v>
      </c>
      <c r="W36" s="21">
        <v>2044.38</v>
      </c>
      <c r="X36" s="21">
        <v>2888</v>
      </c>
      <c r="Y36" s="21">
        <v>2261.89</v>
      </c>
      <c r="Z36" s="21">
        <v>5406</v>
      </c>
      <c r="AA36" s="310">
        <f t="shared" si="1"/>
        <v>35674.29</v>
      </c>
      <c r="AB36" s="17">
        <f t="shared" si="2"/>
        <v>0.52086152137224595</v>
      </c>
      <c r="AD36" s="21">
        <v>33002.400000000001</v>
      </c>
      <c r="AE36" s="17">
        <f t="shared" si="3"/>
        <v>0.32813427471193402</v>
      </c>
      <c r="AF36" s="50">
        <f t="shared" si="4"/>
        <v>2671.8899999999994</v>
      </c>
      <c r="AG36" s="21">
        <v>12618.35</v>
      </c>
      <c r="AH36" s="17">
        <f t="shared" si="5"/>
        <v>0.19256318943431516</v>
      </c>
      <c r="AI36" s="50">
        <f t="shared" si="6"/>
        <v>23055.940000000002</v>
      </c>
      <c r="AJ36" s="399">
        <f t="shared" si="7"/>
        <v>0.89440630797773657</v>
      </c>
      <c r="AK36" s="400">
        <f t="shared" si="8"/>
        <v>0.8</v>
      </c>
      <c r="AL36" s="401">
        <f t="shared" si="9"/>
        <v>0.30542552161494896</v>
      </c>
      <c r="AM36" s="402" t="str">
        <f t="shared" si="10"/>
        <v>19.27 pts.</v>
      </c>
      <c r="AN36" s="403" t="str">
        <f t="shared" si="11"/>
        <v>32.83 pts.</v>
      </c>
    </row>
    <row r="37" spans="1:40" x14ac:dyDescent="0.25">
      <c r="A37" s="1" t="s">
        <v>105</v>
      </c>
      <c r="C37" s="26" t="s">
        <v>101</v>
      </c>
      <c r="D37" s="1" t="s">
        <v>106</v>
      </c>
      <c r="F37" s="1" t="s">
        <v>98</v>
      </c>
      <c r="H37" s="15" t="s">
        <v>486</v>
      </c>
      <c r="I37" s="161" t="s">
        <v>1058</v>
      </c>
      <c r="J37" s="161" t="s">
        <v>78</v>
      </c>
      <c r="K37" s="68" t="str">
        <f t="shared" si="0"/>
        <v>&gt;</v>
      </c>
      <c r="L37" s="162"/>
      <c r="M37" s="162"/>
      <c r="N37" s="162" t="s">
        <v>1213</v>
      </c>
      <c r="O37" s="450"/>
      <c r="P37" s="450"/>
      <c r="Q37" s="450"/>
      <c r="R37" s="450"/>
      <c r="S37" s="450"/>
      <c r="T37" s="30"/>
      <c r="U37" s="30">
        <v>-13.07</v>
      </c>
      <c r="V37" s="30">
        <v>-10.89</v>
      </c>
      <c r="W37" s="30"/>
      <c r="X37" s="30"/>
      <c r="Y37" s="30"/>
      <c r="Z37" s="30"/>
      <c r="AA37" s="324">
        <f t="shared" si="1"/>
        <v>-23.96</v>
      </c>
      <c r="AB37" s="31">
        <f t="shared" si="2"/>
        <v>-3.4982734210208568E-4</v>
      </c>
      <c r="AD37" s="30"/>
      <c r="AE37" s="31" t="str">
        <f t="shared" si="3"/>
        <v/>
      </c>
      <c r="AF37" s="51">
        <f t="shared" si="4"/>
        <v>-23.96</v>
      </c>
      <c r="AG37" s="30"/>
      <c r="AH37" s="31" t="str">
        <f t="shared" si="5"/>
        <v/>
      </c>
      <c r="AI37" s="51">
        <f t="shared" si="6"/>
        <v>-23.96</v>
      </c>
      <c r="AJ37" s="409">
        <f t="shared" si="7"/>
        <v>-6.0071202928345792E-4</v>
      </c>
      <c r="AK37" s="410">
        <f t="shared" si="8"/>
        <v>0</v>
      </c>
      <c r="AL37" s="411">
        <f t="shared" si="9"/>
        <v>0</v>
      </c>
      <c r="AM37" s="412">
        <f t="shared" si="10"/>
        <v>0</v>
      </c>
      <c r="AN37" s="413">
        <f t="shared" si="11"/>
        <v>0</v>
      </c>
    </row>
    <row r="38" spans="1:40" x14ac:dyDescent="0.25">
      <c r="A38" s="1" t="s">
        <v>104</v>
      </c>
      <c r="C38" s="26" t="s">
        <v>101</v>
      </c>
      <c r="D38" s="1" t="s">
        <v>106</v>
      </c>
      <c r="F38" s="1" t="s">
        <v>98</v>
      </c>
      <c r="H38" s="15" t="s">
        <v>273</v>
      </c>
      <c r="I38" s="479" t="s">
        <v>1064</v>
      </c>
      <c r="J38" s="479" t="s">
        <v>78</v>
      </c>
      <c r="K38" s="480" t="str">
        <f t="shared" si="0"/>
        <v/>
      </c>
      <c r="L38" s="170"/>
      <c r="M38" s="170"/>
      <c r="N38" s="170" t="s">
        <v>1214</v>
      </c>
      <c r="O38" s="452">
        <v>5303.34</v>
      </c>
      <c r="P38" s="452">
        <v>5663.96</v>
      </c>
      <c r="Q38" s="452">
        <v>7664</v>
      </c>
      <c r="R38" s="452">
        <v>4066.18</v>
      </c>
      <c r="S38" s="452">
        <v>5544.55</v>
      </c>
      <c r="T38" s="134">
        <v>5653</v>
      </c>
      <c r="U38" s="134">
        <v>6498.25</v>
      </c>
      <c r="V38" s="134">
        <v>5512.89</v>
      </c>
      <c r="W38" s="134">
        <v>4219.38</v>
      </c>
      <c r="X38" s="134">
        <v>5328.49</v>
      </c>
      <c r="Y38" s="134">
        <v>4617.8900000000003</v>
      </c>
      <c r="Z38" s="134">
        <v>6464</v>
      </c>
      <c r="AA38" s="134">
        <f t="shared" si="1"/>
        <v>66535.929999999993</v>
      </c>
      <c r="AB38" s="135">
        <f t="shared" si="2"/>
        <v>0.97145607454884897</v>
      </c>
      <c r="AC38" s="137"/>
      <c r="AD38" s="134">
        <v>100575.9</v>
      </c>
      <c r="AE38" s="135">
        <f t="shared" si="3"/>
        <v>1</v>
      </c>
      <c r="AF38" s="136">
        <f t="shared" si="4"/>
        <v>-34039.97</v>
      </c>
      <c r="AG38" s="134">
        <v>65703.850000000006</v>
      </c>
      <c r="AH38" s="135">
        <f t="shared" si="5"/>
        <v>1.0026780770951693</v>
      </c>
      <c r="AI38" s="136">
        <f t="shared" si="6"/>
        <v>832.07999999998719</v>
      </c>
      <c r="AJ38" s="360">
        <f t="shared" si="7"/>
        <v>1.6681524845810558</v>
      </c>
      <c r="AK38" s="361">
        <f t="shared" si="8"/>
        <v>2.4380263253581558</v>
      </c>
      <c r="AL38" s="363">
        <f t="shared" si="9"/>
        <v>1.5903531490535898</v>
      </c>
      <c r="AM38" s="405" t="str">
        <f t="shared" si="10"/>
        <v>-2.85 pts.</v>
      </c>
      <c r="AN38" s="406" t="str">
        <f t="shared" si="11"/>
        <v>-3.12 pts.</v>
      </c>
    </row>
    <row r="39" spans="1:40" x14ac:dyDescent="0.25">
      <c r="A39" s="1" t="s">
        <v>100</v>
      </c>
      <c r="C39" s="8" t="s">
        <v>101</v>
      </c>
      <c r="D39" s="1" t="s">
        <v>106</v>
      </c>
      <c r="F39" s="1" t="s">
        <v>98</v>
      </c>
      <c r="H39" s="15" t="s">
        <v>352</v>
      </c>
      <c r="I39" s="161" t="s">
        <v>1058</v>
      </c>
      <c r="J39" s="161" t="s">
        <v>78</v>
      </c>
      <c r="K39" s="68" t="str">
        <f t="shared" si="0"/>
        <v>&gt;</v>
      </c>
      <c r="L39" s="162">
        <v>467300</v>
      </c>
      <c r="M39" s="162"/>
      <c r="N39" s="162" t="s">
        <v>1522</v>
      </c>
      <c r="O39" s="451"/>
      <c r="P39" s="451"/>
      <c r="Q39" s="451"/>
      <c r="R39" s="451">
        <v>-13.08</v>
      </c>
      <c r="S39" s="451"/>
      <c r="T39" s="38"/>
      <c r="U39" s="38"/>
      <c r="V39" s="38"/>
      <c r="W39" s="38">
        <v>13.08</v>
      </c>
      <c r="X39" s="38"/>
      <c r="Y39" s="38"/>
      <c r="Z39" s="38">
        <v>1955</v>
      </c>
      <c r="AA39" s="315">
        <f t="shared" si="1"/>
        <v>1955</v>
      </c>
      <c r="AB39" s="39">
        <f t="shared" si="2"/>
        <v>2.8543925451150979E-2</v>
      </c>
      <c r="AD39" s="38"/>
      <c r="AE39" s="39" t="str">
        <f t="shared" si="3"/>
        <v/>
      </c>
      <c r="AF39" s="132">
        <f t="shared" si="4"/>
        <v>1955</v>
      </c>
      <c r="AG39" s="38">
        <v>-175.49</v>
      </c>
      <c r="AH39" s="39">
        <f t="shared" si="5"/>
        <v>-2.6780770951691756E-3</v>
      </c>
      <c r="AI39" s="132">
        <f t="shared" si="6"/>
        <v>2130.4899999999998</v>
      </c>
      <c r="AJ39" s="353">
        <f t="shared" si="7"/>
        <v>4.9014691871834729E-2</v>
      </c>
      <c r="AK39" s="354">
        <f t="shared" si="8"/>
        <v>0</v>
      </c>
      <c r="AL39" s="356">
        <f t="shared" si="9"/>
        <v>-4.2477126397831248E-3</v>
      </c>
      <c r="AM39" s="390">
        <f t="shared" si="10"/>
        <v>0</v>
      </c>
      <c r="AN39" s="404" t="str">
        <f t="shared" si="11"/>
        <v>3.12 pts.</v>
      </c>
    </row>
    <row r="40" spans="1:40" x14ac:dyDescent="0.25">
      <c r="A40" s="1" t="s">
        <v>102</v>
      </c>
      <c r="C40" s="25" t="s">
        <v>101</v>
      </c>
      <c r="D40" s="1" t="s">
        <v>106</v>
      </c>
      <c r="F40" s="1" t="s">
        <v>98</v>
      </c>
      <c r="H40" s="15" t="s">
        <v>473</v>
      </c>
      <c r="I40" s="161" t="s">
        <v>1009</v>
      </c>
      <c r="J40" s="161" t="s">
        <v>1009</v>
      </c>
      <c r="K40" s="68" t="str">
        <f t="shared" si="0"/>
        <v/>
      </c>
      <c r="L40" s="162">
        <v>468990</v>
      </c>
      <c r="M40" s="162">
        <v>206022</v>
      </c>
      <c r="N40" s="162" t="s">
        <v>1222</v>
      </c>
      <c r="O40" s="450"/>
      <c r="P40" s="450"/>
      <c r="Q40" s="450"/>
      <c r="R40" s="450"/>
      <c r="S40" s="450"/>
      <c r="T40" s="30"/>
      <c r="U40" s="30"/>
      <c r="V40" s="30"/>
      <c r="W40" s="30"/>
      <c r="X40" s="30"/>
      <c r="Y40" s="30"/>
      <c r="Z40" s="30"/>
      <c r="AA40" s="324">
        <f t="shared" si="1"/>
        <v>0</v>
      </c>
      <c r="AB40" s="31" t="str">
        <f t="shared" si="2"/>
        <v/>
      </c>
      <c r="AD40" s="30"/>
      <c r="AE40" s="31" t="str">
        <f t="shared" si="3"/>
        <v/>
      </c>
      <c r="AF40" s="51">
        <f t="shared" si="4"/>
        <v>0</v>
      </c>
      <c r="AG40" s="30"/>
      <c r="AH40" s="31" t="str">
        <f t="shared" si="5"/>
        <v/>
      </c>
      <c r="AI40" s="51">
        <f t="shared" si="6"/>
        <v>0</v>
      </c>
      <c r="AJ40" s="409">
        <f t="shared" si="7"/>
        <v>0</v>
      </c>
      <c r="AK40" s="410">
        <f t="shared" si="8"/>
        <v>0</v>
      </c>
      <c r="AL40" s="411">
        <f t="shared" si="9"/>
        <v>0</v>
      </c>
      <c r="AM40" s="412">
        <f t="shared" si="10"/>
        <v>0</v>
      </c>
      <c r="AN40" s="413">
        <f t="shared" si="11"/>
        <v>0</v>
      </c>
    </row>
    <row r="41" spans="1:40" x14ac:dyDescent="0.25">
      <c r="A41" s="1" t="s">
        <v>102</v>
      </c>
      <c r="C41" s="151" t="s">
        <v>101</v>
      </c>
      <c r="D41" s="1" t="s">
        <v>107</v>
      </c>
      <c r="F41" s="1" t="s">
        <v>99</v>
      </c>
      <c r="H41" s="15" t="s">
        <v>280</v>
      </c>
      <c r="I41" s="479" t="s">
        <v>1012</v>
      </c>
      <c r="J41" s="479" t="s">
        <v>78</v>
      </c>
      <c r="K41" s="480" t="str">
        <f t="shared" si="0"/>
        <v/>
      </c>
      <c r="L41" s="170">
        <v>400000</v>
      </c>
      <c r="M41" s="170"/>
      <c r="N41" s="170" t="s">
        <v>1003</v>
      </c>
      <c r="O41" s="452">
        <v>5303.34</v>
      </c>
      <c r="P41" s="452">
        <v>5663.96</v>
      </c>
      <c r="Q41" s="452">
        <v>7664</v>
      </c>
      <c r="R41" s="452">
        <v>4053.1</v>
      </c>
      <c r="S41" s="452">
        <v>5544.55</v>
      </c>
      <c r="T41" s="134">
        <v>5653</v>
      </c>
      <c r="U41" s="134">
        <v>6498.25</v>
      </c>
      <c r="V41" s="134">
        <v>5512.89</v>
      </c>
      <c r="W41" s="134">
        <v>4232.46</v>
      </c>
      <c r="X41" s="134">
        <v>5328.49</v>
      </c>
      <c r="Y41" s="134">
        <v>4617.8900000000003</v>
      </c>
      <c r="Z41" s="134">
        <v>8419</v>
      </c>
      <c r="AA41" s="134">
        <f t="shared" si="1"/>
        <v>68490.929999999993</v>
      </c>
      <c r="AB41" s="135">
        <f t="shared" si="2"/>
        <v>1</v>
      </c>
      <c r="AC41" s="137"/>
      <c r="AD41" s="134">
        <v>100575.9</v>
      </c>
      <c r="AE41" s="135">
        <f t="shared" si="3"/>
        <v>1</v>
      </c>
      <c r="AF41" s="136">
        <f t="shared" si="4"/>
        <v>-32084.97</v>
      </c>
      <c r="AG41" s="134">
        <v>65528.36</v>
      </c>
      <c r="AH41" s="135">
        <f t="shared" si="5"/>
        <v>1</v>
      </c>
      <c r="AI41" s="136">
        <f t="shared" si="6"/>
        <v>2962.5699999999924</v>
      </c>
      <c r="AJ41" s="360">
        <f t="shared" si="7"/>
        <v>1.7171671764528906</v>
      </c>
      <c r="AK41" s="361">
        <f t="shared" si="8"/>
        <v>2.4380263253581558</v>
      </c>
      <c r="AL41" s="363">
        <f t="shared" si="9"/>
        <v>1.5861054364138065</v>
      </c>
      <c r="AM41" s="405" t="str">
        <f t="shared" si="10"/>
        <v>0 pts.</v>
      </c>
      <c r="AN41" s="406" t="str">
        <f t="shared" si="11"/>
        <v>0 pts.</v>
      </c>
    </row>
    <row r="42" spans="1:40" x14ac:dyDescent="0.25">
      <c r="A42" s="1" t="s">
        <v>108</v>
      </c>
      <c r="C42" s="25" t="s">
        <v>101</v>
      </c>
      <c r="D42" s="1" t="s">
        <v>106</v>
      </c>
      <c r="F42" s="1" t="s">
        <v>98</v>
      </c>
      <c r="O42" s="53"/>
      <c r="P42" s="54"/>
      <c r="Q42" s="54"/>
      <c r="R42" s="54"/>
      <c r="S42" s="54"/>
      <c r="T42" s="54"/>
      <c r="U42" s="54"/>
      <c r="V42" s="54"/>
      <c r="W42" s="54"/>
      <c r="X42" s="54"/>
      <c r="Y42" s="54"/>
      <c r="Z42" s="54"/>
      <c r="AA42" s="54"/>
      <c r="AB42" s="55"/>
      <c r="AD42" s="53"/>
      <c r="AE42" s="54"/>
      <c r="AF42" s="55"/>
      <c r="AG42" s="53"/>
      <c r="AH42" s="54"/>
      <c r="AI42" s="55"/>
    </row>
    <row r="43" spans="1:40" x14ac:dyDescent="0.25">
      <c r="A43" s="1" t="s">
        <v>108</v>
      </c>
      <c r="C43" s="151" t="s">
        <v>101</v>
      </c>
      <c r="D43" s="1" t="s">
        <v>107</v>
      </c>
      <c r="F43" s="1" t="s">
        <v>99</v>
      </c>
      <c r="H43" s="1" t="s">
        <v>281</v>
      </c>
      <c r="I43" s="11" t="s">
        <v>1011</v>
      </c>
      <c r="J43" s="11" t="s">
        <v>78</v>
      </c>
      <c r="N43" s="40" t="s">
        <v>1223</v>
      </c>
      <c r="O43" s="53"/>
      <c r="P43" s="54"/>
      <c r="Q43" s="54"/>
      <c r="R43" s="54"/>
      <c r="S43" s="54"/>
      <c r="T43" s="54"/>
      <c r="U43" s="54"/>
      <c r="V43" s="54"/>
      <c r="W43" s="54"/>
      <c r="X43" s="54"/>
      <c r="Y43" s="54"/>
      <c r="Z43" s="54"/>
      <c r="AA43" s="54"/>
      <c r="AB43" s="55"/>
      <c r="AD43" s="53"/>
      <c r="AE43" s="54"/>
      <c r="AF43" s="55"/>
      <c r="AG43" s="53"/>
      <c r="AH43" s="54"/>
      <c r="AI43" s="55"/>
    </row>
    <row r="44" spans="1:40" x14ac:dyDescent="0.25">
      <c r="H44" s="1" t="s">
        <v>284</v>
      </c>
      <c r="I44" s="11" t="s">
        <v>1011</v>
      </c>
      <c r="J44" s="11" t="s">
        <v>78</v>
      </c>
      <c r="N44" s="8" t="s">
        <v>1224</v>
      </c>
      <c r="O44" s="53"/>
      <c r="P44" s="54"/>
      <c r="Q44" s="54"/>
      <c r="R44" s="54"/>
      <c r="S44" s="54"/>
      <c r="T44" s="54"/>
      <c r="U44" s="54"/>
      <c r="V44" s="54"/>
      <c r="W44" s="54"/>
      <c r="X44" s="54"/>
      <c r="Y44" s="54"/>
      <c r="Z44" s="54"/>
      <c r="AA44" s="54"/>
      <c r="AB44" s="55"/>
      <c r="AD44" s="53"/>
      <c r="AE44" s="54"/>
      <c r="AF44" s="55"/>
      <c r="AG44" s="53"/>
      <c r="AH44" s="54"/>
      <c r="AI44" s="55"/>
    </row>
    <row r="45" spans="1:40" x14ac:dyDescent="0.25">
      <c r="H45" s="15" t="s">
        <v>353</v>
      </c>
      <c r="I45" s="161" t="s">
        <v>1009</v>
      </c>
      <c r="J45" s="161" t="s">
        <v>1009</v>
      </c>
      <c r="K45" s="68" t="str">
        <f t="shared" ref="K45:K51" si="12">IF(AND(I45&gt;="T5"),"&gt;","")</f>
        <v/>
      </c>
      <c r="L45" s="162">
        <v>567100</v>
      </c>
      <c r="M45" s="162">
        <v>301010</v>
      </c>
      <c r="N45" s="162" t="s">
        <v>1324</v>
      </c>
      <c r="O45" s="449">
        <v>624.33000000000004</v>
      </c>
      <c r="P45" s="449">
        <v>812.38</v>
      </c>
      <c r="Q45" s="449">
        <v>841.89</v>
      </c>
      <c r="R45" s="449">
        <v>331.7</v>
      </c>
      <c r="S45" s="449">
        <v>746.66</v>
      </c>
      <c r="T45" s="21">
        <v>507.51</v>
      </c>
      <c r="U45" s="21">
        <v>875.02</v>
      </c>
      <c r="V45" s="21">
        <v>729.51</v>
      </c>
      <c r="W45" s="21">
        <v>637.21</v>
      </c>
      <c r="X45" s="21">
        <v>1242.71</v>
      </c>
      <c r="Y45" s="21">
        <v>474.85</v>
      </c>
      <c r="Z45" s="21">
        <v>565.49</v>
      </c>
      <c r="AA45" s="310">
        <f>IF($I45="B1","",SUM(O45:Z45))</f>
        <v>8389.26</v>
      </c>
      <c r="AB45" s="17">
        <v>0.27162366928277298</v>
      </c>
      <c r="AD45" s="21">
        <v>17465.383774999998</v>
      </c>
      <c r="AE45" s="17">
        <v>0.258464986644173</v>
      </c>
      <c r="AF45" s="50">
        <f t="shared" ref="AF45:AF51" si="13">IF(AND($AA45="",AD45=""),"",$AA45-AD45)</f>
        <v>-9076.1237749999982</v>
      </c>
      <c r="AG45" s="21">
        <v>13410.22</v>
      </c>
      <c r="AH45" s="17">
        <v>0.25261549764059898</v>
      </c>
      <c r="AI45" s="50">
        <f t="shared" ref="AI45:AI51" si="14">IF(AND($AA45="",AG45=""),"",$AA45-AG45)</f>
        <v>-5020.9599999999991</v>
      </c>
      <c r="AJ45" s="399">
        <f t="shared" ref="AJ45:AJ51" si="15">IFERROR(AA45/AA$20,0)</f>
        <v>0.21033094318808604</v>
      </c>
      <c r="AK45" s="400">
        <f t="shared" ref="AK45:AK51" si="16">IFERROR(AD45/AD$20,0)</f>
        <v>0.42337245230649889</v>
      </c>
      <c r="AL45" s="401">
        <f t="shared" ref="AL45:AL51" si="17">IFERROR(AG45/AG$20,0)</f>
        <v>0.32459263203756594</v>
      </c>
      <c r="AM45" s="402" t="str">
        <f t="shared" ref="AM45:AM51" si="18">+IFERROR(ROUND(($AB45-AE45)*100,2)&amp;" pts.",0)</f>
        <v>1.32 pts.</v>
      </c>
      <c r="AN45" s="403" t="str">
        <f t="shared" ref="AN45:AN51" si="19">+IFERROR(ROUND(($AB45-AH45)*100,2)&amp;" pts.",0)</f>
        <v>1.9 pts.</v>
      </c>
    </row>
    <row r="46" spans="1:40" x14ac:dyDescent="0.25">
      <c r="A46" s="4" t="s">
        <v>988</v>
      </c>
      <c r="H46" s="15" t="s">
        <v>354</v>
      </c>
      <c r="I46" s="161" t="s">
        <v>1009</v>
      </c>
      <c r="J46" s="161" t="s">
        <v>1009</v>
      </c>
      <c r="K46" s="68" t="str">
        <f t="shared" si="12"/>
        <v/>
      </c>
      <c r="L46" s="162">
        <v>567200</v>
      </c>
      <c r="M46" s="162">
        <v>302010</v>
      </c>
      <c r="N46" s="162" t="s">
        <v>1333</v>
      </c>
      <c r="O46" s="450">
        <v>283.23</v>
      </c>
      <c r="P46" s="450">
        <v>972.18</v>
      </c>
      <c r="Q46" s="450">
        <v>1365.24</v>
      </c>
      <c r="R46" s="450">
        <v>344.44</v>
      </c>
      <c r="S46" s="450">
        <v>1040.54</v>
      </c>
      <c r="T46" s="30">
        <v>670.59</v>
      </c>
      <c r="U46" s="30">
        <v>756</v>
      </c>
      <c r="V46" s="30">
        <v>791.86</v>
      </c>
      <c r="W46" s="30">
        <v>510.98</v>
      </c>
      <c r="X46" s="30">
        <v>988.88</v>
      </c>
      <c r="Y46" s="30">
        <v>1343.7</v>
      </c>
      <c r="Z46" s="30">
        <v>1394.09</v>
      </c>
      <c r="AA46" s="324">
        <f>IF($I46="B1","",SUM(O46:Z46))</f>
        <v>10461.73</v>
      </c>
      <c r="AB46" s="31">
        <v>0.29325685248396</v>
      </c>
      <c r="AD46" s="30">
        <v>9504.6911999999993</v>
      </c>
      <c r="AE46" s="31">
        <v>0.28799999999999998</v>
      </c>
      <c r="AF46" s="51">
        <f t="shared" si="13"/>
        <v>957.03880000000026</v>
      </c>
      <c r="AG46" s="30">
        <v>3939.37</v>
      </c>
      <c r="AH46" s="31">
        <v>0.31219374957898599</v>
      </c>
      <c r="AI46" s="51">
        <f t="shared" si="14"/>
        <v>6522.36</v>
      </c>
      <c r="AJ46" s="409">
        <f t="shared" si="15"/>
        <v>0.26229077871935014</v>
      </c>
      <c r="AK46" s="410">
        <f t="shared" si="16"/>
        <v>0.23039999999999999</v>
      </c>
      <c r="AL46" s="411">
        <f t="shared" si="17"/>
        <v>9.5351938810088591E-2</v>
      </c>
      <c r="AM46" s="412" t="str">
        <f t="shared" si="18"/>
        <v>0.53 pts.</v>
      </c>
      <c r="AN46" s="413" t="str">
        <f t="shared" si="19"/>
        <v>-1.89 pts.</v>
      </c>
    </row>
    <row r="47" spans="1:40" x14ac:dyDescent="0.25">
      <c r="H47" s="15" t="s">
        <v>286</v>
      </c>
      <c r="I47" s="479" t="s">
        <v>1064</v>
      </c>
      <c r="J47" s="479" t="s">
        <v>78</v>
      </c>
      <c r="K47" s="480" t="str">
        <f t="shared" si="12"/>
        <v/>
      </c>
      <c r="L47" s="170"/>
      <c r="M47" s="170"/>
      <c r="N47" s="170" t="s">
        <v>1227</v>
      </c>
      <c r="O47" s="452">
        <v>907.56</v>
      </c>
      <c r="P47" s="452">
        <v>1784.56</v>
      </c>
      <c r="Q47" s="452">
        <v>2207.13</v>
      </c>
      <c r="R47" s="452">
        <v>676.14</v>
      </c>
      <c r="S47" s="452">
        <v>1787.2</v>
      </c>
      <c r="T47" s="134">
        <v>1178.0999999999999</v>
      </c>
      <c r="U47" s="134">
        <v>1631.02</v>
      </c>
      <c r="V47" s="134">
        <v>1521.37</v>
      </c>
      <c r="W47" s="134">
        <v>1148.19</v>
      </c>
      <c r="X47" s="134">
        <v>2231.59</v>
      </c>
      <c r="Y47" s="134">
        <v>1818.55</v>
      </c>
      <c r="Z47" s="134">
        <v>1959.58</v>
      </c>
      <c r="AA47" s="134">
        <f>IF($I47="B1","",SUM(O47:Z47))</f>
        <v>18850.990000000005</v>
      </c>
      <c r="AB47" s="135">
        <v>0.28332045557941399</v>
      </c>
      <c r="AC47" s="137"/>
      <c r="AD47" s="134">
        <v>26970.074975</v>
      </c>
      <c r="AE47" s="135">
        <v>0.268156436830294</v>
      </c>
      <c r="AF47" s="136">
        <f t="shared" si="13"/>
        <v>-8119.0849749999943</v>
      </c>
      <c r="AG47" s="134">
        <v>17349.59</v>
      </c>
      <c r="AH47" s="135">
        <v>0.26405743346851102</v>
      </c>
      <c r="AI47" s="136">
        <f t="shared" si="14"/>
        <v>1501.4000000000051</v>
      </c>
      <c r="AJ47" s="360">
        <f t="shared" si="15"/>
        <v>0.47262172190743634</v>
      </c>
      <c r="AK47" s="361">
        <f t="shared" si="16"/>
        <v>0.65377245230649894</v>
      </c>
      <c r="AL47" s="363">
        <f t="shared" si="17"/>
        <v>0.41994457084765457</v>
      </c>
      <c r="AM47" s="405" t="str">
        <f t="shared" si="18"/>
        <v>1.52 pts.</v>
      </c>
      <c r="AN47" s="406" t="str">
        <f t="shared" si="19"/>
        <v>1.93 pts.</v>
      </c>
    </row>
    <row r="48" spans="1:40" x14ac:dyDescent="0.25">
      <c r="A48" s="3" t="s">
        <v>0</v>
      </c>
      <c r="B48" s="5" t="s">
        <v>1</v>
      </c>
      <c r="H48" s="15" t="s">
        <v>355</v>
      </c>
      <c r="I48" s="161" t="s">
        <v>1009</v>
      </c>
      <c r="J48" s="161" t="s">
        <v>1009</v>
      </c>
      <c r="K48" s="68" t="str">
        <f t="shared" si="12"/>
        <v/>
      </c>
      <c r="L48" s="162">
        <v>567300</v>
      </c>
      <c r="M48" s="162">
        <v>306099</v>
      </c>
      <c r="N48" s="162" t="s">
        <v>1523</v>
      </c>
      <c r="O48" s="453"/>
      <c r="P48" s="453"/>
      <c r="Q48" s="453"/>
      <c r="R48" s="453"/>
      <c r="S48" s="453"/>
      <c r="T48" s="47">
        <v>112.05</v>
      </c>
      <c r="U48" s="47"/>
      <c r="V48" s="47"/>
      <c r="W48" s="47"/>
      <c r="X48" s="47">
        <v>394</v>
      </c>
      <c r="Y48" s="47"/>
      <c r="Z48" s="47">
        <v>722.15</v>
      </c>
      <c r="AA48" s="47">
        <f>IF($I48="B1","",SUM(O48:Z48))</f>
        <v>1228.2</v>
      </c>
      <c r="AB48" s="48">
        <v>0.628235294117647</v>
      </c>
      <c r="AD48" s="47"/>
      <c r="AE48" s="48"/>
      <c r="AF48" s="150">
        <f t="shared" si="13"/>
        <v>1228.2</v>
      </c>
      <c r="AG48" s="47">
        <v>973.01</v>
      </c>
      <c r="AH48" s="48">
        <v>-5.5445324519915697</v>
      </c>
      <c r="AI48" s="150">
        <f t="shared" si="14"/>
        <v>255.19000000000005</v>
      </c>
      <c r="AJ48" s="420">
        <f t="shared" si="15"/>
        <v>3.0792759364187936E-2</v>
      </c>
      <c r="AK48" s="421">
        <f t="shared" si="16"/>
        <v>0</v>
      </c>
      <c r="AL48" s="422">
        <f t="shared" si="17"/>
        <v>2.3551580578012297E-2</v>
      </c>
      <c r="AM48" s="423" t="str">
        <f t="shared" si="18"/>
        <v>62.82 pts.</v>
      </c>
      <c r="AN48" s="424" t="str">
        <f t="shared" si="19"/>
        <v>617.28 pts.</v>
      </c>
    </row>
    <row r="49" spans="1:40" x14ac:dyDescent="0.25">
      <c r="A49" s="6" t="s">
        <v>2</v>
      </c>
      <c r="B49" s="16" t="s">
        <v>1516</v>
      </c>
      <c r="H49" s="15" t="s">
        <v>289</v>
      </c>
      <c r="I49" s="479" t="s">
        <v>1012</v>
      </c>
      <c r="J49" s="479" t="s">
        <v>78</v>
      </c>
      <c r="K49" s="480" t="str">
        <f t="shared" si="12"/>
        <v/>
      </c>
      <c r="L49" s="170">
        <v>500001</v>
      </c>
      <c r="M49" s="170"/>
      <c r="N49" s="170" t="s">
        <v>1232</v>
      </c>
      <c r="O49" s="452">
        <v>907.56</v>
      </c>
      <c r="P49" s="452">
        <v>1784.56</v>
      </c>
      <c r="Q49" s="452">
        <v>2207.13</v>
      </c>
      <c r="R49" s="452">
        <v>676.14</v>
      </c>
      <c r="S49" s="452">
        <v>1787.2</v>
      </c>
      <c r="T49" s="134">
        <v>1290.1500000000001</v>
      </c>
      <c r="U49" s="134">
        <v>1631.02</v>
      </c>
      <c r="V49" s="134">
        <v>1521.37</v>
      </c>
      <c r="W49" s="134">
        <v>1148.19</v>
      </c>
      <c r="X49" s="134">
        <v>2625.59</v>
      </c>
      <c r="Y49" s="134">
        <v>1818.55</v>
      </c>
      <c r="Z49" s="134">
        <v>2681.73</v>
      </c>
      <c r="AA49" s="134">
        <f>IF($I49="B1","",SUM(O49:Z49))</f>
        <v>20079.190000000002</v>
      </c>
      <c r="AB49" s="135">
        <v>0.29316567901764501</v>
      </c>
      <c r="AC49" s="137"/>
      <c r="AD49" s="134">
        <v>26970.074975</v>
      </c>
      <c r="AE49" s="135">
        <v>0.268156436830294</v>
      </c>
      <c r="AF49" s="136">
        <f t="shared" si="13"/>
        <v>-6890.8849749999972</v>
      </c>
      <c r="AG49" s="134">
        <v>18322.599999999999</v>
      </c>
      <c r="AH49" s="135">
        <v>0.27961328499599297</v>
      </c>
      <c r="AI49" s="136">
        <f t="shared" si="14"/>
        <v>1756.5900000000038</v>
      </c>
      <c r="AJ49" s="360">
        <f t="shared" si="15"/>
        <v>0.50341448127162414</v>
      </c>
      <c r="AK49" s="361">
        <f t="shared" si="16"/>
        <v>0.65377245230649894</v>
      </c>
      <c r="AL49" s="363">
        <f t="shared" si="17"/>
        <v>0.44349615142566678</v>
      </c>
      <c r="AM49" s="405" t="str">
        <f t="shared" si="18"/>
        <v>2.5 pts.</v>
      </c>
      <c r="AN49" s="406" t="str">
        <f t="shared" si="19"/>
        <v>1.36 pts.</v>
      </c>
    </row>
    <row r="50" spans="1:40" x14ac:dyDescent="0.25">
      <c r="A50" s="6" t="s">
        <v>3</v>
      </c>
      <c r="B50" s="16" t="s">
        <v>1517</v>
      </c>
      <c r="H50" s="149" t="s">
        <v>175</v>
      </c>
      <c r="I50" s="28" t="s">
        <v>1011</v>
      </c>
      <c r="J50" s="28" t="s">
        <v>78</v>
      </c>
      <c r="K50" s="69" t="str">
        <f t="shared" si="12"/>
        <v/>
      </c>
      <c r="L50" s="69"/>
      <c r="M50" s="69"/>
      <c r="N50" s="25" t="s">
        <v>175</v>
      </c>
      <c r="O50" s="47"/>
      <c r="P50" s="47"/>
      <c r="Q50" s="47"/>
      <c r="R50" s="47"/>
      <c r="S50" s="47"/>
      <c r="T50" s="47"/>
      <c r="U50" s="47"/>
      <c r="V50" s="47"/>
      <c r="W50" s="47"/>
      <c r="X50" s="47"/>
      <c r="Y50" s="47"/>
      <c r="Z50" s="47"/>
      <c r="AA50" s="47"/>
      <c r="AB50" s="48"/>
      <c r="AD50" s="47"/>
      <c r="AE50" s="48"/>
      <c r="AF50" s="150" t="str">
        <f t="shared" si="13"/>
        <v/>
      </c>
      <c r="AG50" s="47"/>
      <c r="AH50" s="48"/>
      <c r="AI50" s="150" t="str">
        <f t="shared" si="14"/>
        <v/>
      </c>
      <c r="AJ50" s="420">
        <f t="shared" si="15"/>
        <v>0</v>
      </c>
      <c r="AK50" s="421">
        <f t="shared" si="16"/>
        <v>0</v>
      </c>
      <c r="AL50" s="422">
        <f t="shared" si="17"/>
        <v>0</v>
      </c>
      <c r="AM50" s="423" t="str">
        <f t="shared" si="18"/>
        <v>0 pts.</v>
      </c>
      <c r="AN50" s="424" t="str">
        <f t="shared" si="19"/>
        <v>0 pts.</v>
      </c>
    </row>
    <row r="51" spans="1:40" x14ac:dyDescent="0.25">
      <c r="A51" s="6" t="s">
        <v>4</v>
      </c>
      <c r="B51" s="16" t="s">
        <v>1524</v>
      </c>
      <c r="H51" s="149" t="s">
        <v>292</v>
      </c>
      <c r="I51" s="28" t="s">
        <v>1012</v>
      </c>
      <c r="J51" s="28" t="s">
        <v>78</v>
      </c>
      <c r="K51" s="69" t="str">
        <f t="shared" si="12"/>
        <v/>
      </c>
      <c r="L51" s="69"/>
      <c r="M51" s="69"/>
      <c r="N51" s="25" t="s">
        <v>1233</v>
      </c>
      <c r="O51" s="164">
        <f t="shared" ref="O51:Z51" si="20">SUMIF($H$35:$H$49,"400000",O35:O49)-SUMIF($H$35:$H$49,"500001",O35:O49)</f>
        <v>4395.7800000000007</v>
      </c>
      <c r="P51" s="164">
        <f t="shared" si="20"/>
        <v>3879.4</v>
      </c>
      <c r="Q51" s="164">
        <f t="shared" si="20"/>
        <v>5456.87</v>
      </c>
      <c r="R51" s="164">
        <f t="shared" si="20"/>
        <v>3376.96</v>
      </c>
      <c r="S51" s="164">
        <f t="shared" si="20"/>
        <v>3757.3500000000004</v>
      </c>
      <c r="T51" s="164">
        <f t="shared" si="20"/>
        <v>4362.8500000000004</v>
      </c>
      <c r="U51" s="164">
        <f t="shared" si="20"/>
        <v>4867.2299999999996</v>
      </c>
      <c r="V51" s="164">
        <f t="shared" si="20"/>
        <v>3991.5200000000004</v>
      </c>
      <c r="W51" s="164">
        <f t="shared" si="20"/>
        <v>3084.27</v>
      </c>
      <c r="X51" s="164">
        <f t="shared" si="20"/>
        <v>2702.8999999999996</v>
      </c>
      <c r="Y51" s="164">
        <f t="shared" si="20"/>
        <v>2799.34</v>
      </c>
      <c r="Z51" s="164">
        <f t="shared" si="20"/>
        <v>5737.27</v>
      </c>
      <c r="AA51" s="164">
        <f>IF($I51="B1","",SUM(O51:Z51))</f>
        <v>48411.740000000005</v>
      </c>
      <c r="AB51" s="135">
        <f>IF(AA51=0,"",IFERROR(AA51/AA$19,""))</f>
        <v>0.70683432098235499</v>
      </c>
      <c r="AD51" s="164">
        <f>SUMIF($H$35:$H$49,"400000",AD35:AD49)-SUMIF($H$35:$H$49,"500001",AD35:AD49)</f>
        <v>73605.825024999998</v>
      </c>
      <c r="AE51" s="135">
        <f>IF(AD51=0,"",IFERROR(AD51/AD$19,""))</f>
        <v>0.73184356316970567</v>
      </c>
      <c r="AF51" s="165">
        <f t="shared" si="13"/>
        <v>-25194.085024999993</v>
      </c>
      <c r="AG51" s="164">
        <f>SUMIF($H$35:$H$49,"400000",AG35:AG49)-SUMIF($H$35:$H$49,"500001",AG35:AG49)</f>
        <v>47205.760000000002</v>
      </c>
      <c r="AH51" s="135">
        <f>IF(AG51=0,"",IFERROR(AG51/AG$19,""))</f>
        <v>0.72038671500400742</v>
      </c>
      <c r="AI51" s="165">
        <f t="shared" si="14"/>
        <v>1205.9800000000032</v>
      </c>
      <c r="AJ51" s="392">
        <f t="shared" si="15"/>
        <v>1.2137526951812667</v>
      </c>
      <c r="AK51" s="393">
        <f t="shared" si="16"/>
        <v>1.7842538730516568</v>
      </c>
      <c r="AL51" s="394">
        <f t="shared" si="17"/>
        <v>1.1426092849881397</v>
      </c>
      <c r="AM51" s="395" t="str">
        <f t="shared" si="18"/>
        <v>-2.5 pts.</v>
      </c>
      <c r="AN51" s="437" t="str">
        <f t="shared" si="19"/>
        <v>-1.36 pts.</v>
      </c>
    </row>
    <row r="52" spans="1:40" x14ac:dyDescent="0.25">
      <c r="A52" s="6" t="s">
        <v>5</v>
      </c>
      <c r="B52" s="7"/>
      <c r="F52" s="152"/>
      <c r="O52" s="163"/>
      <c r="P52" s="287"/>
      <c r="Q52" s="287"/>
      <c r="R52" s="287"/>
      <c r="S52" s="287"/>
      <c r="T52" s="287"/>
      <c r="U52" s="287"/>
      <c r="V52" s="287"/>
      <c r="W52" s="287"/>
      <c r="X52" s="287"/>
      <c r="Y52" s="287"/>
      <c r="Z52" s="287"/>
      <c r="AA52" s="287"/>
      <c r="AB52" s="55"/>
      <c r="AD52" s="163"/>
      <c r="AE52" s="54"/>
      <c r="AF52" s="55"/>
      <c r="AG52" s="163"/>
      <c r="AH52" s="54"/>
      <c r="AI52" s="55"/>
    </row>
    <row r="53" spans="1:40" x14ac:dyDescent="0.25">
      <c r="A53" s="6" t="s">
        <v>6</v>
      </c>
      <c r="B53" s="7"/>
      <c r="F53" s="152"/>
      <c r="H53" s="1" t="s">
        <v>73</v>
      </c>
      <c r="I53" s="11" t="s">
        <v>1011</v>
      </c>
      <c r="J53" s="11" t="s">
        <v>78</v>
      </c>
      <c r="N53" s="40" t="s">
        <v>1079</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7</v>
      </c>
      <c r="B54" s="16" t="s">
        <v>1525</v>
      </c>
      <c r="F54" s="152"/>
      <c r="H54" s="1" t="s">
        <v>74</v>
      </c>
      <c r="I54" s="11" t="s">
        <v>1011</v>
      </c>
      <c r="J54" s="11" t="s">
        <v>78</v>
      </c>
      <c r="N54" s="8" t="s">
        <v>1080</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6" t="s">
        <v>47</v>
      </c>
      <c r="B55" s="16" t="s">
        <v>1520</v>
      </c>
      <c r="H55" s="15" t="s">
        <v>667</v>
      </c>
      <c r="I55" s="161"/>
      <c r="J55" s="161"/>
      <c r="K55" s="68" t="str">
        <f>IF(AND(I55&lt;&gt;"B1",J55="Y"),"&gt;","")</f>
        <v/>
      </c>
      <c r="L55" s="162"/>
      <c r="M55" s="162"/>
      <c r="N55" s="162"/>
      <c r="O55" s="21"/>
      <c r="P55" s="21"/>
      <c r="Q55" s="21"/>
      <c r="R55" s="21"/>
      <c r="S55" s="21"/>
      <c r="T55" s="21"/>
      <c r="U55" s="21"/>
      <c r="V55" s="21"/>
      <c r="W55" s="21"/>
      <c r="X55" s="21"/>
      <c r="Y55" s="21"/>
      <c r="Z55" s="21"/>
      <c r="AA55" s="310">
        <f>IF($I55="B1","",SUM(O55:Z55))</f>
        <v>0</v>
      </c>
      <c r="AB55" s="17" t="str">
        <f>IF(AA55=0,"",IFERROR(AA55/AA$19,""))</f>
        <v/>
      </c>
      <c r="AD55" s="21"/>
      <c r="AE55" s="17" t="str">
        <f>IF(AD55=0,"",IFERROR(AD55/AD$19,""))</f>
        <v/>
      </c>
      <c r="AF55" s="50">
        <f>IF(AND($AA55="",AD55=""),"",$AA55-AD55)</f>
        <v>0</v>
      </c>
      <c r="AG55" s="21"/>
      <c r="AH55" s="17" t="str">
        <f>IF(AG55=0,"",IFERROR(AG55/AG$19,""))</f>
        <v/>
      </c>
      <c r="AI55" s="50">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A56" s="6" t="s">
        <v>8</v>
      </c>
      <c r="B56" s="7"/>
      <c r="H56" s="15"/>
      <c r="I56" s="161"/>
      <c r="J56" s="161"/>
      <c r="K56" s="68" t="str">
        <f>IF(AND(I56&lt;&gt;"B1",J56="Y"),"&gt;","")</f>
        <v/>
      </c>
      <c r="L56" s="162"/>
      <c r="M56" s="162"/>
      <c r="N56" s="162"/>
      <c r="O56" s="21"/>
      <c r="P56" s="21"/>
      <c r="Q56" s="21"/>
      <c r="R56" s="21"/>
      <c r="S56" s="21"/>
      <c r="T56" s="21"/>
      <c r="U56" s="21"/>
      <c r="V56" s="21"/>
      <c r="W56" s="21"/>
      <c r="X56" s="21"/>
      <c r="Y56" s="21"/>
      <c r="Z56" s="21"/>
      <c r="AA56" s="310">
        <f>IF($I56="B1","",SUM(O56:Z56))</f>
        <v>0</v>
      </c>
      <c r="AB56" s="17" t="str">
        <f>IF(AA56=0,"",IFERROR(AA56/AA$19,""))</f>
        <v/>
      </c>
      <c r="AD56" s="21"/>
      <c r="AE56" s="17" t="str">
        <f>IF(AD56=0,"",IFERROR(AD56/AD$19,""))</f>
        <v/>
      </c>
      <c r="AF56" s="50">
        <f>IF(AND($AA56="",AD56=""),"",$AA56-AD56)</f>
        <v>0</v>
      </c>
      <c r="AG56" s="21"/>
      <c r="AH56" s="17" t="str">
        <f>IF(AG56=0,"",IFERROR(AG56/AG$19,""))</f>
        <v/>
      </c>
      <c r="AI56" s="50">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H57" s="15" t="s">
        <v>75</v>
      </c>
      <c r="I57" s="28" t="s">
        <v>1011</v>
      </c>
      <c r="J57" s="28" t="s">
        <v>78</v>
      </c>
      <c r="K57" s="69" t="str">
        <f>IF(AND(I57&gt;="T3"),"&gt;","")</f>
        <v/>
      </c>
      <c r="L57" s="25"/>
      <c r="M57" s="162"/>
      <c r="N57" s="25" t="s">
        <v>1082</v>
      </c>
      <c r="O57" s="38"/>
      <c r="P57" s="38"/>
      <c r="Q57" s="38"/>
      <c r="R57" s="38"/>
      <c r="S57" s="38"/>
      <c r="T57" s="38"/>
      <c r="U57" s="38"/>
      <c r="V57" s="38"/>
      <c r="W57" s="38"/>
      <c r="X57" s="38"/>
      <c r="Y57" s="38"/>
      <c r="Z57" s="38"/>
      <c r="AA57" s="310" t="str">
        <f>IF($I57="B1","",SUM(O57:Z57))</f>
        <v/>
      </c>
      <c r="AB57" s="39" t="str">
        <f>IF(AA57=0,"",IFERROR(AA57/AA$19,""))</f>
        <v/>
      </c>
      <c r="AD57" s="38"/>
      <c r="AE57" s="39" t="str">
        <f>IF(AD57=0,"",IFERROR(AD57/AD$19,""))</f>
        <v/>
      </c>
      <c r="AF57" s="132" t="str">
        <f>IF(AND($AA57="",AD57=""),"",$AA57-AD57)</f>
        <v/>
      </c>
      <c r="AG57" s="38"/>
      <c r="AH57" s="39" t="str">
        <f>IF(AG57=0,"",IFERROR(AG57/AG$19,""))</f>
        <v/>
      </c>
      <c r="AI57" s="132" t="str">
        <f>IF(AND($AA57="",AG57=""),"",$AA57-AG57)</f>
        <v/>
      </c>
      <c r="AJ57" s="399">
        <f>IFERROR(AA57/AA$20,0)</f>
        <v>0</v>
      </c>
      <c r="AK57" s="400">
        <f>IFERROR(AD57/AD$20,0)</f>
        <v>0</v>
      </c>
      <c r="AL57" s="401">
        <f>IFERROR(AG57/AG$20,0)</f>
        <v>0</v>
      </c>
      <c r="AM57" s="402">
        <f>+IFERROR(ROUND(($AB57-AE57)*100,2)&amp;" pts.",0)</f>
        <v>0</v>
      </c>
      <c r="AN57" s="403">
        <f>+IFERROR(ROUND(($AB57-AH57)*100,2)&amp;" pts.",0)</f>
        <v>0</v>
      </c>
    </row>
    <row r="58" spans="1:40" hidden="1" x14ac:dyDescent="0.25">
      <c r="A58" s="3" t="s">
        <v>9</v>
      </c>
      <c r="B58" s="5" t="s">
        <v>10</v>
      </c>
      <c r="H58" s="15" t="s">
        <v>667</v>
      </c>
      <c r="I58" s="161"/>
      <c r="J58" s="161"/>
      <c r="K58" s="68" t="str">
        <f>IF(AND(I58&lt;&gt;"B1",J58="Y"),"&gt;","")</f>
        <v/>
      </c>
      <c r="L58" s="162"/>
      <c r="M58" s="162"/>
      <c r="N58" s="162"/>
      <c r="O58" s="450"/>
      <c r="P58" s="450"/>
      <c r="Q58" s="450"/>
      <c r="R58" s="450"/>
      <c r="S58" s="450"/>
      <c r="T58" s="30"/>
      <c r="U58" s="30"/>
      <c r="V58" s="30"/>
      <c r="W58" s="30"/>
      <c r="X58" s="30"/>
      <c r="Y58" s="30"/>
      <c r="Z58" s="30"/>
      <c r="AA58" s="324">
        <f>IF($I58="B1","",SUM(O58:Z58))</f>
        <v>0</v>
      </c>
      <c r="AB58" s="31" t="str">
        <f>IF(AA58=0,"",IFERROR(AA58/AA$19,""))</f>
        <v/>
      </c>
      <c r="AD58" s="30"/>
      <c r="AE58" s="31" t="str">
        <f>IF(AD58=0,"",IFERROR(AD58/AD$19,""))</f>
        <v/>
      </c>
      <c r="AF58" s="51">
        <f>IF(AND($AA58="",AD58=""),"",$AA58-AD58)</f>
        <v>0</v>
      </c>
      <c r="AG58" s="30"/>
      <c r="AH58" s="31" t="str">
        <f>IF(AG58=0,"",IFERROR(AG58/AG$19,""))</f>
        <v/>
      </c>
      <c r="AI58" s="51">
        <f>IF(AND($AA58="",AG58=""),"",$AA58-AG58)</f>
        <v>0</v>
      </c>
      <c r="AJ58" s="409">
        <f>IFERROR(AA58/AA$20,0)</f>
        <v>0</v>
      </c>
      <c r="AK58" s="410">
        <f>IFERROR(AD58/AD$20,0)</f>
        <v>0</v>
      </c>
      <c r="AL58" s="411">
        <f>IFERROR(AG58/AG$20,0)</f>
        <v>0</v>
      </c>
      <c r="AM58" s="412">
        <f>+IFERROR(ROUND(($AB58-AE58)*100,2)&amp;" pts.",0)</f>
        <v>0</v>
      </c>
      <c r="AN58" s="413">
        <f>+IFERROR(ROUND(($AB58-AH58)*100,2)&amp;" pts.",0)</f>
        <v>0</v>
      </c>
    </row>
    <row r="59" spans="1:40" hidden="1" x14ac:dyDescent="0.25">
      <c r="A59" s="6" t="s">
        <v>11</v>
      </c>
      <c r="B59" s="7" t="s">
        <v>21</v>
      </c>
      <c r="H59" s="15"/>
      <c r="I59" s="161"/>
      <c r="J59" s="161"/>
      <c r="K59" s="68" t="str">
        <f>IF(AND(I59&lt;&gt;"B1",J59="Y"),"&gt;","")</f>
        <v/>
      </c>
      <c r="L59" s="162"/>
      <c r="M59" s="162"/>
      <c r="N59" s="162"/>
      <c r="O59" s="450"/>
      <c r="P59" s="450"/>
      <c r="Q59" s="450"/>
      <c r="R59" s="450"/>
      <c r="S59" s="450"/>
      <c r="T59" s="30"/>
      <c r="U59" s="30"/>
      <c r="V59" s="30"/>
      <c r="W59" s="30"/>
      <c r="X59" s="30"/>
      <c r="Y59" s="30"/>
      <c r="Z59" s="30"/>
      <c r="AA59" s="324">
        <f>IF($I59="B1","",SUM(O59:Z59))</f>
        <v>0</v>
      </c>
      <c r="AB59" s="31" t="str">
        <f>IF(AA59=0,"",IFERROR(AA59/AA$19,""))</f>
        <v/>
      </c>
      <c r="AD59" s="30"/>
      <c r="AE59" s="31" t="str">
        <f>IF(AD59=0,"",IFERROR(AD59/AD$19,""))</f>
        <v/>
      </c>
      <c r="AF59" s="51">
        <f>IF(AND($AA59="",AD59=""),"",$AA59-AD59)</f>
        <v>0</v>
      </c>
      <c r="AG59" s="30"/>
      <c r="AH59" s="31" t="str">
        <f>IF(AG59=0,"",IFERROR(AG59/AG$19,""))</f>
        <v/>
      </c>
      <c r="AI59" s="51">
        <f>IF(AND($AA59="",AG59=""),"",$AA59-AG59)</f>
        <v>0</v>
      </c>
      <c r="AJ59" s="409">
        <f>IFERROR(AA59/AA$20,0)</f>
        <v>0</v>
      </c>
      <c r="AK59" s="410">
        <f>IFERROR(AD59/AD$20,0)</f>
        <v>0</v>
      </c>
      <c r="AL59" s="411">
        <f>IFERROR(AG59/AG$20,0)</f>
        <v>0</v>
      </c>
      <c r="AM59" s="412">
        <f>+IFERROR(ROUND(($AB59-AE59)*100,2)&amp;" pts.",0)</f>
        <v>0</v>
      </c>
      <c r="AN59" s="413">
        <f>+IFERROR(ROUND(($AB59-AH59)*100,2)&amp;" pts.",0)</f>
        <v>0</v>
      </c>
    </row>
    <row r="60" spans="1:40" x14ac:dyDescent="0.25">
      <c r="A60" s="6" t="s">
        <v>12</v>
      </c>
      <c r="B60" s="7" t="s">
        <v>22</v>
      </c>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13</v>
      </c>
      <c r="B61" s="7" t="str">
        <f>"lDEP(2,COS_FB) AND "&amp;$E$6&amp;"=Y,COS_FB,DEP(COS_MISC) AND "&amp;$E$6&amp;"=Y,500001"</f>
        <v>lDEP(2,COS_FB) AND D1149=Y,COS_FB,DEP(COS_MISC) AND D1149=Y,500001</v>
      </c>
      <c r="G61" s="14"/>
      <c r="H61" s="1" t="s">
        <v>82</v>
      </c>
      <c r="I61" s="11" t="s">
        <v>1011</v>
      </c>
      <c r="J61" s="11" t="s">
        <v>78</v>
      </c>
      <c r="N61" s="40" t="s">
        <v>1092</v>
      </c>
      <c r="O61" s="43"/>
      <c r="P61" s="46"/>
      <c r="Q61" s="46"/>
      <c r="R61" s="46"/>
      <c r="S61" s="46"/>
      <c r="T61" s="46"/>
      <c r="U61" s="46"/>
      <c r="V61" s="46"/>
      <c r="W61" s="46"/>
      <c r="X61" s="46"/>
      <c r="Y61" s="46"/>
      <c r="Z61" s="46"/>
      <c r="AA61" s="46"/>
      <c r="AB61" s="44"/>
      <c r="AD61" s="43"/>
      <c r="AE61" s="46"/>
      <c r="AF61" s="44"/>
      <c r="AG61" s="43"/>
      <c r="AH61" s="46"/>
      <c r="AI61" s="44"/>
    </row>
    <row r="62" spans="1:40" x14ac:dyDescent="0.25">
      <c r="A62" s="6" t="s">
        <v>14</v>
      </c>
      <c r="B62" s="7"/>
      <c r="H62" s="15" t="s">
        <v>832</v>
      </c>
      <c r="I62" s="161" t="s">
        <v>1064</v>
      </c>
      <c r="J62" s="161" t="s">
        <v>78</v>
      </c>
      <c r="K62" s="68" t="str">
        <f>IF(AND(I62&lt;&gt;"B1",J62="Y"),"&gt;","")</f>
        <v>&gt;</v>
      </c>
      <c r="L62" s="162">
        <v>701500</v>
      </c>
      <c r="M62" s="162"/>
      <c r="N62" s="162" t="s">
        <v>1094</v>
      </c>
      <c r="O62" s="21"/>
      <c r="P62" s="21"/>
      <c r="Q62" s="21"/>
      <c r="R62" s="21"/>
      <c r="S62" s="21"/>
      <c r="T62" s="21"/>
      <c r="U62" s="21">
        <v>340.16</v>
      </c>
      <c r="V62" s="21">
        <v>278</v>
      </c>
      <c r="W62" s="21"/>
      <c r="X62" s="21">
        <v>474.58</v>
      </c>
      <c r="Y62" s="21"/>
      <c r="Z62" s="21"/>
      <c r="AA62" s="310">
        <f>IF($I62="B1","",SUM(O62:Z62))</f>
        <v>1092.74</v>
      </c>
      <c r="AB62" s="17">
        <f>IF(AA62=0,"",IFERROR(AA62/AA$19,""))</f>
        <v>1.5954521277488861E-2</v>
      </c>
      <c r="AD62" s="21"/>
      <c r="AE62" s="17" t="str">
        <f>IF(AD62=0,"",IFERROR(AD62/AD$19,""))</f>
        <v/>
      </c>
      <c r="AF62" s="50">
        <f>IF(AND($AA62="",AD62=""),"",$AA62-AD62)</f>
        <v>1092.74</v>
      </c>
      <c r="AG62" s="21">
        <v>782.49</v>
      </c>
      <c r="AH62" s="17">
        <f>IF(AG62=0,"",IFERROR(AG62/AG$19,""))</f>
        <v>1.1941241929448563E-2</v>
      </c>
      <c r="AI62" s="50">
        <f>IF(AND($AA62="",AG62=""),"",$AA62-AG62)</f>
        <v>310.25</v>
      </c>
      <c r="AJ62" s="399">
        <f>IFERROR(AA62/AA$20,0)</f>
        <v>2.7396580253723112E-2</v>
      </c>
      <c r="AK62" s="400">
        <f>IFERROR(AD62/AD$20,0)</f>
        <v>0</v>
      </c>
      <c r="AL62" s="401">
        <f>IFERROR(AG62/AG$20,0)</f>
        <v>1.8940068741830858E-2</v>
      </c>
      <c r="AM62" s="402">
        <f>+IFERROR(ROUND(($AB62-AE62)*100,2)&amp;" pts.",0)</f>
        <v>0</v>
      </c>
      <c r="AN62" s="403" t="str">
        <f>+IFERROR(ROUND(($AB62-AH62)*100,2)&amp;" pts.",0)</f>
        <v>0.4 pts.</v>
      </c>
    </row>
    <row r="63" spans="1:40" hidden="1" x14ac:dyDescent="0.25">
      <c r="A63" s="6" t="s">
        <v>15</v>
      </c>
      <c r="B63" s="7"/>
      <c r="H63" s="15"/>
      <c r="I63" s="161"/>
      <c r="J63" s="161"/>
      <c r="K63" s="68" t="str">
        <f>IF(AND(I63&lt;&gt;"B1",J63="Y"),"&gt;","")</f>
        <v/>
      </c>
      <c r="L63" s="162"/>
      <c r="M63" s="162"/>
      <c r="N63" s="162"/>
      <c r="O63" s="21"/>
      <c r="P63" s="21"/>
      <c r="Q63" s="21"/>
      <c r="R63" s="21"/>
      <c r="S63" s="21"/>
      <c r="T63" s="21"/>
      <c r="U63" s="21"/>
      <c r="V63" s="21"/>
      <c r="W63" s="21"/>
      <c r="X63" s="21"/>
      <c r="Y63" s="21"/>
      <c r="Z63" s="21"/>
      <c r="AA63" s="310">
        <f>IF($I63="B1","",SUM(O63:Z63))</f>
        <v>0</v>
      </c>
      <c r="AB63" s="17" t="str">
        <f>IF(AA63=0,"",IFERROR(AA63/AA$19,""))</f>
        <v/>
      </c>
      <c r="AD63" s="21"/>
      <c r="AE63" s="17" t="str">
        <f>IF(AD63=0,"",IFERROR(AD63/AD$19,""))</f>
        <v/>
      </c>
      <c r="AF63" s="50">
        <f>IF(AND($AA63="",AD63=""),"",$AA63-AD63)</f>
        <v>0</v>
      </c>
      <c r="AG63" s="21"/>
      <c r="AH63" s="17" t="str">
        <f>IF(AG63=0,"",IFERROR(AG63/AG$19,""))</f>
        <v/>
      </c>
      <c r="AI63" s="50">
        <f>IF(AND($AA63="",AG63=""),"",$AA63-AG63)</f>
        <v>0</v>
      </c>
      <c r="AJ63" s="399">
        <f>IFERROR(AA63/AA$20,0)</f>
        <v>0</v>
      </c>
      <c r="AK63" s="400">
        <f>IFERROR(AD63/AD$20,0)</f>
        <v>0</v>
      </c>
      <c r="AL63" s="401">
        <f>IFERROR(AG63/AG$20,0)</f>
        <v>0</v>
      </c>
      <c r="AM63" s="402">
        <f>+IFERROR(ROUND(($AB63-AE63)*100,2)&amp;" pts.",0)</f>
        <v>0</v>
      </c>
      <c r="AN63" s="403">
        <f>+IFERROR(ROUND(($AB63-AH63)*100,2)&amp;" pts.",0)</f>
        <v>0</v>
      </c>
    </row>
    <row r="64" spans="1:40" x14ac:dyDescent="0.25">
      <c r="A64" s="6" t="s">
        <v>16</v>
      </c>
      <c r="B64" s="7"/>
      <c r="H64" s="15" t="s">
        <v>79</v>
      </c>
      <c r="I64" s="27" t="s">
        <v>1012</v>
      </c>
      <c r="J64" s="27" t="s">
        <v>78</v>
      </c>
      <c r="K64" s="26"/>
      <c r="L64" s="26"/>
      <c r="M64" s="26"/>
      <c r="N64" s="25" t="s">
        <v>1116</v>
      </c>
      <c r="O64" s="33"/>
      <c r="P64" s="33"/>
      <c r="Q64" s="33"/>
      <c r="R64" s="33"/>
      <c r="S64" s="33"/>
      <c r="T64" s="33"/>
      <c r="U64" s="33">
        <v>340.16</v>
      </c>
      <c r="V64" s="33">
        <v>278</v>
      </c>
      <c r="W64" s="33"/>
      <c r="X64" s="33">
        <v>474.58</v>
      </c>
      <c r="Y64" s="33"/>
      <c r="Z64" s="33"/>
      <c r="AA64" s="33">
        <f>IF($I64="B1","",SUM(O64:Z64))</f>
        <v>1092.74</v>
      </c>
      <c r="AB64" s="34">
        <f>IF(AA64=0,"",IFERROR(AA64/AA$19,""))</f>
        <v>1.5954521277488861E-2</v>
      </c>
      <c r="AD64" s="33"/>
      <c r="AE64" s="34" t="str">
        <f>IF(AD64=0,"",IFERROR(AD64/AD$19,""))</f>
        <v/>
      </c>
      <c r="AF64" s="52">
        <f>IF(AND($AA64="",AD64=""),"",$AA64-AD64)</f>
        <v>1092.74</v>
      </c>
      <c r="AG64" s="33">
        <v>782.49</v>
      </c>
      <c r="AH64" s="34">
        <f>IF(AG64=0,"",IFERROR(AG64/AG$19,""))</f>
        <v>1.1941241929448563E-2</v>
      </c>
      <c r="AI64" s="52">
        <f>IF(AND($AA64="",AG64=""),"",$AA64-AG64)</f>
        <v>310.25</v>
      </c>
      <c r="AJ64" s="415">
        <f>IFERROR(AA64/AA$20,0)</f>
        <v>2.7396580253723112E-2</v>
      </c>
      <c r="AK64" s="416">
        <f>IFERROR(AD64/AD$20,0)</f>
        <v>0</v>
      </c>
      <c r="AL64" s="417">
        <f>IFERROR(AG64/AG$20,0)</f>
        <v>1.8940068741830858E-2</v>
      </c>
      <c r="AM64" s="418">
        <f>+IFERROR(ROUND(($AB64-AE64)*100,2)&amp;" pts.",0)</f>
        <v>0</v>
      </c>
      <c r="AN64" s="436" t="str">
        <f>+IFERROR(ROUND(($AB64-AH64)*100,2)&amp;" pts.",0)</f>
        <v>0.4 pts.</v>
      </c>
    </row>
    <row r="65" spans="1:40" x14ac:dyDescent="0.25">
      <c r="A65" s="6" t="s">
        <v>17</v>
      </c>
      <c r="B65" s="7"/>
    </row>
    <row r="66" spans="1:40" x14ac:dyDescent="0.25">
      <c r="H66" s="15" t="s">
        <v>80</v>
      </c>
      <c r="I66" s="27" t="s">
        <v>1012</v>
      </c>
      <c r="J66" s="27" t="s">
        <v>78</v>
      </c>
      <c r="K66" s="25"/>
      <c r="L66" s="25"/>
      <c r="M66" s="25"/>
      <c r="N66" s="25" t="s">
        <v>1117</v>
      </c>
      <c r="O66" s="36"/>
      <c r="P66" s="36"/>
      <c r="Q66" s="36"/>
      <c r="R66" s="36"/>
      <c r="S66" s="36"/>
      <c r="T66" s="36"/>
      <c r="U66" s="36">
        <v>340.16</v>
      </c>
      <c r="V66" s="36">
        <v>278</v>
      </c>
      <c r="W66" s="36"/>
      <c r="X66" s="36">
        <v>474.58</v>
      </c>
      <c r="Y66" s="36"/>
      <c r="Z66" s="36"/>
      <c r="AA66" s="36">
        <f>IF($I66="B1","",SUM(O66:Z66))</f>
        <v>1092.74</v>
      </c>
      <c r="AB66" s="37">
        <f>IF(AA66=0,"",IFERROR(AA66/AA$19,""))</f>
        <v>1.5954521277488861E-2</v>
      </c>
      <c r="AD66" s="36"/>
      <c r="AE66" s="37" t="str">
        <f>IF(AD66=0,"",IFERROR(AD66/AD$19,""))</f>
        <v/>
      </c>
      <c r="AF66" s="59">
        <f>IF(AND($AA66="",AD66=""),"",$AA66-AD66)</f>
        <v>1092.74</v>
      </c>
      <c r="AG66" s="60">
        <v>782.49</v>
      </c>
      <c r="AH66" s="61">
        <f>IF(AG66=0,"",IFERROR(AG66/AG$19,""))</f>
        <v>1.1941241929448563E-2</v>
      </c>
      <c r="AI66" s="59">
        <f>IF(AND($AA66="",AG66=""),"",$AA66-AG66)</f>
        <v>310.25</v>
      </c>
      <c r="AJ66" s="392">
        <f>IFERROR(AA66/AA$20,0)</f>
        <v>2.7396580253723112E-2</v>
      </c>
      <c r="AK66" s="393">
        <f>IFERROR(AD66/AD$20,0)</f>
        <v>0</v>
      </c>
      <c r="AL66" s="394">
        <f>IFERROR(AG66/AG$20,0)</f>
        <v>1.8940068741830858E-2</v>
      </c>
      <c r="AM66" s="395">
        <f>+IFERROR(ROUND(($AB66-AE66)*100,2)&amp;" pts.",0)</f>
        <v>0</v>
      </c>
      <c r="AN66" s="437" t="str">
        <f>+IFERROR(ROUND(($AB66-AH66)*100,2)&amp;" pts.",0)</f>
        <v>0.4 pts.</v>
      </c>
    </row>
    <row r="67" spans="1:40" ht="15.75" thickBot="1" x14ac:dyDescent="0.3">
      <c r="A67" s="22" t="s">
        <v>92</v>
      </c>
      <c r="B67" s="23" t="s">
        <v>93</v>
      </c>
      <c r="C67" s="23" t="s">
        <v>94</v>
      </c>
      <c r="D67" s="23" t="s">
        <v>95</v>
      </c>
      <c r="E67" s="23" t="s">
        <v>96</v>
      </c>
      <c r="F67" s="24" t="s">
        <v>97</v>
      </c>
      <c r="H67" s="15" t="s">
        <v>81</v>
      </c>
      <c r="I67" s="27" t="s">
        <v>1012</v>
      </c>
      <c r="J67" s="27" t="s">
        <v>78</v>
      </c>
      <c r="K67" s="25"/>
      <c r="L67" s="25"/>
      <c r="M67" s="25"/>
      <c r="N67" s="25" t="s">
        <v>1118</v>
      </c>
      <c r="O67" s="62">
        <v>4395.78</v>
      </c>
      <c r="P67" s="62">
        <v>3879.4</v>
      </c>
      <c r="Q67" s="62">
        <v>5456.87</v>
      </c>
      <c r="R67" s="62">
        <v>3376.96</v>
      </c>
      <c r="S67" s="62">
        <v>3757.35</v>
      </c>
      <c r="T67" s="62">
        <v>4362.8500000000004</v>
      </c>
      <c r="U67" s="62">
        <v>4527.07</v>
      </c>
      <c r="V67" s="62">
        <v>3713.52</v>
      </c>
      <c r="W67" s="62">
        <v>3084.27</v>
      </c>
      <c r="X67" s="62">
        <v>2228.3200000000002</v>
      </c>
      <c r="Y67" s="62">
        <v>2799.34</v>
      </c>
      <c r="Z67" s="62">
        <v>5737.27</v>
      </c>
      <c r="AA67" s="62">
        <f>IF($I67="B1","",SUM(O67:Z67))</f>
        <v>47319</v>
      </c>
      <c r="AB67" s="63">
        <f>IF(AA67=0,"",IFERROR(AA67/AA$19,""))</f>
        <v>0.69087979970486613</v>
      </c>
      <c r="AD67" s="62">
        <v>73605.825024999998</v>
      </c>
      <c r="AE67" s="63">
        <f>IF(AD67=0,"",IFERROR(AD67/AD$19,""))</f>
        <v>0.73184356316970567</v>
      </c>
      <c r="AF67" s="64">
        <f>IF(AND($AA67="",AD67=""),"",$AA67-AD67)</f>
        <v>-26286.825024999998</v>
      </c>
      <c r="AG67" s="62">
        <v>46423.27</v>
      </c>
      <c r="AH67" s="63">
        <f>IF(AG67=0,"",IFERROR(AG67/AG$19,""))</f>
        <v>0.70844547307455885</v>
      </c>
      <c r="AI67" s="64">
        <f>IF(AND($AA67="",AG67=""),"",$AA67-AG67)</f>
        <v>895.7300000000032</v>
      </c>
      <c r="AJ67" s="430">
        <f>IFERROR(AA67/AA$20,0)</f>
        <v>1.1863561149275434</v>
      </c>
      <c r="AK67" s="431">
        <f>IFERROR(AD67/AD$20,0)</f>
        <v>1.7842538730516568</v>
      </c>
      <c r="AL67" s="432">
        <f>IFERROR(AG67/AG$20,0)</f>
        <v>1.1236692162463087</v>
      </c>
      <c r="AM67" s="433" t="str">
        <f>+IFERROR(ROUND(($AB67-AE67)*100,2)&amp;" pts.",0)</f>
        <v>-4.1 pts.</v>
      </c>
      <c r="AN67" s="438" t="str">
        <f>+IFERROR(ROUND(($AB67-AH67)*100,2)&amp;" pts.",0)</f>
        <v>-1.76 pts.</v>
      </c>
    </row>
    <row r="68" spans="1:40" ht="15.75" thickTop="1" x14ac:dyDescent="0.25"/>
    <row r="69" spans="1:40" x14ac:dyDescent="0.25">
      <c r="A69" s="1" t="s">
        <v>105</v>
      </c>
      <c r="C69" s="26" t="s">
        <v>101</v>
      </c>
      <c r="D69" s="1" t="s">
        <v>106</v>
      </c>
      <c r="F69" s="1" t="s">
        <v>98</v>
      </c>
      <c r="N69" s="26" t="str">
        <f>N66&amp;" - Check"</f>
        <v>Total Expenses - Check</v>
      </c>
      <c r="O69" s="139">
        <f t="shared" ref="O69:AA69" si="21">SUMIF($H$35:$H$67,"600000",O$35:O$67)+SUMIF($H$35:$H$67,"700000",O$35:O$67)-SUMIF($H$35:$H$67,"TOTDEPTEXP",O$35:O$67)</f>
        <v>0</v>
      </c>
      <c r="P69" s="139">
        <f t="shared" si="21"/>
        <v>0</v>
      </c>
      <c r="Q69" s="139">
        <f t="shared" si="21"/>
        <v>0</v>
      </c>
      <c r="R69" s="139">
        <f t="shared" si="21"/>
        <v>0</v>
      </c>
      <c r="S69" s="139">
        <f t="shared" si="21"/>
        <v>0</v>
      </c>
      <c r="T69" s="139">
        <f t="shared" si="21"/>
        <v>0</v>
      </c>
      <c r="U69" s="139">
        <f t="shared" si="21"/>
        <v>0</v>
      </c>
      <c r="V69" s="139">
        <f t="shared" si="21"/>
        <v>0</v>
      </c>
      <c r="W69" s="139">
        <f t="shared" si="21"/>
        <v>0</v>
      </c>
      <c r="X69" s="139">
        <f t="shared" si="21"/>
        <v>0</v>
      </c>
      <c r="Y69" s="139">
        <f t="shared" si="21"/>
        <v>0</v>
      </c>
      <c r="Z69" s="139">
        <f t="shared" si="21"/>
        <v>0</v>
      </c>
      <c r="AA69" s="139">
        <f t="shared" si="21"/>
        <v>0</v>
      </c>
      <c r="AB69" s="17"/>
      <c r="AD69" s="139">
        <f>SUMIF($H$35:$H$67,"600000",AD$35:AD$67)+SUMIF($H$35:$H$67,"700000",AD$35:AD$67)-SUMIF($H$35:$H$67,"TOTDEPTEXP",AD$35:AD$67)</f>
        <v>0</v>
      </c>
      <c r="AE69" s="17"/>
      <c r="AF69" s="21"/>
      <c r="AG69" s="139">
        <f>SUMIF($H$35:$H$67,"600000",AG$35:AG$67)+SUMIF($H$35:$H$67,"700000",AG$35:AG$67)-SUMIF($H$35:$H$67,"TOTDEPTEXP",AG$35:AG$67)</f>
        <v>0</v>
      </c>
      <c r="AH69" s="17"/>
      <c r="AI69" s="21"/>
    </row>
    <row r="70" spans="1:40" x14ac:dyDescent="0.25">
      <c r="A70" s="1" t="s">
        <v>104</v>
      </c>
      <c r="C70" s="26" t="s">
        <v>101</v>
      </c>
      <c r="D70" s="1" t="s">
        <v>106</v>
      </c>
      <c r="F70" s="1" t="s">
        <v>98</v>
      </c>
      <c r="N70" s="26" t="str">
        <f>N67&amp;" - Check"</f>
        <v>Department Profit (Loss) - Check</v>
      </c>
      <c r="O70" s="139">
        <f t="shared" ref="O70:AA70" si="22">SUMIF($H$35:$H$67,"KPI_GP",O$35:O$67)-SUMIF($H$35:$H$67,"TOTDEPTEXP",O$35:O$67)-SUMIF($H$35:$H$67,"TOTDEPTPL",O$35:O$67)</f>
        <v>0</v>
      </c>
      <c r="P70" s="139">
        <f t="shared" si="22"/>
        <v>0</v>
      </c>
      <c r="Q70" s="139">
        <f t="shared" si="22"/>
        <v>0</v>
      </c>
      <c r="R70" s="139">
        <f t="shared" si="22"/>
        <v>0</v>
      </c>
      <c r="S70" s="139">
        <f t="shared" si="22"/>
        <v>0</v>
      </c>
      <c r="T70" s="139">
        <f t="shared" si="22"/>
        <v>0</v>
      </c>
      <c r="U70" s="139">
        <f t="shared" si="22"/>
        <v>0</v>
      </c>
      <c r="V70" s="139">
        <f t="shared" si="22"/>
        <v>0</v>
      </c>
      <c r="W70" s="139">
        <f t="shared" si="22"/>
        <v>0</v>
      </c>
      <c r="X70" s="139">
        <f t="shared" si="22"/>
        <v>0</v>
      </c>
      <c r="Y70" s="139">
        <f t="shared" si="22"/>
        <v>0</v>
      </c>
      <c r="Z70" s="139">
        <f t="shared" si="22"/>
        <v>0</v>
      </c>
      <c r="AA70" s="139">
        <f t="shared" si="22"/>
        <v>0</v>
      </c>
      <c r="AB70" s="17"/>
      <c r="AD70" s="139">
        <f>SUMIF($H$35:$H$67,"KPI_GP",AD$35:AD$67)-SUMIF($H$35:$H$67,"TOTDEPTEXP",AD$35:AD$67)-SUMIF($H$35:$H$67,"TOTDEPTPL",AD$35:AD$67)</f>
        <v>0</v>
      </c>
      <c r="AE70" s="17"/>
      <c r="AF70" s="21"/>
      <c r="AG70" s="139">
        <f>SUMIF($H$35:$H$67,"KPI_GP",AG$35:AG$67)-SUMIF($H$35:$H$67,"TOTDEPTEXP",AG$35:AG$67)-SUMIF($H$35:$H$67,"TOTDEPTPL",AG$35:AG$67)</f>
        <v>0</v>
      </c>
      <c r="AH70" s="17"/>
      <c r="AI70" s="21"/>
    </row>
    <row r="71" spans="1:40" x14ac:dyDescent="0.25">
      <c r="A71" s="1" t="s">
        <v>100</v>
      </c>
      <c r="C71" s="8" t="s">
        <v>101</v>
      </c>
      <c r="D71" s="1" t="s">
        <v>106</v>
      </c>
      <c r="F71" s="1" t="s">
        <v>98</v>
      </c>
    </row>
    <row r="72" spans="1:40" x14ac:dyDescent="0.25">
      <c r="A72" s="1" t="s">
        <v>102</v>
      </c>
      <c r="C72" s="25" t="s">
        <v>101</v>
      </c>
      <c r="D72" s="1" t="s">
        <v>106</v>
      </c>
      <c r="F72" s="1" t="s">
        <v>98</v>
      </c>
      <c r="O72" s="166"/>
      <c r="P72" s="166"/>
      <c r="Q72" s="166"/>
      <c r="R72" s="166"/>
      <c r="S72" s="166"/>
      <c r="T72" s="166"/>
      <c r="U72" s="166"/>
      <c r="V72" s="166"/>
      <c r="W72" s="166"/>
      <c r="X72" s="166"/>
      <c r="Y72" s="166"/>
      <c r="Z72" s="166"/>
      <c r="AA72" s="166"/>
      <c r="AD72" s="166"/>
      <c r="AG72" s="166"/>
    </row>
    <row r="73" spans="1:40" x14ac:dyDescent="0.25">
      <c r="A73" s="1" t="s">
        <v>102</v>
      </c>
      <c r="C73" s="151" t="s">
        <v>101</v>
      </c>
      <c r="D73" s="1" t="s">
        <v>107</v>
      </c>
      <c r="F73" s="1" t="s">
        <v>99</v>
      </c>
    </row>
    <row r="74" spans="1:40" x14ac:dyDescent="0.25">
      <c r="A74" s="1" t="s">
        <v>108</v>
      </c>
      <c r="C74" s="25" t="s">
        <v>101</v>
      </c>
      <c r="D74" s="1" t="s">
        <v>106</v>
      </c>
      <c r="F74" s="1" t="s">
        <v>98</v>
      </c>
      <c r="O74" s="166"/>
      <c r="P74" s="166"/>
      <c r="Q74" s="166"/>
      <c r="R74" s="166"/>
      <c r="S74" s="166"/>
      <c r="T74" s="166"/>
      <c r="U74" s="166"/>
      <c r="V74" s="166"/>
      <c r="W74" s="166"/>
      <c r="X74" s="166"/>
      <c r="Y74" s="166"/>
      <c r="Z74" s="166"/>
      <c r="AA74" s="166"/>
      <c r="AD74" s="166"/>
      <c r="AG74" s="166"/>
    </row>
    <row r="75" spans="1:40" x14ac:dyDescent="0.25">
      <c r="A75" s="1" t="s">
        <v>108</v>
      </c>
      <c r="C75" s="151" t="s">
        <v>101</v>
      </c>
      <c r="D75" s="1" t="s">
        <v>107</v>
      </c>
      <c r="F75" s="1" t="s">
        <v>99</v>
      </c>
    </row>
    <row r="77" spans="1:40" x14ac:dyDescent="0.25">
      <c r="C77" s="32"/>
      <c r="H77" s="11"/>
      <c r="J77" s="1"/>
    </row>
    <row r="78" spans="1:40" x14ac:dyDescent="0.25">
      <c r="A78" s="4" t="s">
        <v>988</v>
      </c>
      <c r="H78" s="11"/>
      <c r="J78" s="1"/>
    </row>
    <row r="79" spans="1:40" x14ac:dyDescent="0.25">
      <c r="H79" s="11"/>
      <c r="J79" s="1"/>
    </row>
    <row r="80" spans="1:40" x14ac:dyDescent="0.25">
      <c r="A80" s="3" t="s">
        <v>0</v>
      </c>
      <c r="B80" s="5" t="s">
        <v>1</v>
      </c>
      <c r="H80" s="11"/>
      <c r="J80" s="1"/>
    </row>
    <row r="81" spans="1:10" x14ac:dyDescent="0.25">
      <c r="A81" s="6" t="s">
        <v>2</v>
      </c>
      <c r="B81" s="16" t="s">
        <v>1516</v>
      </c>
      <c r="H81" s="11"/>
      <c r="J81" s="1"/>
    </row>
    <row r="82" spans="1:10" x14ac:dyDescent="0.25">
      <c r="A82" s="6" t="s">
        <v>3</v>
      </c>
      <c r="B82" s="16" t="s">
        <v>1517</v>
      </c>
      <c r="H82" s="11"/>
      <c r="J82" s="1"/>
    </row>
    <row r="83" spans="1:10" x14ac:dyDescent="0.25">
      <c r="A83" s="6" t="s">
        <v>4</v>
      </c>
      <c r="B83" s="16" t="s">
        <v>1526</v>
      </c>
      <c r="H83" s="11"/>
      <c r="J83" s="1"/>
    </row>
    <row r="84" spans="1:10" x14ac:dyDescent="0.25">
      <c r="A84" s="6" t="s">
        <v>5</v>
      </c>
      <c r="B84" s="7"/>
      <c r="H84" s="11"/>
      <c r="J84" s="1"/>
    </row>
    <row r="85" spans="1:10" x14ac:dyDescent="0.25">
      <c r="A85" s="6" t="s">
        <v>6</v>
      </c>
      <c r="B85" s="7"/>
      <c r="H85" s="11"/>
      <c r="J85" s="1"/>
    </row>
    <row r="86" spans="1:10" x14ac:dyDescent="0.25">
      <c r="A86" s="6" t="s">
        <v>7</v>
      </c>
      <c r="B86" s="16" t="s">
        <v>1527</v>
      </c>
      <c r="H86" s="11"/>
      <c r="J86" s="1"/>
    </row>
    <row r="87" spans="1:10" x14ac:dyDescent="0.25">
      <c r="A87" s="6" t="s">
        <v>47</v>
      </c>
      <c r="B87" s="16" t="s">
        <v>1520</v>
      </c>
      <c r="H87" s="11"/>
      <c r="J87" s="1"/>
    </row>
    <row r="88" spans="1:10" x14ac:dyDescent="0.25">
      <c r="A88" s="6" t="s">
        <v>8</v>
      </c>
      <c r="B88" s="7"/>
      <c r="H88" s="11"/>
      <c r="J88" s="1"/>
    </row>
    <row r="89" spans="1:10" x14ac:dyDescent="0.25">
      <c r="H89" s="11"/>
      <c r="J89" s="1"/>
    </row>
    <row r="90" spans="1:10" x14ac:dyDescent="0.25">
      <c r="A90" s="3" t="s">
        <v>9</v>
      </c>
      <c r="B90" s="5" t="s">
        <v>10</v>
      </c>
      <c r="H90" s="11"/>
      <c r="J90" s="1"/>
    </row>
    <row r="91" spans="1:10" x14ac:dyDescent="0.25">
      <c r="A91" s="6" t="s">
        <v>11</v>
      </c>
      <c r="B91" s="7" t="s">
        <v>21</v>
      </c>
      <c r="H91" s="11"/>
      <c r="J91" s="1"/>
    </row>
    <row r="92" spans="1:10" x14ac:dyDescent="0.25">
      <c r="A92" s="6" t="s">
        <v>12</v>
      </c>
      <c r="B92" s="7" t="s">
        <v>22</v>
      </c>
      <c r="H92" s="11"/>
      <c r="J92" s="1"/>
    </row>
    <row r="93" spans="1:10" x14ac:dyDescent="0.25">
      <c r="A93" s="6" t="s">
        <v>13</v>
      </c>
      <c r="B93" s="7" t="s">
        <v>737</v>
      </c>
      <c r="H93" s="11"/>
      <c r="J93" s="1"/>
    </row>
    <row r="94" spans="1:10" x14ac:dyDescent="0.25">
      <c r="A94" s="6" t="s">
        <v>14</v>
      </c>
      <c r="B94" s="7"/>
      <c r="G94" s="14"/>
      <c r="H94" s="11"/>
      <c r="J94" s="1"/>
    </row>
    <row r="95" spans="1:10" x14ac:dyDescent="0.25">
      <c r="A95" s="6" t="s">
        <v>15</v>
      </c>
      <c r="B95" s="7"/>
      <c r="H95" s="11"/>
      <c r="J95" s="1"/>
    </row>
    <row r="96" spans="1:10" x14ac:dyDescent="0.25">
      <c r="A96" s="6" t="s">
        <v>16</v>
      </c>
      <c r="B96" s="7" t="s">
        <v>78</v>
      </c>
      <c r="H96" s="11"/>
      <c r="J96" s="1"/>
    </row>
    <row r="97" spans="1:10" x14ac:dyDescent="0.25">
      <c r="A97" s="6" t="s">
        <v>17</v>
      </c>
      <c r="B97" s="7"/>
      <c r="H97" s="11"/>
      <c r="J97" s="1"/>
    </row>
    <row r="98" spans="1:10" x14ac:dyDescent="0.25">
      <c r="H98" s="11"/>
      <c r="J98" s="1"/>
    </row>
    <row r="99" spans="1:10" x14ac:dyDescent="0.25">
      <c r="A99" s="22" t="s">
        <v>92</v>
      </c>
      <c r="B99" s="23" t="s">
        <v>93</v>
      </c>
      <c r="C99" s="23" t="s">
        <v>94</v>
      </c>
      <c r="D99" s="23" t="s">
        <v>95</v>
      </c>
      <c r="E99" s="23" t="s">
        <v>96</v>
      </c>
      <c r="F99" s="24" t="s">
        <v>97</v>
      </c>
      <c r="H99" s="11"/>
      <c r="J99" s="1"/>
    </row>
    <row r="101" spans="1:10" x14ac:dyDescent="0.25">
      <c r="A101" s="1" t="s">
        <v>108</v>
      </c>
      <c r="C101" s="26" t="s">
        <v>101</v>
      </c>
      <c r="D101" s="1" t="s">
        <v>106</v>
      </c>
      <c r="F101" s="1" t="s">
        <v>98</v>
      </c>
    </row>
    <row r="102" spans="1:10" x14ac:dyDescent="0.25">
      <c r="A102" s="1" t="s">
        <v>100</v>
      </c>
      <c r="C102" s="8" t="s">
        <v>101</v>
      </c>
      <c r="D102" s="1" t="s">
        <v>106</v>
      </c>
      <c r="F102" s="1" t="s">
        <v>98</v>
      </c>
    </row>
    <row r="103" spans="1:10" x14ac:dyDescent="0.25">
      <c r="A103" s="1" t="s">
        <v>109</v>
      </c>
      <c r="C103" s="25" t="s">
        <v>101</v>
      </c>
      <c r="D103" s="1" t="s">
        <v>106</v>
      </c>
      <c r="F103" s="1" t="s">
        <v>98</v>
      </c>
    </row>
    <row r="104" spans="1:10" x14ac:dyDescent="0.25">
      <c r="A104" s="1" t="s">
        <v>109</v>
      </c>
      <c r="C104" s="151" t="s">
        <v>101</v>
      </c>
      <c r="D104" s="1" t="s">
        <v>107</v>
      </c>
      <c r="F104" s="1" t="s">
        <v>99</v>
      </c>
    </row>
    <row r="105" spans="1:10" x14ac:dyDescent="0.25">
      <c r="A105" s="1" t="s">
        <v>110</v>
      </c>
      <c r="C105" s="25" t="s">
        <v>101</v>
      </c>
      <c r="D105" s="1" t="s">
        <v>106</v>
      </c>
      <c r="F105" s="1" t="s">
        <v>98</v>
      </c>
    </row>
    <row r="106" spans="1:10" x14ac:dyDescent="0.25">
      <c r="A106" s="1" t="s">
        <v>110</v>
      </c>
      <c r="C106" s="29" t="s">
        <v>101</v>
      </c>
      <c r="D106" s="1" t="s">
        <v>107</v>
      </c>
      <c r="F106" s="1" t="s">
        <v>99</v>
      </c>
    </row>
    <row r="107" spans="1:10" x14ac:dyDescent="0.25">
      <c r="C107" s="32"/>
    </row>
    <row r="108" spans="1:10" x14ac:dyDescent="0.25">
      <c r="G108" s="14"/>
    </row>
    <row r="109" spans="1:10" x14ac:dyDescent="0.25">
      <c r="A109" s="4" t="s">
        <v>988</v>
      </c>
      <c r="B109" s="1" t="s">
        <v>736</v>
      </c>
    </row>
    <row r="111" spans="1:10" x14ac:dyDescent="0.25">
      <c r="A111" s="3" t="s">
        <v>0</v>
      </c>
      <c r="B111" s="5" t="s">
        <v>1</v>
      </c>
    </row>
    <row r="112" spans="1:10" x14ac:dyDescent="0.25">
      <c r="A112" s="6" t="s">
        <v>2</v>
      </c>
      <c r="B112" s="16" t="s">
        <v>1516</v>
      </c>
    </row>
    <row r="113" spans="1:2" x14ac:dyDescent="0.25">
      <c r="A113" s="6" t="s">
        <v>3</v>
      </c>
      <c r="B113" s="16" t="s">
        <v>1517</v>
      </c>
    </row>
    <row r="114" spans="1:2" x14ac:dyDescent="0.25">
      <c r="A114" s="6" t="s">
        <v>4</v>
      </c>
      <c r="B114" s="16" t="s">
        <v>1528</v>
      </c>
    </row>
    <row r="115" spans="1:2" x14ac:dyDescent="0.25">
      <c r="A115" s="6" t="s">
        <v>5</v>
      </c>
      <c r="B115" s="7"/>
    </row>
    <row r="116" spans="1:2" x14ac:dyDescent="0.25">
      <c r="A116" s="6" t="s">
        <v>6</v>
      </c>
      <c r="B116" s="7"/>
    </row>
    <row r="117" spans="1:2" x14ac:dyDescent="0.25">
      <c r="A117" s="6" t="s">
        <v>7</v>
      </c>
      <c r="B117" s="7"/>
    </row>
    <row r="118" spans="1:2" x14ac:dyDescent="0.25">
      <c r="A118" s="6" t="s">
        <v>47</v>
      </c>
      <c r="B118" s="16" t="s">
        <v>1520</v>
      </c>
    </row>
    <row r="119" spans="1:2" x14ac:dyDescent="0.25">
      <c r="A119" s="6" t="s">
        <v>8</v>
      </c>
      <c r="B119" s="7"/>
    </row>
    <row r="122" spans="1:2" x14ac:dyDescent="0.25">
      <c r="A122" s="3" t="s">
        <v>23</v>
      </c>
      <c r="B122" s="5" t="s">
        <v>24</v>
      </c>
    </row>
    <row r="123" spans="1:2" x14ac:dyDescent="0.25">
      <c r="A123" s="6" t="s">
        <v>25</v>
      </c>
      <c r="B123" s="7"/>
    </row>
    <row r="124" spans="1:2" x14ac:dyDescent="0.25">
      <c r="A124" s="6" t="s">
        <v>26</v>
      </c>
      <c r="B124" s="7"/>
    </row>
    <row r="125" spans="1:2" x14ac:dyDescent="0.25">
      <c r="A125" s="6" t="s">
        <v>27</v>
      </c>
      <c r="B125" s="7"/>
    </row>
    <row r="126" spans="1:2" x14ac:dyDescent="0.25">
      <c r="A126" s="6" t="s">
        <v>28</v>
      </c>
      <c r="B126" s="7"/>
    </row>
    <row r="127" spans="1:2" x14ac:dyDescent="0.25">
      <c r="A127" s="6" t="s">
        <v>29</v>
      </c>
      <c r="B127" s="7"/>
    </row>
    <row r="128" spans="1:2" x14ac:dyDescent="0.25">
      <c r="A128" s="6" t="s">
        <v>30</v>
      </c>
      <c r="B128" s="7" t="s">
        <v>78</v>
      </c>
    </row>
    <row r="129" spans="1:34" x14ac:dyDescent="0.25">
      <c r="A129" s="6" t="s">
        <v>31</v>
      </c>
      <c r="B129" s="7" t="s">
        <v>78</v>
      </c>
    </row>
    <row r="130" spans="1:34" x14ac:dyDescent="0.25">
      <c r="A130" s="6" t="s">
        <v>32</v>
      </c>
      <c r="B130" s="7"/>
    </row>
    <row r="131" spans="1:34" x14ac:dyDescent="0.25">
      <c r="A131" s="6" t="s">
        <v>33</v>
      </c>
      <c r="B131" s="7"/>
    </row>
    <row r="132" spans="1:34" x14ac:dyDescent="0.25">
      <c r="A132" s="6" t="s">
        <v>34</v>
      </c>
      <c r="B132" s="7"/>
    </row>
    <row r="133" spans="1:34" x14ac:dyDescent="0.25">
      <c r="A133" s="6" t="s">
        <v>35</v>
      </c>
      <c r="B133" s="7"/>
    </row>
    <row r="134" spans="1:34" x14ac:dyDescent="0.25">
      <c r="A134" s="6" t="s">
        <v>36</v>
      </c>
      <c r="B134" s="7"/>
    </row>
    <row r="135" spans="1:34" x14ac:dyDescent="0.25">
      <c r="A135" s="6" t="s">
        <v>37</v>
      </c>
      <c r="B135" s="7"/>
    </row>
    <row r="136" spans="1:34" x14ac:dyDescent="0.25">
      <c r="A136" s="6" t="s">
        <v>38</v>
      </c>
      <c r="B136" s="7"/>
    </row>
    <row r="137" spans="1:34" x14ac:dyDescent="0.25">
      <c r="A137" s="6" t="s">
        <v>39</v>
      </c>
      <c r="B137" s="7"/>
    </row>
    <row r="138" spans="1:34" x14ac:dyDescent="0.25">
      <c r="A138" s="6" t="s">
        <v>40</v>
      </c>
      <c r="B138" s="7"/>
    </row>
    <row r="139" spans="1:34" x14ac:dyDescent="0.25">
      <c r="A139" s="6" t="s">
        <v>41</v>
      </c>
      <c r="B139" s="7"/>
    </row>
    <row r="140" spans="1:34" x14ac:dyDescent="0.25">
      <c r="A140" s="6" t="s">
        <v>42</v>
      </c>
      <c r="B140" s="7"/>
      <c r="I140" s="76"/>
      <c r="J140" s="1"/>
      <c r="K140" s="76"/>
      <c r="L140" s="76"/>
      <c r="M140" s="76"/>
      <c r="O140" s="76"/>
      <c r="P140" s="76"/>
      <c r="Q140" s="76"/>
      <c r="R140" s="76"/>
      <c r="S140" s="76"/>
      <c r="T140" s="76"/>
      <c r="U140" s="76"/>
      <c r="V140" s="76"/>
      <c r="W140" s="76"/>
      <c r="X140" s="76"/>
      <c r="Y140" s="76"/>
      <c r="Z140" s="76"/>
      <c r="AA140" s="76"/>
      <c r="AD140" s="76"/>
      <c r="AF140" s="76"/>
      <c r="AH140" s="76"/>
    </row>
    <row r="141" spans="1:34" x14ac:dyDescent="0.25">
      <c r="A141" s="6" t="s">
        <v>43</v>
      </c>
      <c r="B141" s="7"/>
    </row>
    <row r="142" spans="1:34" x14ac:dyDescent="0.25">
      <c r="A142" s="6" t="s">
        <v>44</v>
      </c>
      <c r="B142" s="7"/>
    </row>
    <row r="143" spans="1:34" x14ac:dyDescent="0.25">
      <c r="A143" s="6" t="s">
        <v>45</v>
      </c>
      <c r="B143" s="7"/>
    </row>
    <row r="144" spans="1:34" x14ac:dyDescent="0.25">
      <c r="A144" s="6" t="s">
        <v>46</v>
      </c>
      <c r="B144" s="7"/>
      <c r="I144" s="76"/>
      <c r="J144" s="1"/>
      <c r="K144" s="76"/>
      <c r="L144" s="76"/>
      <c r="M144" s="76"/>
      <c r="O144" s="76"/>
      <c r="P144" s="76"/>
      <c r="Q144" s="76"/>
      <c r="R144" s="76"/>
      <c r="S144" s="76"/>
      <c r="T144" s="76"/>
      <c r="U144" s="76"/>
      <c r="V144" s="76"/>
      <c r="W144" s="76"/>
      <c r="X144" s="76"/>
      <c r="Y144" s="76"/>
      <c r="Z144" s="76"/>
      <c r="AA144" s="76"/>
      <c r="AD144" s="76"/>
      <c r="AF144" s="76"/>
      <c r="AH144" s="76"/>
    </row>
    <row r="161" spans="5:7" x14ac:dyDescent="0.25">
      <c r="E161" s="76"/>
    </row>
    <row r="165" spans="5:7" x14ac:dyDescent="0.25">
      <c r="E165" s="76"/>
    </row>
    <row r="170" spans="5:7" x14ac:dyDescent="0.25">
      <c r="G170" s="76"/>
    </row>
    <row r="174" spans="5:7" x14ac:dyDescent="0.25">
      <c r="G174" s="76"/>
    </row>
  </sheetData>
  <mergeCells count="2">
    <mergeCell ref="AD31:AE31"/>
    <mergeCell ref="AG31:AH31"/>
  </mergeCells>
  <dataValidations count="2">
    <dataValidation type="list" allowBlank="1" sqref="B60 B28 B92" xr:uid="{00000000-0002-0000-3B00-000000000000}">
      <formula1>"ACCOUNT,BUSINESSUNIT,CATEGORY,DATASRC,DEPARTMENT,INTCO,MEASURES,RPTCURRENCY,TIME"</formula1>
    </dataValidation>
    <dataValidation type="list" allowBlank="1" sqref="B93 B29 B61" xr:uid="{00000000-0002-0000-3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045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0454" r:id="rId5" name="FPMExcelClientSheetOptionstb1"/>
      </mc:Fallback>
    </mc:AlternateContent>
  </control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 min="13" max="13" width="36.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9" width="9.140625" style="1" hidden="1" customWidth="1" outlineLevel="1"/>
    <col min="40" max="40" width="9.140625" style="1" collapsed="1"/>
    <col min="41" max="16384" width="9.140625" style="1"/>
  </cols>
  <sheetData>
    <row r="1" spans="1:34" hidden="1" outlineLevel="1" x14ac:dyDescent="0.25">
      <c r="A1" s="8" t="s">
        <v>48</v>
      </c>
      <c r="B1" s="2" t="s">
        <v>49</v>
      </c>
      <c r="C1" s="8" t="e">
        <f ca="1">_xll.EVAPD($B$1)</f>
        <v>#NAME?</v>
      </c>
      <c r="I1" s="1"/>
      <c r="J1" s="1"/>
    </row>
    <row r="2" spans="1:34" hidden="1" outlineLevel="1" x14ac:dyDescent="0.25">
      <c r="A2" s="8" t="s">
        <v>22</v>
      </c>
      <c r="B2" s="12" t="s">
        <v>56</v>
      </c>
      <c r="C2" s="1" t="e">
        <f ca="1">_xll.EVDES(B2,$B$1)</f>
        <v>#NAME?</v>
      </c>
      <c r="I2" s="1"/>
      <c r="J2" s="1"/>
    </row>
    <row r="3" spans="1:34" hidden="1" outlineLevel="1" x14ac:dyDescent="0.25">
      <c r="A3" s="8" t="s">
        <v>50</v>
      </c>
      <c r="B3" s="9" t="e">
        <f ca="1">_xll.EVCVW($B$1,A3)</f>
        <v>#NAME?</v>
      </c>
      <c r="C3" s="1" t="e">
        <f ca="1">_xll.EVDES(B3,$B$1)</f>
        <v>#NAME?</v>
      </c>
      <c r="I3" s="1"/>
      <c r="J3" s="1"/>
    </row>
    <row r="4" spans="1:34"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4" hidden="1" outlineLevel="1" x14ac:dyDescent="0.25">
      <c r="A5" s="8" t="s">
        <v>51</v>
      </c>
      <c r="B5" s="12" t="s">
        <v>59</v>
      </c>
      <c r="C5" s="1" t="e">
        <f ca="1">_xll.EVDES(B5,$B$1)</f>
        <v>#NAME?</v>
      </c>
    </row>
    <row r="6" spans="1:34" hidden="1" outlineLevel="1" x14ac:dyDescent="0.25">
      <c r="A6" s="8" t="s">
        <v>52</v>
      </c>
      <c r="B6" s="12" t="s">
        <v>463</v>
      </c>
      <c r="C6" s="1" t="e">
        <f ca="1">_xll.EVDES(B6,$B$1)</f>
        <v>#NAME?</v>
      </c>
      <c r="E6" s="49" t="e">
        <f ca="1">_xll.EVPRO($B$1,$B$6,$F$6)</f>
        <v>#NAME?</v>
      </c>
      <c r="F6" s="1" t="s">
        <v>278</v>
      </c>
    </row>
    <row r="7" spans="1:34" hidden="1" outlineLevel="1" x14ac:dyDescent="0.25">
      <c r="A7" s="8" t="s">
        <v>53</v>
      </c>
      <c r="B7" s="12" t="s">
        <v>61</v>
      </c>
      <c r="C7" s="1" t="e">
        <f ca="1">_xll.EVDES(B7,$B$1)</f>
        <v>#NAME?</v>
      </c>
    </row>
    <row r="8" spans="1:34" hidden="1" outlineLevel="1" x14ac:dyDescent="0.25">
      <c r="A8" s="8" t="s">
        <v>20</v>
      </c>
      <c r="B8" s="12" t="s">
        <v>63</v>
      </c>
      <c r="C8" s="1" t="e">
        <f ca="1">_xll.EVDES(B8,$B$1)</f>
        <v>#NAME?</v>
      </c>
    </row>
    <row r="9" spans="1:34" hidden="1" outlineLevel="1" x14ac:dyDescent="0.25">
      <c r="A9" s="8" t="s">
        <v>54</v>
      </c>
      <c r="B9" s="9" t="e">
        <f ca="1">'LDXz8fdsAE2Ug4AWCUzTAA=='!$D$10</f>
        <v>#NAME?</v>
      </c>
      <c r="C9" s="1" t="e">
        <f ca="1">_xll.EVDES(B9,$B$1)</f>
        <v>#NAME?</v>
      </c>
    </row>
    <row r="10" spans="1:34" hidden="1" outlineLevel="1" x14ac:dyDescent="0.25">
      <c r="A10" s="8" t="s">
        <v>18</v>
      </c>
      <c r="B10" s="9" t="e">
        <f ca="1">'LDXz8fdsAE2Ug4AWCUzTAA=='!$D$7</f>
        <v>#NAME?</v>
      </c>
      <c r="C10" s="1" t="e">
        <f ca="1">_xll.EVDES(B10,$B$1)</f>
        <v>#NAME?</v>
      </c>
      <c r="D10" s="234" t="e">
        <f ca="1">_xll.EVPRO($B$1,$B$10,"Group")</f>
        <v>#NAME?</v>
      </c>
    </row>
    <row r="11" spans="1:34" hidden="1" outlineLevel="1" x14ac:dyDescent="0.25">
      <c r="B11" s="8"/>
      <c r="L11" s="49" t="e">
        <f ca="1">IF(LEFT('LDXz8fdsAE2Ug4AWCUzTAA=='!$D$6,3)="ALT","Y","N")</f>
        <v>#NAME?</v>
      </c>
      <c r="M11" s="1" t="s">
        <v>800</v>
      </c>
      <c r="N11" s="13" t="e">
        <f ca="1">IF(N13&lt;$F$4,_xll.EVPRO($B$1,$B$4,"COMPARISON"),$B$4)</f>
        <v>#NAME?</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row>
    <row r="12" spans="1:34" hidden="1" outlineLevel="1" x14ac:dyDescent="0.25">
      <c r="A12" s="1" t="s">
        <v>115</v>
      </c>
      <c r="B12" s="49" t="e">
        <f ca="1">_xll.EVPRO($B$1,$B$10,"YEAR")</f>
        <v>#NAME?</v>
      </c>
      <c r="L12" s="11"/>
      <c r="M12" s="1" t="s">
        <v>597</v>
      </c>
      <c r="N12" s="235" t="e">
        <f ca="1">_xll.EVPRO($B$1,N$16,$M$12)</f>
        <v>#NAME?</v>
      </c>
      <c r="O12" s="235" t="e">
        <f ca="1">_xll.EVPRO($B$1,O$16,$M$12)</f>
        <v>#NAME?</v>
      </c>
      <c r="P12" s="235" t="e">
        <f ca="1">_xll.EVPRO($B$1,P$16,$M$12)</f>
        <v>#NAME?</v>
      </c>
      <c r="Q12" s="235" t="e">
        <f ca="1">_xll.EVPRO($B$1,Q$16,$M$12)</f>
        <v>#NAME?</v>
      </c>
      <c r="R12" s="235" t="e">
        <f ca="1">_xll.EVPRO($B$1,R$16,$M$12)</f>
        <v>#NAME?</v>
      </c>
      <c r="S12" s="235" t="e">
        <f ca="1">_xll.EVPRO($B$1,S$16,$M$12)</f>
        <v>#NAME?</v>
      </c>
      <c r="T12" s="235" t="e">
        <f ca="1">_xll.EVPRO($B$1,T$16,$M$12)</f>
        <v>#NAME?</v>
      </c>
      <c r="U12" s="235" t="e">
        <f ca="1">_xll.EVPRO($B$1,U$16,$M$12)</f>
        <v>#NAME?</v>
      </c>
      <c r="V12" s="235" t="e">
        <f ca="1">_xll.EVPRO($B$1,V$16,$M$12)</f>
        <v>#NAME?</v>
      </c>
      <c r="W12" s="235" t="e">
        <f ca="1">_xll.EVPRO($B$1,W$16,$M$12)</f>
        <v>#NAME?</v>
      </c>
      <c r="X12" s="235" t="e">
        <f ca="1">_xll.EVPRO($B$1,X$16,$M$12)</f>
        <v>#NAME?</v>
      </c>
      <c r="Y12" s="235" t="e">
        <f ca="1">_xll.EVPRO($B$1,Y$16,$M$12)</f>
        <v>#NAME?</v>
      </c>
      <c r="Z12" s="235" t="e">
        <f ca="1">_xll.EVPRO($B$1,Z$16,$M$12)</f>
        <v>#NAME?</v>
      </c>
      <c r="AC12" s="235" t="e">
        <f ca="1">_xll.EVPRO($B$1,AC$16,$M$12)</f>
        <v>#NAME?</v>
      </c>
      <c r="AF12" s="235" t="e">
        <f ca="1">_xll.EVPRO($B$1,AF$16,$M$12)</f>
        <v>#NAME?</v>
      </c>
    </row>
    <row r="13" spans="1:34" hidden="1" outlineLevel="1" x14ac:dyDescent="0.25">
      <c r="A13" s="1" t="s">
        <v>602</v>
      </c>
      <c r="B13" s="49" t="e">
        <f ca="1">IF($D$10="FY",_xll.EVPRO($B$1,$D$10&amp;$B$12&amp;".TOTAL","Current"),_xll.EVPRO($B$1,$B$12&amp;".TOTAL","Current"))</f>
        <v>#NAME?</v>
      </c>
      <c r="L13" s="11"/>
      <c r="M13" s="1" t="s">
        <v>598</v>
      </c>
      <c r="N13" s="236" t="e">
        <f ca="1">_xll.EVPRO($B$1,N16,"TIMEID")</f>
        <v>#NAME?</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C13" s="236" t="e">
        <f ca="1">_xll.EVPRO($B$1,AC16,"TIMEID")</f>
        <v>#NAME?</v>
      </c>
      <c r="AF13" s="236" t="e">
        <f ca="1">_xll.EVPRO($B$1,AF16,"TIMEID")</f>
        <v>#NAME?</v>
      </c>
    </row>
    <row r="14" spans="1:34" hidden="1" outlineLevel="1" x14ac:dyDescent="0.25">
      <c r="A14" s="4" t="e">
        <f ca="1">_xll.EVDRE($B$1,A17:B24,A27:C33)</f>
        <v>#NAME?</v>
      </c>
      <c r="L14" s="11"/>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L15" s="11"/>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L16" s="11"/>
      <c r="M16" s="1" t="s">
        <v>18</v>
      </c>
      <c r="N16" s="13" t="e">
        <f ca="1">IF('LDXz8fdsAE2Ug4AWCUzTAA=='!$O$1=TRUE,_xll.EVTIM($B$1,O16,-1),IF($D$10="FY",LEFT($B$10,6)&amp;"."&amp;N15,$B$12&amp;"."&amp;N14))</f>
        <v>#NAME?</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IF('LDXz8fdsAE2Ug4AWCUzTAA=='!$O$1=TRUE,'LDXz8fdsAE2Ug4AWCUzTAA=='!$Q$6,IF($D$10="FY",LEFT($B$10,6)&amp;"."&amp;Y15,$B$12&amp;"."&amp;Y14))</f>
        <v>#NAME?</v>
      </c>
      <c r="Z16" s="13" t="e">
        <f ca="1">IF($D$10="FY",LEFT($B$10,6)&amp;"."&amp;Z15,$B$12&amp;"."&amp;Z14)</f>
        <v>#NAME?</v>
      </c>
      <c r="AA16" s="10"/>
      <c r="AB16" s="10"/>
      <c r="AC16" s="13" t="e">
        <f ca="1">IF('LDXz8fdsAE2Ug4AWCUzTAA=='!$O$1=TRUE,'LDXz8fdsAE2Ug4AWCUzTAA=='!$Q$6,'LDXz8fdsAE2Ug4AWCUzTAA=='!$G$7)</f>
        <v>#NAME?</v>
      </c>
      <c r="AD16" s="10"/>
      <c r="AE16" s="10"/>
      <c r="AF16" s="13" t="e">
        <f ca="1">IF('LDXz8fdsAE2Ug4AWCUzTAA=='!$O$1=TRUE,_xll.EVTIM($B$1,AC16,-1,"YEAR"),'LDXz8fdsAE2Ug4AWCUzTAA=='!$J$7)</f>
        <v>#NAME?</v>
      </c>
      <c r="AG16" s="10"/>
      <c r="AH16" s="10"/>
    </row>
    <row r="17" spans="1:39" hidden="1" outlineLevel="1" x14ac:dyDescent="0.25">
      <c r="A17" s="6" t="s">
        <v>2</v>
      </c>
      <c r="B17" s="7" t="e">
        <f ca="1">_xll.EVRNG($B$2:$B$10)</f>
        <v>#NAME?</v>
      </c>
      <c r="L17" s="11"/>
      <c r="M17" s="1" t="s">
        <v>19</v>
      </c>
      <c r="N17" s="13" t="e">
        <f ca="1">IF($L$11="Y",N11,IF(N13&lt;$E$4,_xll.EVPRO($B$1,$B$4,"COMPARISON"),$B$4))</f>
        <v>#NAME?</v>
      </c>
      <c r="O17" s="13" t="e">
        <f ca="1">IF($L$11="y",O11,IF(O13&lt;$E$4,_xll.EVPRO($B$1,$B$4,"COMPARISON"),$B$4))</f>
        <v>#NAME?</v>
      </c>
      <c r="P17" s="13" t="e">
        <f ca="1">IF($L$11="y",P11,IF(P13&lt;$E$4,_xll.EVPRO($B$1,$B$4,"COMPARISON"),$B$4))</f>
        <v>#NAME?</v>
      </c>
      <c r="Q17" s="13" t="e">
        <f ca="1">IF($L$11="y",Q11,IF(Q13&lt;$E$4,_xll.EVPRO($B$1,$B$4,"COMPARISON"),$B$4))</f>
        <v>#NAME?</v>
      </c>
      <c r="R17" s="13" t="e">
        <f ca="1">IF($L$11="y",R11,IF(R13&lt;$E$4,_xll.EVPRO($B$1,$B$4,"COMPARISON"),$B$4))</f>
        <v>#NAME?</v>
      </c>
      <c r="S17" s="13" t="e">
        <f ca="1">IF($L$11="y",S11,IF(S13&lt;$E$4,_xll.EVPRO($B$1,$B$4,"COMPARISON"),$B$4))</f>
        <v>#NAME?</v>
      </c>
      <c r="T17" s="13" t="e">
        <f ca="1">IF($L$11="y",T11,IF(T13&lt;$E$4,_xll.EVPRO($B$1,$B$4,"COMPARISON"),$B$4))</f>
        <v>#NAME?</v>
      </c>
      <c r="U17" s="13" t="e">
        <f ca="1">IF($L$11="y",U11,IF(U13&lt;$E$4,_xll.EVPRO($B$1,$B$4,"COMPARISON"),$B$4))</f>
        <v>#NAME?</v>
      </c>
      <c r="V17" s="13" t="e">
        <f ca="1">IF($L$11="y",V11,IF(V13&lt;$E$4,_xll.EVPRO($B$1,$B$4,"COMPARISON"),$B$4))</f>
        <v>#NAME?</v>
      </c>
      <c r="W17" s="13" t="e">
        <f ca="1">IF($L$11="y",W11,IF(W13&lt;$E$4,_xll.EVPRO($B$1,$B$4,"COMPARISON"),$B$4))</f>
        <v>#NAME?</v>
      </c>
      <c r="X17" s="13" t="e">
        <f ca="1">IF($L$11="y",X11,IF(X13&lt;$E$4,_xll.EVPRO($B$1,$B$4,"COMPARISON"),$B$4))</f>
        <v>#NAME?</v>
      </c>
      <c r="Y17" s="13" t="e">
        <f ca="1">IF($L$11="y",Y11,IF(Y13&lt;$E$4,_xll.EVPRO($B$1,$B$4,"COMPARISON"),$B$4))</f>
        <v>#NAME?</v>
      </c>
      <c r="Z17" s="13"/>
      <c r="AA17" s="10"/>
      <c r="AB17" s="10"/>
      <c r="AC17" s="13" t="e">
        <f ca="1">'LDXz8fdsAE2Ug4AWCUzTAA=='!$G$6</f>
        <v>#NAME?</v>
      </c>
      <c r="AD17" s="10"/>
      <c r="AE17" s="10"/>
      <c r="AF17" s="13" t="e">
        <f ca="1">'LDXz8fdsAE2Ug4AWCUzTAA=='!$J$6</f>
        <v>#NAME?</v>
      </c>
      <c r="AG17" s="10"/>
      <c r="AH17" s="10"/>
    </row>
    <row r="18" spans="1:39" hidden="1" outlineLevel="1" x14ac:dyDescent="0.25">
      <c r="A18" s="6" t="s">
        <v>3</v>
      </c>
      <c r="B18" s="7" t="e">
        <f ca="1">_xll.EVRNG($N$16:$AM$18)</f>
        <v>#NAME?</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e">
        <f ca="1">IF('LDXz8fdsAE2Ug4AWCUzTAA=='!$O$1=TRUE,"TRAILING12",IF(AC17="CURRENT","ROLLINGFORECAST","PERIODIC"))</f>
        <v>#NAME?</v>
      </c>
      <c r="AD18" s="10"/>
      <c r="AE18" s="10"/>
      <c r="AF18" s="13" t="e">
        <f ca="1">IF('LDXz8fdsAE2Ug4AWCUzTAA=='!$O$1=TRUE,"TRAILING12",IF(AF17="CURRENT","ROLLINGFORECAST","PERIODIC"))</f>
        <v>#NAME?</v>
      </c>
      <c r="AG18" s="10"/>
      <c r="AH18" s="10"/>
    </row>
    <row r="19" spans="1:39" hidden="1" outlineLevel="1" x14ac:dyDescent="0.25">
      <c r="A19" s="6" t="s">
        <v>4</v>
      </c>
      <c r="B19" s="7" t="e">
        <f ca="1">_xll.EVRNG(G34:H39,G43:H48,G52:H57)</f>
        <v>#NAME?</v>
      </c>
      <c r="G19" s="18" t="str">
        <f>$B$6</f>
        <v>D_OTHER_CON</v>
      </c>
      <c r="H19" s="18">
        <v>400000</v>
      </c>
      <c r="I19" s="19"/>
      <c r="J19" s="19"/>
      <c r="K19" s="18"/>
      <c r="L19" s="18"/>
      <c r="M19" s="18" t="e">
        <f ca="1">_xll.EVDES(H19)</f>
        <v>#NAME?</v>
      </c>
      <c r="N19" s="20" t="e">
        <f ca="1">_xll.EVGTS($B$1,1,$B$3,$B$5,$B$7,$B$9,N$16,N$17,N$18,$G$19,$H$19)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SUM(N19:Y19)</f>
        <v>#NAME?</v>
      </c>
      <c r="AA19" s="18"/>
      <c r="AB19" s="18"/>
      <c r="AC19" s="20" t="e">
        <f ca="1">_xll.EVGTS($B$1,1,$B$3,$B$5,$B$7,$B$9,AC$16,AC$17,AC$18,$G$19,$H$19)</f>
        <v>#NAME?</v>
      </c>
      <c r="AD19" s="18"/>
      <c r="AE19" s="18"/>
      <c r="AF19" s="20" t="e">
        <f ca="1">_xll.EVGTS($B$1,1,$B$3,$B$5,$B$7,$B$9,AF$16,AF$17,AF$18,$G$19,$H$19)</f>
        <v>#NAME?</v>
      </c>
      <c r="AG19" s="18"/>
      <c r="AH19" s="18"/>
    </row>
    <row r="20" spans="1:39" hidden="1" outlineLevel="1" x14ac:dyDescent="0.25">
      <c r="A20" s="6" t="s">
        <v>5</v>
      </c>
      <c r="B20" s="7"/>
      <c r="G20" s="18" t="s">
        <v>749</v>
      </c>
      <c r="H20" s="18">
        <v>900200</v>
      </c>
      <c r="I20" s="19"/>
      <c r="J20" s="19"/>
      <c r="K20" s="18"/>
      <c r="L20" s="19"/>
      <c r="M20" s="18" t="e">
        <f ca="1">_xll.EVDES(H20)</f>
        <v>#NAME?</v>
      </c>
      <c r="N20" s="20" t="e">
        <f ca="1">_xll.EVGTS($B$1,1,$B$3,$B$5,$B$7,$B$9,N$16,N$17,N$18,$G$20,$H$20)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SUM(N20:Y20)</f>
        <v>#NAME?</v>
      </c>
      <c r="AA20" s="18"/>
      <c r="AB20" s="18"/>
      <c r="AC20" s="20" t="e">
        <f ca="1">_xll.EVGTS($B$1,1,$B$3,$B$5,$B$7,$B$9,AC$16,AC$17,AC$18,$G$20,$H$20)</f>
        <v>#NAME?</v>
      </c>
      <c r="AD20" s="18"/>
      <c r="AE20" s="18"/>
      <c r="AF20" s="20" t="e">
        <f ca="1">_xll.EVGTS($B$1,1,$B$3,$B$5,$B$7,$B$9,AF$16,AF$17,AF$18,$G$20,$H$20)</f>
        <v>#NAME?</v>
      </c>
      <c r="AG20" s="18"/>
      <c r="AH20" s="18"/>
    </row>
    <row r="21" spans="1:39" hidden="1" outlineLevel="1" x14ac:dyDescent="0.25">
      <c r="A21" s="6" t="s">
        <v>6</v>
      </c>
      <c r="B21" s="7"/>
      <c r="I21" s="1"/>
      <c r="J21" s="1"/>
    </row>
    <row r="22" spans="1:39" hidden="1" outlineLevel="1" x14ac:dyDescent="0.25">
      <c r="A22" s="6" t="s">
        <v>7</v>
      </c>
      <c r="B22" s="7" t="e">
        <f ca="1">_xll.EVRNG(A36:F38)</f>
        <v>#NAME?</v>
      </c>
      <c r="I22" s="1"/>
      <c r="J22" s="1"/>
    </row>
    <row r="23" spans="1:39" hidden="1" outlineLevel="1" x14ac:dyDescent="0.25">
      <c r="A23" s="6" t="s">
        <v>47</v>
      </c>
      <c r="B23" s="7" t="e">
        <f ca="1">_xll.EVRNG($A$44:$B$65)</f>
        <v>#NAME?</v>
      </c>
      <c r="K23" s="57"/>
      <c r="L23" s="57"/>
      <c r="AC23" s="152"/>
    </row>
    <row r="24" spans="1:39" hidden="1" outlineLevel="1" x14ac:dyDescent="0.25">
      <c r="A24" s="6" t="s">
        <v>8</v>
      </c>
      <c r="B24" s="7"/>
    </row>
    <row r="25" spans="1:39" collapsed="1" x14ac:dyDescent="0.25"/>
    <row r="26" spans="1:39" ht="22.5" x14ac:dyDescent="0.3">
      <c r="A26" s="3" t="s">
        <v>9</v>
      </c>
      <c r="B26" s="5" t="s">
        <v>10</v>
      </c>
      <c r="C26" s="5" t="s">
        <v>357</v>
      </c>
      <c r="M26" s="65" t="e">
        <f ca="1">IF(_xll.EVDES(B3,$B$1)="#NODATA","",_xll.EVDES(B3,$B$1))</f>
        <v>#NAME?</v>
      </c>
    </row>
    <row r="27" spans="1:39" ht="18" x14ac:dyDescent="0.25">
      <c r="A27" s="6" t="s">
        <v>11</v>
      </c>
      <c r="B27" s="7" t="s">
        <v>21</v>
      </c>
      <c r="C27" s="7" t="s">
        <v>21</v>
      </c>
      <c r="M27" s="70" t="e">
        <f ca="1">IF(_xll.EVDES(B6,$B$1)="#NODATA","",_xll.EVDES(B6,$B$1))</f>
        <v>#NAME?</v>
      </c>
    </row>
    <row r="28" spans="1:39" ht="15.75" x14ac:dyDescent="0.25">
      <c r="A28" s="6" t="s">
        <v>12</v>
      </c>
      <c r="B28" s="7" t="s">
        <v>52</v>
      </c>
      <c r="C28" s="7" t="s">
        <v>22</v>
      </c>
      <c r="M28" s="71" t="e">
        <f ca="1">"For the Period ended"&amp;" "&amp;IF(_xll.EVDES($B$10,$B$1)="#NODATA","",_xll.EVDES($B$10,$B$1))</f>
        <v>#NAME?</v>
      </c>
    </row>
    <row r="29" spans="1:39" ht="15" customHeight="1" x14ac:dyDescent="0.25">
      <c r="A29" s="6" t="s">
        <v>13</v>
      </c>
      <c r="B29" s="7" t="s">
        <v>468</v>
      </c>
      <c r="C29" s="7" t="s">
        <v>467</v>
      </c>
      <c r="M29" s="71" t="e">
        <f ca="1">_xll.EVDES(B9,B1)</f>
        <v>#NAME?</v>
      </c>
    </row>
    <row r="30" spans="1:39" x14ac:dyDescent="0.25">
      <c r="A30" s="6" t="s">
        <v>14</v>
      </c>
      <c r="B30" s="7"/>
      <c r="C30" s="7"/>
      <c r="N30" s="230"/>
      <c r="O30" s="231"/>
      <c r="P30" s="231"/>
      <c r="Q30" s="231"/>
      <c r="R30" s="231"/>
      <c r="S30" s="231"/>
      <c r="T30" s="231"/>
      <c r="U30" s="231"/>
      <c r="V30" s="231"/>
      <c r="W30" s="231"/>
      <c r="X30" s="231"/>
      <c r="Y30" s="231"/>
      <c r="Z30" s="231"/>
      <c r="AA30" s="232"/>
      <c r="AC30" s="231"/>
      <c r="AD30" s="231"/>
      <c r="AE30" s="231"/>
      <c r="AF30" s="231"/>
      <c r="AG30" s="231"/>
      <c r="AH30" s="231"/>
      <c r="AI30" s="230" t="s">
        <v>748</v>
      </c>
      <c r="AJ30" s="231"/>
      <c r="AK30" s="232"/>
      <c r="AL30" s="231" t="s">
        <v>750</v>
      </c>
      <c r="AM30" s="231"/>
    </row>
    <row r="31" spans="1:39" x14ac:dyDescent="0.25">
      <c r="A31" s="6" t="s">
        <v>15</v>
      </c>
      <c r="B31" s="7"/>
      <c r="C31" s="7"/>
      <c r="G31" s="14"/>
      <c r="N31" s="233" t="e">
        <f ca="1">IF($D$10="FY",_xll.EVPRO($B$1,N$16,"PERIOD")&amp;" "&amp;LEFT(N$13,4),_xll.EVPRO($B$1,N$16,"PERIOD"))</f>
        <v>#NAME?</v>
      </c>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str">
        <f>Z14</f>
        <v>TOTAL</v>
      </c>
      <c r="AA31" s="229"/>
      <c r="AC31" s="530" t="e">
        <f ca="1">IF(_xll.EVDES(AC16,$B$1)="#NODATA","",_xll.EVDES(AC16,$B$1))</f>
        <v>#NAME?</v>
      </c>
      <c r="AD31" s="531"/>
      <c r="AE31" s="233" t="s">
        <v>631</v>
      </c>
      <c r="AF31" s="530" t="e">
        <f ca="1">IF(_xll.EVDES(AF16,$B$1)="#NODATA","",_xll.EVDES(AF16,$B$1))</f>
        <v>#NAME?</v>
      </c>
      <c r="AG31" s="531"/>
      <c r="AH31" s="233" t="s">
        <v>631</v>
      </c>
      <c r="AI31" s="233" t="e">
        <f ca="1">_xll.EVPRO($B$1,Z$16,"YEAR")</f>
        <v>#NAME?</v>
      </c>
      <c r="AJ31" s="262" t="e">
        <f ca="1">_xll.EVPRO($B$1,AC$16,"YEAR")</f>
        <v>#NAME?</v>
      </c>
      <c r="AK31" s="262" t="e">
        <f ca="1">_xll.EVPRO($B$1,AF$16,"YEAR")</f>
        <v>#NAME?</v>
      </c>
      <c r="AL31" s="233" t="e">
        <f ca="1">"vs "&amp;AJ31</f>
        <v>#NAME?</v>
      </c>
      <c r="AM31" s="233" t="e">
        <f ca="1">"vs "&amp;AK31</f>
        <v>#NAME?</v>
      </c>
    </row>
    <row r="32" spans="1:39" s="256" customFormat="1" ht="30" customHeight="1" x14ac:dyDescent="0.25">
      <c r="A32" s="254" t="s">
        <v>16</v>
      </c>
      <c r="B32" s="255"/>
      <c r="C32" s="255"/>
      <c r="G32" s="345"/>
      <c r="H32" s="257"/>
      <c r="I32" s="258"/>
      <c r="J32" s="258"/>
      <c r="N32" s="261" t="e">
        <f ca="1">IF(_xll.EVDES(N17,$B$1)="#NODATA","",_xll.EVDES(N17,$B$1))</f>
        <v>#NAME?</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2"/>
      <c r="AA32" s="262" t="s">
        <v>58</v>
      </c>
      <c r="AC32" s="261" t="e">
        <f ca="1">IF(_xll.EVDES(AC17,$B$1)="#NODATA","",_xll.EVDES(AC17,$B$1))</f>
        <v>#NAME?</v>
      </c>
      <c r="AD32" s="262" t="s">
        <v>58</v>
      </c>
      <c r="AE32" s="261" t="s">
        <v>57</v>
      </c>
      <c r="AF32" s="261" t="e">
        <f ca="1">IF(_xll.EVDES(AF17,$B$1)="#NODATA","",_xll.EVDES(AF17,$B$1))</f>
        <v>#NAME?</v>
      </c>
      <c r="AG32" s="262" t="s">
        <v>58</v>
      </c>
      <c r="AH32" s="261" t="s">
        <v>57</v>
      </c>
      <c r="AI32" s="261" t="e">
        <f ca="1">Y32</f>
        <v>#NAME?</v>
      </c>
      <c r="AJ32" s="262" t="e">
        <f ca="1">AC32</f>
        <v>#NAME?</v>
      </c>
      <c r="AK32" s="261" t="e">
        <f ca="1">AF32</f>
        <v>#NAME?</v>
      </c>
      <c r="AL32" s="233" t="s">
        <v>747</v>
      </c>
      <c r="AM32" s="233" t="s">
        <v>747</v>
      </c>
    </row>
    <row r="33" spans="1:39" x14ac:dyDescent="0.25">
      <c r="A33" s="6" t="s">
        <v>17</v>
      </c>
      <c r="B33" s="7"/>
      <c r="C33" s="7"/>
      <c r="H33" s="1" t="s">
        <v>69</v>
      </c>
      <c r="I33" s="11" t="e">
        <f ca="1">_xll.EVPRO($B$1,$H33,"STYLE")</f>
        <v>#NAME?</v>
      </c>
      <c r="J33" s="11" t="e">
        <f ca="1">_xll.EVPRO($B$1,$H33,"CALC")</f>
        <v>#NAME?</v>
      </c>
      <c r="M33" s="40" t="e">
        <f ca="1">IF(_xll.EVDES(H33,$B$1)="#NODATA","",_xll.EVDES(H33,$B$1))</f>
        <v>#NAME?</v>
      </c>
      <c r="N33" s="41"/>
      <c r="O33" s="45"/>
      <c r="P33" s="45"/>
      <c r="Q33" s="45"/>
      <c r="R33" s="45"/>
      <c r="S33" s="45"/>
      <c r="T33" s="45"/>
      <c r="U33" s="45"/>
      <c r="V33" s="45"/>
      <c r="W33" s="45"/>
      <c r="X33" s="45"/>
      <c r="Y33" s="45"/>
      <c r="Z33" s="45"/>
      <c r="AA33" s="42"/>
      <c r="AC33" s="41"/>
      <c r="AD33" s="45"/>
      <c r="AE33" s="42"/>
      <c r="AF33" s="41"/>
      <c r="AG33" s="45"/>
      <c r="AH33" s="42"/>
    </row>
    <row r="34" spans="1:39" x14ac:dyDescent="0.25">
      <c r="G34" s="15" t="s">
        <v>365</v>
      </c>
      <c r="H34" s="15" t="s">
        <v>280</v>
      </c>
      <c r="I34" s="161" t="e">
        <f ca="1">_xll.EVPRO($B$1,$G34,"HLEVEL")</f>
        <v>#NAME?</v>
      </c>
      <c r="J34" s="161" t="e">
        <f ca="1">_xll.EVPRO($B$1,$H34,"CALC")</f>
        <v>#NAME?</v>
      </c>
      <c r="K34" s="68" t="e">
        <f t="shared" ref="K34" ca="1" si="0">IF(AND(I34&gt;="T5"),"&gt;","")</f>
        <v>#NAME?</v>
      </c>
      <c r="L34" s="162"/>
      <c r="M34" s="162" t="e">
        <f ca="1">IF(_xll.EVDES(G34,$B$1)="#NODATA","",_xll.EVDES(G34,$B$1))</f>
        <v>#NAME?</v>
      </c>
      <c r="N34" s="21"/>
      <c r="O34" s="21"/>
      <c r="P34" s="21"/>
      <c r="Q34" s="21"/>
      <c r="R34" s="21"/>
      <c r="S34" s="21"/>
      <c r="T34" s="21"/>
      <c r="U34" s="21"/>
      <c r="V34" s="21"/>
      <c r="W34" s="21"/>
      <c r="X34" s="21"/>
      <c r="Y34" s="21"/>
      <c r="Z34" s="310" t="e">
        <f t="shared" ref="Z34:Z39" ca="1" si="1">IF($I34="B1","",SUM(N34:Y34))</f>
        <v>#NAME?</v>
      </c>
      <c r="AA34" s="17" t="e">
        <f t="shared" ref="AA34:AA39" ca="1" si="2">IF(Z34=0,"",IFERROR(Z34/Z$19,""))</f>
        <v>#NAME?</v>
      </c>
      <c r="AC34" s="21"/>
      <c r="AD34" s="17" t="str">
        <f t="shared" ref="AD34:AD39" si="3">IF(AC34=0,"",IFERROR(AC34/AC$19,""))</f>
        <v/>
      </c>
      <c r="AE34" s="50" t="e">
        <f t="shared" ref="AE34:AE39" ca="1" si="4">IF(AND($Z34="",AC34=""),"",$Z34-AC34)</f>
        <v>#NAME?</v>
      </c>
      <c r="AF34" s="21"/>
      <c r="AG34" s="17" t="str">
        <f t="shared" ref="AG34:AG40" si="5">IF(AF34=0,"",IFERROR(AF34/AF$19,""))</f>
        <v/>
      </c>
      <c r="AH34" s="50" t="e">
        <f t="shared" ref="AH34:AH40" ca="1" si="6">IF(AND($Z34="",AF34=""),"",$Z34-AF34)</f>
        <v>#NAME?</v>
      </c>
      <c r="AI34" s="399">
        <f t="shared" ref="AI34:AI40" ca="1" si="7">IFERROR(Z34/Z$20,0)</f>
        <v>0</v>
      </c>
      <c r="AJ34" s="400">
        <f t="shared" ref="AJ34:AJ40" ca="1" si="8">IFERROR(AC34/AC$20,0)</f>
        <v>0</v>
      </c>
      <c r="AK34" s="401">
        <f t="shared" ref="AK34:AK40" ca="1" si="9">IFERROR(AF34/AF$20,0)</f>
        <v>0</v>
      </c>
      <c r="AL34" s="402">
        <f t="shared" ref="AL34:AL40" ca="1" si="10">+IFERROR(ROUND(($AA34-AD34)*100,2)&amp;" pts.",0)</f>
        <v>0</v>
      </c>
      <c r="AM34" s="403">
        <f t="shared" ref="AM34:AM40" ca="1" si="11">+IFERROR(ROUND(($AA34-AG34)*100,2)&amp;" pts.",0)</f>
        <v>0</v>
      </c>
    </row>
    <row r="35" spans="1:39" x14ac:dyDescent="0.25">
      <c r="A35" s="22" t="s">
        <v>92</v>
      </c>
      <c r="B35" s="23" t="s">
        <v>93</v>
      </c>
      <c r="C35" s="23" t="s">
        <v>94</v>
      </c>
      <c r="D35" s="23" t="s">
        <v>95</v>
      </c>
      <c r="E35" s="23" t="s">
        <v>96</v>
      </c>
      <c r="F35" s="24" t="s">
        <v>97</v>
      </c>
      <c r="G35" s="15" t="s">
        <v>366</v>
      </c>
      <c r="H35" s="15" t="s">
        <v>280</v>
      </c>
      <c r="I35" s="161" t="e">
        <f ca="1">_xll.EVPRO($B$1,$G35,"HLEVEL")</f>
        <v>#NAME?</v>
      </c>
      <c r="J35" s="161" t="e">
        <f ca="1">_xll.EVPRO($B$1,$H35,"CALC")</f>
        <v>#NAME?</v>
      </c>
      <c r="K35" s="68" t="e">
        <f t="shared" ref="K35:K39" ca="1" si="12">IF(AND(I35&gt;="T5"),"&gt;","")</f>
        <v>#NAME?</v>
      </c>
      <c r="L35" s="162"/>
      <c r="M35" s="162" t="e">
        <f ca="1">IF(_xll.EVDES(G35,$B$1)="#NODATA","",_xll.EVDES(G35,$B$1))</f>
        <v>#NAME?</v>
      </c>
      <c r="N35" s="21"/>
      <c r="O35" s="21"/>
      <c r="P35" s="21"/>
      <c r="Q35" s="21"/>
      <c r="R35" s="21"/>
      <c r="S35" s="21"/>
      <c r="T35" s="21"/>
      <c r="U35" s="21"/>
      <c r="V35" s="21"/>
      <c r="W35" s="21"/>
      <c r="X35" s="21"/>
      <c r="Y35" s="21"/>
      <c r="Z35" s="310" t="e">
        <f t="shared" ca="1" si="1"/>
        <v>#NAME?</v>
      </c>
      <c r="AA35" s="17" t="e">
        <f t="shared" ca="1" si="2"/>
        <v>#NAME?</v>
      </c>
      <c r="AC35" s="21"/>
      <c r="AD35" s="17" t="str">
        <f t="shared" si="3"/>
        <v/>
      </c>
      <c r="AE35" s="50" t="e">
        <f t="shared" ca="1" si="4"/>
        <v>#NAME?</v>
      </c>
      <c r="AF35" s="21"/>
      <c r="AG35" s="17" t="str">
        <f t="shared" ref="AG35:AG39" si="13">IF(AF35=0,"",IFERROR(AF35/AF$19,""))</f>
        <v/>
      </c>
      <c r="AH35" s="50" t="e">
        <f t="shared" ref="AH35:AH39" ca="1" si="14">IF(AND($Z35="",AF35=""),"",$Z35-AF35)</f>
        <v>#NAME?</v>
      </c>
      <c r="AI35" s="399">
        <f t="shared" ref="AI35:AI39" ca="1" si="15">IFERROR(Z35/Z$20,0)</f>
        <v>0</v>
      </c>
      <c r="AJ35" s="400">
        <f t="shared" ref="AJ35:AJ39" ca="1" si="16">IFERROR(AC35/AC$20,0)</f>
        <v>0</v>
      </c>
      <c r="AK35" s="401">
        <f t="shared" ref="AK35:AK39" ca="1" si="17">IFERROR(AF35/AF$20,0)</f>
        <v>0</v>
      </c>
      <c r="AL35" s="402">
        <f t="shared" ref="AL35:AL39" ca="1" si="18">+IFERROR(ROUND(($AA35-AD35)*100,2)&amp;" pts.",0)</f>
        <v>0</v>
      </c>
      <c r="AM35" s="403">
        <f t="shared" ref="AM35:AM39" ca="1" si="19">+IFERROR(ROUND(($AA35-AG35)*100,2)&amp;" pts.",0)</f>
        <v>0</v>
      </c>
    </row>
    <row r="36" spans="1:39" x14ac:dyDescent="0.25">
      <c r="G36" s="15" t="s">
        <v>380</v>
      </c>
      <c r="H36" s="15" t="s">
        <v>280</v>
      </c>
      <c r="I36" s="161" t="e">
        <f ca="1">_xll.EVPRO($B$1,$G36,"HLEVEL")</f>
        <v>#NAME?</v>
      </c>
      <c r="J36" s="161" t="e">
        <f ca="1">_xll.EVPRO($B$1,$H36,"CALC")</f>
        <v>#NAME?</v>
      </c>
      <c r="K36" s="68" t="e">
        <f t="shared" ca="1" si="12"/>
        <v>#NAME?</v>
      </c>
      <c r="L36" s="162"/>
      <c r="M36" s="162" t="e">
        <f ca="1">IF(_xll.EVDES(G36,$B$1)="#NODATA","",_xll.EVDES(G36,$B$1))</f>
        <v>#NAME?</v>
      </c>
      <c r="N36" s="21"/>
      <c r="O36" s="21"/>
      <c r="P36" s="21">
        <v>0</v>
      </c>
      <c r="Q36" s="21"/>
      <c r="R36" s="21">
        <v>0</v>
      </c>
      <c r="S36" s="21"/>
      <c r="T36" s="21"/>
      <c r="U36" s="21"/>
      <c r="V36" s="21"/>
      <c r="W36" s="21"/>
      <c r="X36" s="21"/>
      <c r="Y36" s="21"/>
      <c r="Z36" s="310" t="e">
        <f t="shared" ca="1" si="1"/>
        <v>#NAME?</v>
      </c>
      <c r="AA36" s="17" t="e">
        <f t="shared" ca="1" si="2"/>
        <v>#NAME?</v>
      </c>
      <c r="AC36" s="21"/>
      <c r="AD36" s="17" t="str">
        <f t="shared" si="3"/>
        <v/>
      </c>
      <c r="AE36" s="50" t="e">
        <f t="shared" ca="1" si="4"/>
        <v>#NAME?</v>
      </c>
      <c r="AF36" s="21"/>
      <c r="AG36" s="17" t="str">
        <f t="shared" si="13"/>
        <v/>
      </c>
      <c r="AH36" s="50" t="e">
        <f t="shared" ca="1" si="14"/>
        <v>#NAME?</v>
      </c>
      <c r="AI36" s="399">
        <f t="shared" ca="1" si="15"/>
        <v>0</v>
      </c>
      <c r="AJ36" s="400">
        <f t="shared" ca="1" si="16"/>
        <v>0</v>
      </c>
      <c r="AK36" s="401">
        <f t="shared" ca="1" si="17"/>
        <v>0</v>
      </c>
      <c r="AL36" s="402">
        <f t="shared" ca="1" si="18"/>
        <v>0</v>
      </c>
      <c r="AM36" s="403">
        <f t="shared" ca="1" si="19"/>
        <v>0</v>
      </c>
    </row>
    <row r="37" spans="1:39" x14ac:dyDescent="0.25">
      <c r="A37" s="1" t="s">
        <v>105</v>
      </c>
      <c r="C37" s="26" t="s">
        <v>101</v>
      </c>
      <c r="D37" s="1" t="s">
        <v>106</v>
      </c>
      <c r="F37" s="1" t="s">
        <v>98</v>
      </c>
      <c r="G37" s="15" t="s">
        <v>386</v>
      </c>
      <c r="H37" s="15" t="s">
        <v>280</v>
      </c>
      <c r="I37" s="161" t="e">
        <f ca="1">_xll.EVPRO($B$1,$G37,"HLEVEL")</f>
        <v>#NAME?</v>
      </c>
      <c r="J37" s="161" t="e">
        <f ca="1">_xll.EVPRO($B$1,$H37,"CALC")</f>
        <v>#NAME?</v>
      </c>
      <c r="K37" s="68" t="e">
        <f t="shared" ca="1" si="12"/>
        <v>#NAME?</v>
      </c>
      <c r="L37" s="162"/>
      <c r="M37" s="162" t="e">
        <f ca="1">IF(_xll.EVDES(G37,$B$1)="#NODATA","",_xll.EVDES(G37,$B$1))</f>
        <v>#NAME?</v>
      </c>
      <c r="N37" s="21"/>
      <c r="O37" s="21"/>
      <c r="P37" s="21"/>
      <c r="Q37" s="21"/>
      <c r="R37" s="21"/>
      <c r="S37" s="21"/>
      <c r="T37" s="21"/>
      <c r="U37" s="21"/>
      <c r="V37" s="21"/>
      <c r="W37" s="21"/>
      <c r="X37" s="21">
        <v>19.28</v>
      </c>
      <c r="Y37" s="21"/>
      <c r="Z37" s="310" t="e">
        <f t="shared" ca="1" si="1"/>
        <v>#NAME?</v>
      </c>
      <c r="AA37" s="17" t="e">
        <f t="shared" ca="1" si="2"/>
        <v>#NAME?</v>
      </c>
      <c r="AC37" s="21"/>
      <c r="AD37" s="17" t="str">
        <f t="shared" si="3"/>
        <v/>
      </c>
      <c r="AE37" s="50" t="e">
        <f t="shared" ca="1" si="4"/>
        <v>#NAME?</v>
      </c>
      <c r="AF37" s="21"/>
      <c r="AG37" s="17" t="str">
        <f t="shared" si="13"/>
        <v/>
      </c>
      <c r="AH37" s="50" t="e">
        <f t="shared" ca="1" si="14"/>
        <v>#NAME?</v>
      </c>
      <c r="AI37" s="399">
        <f t="shared" ca="1" si="15"/>
        <v>0</v>
      </c>
      <c r="AJ37" s="400">
        <f t="shared" ca="1" si="16"/>
        <v>0</v>
      </c>
      <c r="AK37" s="401">
        <f t="shared" ca="1" si="17"/>
        <v>0</v>
      </c>
      <c r="AL37" s="402">
        <f t="shared" ca="1" si="18"/>
        <v>0</v>
      </c>
      <c r="AM37" s="403">
        <f t="shared" ca="1" si="19"/>
        <v>0</v>
      </c>
    </row>
    <row r="38" spans="1:39" x14ac:dyDescent="0.25">
      <c r="A38" s="1" t="s">
        <v>465</v>
      </c>
      <c r="C38" s="26" t="s">
        <v>101</v>
      </c>
      <c r="D38" s="1" t="s">
        <v>106</v>
      </c>
      <c r="F38" s="1" t="s">
        <v>98</v>
      </c>
      <c r="G38" s="15" t="s">
        <v>406</v>
      </c>
      <c r="H38" s="15" t="s">
        <v>280</v>
      </c>
      <c r="I38" s="161" t="e">
        <f ca="1">_xll.EVPRO($B$1,$G38,"HLEVEL")</f>
        <v>#NAME?</v>
      </c>
      <c r="J38" s="161" t="e">
        <f ca="1">_xll.EVPRO($B$1,$H38,"CALC")</f>
        <v>#NAME?</v>
      </c>
      <c r="K38" s="68" t="e">
        <f t="shared" ca="1" si="12"/>
        <v>#NAME?</v>
      </c>
      <c r="L38" s="162"/>
      <c r="M38" s="162" t="e">
        <f ca="1">IF(_xll.EVDES(G38,$B$1)="#NODATA","",_xll.EVDES(G38,$B$1))</f>
        <v>#NAME?</v>
      </c>
      <c r="N38" s="21"/>
      <c r="O38" s="21"/>
      <c r="P38" s="21"/>
      <c r="Q38" s="21"/>
      <c r="R38" s="21"/>
      <c r="S38" s="21"/>
      <c r="T38" s="21"/>
      <c r="U38" s="21"/>
      <c r="V38" s="21"/>
      <c r="W38" s="21"/>
      <c r="X38" s="21"/>
      <c r="Y38" s="21"/>
      <c r="Z38" s="310" t="e">
        <f t="shared" ca="1" si="1"/>
        <v>#NAME?</v>
      </c>
      <c r="AA38" s="17" t="e">
        <f t="shared" ca="1" si="2"/>
        <v>#NAME?</v>
      </c>
      <c r="AC38" s="21"/>
      <c r="AD38" s="17" t="str">
        <f t="shared" si="3"/>
        <v/>
      </c>
      <c r="AE38" s="50" t="e">
        <f t="shared" ca="1" si="4"/>
        <v>#NAME?</v>
      </c>
      <c r="AF38" s="21"/>
      <c r="AG38" s="17" t="str">
        <f t="shared" si="13"/>
        <v/>
      </c>
      <c r="AH38" s="50" t="e">
        <f t="shared" ca="1" si="14"/>
        <v>#NAME?</v>
      </c>
      <c r="AI38" s="399">
        <f t="shared" ca="1" si="15"/>
        <v>0</v>
      </c>
      <c r="AJ38" s="400">
        <f t="shared" ca="1" si="16"/>
        <v>0</v>
      </c>
      <c r="AK38" s="401">
        <f t="shared" ca="1" si="17"/>
        <v>0</v>
      </c>
      <c r="AL38" s="402">
        <f t="shared" ca="1" si="18"/>
        <v>0</v>
      </c>
      <c r="AM38" s="403">
        <f t="shared" ca="1" si="19"/>
        <v>0</v>
      </c>
    </row>
    <row r="39" spans="1:39" x14ac:dyDescent="0.25">
      <c r="A39" s="1" t="s">
        <v>466</v>
      </c>
      <c r="C39" s="8" t="s">
        <v>101</v>
      </c>
      <c r="D39" s="1" t="s">
        <v>106</v>
      </c>
      <c r="F39" s="1" t="s">
        <v>98</v>
      </c>
      <c r="G39" s="15" t="s">
        <v>423</v>
      </c>
      <c r="H39" s="15" t="s">
        <v>280</v>
      </c>
      <c r="I39" s="161" t="e">
        <f ca="1">_xll.EVPRO($B$1,$G39,"HLEVEL")</f>
        <v>#NAME?</v>
      </c>
      <c r="J39" s="161" t="e">
        <f ca="1">_xll.EVPRO($B$1,$H39,"CALC")</f>
        <v>#NAME?</v>
      </c>
      <c r="K39" s="68" t="e">
        <f t="shared" ca="1" si="12"/>
        <v>#NAME?</v>
      </c>
      <c r="L39" s="162"/>
      <c r="M39" s="162" t="e">
        <f ca="1">IF(_xll.EVDES(G39,$B$1)="#NODATA","",_xll.EVDES(G39,$B$1))</f>
        <v>#NAME?</v>
      </c>
      <c r="N39" s="21">
        <v>1876.85</v>
      </c>
      <c r="O39" s="21">
        <v>2263.09</v>
      </c>
      <c r="P39" s="21">
        <v>1369.74</v>
      </c>
      <c r="Q39" s="21">
        <v>2075.38</v>
      </c>
      <c r="R39" s="21">
        <v>1530.85</v>
      </c>
      <c r="S39" s="21">
        <v>1673.12</v>
      </c>
      <c r="T39" s="21">
        <v>1042.0899999999999</v>
      </c>
      <c r="U39" s="21">
        <v>785.26</v>
      </c>
      <c r="V39" s="21">
        <v>851.92</v>
      </c>
      <c r="W39" s="21">
        <v>1215.53</v>
      </c>
      <c r="X39" s="21">
        <v>1518.73</v>
      </c>
      <c r="Y39" s="21">
        <v>-336.23</v>
      </c>
      <c r="Z39" s="310" t="e">
        <f t="shared" ca="1" si="1"/>
        <v>#NAME?</v>
      </c>
      <c r="AA39" s="17" t="e">
        <f t="shared" ca="1" si="2"/>
        <v>#NAME?</v>
      </c>
      <c r="AC39" s="21">
        <v>25008.17</v>
      </c>
      <c r="AD39" s="17" t="str">
        <f t="shared" ca="1" si="3"/>
        <v/>
      </c>
      <c r="AE39" s="50" t="e">
        <f t="shared" ca="1" si="4"/>
        <v>#NAME?</v>
      </c>
      <c r="AF39" s="21">
        <v>27966.42</v>
      </c>
      <c r="AG39" s="17" t="str">
        <f t="shared" ca="1" si="13"/>
        <v/>
      </c>
      <c r="AH39" s="50" t="e">
        <f t="shared" ca="1" si="14"/>
        <v>#NAME?</v>
      </c>
      <c r="AI39" s="399">
        <f t="shared" ca="1" si="15"/>
        <v>0</v>
      </c>
      <c r="AJ39" s="400">
        <f t="shared" ca="1" si="16"/>
        <v>0</v>
      </c>
      <c r="AK39" s="401">
        <f t="shared" ca="1" si="17"/>
        <v>0</v>
      </c>
      <c r="AL39" s="402">
        <f t="shared" ca="1" si="18"/>
        <v>0</v>
      </c>
      <c r="AM39" s="403">
        <f t="shared" ca="1" si="19"/>
        <v>0</v>
      </c>
    </row>
    <row r="40" spans="1:39" x14ac:dyDescent="0.25">
      <c r="A40" s="1" t="s">
        <v>466</v>
      </c>
      <c r="C40" s="151" t="s">
        <v>101</v>
      </c>
      <c r="D40" s="1" t="s">
        <v>107</v>
      </c>
      <c r="F40" s="1" t="s">
        <v>99</v>
      </c>
      <c r="H40" s="348" t="s">
        <v>69</v>
      </c>
      <c r="I40" s="68"/>
      <c r="J40" s="68"/>
      <c r="K40" s="68"/>
      <c r="L40" s="162"/>
      <c r="M40" s="25" t="s">
        <v>470</v>
      </c>
      <c r="N40" s="164">
        <f>SUM(N34:N39)</f>
        <v>1876.85</v>
      </c>
      <c r="O40" s="164">
        <f t="shared" ref="O40:Y40" si="20">SUM(O34:O39)</f>
        <v>2263.09</v>
      </c>
      <c r="P40" s="164">
        <f t="shared" si="20"/>
        <v>1369.74</v>
      </c>
      <c r="Q40" s="164">
        <f t="shared" si="20"/>
        <v>2075.38</v>
      </c>
      <c r="R40" s="164">
        <f t="shared" si="20"/>
        <v>1530.85</v>
      </c>
      <c r="S40" s="164">
        <f t="shared" si="20"/>
        <v>1673.12</v>
      </c>
      <c r="T40" s="164">
        <f t="shared" si="20"/>
        <v>1042.0899999999999</v>
      </c>
      <c r="U40" s="164">
        <f t="shared" si="20"/>
        <v>785.26</v>
      </c>
      <c r="V40" s="164">
        <f t="shared" si="20"/>
        <v>851.92</v>
      </c>
      <c r="W40" s="164">
        <f t="shared" si="20"/>
        <v>1215.53</v>
      </c>
      <c r="X40" s="164">
        <f t="shared" si="20"/>
        <v>1538.01</v>
      </c>
      <c r="Y40" s="164">
        <f t="shared" si="20"/>
        <v>-336.23</v>
      </c>
      <c r="Z40" s="164">
        <f t="shared" ref="Z40" si="21">IF($I40="B1","",SUM(N40:Y40))</f>
        <v>15885.61</v>
      </c>
      <c r="AA40" s="175" t="str">
        <f t="shared" ref="AA40" ca="1" si="22">IF(Z40=0,"",IFERROR(Z40/Z$19,""))</f>
        <v/>
      </c>
      <c r="AC40" s="164">
        <f>SUM(AC34:AC39)</f>
        <v>25008.17</v>
      </c>
      <c r="AD40" s="175" t="str">
        <f t="shared" ref="AD40" ca="1" si="23">IF(AC40=0,"",IFERROR(AC40/AC$19,""))</f>
        <v/>
      </c>
      <c r="AE40" s="165">
        <f t="shared" ref="AE40" si="24">IF(AND($Z40="",AC40=""),"",$Z40-AC40)</f>
        <v>-9122.5599999999977</v>
      </c>
      <c r="AF40" s="164">
        <f>SUM(AF34:AF39)</f>
        <v>27966.42</v>
      </c>
      <c r="AG40" s="175" t="str">
        <f t="shared" ca="1" si="5"/>
        <v/>
      </c>
      <c r="AH40" s="165">
        <f t="shared" si="6"/>
        <v>-12080.809999999998</v>
      </c>
      <c r="AI40" s="392">
        <f t="shared" ca="1" si="7"/>
        <v>0</v>
      </c>
      <c r="AJ40" s="393">
        <f t="shared" ca="1" si="8"/>
        <v>0</v>
      </c>
      <c r="AK40" s="394">
        <f t="shared" ca="1" si="9"/>
        <v>0</v>
      </c>
      <c r="AL40" s="395">
        <f t="shared" ca="1" si="10"/>
        <v>0</v>
      </c>
      <c r="AM40" s="437">
        <f t="shared" ca="1" si="11"/>
        <v>0</v>
      </c>
    </row>
    <row r="41" spans="1:39" x14ac:dyDescent="0.25">
      <c r="G41" s="25"/>
      <c r="H41" s="25"/>
      <c r="I41" s="25"/>
      <c r="J41" s="25"/>
      <c r="K41" s="25"/>
      <c r="L41" s="25"/>
      <c r="M41" s="25"/>
      <c r="N41" s="53"/>
      <c r="O41" s="54"/>
      <c r="P41" s="54"/>
      <c r="Q41" s="54"/>
      <c r="R41" s="54"/>
      <c r="S41" s="54"/>
      <c r="T41" s="54"/>
      <c r="U41" s="54"/>
      <c r="V41" s="54"/>
      <c r="W41" s="54"/>
      <c r="X41" s="54"/>
      <c r="Y41" s="54"/>
      <c r="Z41" s="54"/>
      <c r="AA41" s="55"/>
      <c r="AC41" s="53"/>
      <c r="AD41" s="54"/>
      <c r="AE41" s="55"/>
      <c r="AF41" s="53"/>
      <c r="AG41" s="54"/>
      <c r="AH41" s="55"/>
    </row>
    <row r="42" spans="1:39" x14ac:dyDescent="0.25">
      <c r="H42" s="1" t="s">
        <v>464</v>
      </c>
      <c r="I42" s="11" t="e">
        <f ca="1">_xll.EVPRO($B$1,$H42,"STYLE")</f>
        <v>#NAME?</v>
      </c>
      <c r="J42" s="11" t="e">
        <f ca="1">_xll.EVPRO($B$1,$H42,"CALC")</f>
        <v>#NAME?</v>
      </c>
      <c r="M42" s="40" t="e">
        <f ca="1">IF(_xll.EVDES(H42,$B$1)="#NODATA","",_xll.EVDES(H42,$B$1))</f>
        <v>#NAME?</v>
      </c>
      <c r="N42" s="53"/>
      <c r="O42" s="54"/>
      <c r="P42" s="54"/>
      <c r="Q42" s="54"/>
      <c r="R42" s="54"/>
      <c r="S42" s="54"/>
      <c r="T42" s="54"/>
      <c r="U42" s="54"/>
      <c r="V42" s="54"/>
      <c r="W42" s="54"/>
      <c r="X42" s="54"/>
      <c r="Y42" s="54"/>
      <c r="Z42" s="54"/>
      <c r="AA42" s="55"/>
      <c r="AC42" s="53"/>
      <c r="AD42" s="54"/>
      <c r="AE42" s="55"/>
      <c r="AF42" s="53"/>
      <c r="AG42" s="54"/>
      <c r="AH42" s="55"/>
    </row>
    <row r="43" spans="1:39" x14ac:dyDescent="0.25">
      <c r="A43" s="3" t="s">
        <v>23</v>
      </c>
      <c r="B43" s="5" t="s">
        <v>24</v>
      </c>
      <c r="G43" s="15" t="s">
        <v>365</v>
      </c>
      <c r="H43" s="15" t="s">
        <v>464</v>
      </c>
      <c r="I43" s="161" t="e">
        <f ca="1">_xll.EVPRO($B$1,$G43,"HLEVEL")</f>
        <v>#NAME?</v>
      </c>
      <c r="J43" s="161" t="e">
        <f ca="1">_xll.EVPRO($B$1,$H43,"CALC")</f>
        <v>#NAME?</v>
      </c>
      <c r="K43" s="162"/>
      <c r="L43" s="162"/>
      <c r="M43" s="162" t="e">
        <f ca="1">IF(_xll.EVDES(G43,$B$1)="#NODATA","",_xll.EVDES(G43,$B$1))</f>
        <v>#NAME?</v>
      </c>
      <c r="N43" s="21"/>
      <c r="O43" s="21"/>
      <c r="P43" s="21"/>
      <c r="Q43" s="21"/>
      <c r="R43" s="21"/>
      <c r="S43" s="21"/>
      <c r="T43" s="21"/>
      <c r="U43" s="21"/>
      <c r="V43" s="21"/>
      <c r="W43" s="21"/>
      <c r="X43" s="21"/>
      <c r="Y43" s="21"/>
      <c r="Z43" s="310" t="e">
        <f t="shared" ref="Z43:Z48" ca="1" si="25">IF($I43="B1","",SUM(N43:Y43))</f>
        <v>#NAME?</v>
      </c>
      <c r="AA43" s="17" t="e">
        <f t="shared" ref="AA43:AA48" ca="1" si="26">IF(Z43=0,"",IFERROR(Z43/Z34,""))</f>
        <v>#NAME?</v>
      </c>
      <c r="AC43" s="21"/>
      <c r="AD43" s="17" t="str">
        <f t="shared" ref="AD43:AD48" si="27">IF(AC43=0,"",IFERROR(AC43/AC34,""))</f>
        <v/>
      </c>
      <c r="AE43" s="50" t="e">
        <f t="shared" ref="AE43:AE48" ca="1" si="28">IF(AND($Z43="",AC43=""),"",$Z43-AC43)</f>
        <v>#NAME?</v>
      </c>
      <c r="AF43" s="21"/>
      <c r="AG43" s="17" t="str">
        <f t="shared" ref="AG43:AG49" si="29">IF(AF43=0,"",IFERROR(AF43/AF34,""))</f>
        <v/>
      </c>
      <c r="AH43" s="50" t="e">
        <f t="shared" ref="AH43:AH49" ca="1" si="30">IF(AND($Z43="",AF43=""),"",$Z43-AF43)</f>
        <v>#NAME?</v>
      </c>
      <c r="AI43" s="399">
        <f t="shared" ref="AI43:AI49" ca="1" si="31">IFERROR(Z43/Z$20,0)</f>
        <v>0</v>
      </c>
      <c r="AJ43" s="400">
        <f t="shared" ref="AJ43:AJ49" ca="1" si="32">IFERROR(AC43/AC$20,0)</f>
        <v>0</v>
      </c>
      <c r="AK43" s="401">
        <f t="shared" ref="AK43:AK49" ca="1" si="33">IFERROR(AF43/AF$20,0)</f>
        <v>0</v>
      </c>
      <c r="AL43" s="402">
        <f t="shared" ref="AL43:AL49" ca="1" si="34">+IFERROR(ROUND(($AA43-AD43)*100,2)&amp;" pts.",0)</f>
        <v>0</v>
      </c>
      <c r="AM43" s="403">
        <f t="shared" ref="AM43:AM49" ca="1" si="35">+IFERROR(ROUND(($AA43-AG43)*100,2)&amp;" pts.",0)</f>
        <v>0</v>
      </c>
    </row>
    <row r="44" spans="1:39" x14ac:dyDescent="0.25">
      <c r="A44" s="6" t="s">
        <v>25</v>
      </c>
      <c r="B44" s="7"/>
      <c r="G44" s="15" t="s">
        <v>366</v>
      </c>
      <c r="H44" s="15" t="s">
        <v>464</v>
      </c>
      <c r="I44" s="161" t="e">
        <f ca="1">_xll.EVPRO($B$1,$G44,"HLEVEL")</f>
        <v>#NAME?</v>
      </c>
      <c r="J44" s="161" t="e">
        <f ca="1">_xll.EVPRO($B$1,$H44,"CALC")</f>
        <v>#NAME?</v>
      </c>
      <c r="K44" s="162"/>
      <c r="L44" s="162"/>
      <c r="M44" s="162" t="e">
        <f ca="1">IF(_xll.EVDES(G44,$B$1)="#NODATA","",_xll.EVDES(G44,$B$1))</f>
        <v>#NAME?</v>
      </c>
      <c r="N44" s="21"/>
      <c r="O44" s="21"/>
      <c r="P44" s="21"/>
      <c r="Q44" s="21"/>
      <c r="R44" s="21"/>
      <c r="S44" s="21"/>
      <c r="T44" s="21"/>
      <c r="U44" s="21"/>
      <c r="V44" s="21"/>
      <c r="W44" s="21"/>
      <c r="X44" s="21"/>
      <c r="Y44" s="21"/>
      <c r="Z44" s="310" t="e">
        <f t="shared" ca="1" si="25"/>
        <v>#NAME?</v>
      </c>
      <c r="AA44" s="17" t="e">
        <f t="shared" ca="1" si="26"/>
        <v>#NAME?</v>
      </c>
      <c r="AC44" s="21"/>
      <c r="AD44" s="17" t="str">
        <f t="shared" si="27"/>
        <v/>
      </c>
      <c r="AE44" s="50" t="e">
        <f t="shared" ca="1" si="28"/>
        <v>#NAME?</v>
      </c>
      <c r="AF44" s="21"/>
      <c r="AG44" s="17" t="str">
        <f t="shared" ref="AG44:AG48" si="36">IF(AF44=0,"",IFERROR(AF44/AF35,""))</f>
        <v/>
      </c>
      <c r="AH44" s="50" t="e">
        <f t="shared" ref="AH44:AH48" ca="1" si="37">IF(AND($Z44="",AF44=""),"",$Z44-AF44)</f>
        <v>#NAME?</v>
      </c>
      <c r="AI44" s="399">
        <f t="shared" ref="AI44:AI48" ca="1" si="38">IFERROR(Z44/Z$20,0)</f>
        <v>0</v>
      </c>
      <c r="AJ44" s="400">
        <f t="shared" ref="AJ44:AJ48" ca="1" si="39">IFERROR(AC44/AC$20,0)</f>
        <v>0</v>
      </c>
      <c r="AK44" s="401">
        <f t="shared" ref="AK44:AK48" ca="1" si="40">IFERROR(AF44/AF$20,0)</f>
        <v>0</v>
      </c>
      <c r="AL44" s="402">
        <f t="shared" ref="AL44:AL48" ca="1" si="41">+IFERROR(ROUND(($AA44-AD44)*100,2)&amp;" pts.",0)</f>
        <v>0</v>
      </c>
      <c r="AM44" s="403">
        <f t="shared" ref="AM44:AM48" ca="1" si="42">+IFERROR(ROUND(($AA44-AG44)*100,2)&amp;" pts.",0)</f>
        <v>0</v>
      </c>
    </row>
    <row r="45" spans="1:39" x14ac:dyDescent="0.25">
      <c r="A45" s="6" t="s">
        <v>26</v>
      </c>
      <c r="B45" s="7"/>
      <c r="G45" s="15" t="s">
        <v>380</v>
      </c>
      <c r="H45" s="15" t="s">
        <v>464</v>
      </c>
      <c r="I45" s="161" t="e">
        <f ca="1">_xll.EVPRO($B$1,$G45,"HLEVEL")</f>
        <v>#NAME?</v>
      </c>
      <c r="J45" s="161" t="e">
        <f ca="1">_xll.EVPRO($B$1,$H45,"CALC")</f>
        <v>#NAME?</v>
      </c>
      <c r="K45" s="162"/>
      <c r="L45" s="162"/>
      <c r="M45" s="162" t="e">
        <f ca="1">IF(_xll.EVDES(G45,$B$1)="#NODATA","",_xll.EVDES(G45,$B$1))</f>
        <v>#NAME?</v>
      </c>
      <c r="N45" s="21"/>
      <c r="O45" s="21"/>
      <c r="P45" s="21"/>
      <c r="Q45" s="21"/>
      <c r="R45" s="21"/>
      <c r="S45" s="21"/>
      <c r="T45" s="21"/>
      <c r="U45" s="21"/>
      <c r="V45" s="21"/>
      <c r="W45" s="21"/>
      <c r="X45" s="21"/>
      <c r="Y45" s="21"/>
      <c r="Z45" s="310" t="e">
        <f t="shared" ca="1" si="25"/>
        <v>#NAME?</v>
      </c>
      <c r="AA45" s="17" t="e">
        <f t="shared" ca="1" si="26"/>
        <v>#NAME?</v>
      </c>
      <c r="AC45" s="21"/>
      <c r="AD45" s="17" t="str">
        <f t="shared" si="27"/>
        <v/>
      </c>
      <c r="AE45" s="50" t="e">
        <f t="shared" ca="1" si="28"/>
        <v>#NAME?</v>
      </c>
      <c r="AF45" s="21"/>
      <c r="AG45" s="17" t="str">
        <f t="shared" si="36"/>
        <v/>
      </c>
      <c r="AH45" s="50" t="e">
        <f t="shared" ca="1" si="37"/>
        <v>#NAME?</v>
      </c>
      <c r="AI45" s="399">
        <f t="shared" ca="1" si="38"/>
        <v>0</v>
      </c>
      <c r="AJ45" s="400">
        <f t="shared" ca="1" si="39"/>
        <v>0</v>
      </c>
      <c r="AK45" s="401">
        <f t="shared" ca="1" si="40"/>
        <v>0</v>
      </c>
      <c r="AL45" s="402">
        <f t="shared" ca="1" si="41"/>
        <v>0</v>
      </c>
      <c r="AM45" s="403">
        <f t="shared" ca="1" si="42"/>
        <v>0</v>
      </c>
    </row>
    <row r="46" spans="1:39" x14ac:dyDescent="0.25">
      <c r="A46" s="6" t="s">
        <v>27</v>
      </c>
      <c r="B46" s="7"/>
      <c r="G46" s="15" t="s">
        <v>386</v>
      </c>
      <c r="H46" s="15" t="s">
        <v>464</v>
      </c>
      <c r="I46" s="161" t="e">
        <f ca="1">_xll.EVPRO($B$1,$G46,"HLEVEL")</f>
        <v>#NAME?</v>
      </c>
      <c r="J46" s="161" t="e">
        <f ca="1">_xll.EVPRO($B$1,$H46,"CALC")</f>
        <v>#NAME?</v>
      </c>
      <c r="K46" s="162"/>
      <c r="L46" s="162"/>
      <c r="M46" s="162" t="e">
        <f ca="1">IF(_xll.EVDES(G46,$B$1)="#NODATA","",_xll.EVDES(G46,$B$1))</f>
        <v>#NAME?</v>
      </c>
      <c r="N46" s="21"/>
      <c r="O46" s="21"/>
      <c r="P46" s="21"/>
      <c r="Q46" s="21"/>
      <c r="R46" s="21"/>
      <c r="S46" s="21"/>
      <c r="T46" s="21"/>
      <c r="U46" s="21"/>
      <c r="V46" s="21"/>
      <c r="W46" s="21"/>
      <c r="X46" s="21"/>
      <c r="Y46" s="21"/>
      <c r="Z46" s="310" t="e">
        <f t="shared" ca="1" si="25"/>
        <v>#NAME?</v>
      </c>
      <c r="AA46" s="17" t="e">
        <f t="shared" ca="1" si="26"/>
        <v>#NAME?</v>
      </c>
      <c r="AC46" s="21"/>
      <c r="AD46" s="17" t="str">
        <f t="shared" si="27"/>
        <v/>
      </c>
      <c r="AE46" s="50" t="e">
        <f t="shared" ca="1" si="28"/>
        <v>#NAME?</v>
      </c>
      <c r="AF46" s="21"/>
      <c r="AG46" s="17" t="str">
        <f t="shared" si="36"/>
        <v/>
      </c>
      <c r="AH46" s="50" t="e">
        <f t="shared" ca="1" si="37"/>
        <v>#NAME?</v>
      </c>
      <c r="AI46" s="399">
        <f t="shared" ca="1" si="38"/>
        <v>0</v>
      </c>
      <c r="AJ46" s="400">
        <f t="shared" ca="1" si="39"/>
        <v>0</v>
      </c>
      <c r="AK46" s="401">
        <f t="shared" ca="1" si="40"/>
        <v>0</v>
      </c>
      <c r="AL46" s="402">
        <f t="shared" ca="1" si="41"/>
        <v>0</v>
      </c>
      <c r="AM46" s="403">
        <f t="shared" ca="1" si="42"/>
        <v>0</v>
      </c>
    </row>
    <row r="47" spans="1:39" x14ac:dyDescent="0.25">
      <c r="A47" s="6" t="s">
        <v>28</v>
      </c>
      <c r="B47" s="7"/>
      <c r="G47" s="15" t="s">
        <v>406</v>
      </c>
      <c r="H47" s="15" t="s">
        <v>464</v>
      </c>
      <c r="I47" s="161" t="e">
        <f ca="1">_xll.EVPRO($B$1,$G47,"HLEVEL")</f>
        <v>#NAME?</v>
      </c>
      <c r="J47" s="161" t="e">
        <f ca="1">_xll.EVPRO($B$1,$H47,"CALC")</f>
        <v>#NAME?</v>
      </c>
      <c r="K47" s="162"/>
      <c r="L47" s="162"/>
      <c r="M47" s="162" t="e">
        <f ca="1">IF(_xll.EVDES(G47,$B$1)="#NODATA","",_xll.EVDES(G47,$B$1))</f>
        <v>#NAME?</v>
      </c>
      <c r="N47" s="21"/>
      <c r="O47" s="21"/>
      <c r="P47" s="21"/>
      <c r="Q47" s="21"/>
      <c r="R47" s="21"/>
      <c r="S47" s="21"/>
      <c r="T47" s="21"/>
      <c r="U47" s="21"/>
      <c r="V47" s="21"/>
      <c r="W47" s="21"/>
      <c r="X47" s="21"/>
      <c r="Y47" s="21"/>
      <c r="Z47" s="310" t="e">
        <f t="shared" ca="1" si="25"/>
        <v>#NAME?</v>
      </c>
      <c r="AA47" s="17" t="e">
        <f t="shared" ca="1" si="26"/>
        <v>#NAME?</v>
      </c>
      <c r="AC47" s="21"/>
      <c r="AD47" s="17" t="str">
        <f t="shared" si="27"/>
        <v/>
      </c>
      <c r="AE47" s="50" t="e">
        <f t="shared" ca="1" si="28"/>
        <v>#NAME?</v>
      </c>
      <c r="AF47" s="21"/>
      <c r="AG47" s="17" t="str">
        <f t="shared" si="36"/>
        <v/>
      </c>
      <c r="AH47" s="50" t="e">
        <f t="shared" ca="1" si="37"/>
        <v>#NAME?</v>
      </c>
      <c r="AI47" s="399">
        <f t="shared" ca="1" si="38"/>
        <v>0</v>
      </c>
      <c r="AJ47" s="400">
        <f t="shared" ca="1" si="39"/>
        <v>0</v>
      </c>
      <c r="AK47" s="401">
        <f t="shared" ca="1" si="40"/>
        <v>0</v>
      </c>
      <c r="AL47" s="402">
        <f t="shared" ca="1" si="41"/>
        <v>0</v>
      </c>
      <c r="AM47" s="403">
        <f t="shared" ca="1" si="42"/>
        <v>0</v>
      </c>
    </row>
    <row r="48" spans="1:39" x14ac:dyDescent="0.25">
      <c r="A48" s="6" t="s">
        <v>29</v>
      </c>
      <c r="B48" s="7"/>
      <c r="G48" s="15" t="s">
        <v>423</v>
      </c>
      <c r="H48" s="15" t="s">
        <v>464</v>
      </c>
      <c r="I48" s="161" t="e">
        <f ca="1">_xll.EVPRO($B$1,$G48,"HLEVEL")</f>
        <v>#NAME?</v>
      </c>
      <c r="J48" s="161" t="e">
        <f ca="1">_xll.EVPRO($B$1,$H48,"CALC")</f>
        <v>#NAME?</v>
      </c>
      <c r="K48" s="162"/>
      <c r="L48" s="162"/>
      <c r="M48" s="162" t="e">
        <f ca="1">IF(_xll.EVDES(G48,$B$1)="#NODATA","",_xll.EVDES(G48,$B$1))</f>
        <v>#NAME?</v>
      </c>
      <c r="N48" s="21">
        <v>605.01</v>
      </c>
      <c r="O48" s="21">
        <v>1037.3499999999999</v>
      </c>
      <c r="P48" s="21">
        <v>1213.1099999999999</v>
      </c>
      <c r="Q48" s="21">
        <v>1094.22</v>
      </c>
      <c r="R48" s="21">
        <v>717.65</v>
      </c>
      <c r="S48" s="21">
        <v>701.04</v>
      </c>
      <c r="T48" s="21">
        <v>456.03</v>
      </c>
      <c r="U48" s="21">
        <v>170.54</v>
      </c>
      <c r="V48" s="21">
        <v>424.49</v>
      </c>
      <c r="W48" s="21">
        <v>182.82</v>
      </c>
      <c r="X48" s="21">
        <v>547.54999999999995</v>
      </c>
      <c r="Y48" s="21">
        <v>58.91</v>
      </c>
      <c r="Z48" s="310" t="e">
        <f t="shared" ca="1" si="25"/>
        <v>#NAME?</v>
      </c>
      <c r="AA48" s="17" t="e">
        <f t="shared" ca="1" si="26"/>
        <v>#NAME?</v>
      </c>
      <c r="AC48" s="21">
        <v>9089.0349000000006</v>
      </c>
      <c r="AD48" s="17">
        <f t="shared" si="27"/>
        <v>0.36344262295081969</v>
      </c>
      <c r="AE48" s="50" t="e">
        <f t="shared" ca="1" si="28"/>
        <v>#NAME?</v>
      </c>
      <c r="AF48" s="21">
        <v>11399.28</v>
      </c>
      <c r="AG48" s="17">
        <f t="shared" si="36"/>
        <v>0.40760597888467676</v>
      </c>
      <c r="AH48" s="50" t="e">
        <f t="shared" ca="1" si="37"/>
        <v>#NAME?</v>
      </c>
      <c r="AI48" s="399">
        <f t="shared" ca="1" si="38"/>
        <v>0</v>
      </c>
      <c r="AJ48" s="400">
        <f t="shared" ca="1" si="39"/>
        <v>0</v>
      </c>
      <c r="AK48" s="401">
        <f t="shared" ca="1" si="40"/>
        <v>0</v>
      </c>
      <c r="AL48" s="402">
        <f t="shared" ca="1" si="41"/>
        <v>0</v>
      </c>
      <c r="AM48" s="403">
        <f t="shared" ca="1" si="42"/>
        <v>0</v>
      </c>
    </row>
    <row r="49" spans="1:42" x14ac:dyDescent="0.25">
      <c r="A49" s="6" t="s">
        <v>30</v>
      </c>
      <c r="B49" s="7" t="s">
        <v>78</v>
      </c>
      <c r="H49" s="348" t="s">
        <v>493</v>
      </c>
      <c r="I49" s="68"/>
      <c r="J49" s="68"/>
      <c r="K49" s="68"/>
      <c r="L49" s="162"/>
      <c r="M49" s="25" t="s">
        <v>469</v>
      </c>
      <c r="N49" s="164">
        <f>SUM(N43:N48)</f>
        <v>605.01</v>
      </c>
      <c r="O49" s="164">
        <f t="shared" ref="O49:Y49" si="43">SUM(O43:O48)</f>
        <v>1037.3499999999999</v>
      </c>
      <c r="P49" s="164">
        <f t="shared" si="43"/>
        <v>1213.1099999999999</v>
      </c>
      <c r="Q49" s="164">
        <f t="shared" si="43"/>
        <v>1094.22</v>
      </c>
      <c r="R49" s="164">
        <f t="shared" si="43"/>
        <v>717.65</v>
      </c>
      <c r="S49" s="164">
        <f t="shared" si="43"/>
        <v>701.04</v>
      </c>
      <c r="T49" s="164">
        <f t="shared" si="43"/>
        <v>456.03</v>
      </c>
      <c r="U49" s="164">
        <f t="shared" si="43"/>
        <v>170.54</v>
      </c>
      <c r="V49" s="164">
        <f t="shared" si="43"/>
        <v>424.49</v>
      </c>
      <c r="W49" s="164">
        <f t="shared" si="43"/>
        <v>182.82</v>
      </c>
      <c r="X49" s="164">
        <f t="shared" si="43"/>
        <v>547.54999999999995</v>
      </c>
      <c r="Y49" s="164">
        <f t="shared" si="43"/>
        <v>58.91</v>
      </c>
      <c r="Z49" s="164">
        <f t="shared" ref="Z49" si="44">IF($I49="B1","",SUM(N49:Y49))</f>
        <v>7208.7199999999984</v>
      </c>
      <c r="AA49" s="175">
        <f t="shared" ref="AA49" si="45">IF(Z49=0,"",IFERROR(Z49/Z40,""))</f>
        <v>0.45378930994780797</v>
      </c>
      <c r="AC49" s="164">
        <f>SUM(AC43:AC48)</f>
        <v>9089.0349000000006</v>
      </c>
      <c r="AD49" s="175">
        <f t="shared" ref="AD49" si="46">IF(AC49=0,"",IFERROR(AC49/AC40,""))</f>
        <v>0.36344262295081969</v>
      </c>
      <c r="AE49" s="165">
        <f t="shared" ref="AE49" si="47">IF(AND($Z49="",AC49=""),"",$Z49-AC49)</f>
        <v>-1880.3149000000021</v>
      </c>
      <c r="AF49" s="164">
        <f>SUM(AF43:AF48)</f>
        <v>11399.28</v>
      </c>
      <c r="AG49" s="175">
        <f t="shared" si="29"/>
        <v>0.40760597888467676</v>
      </c>
      <c r="AH49" s="165">
        <f t="shared" si="30"/>
        <v>-4190.5600000000022</v>
      </c>
      <c r="AI49" s="392">
        <f t="shared" ca="1" si="31"/>
        <v>0</v>
      </c>
      <c r="AJ49" s="393">
        <f t="shared" ca="1" si="32"/>
        <v>0</v>
      </c>
      <c r="AK49" s="394">
        <f t="shared" ca="1" si="33"/>
        <v>0</v>
      </c>
      <c r="AL49" s="395" t="str">
        <f t="shared" si="34"/>
        <v>9.03 pts.</v>
      </c>
      <c r="AM49" s="437" t="str">
        <f t="shared" si="35"/>
        <v>4.62 pts.</v>
      </c>
    </row>
    <row r="50" spans="1:42" x14ac:dyDescent="0.25">
      <c r="A50" s="6" t="s">
        <v>31</v>
      </c>
      <c r="B50" s="7" t="s">
        <v>78</v>
      </c>
      <c r="G50" s="25"/>
      <c r="H50" s="25"/>
      <c r="I50" s="25"/>
      <c r="J50" s="25"/>
      <c r="K50" s="25"/>
      <c r="L50" s="25"/>
      <c r="M50" s="25"/>
      <c r="N50" s="53"/>
      <c r="O50" s="54"/>
      <c r="P50" s="54"/>
      <c r="Q50" s="54"/>
      <c r="R50" s="54"/>
      <c r="S50" s="54"/>
      <c r="T50" s="54"/>
      <c r="U50" s="54"/>
      <c r="V50" s="54"/>
      <c r="W50" s="54"/>
      <c r="X50" s="54"/>
      <c r="Y50" s="54"/>
      <c r="Z50" s="54"/>
      <c r="AA50" s="55"/>
      <c r="AC50" s="53"/>
      <c r="AD50" s="54"/>
      <c r="AE50" s="55"/>
      <c r="AF50" s="53"/>
      <c r="AG50" s="54"/>
      <c r="AH50" s="55"/>
    </row>
    <row r="51" spans="1:42" x14ac:dyDescent="0.25">
      <c r="A51" s="6" t="s">
        <v>32</v>
      </c>
      <c r="B51" s="7"/>
      <c r="H51" s="1" t="s">
        <v>81</v>
      </c>
      <c r="I51" s="11" t="e">
        <f ca="1">_xll.EVPRO($B$1,$H51,"STYLE")</f>
        <v>#NAME?</v>
      </c>
      <c r="J51" s="11" t="e">
        <f ca="1">_xll.EVPRO($B$1,$H51,"CALC")</f>
        <v>#NAME?</v>
      </c>
      <c r="M51" s="40" t="e">
        <f ca="1">IF(_xll.EVDES(H51,$B$1)="#NODATA","",_xll.EVDES(H51,$B$1))</f>
        <v>#NAME?</v>
      </c>
      <c r="N51" s="53"/>
      <c r="O51" s="54"/>
      <c r="P51" s="54"/>
      <c r="Q51" s="54"/>
      <c r="R51" s="54"/>
      <c r="S51" s="54"/>
      <c r="T51" s="54"/>
      <c r="U51" s="54"/>
      <c r="V51" s="54"/>
      <c r="W51" s="54"/>
      <c r="X51" s="54"/>
      <c r="Y51" s="54"/>
      <c r="Z51" s="54"/>
      <c r="AA51" s="55"/>
      <c r="AC51" s="53"/>
      <c r="AD51" s="54"/>
      <c r="AE51" s="55"/>
      <c r="AF51" s="53"/>
      <c r="AG51" s="54"/>
      <c r="AH51" s="55"/>
    </row>
    <row r="52" spans="1:42" x14ac:dyDescent="0.25">
      <c r="A52" s="6" t="s">
        <v>33</v>
      </c>
      <c r="B52" s="7"/>
      <c r="G52" s="15" t="s">
        <v>365</v>
      </c>
      <c r="H52" s="15" t="s">
        <v>81</v>
      </c>
      <c r="I52" s="161" t="e">
        <f ca="1">_xll.EVPRO($B$1,$G52,"HLEVEL")</f>
        <v>#NAME?</v>
      </c>
      <c r="J52" s="161" t="e">
        <f ca="1">_xll.EVPRO($B$1,$H52,"CALC")</f>
        <v>#NAME?</v>
      </c>
      <c r="K52" s="162"/>
      <c r="L52" s="162"/>
      <c r="M52" s="162" t="e">
        <f ca="1">IF(_xll.EVDES(G52,$B$1)="#NODATA","",_xll.EVDES(G52,$B$1))</f>
        <v>#NAME?</v>
      </c>
      <c r="N52" s="21">
        <f>IFERROR(N34-N43,"")</f>
        <v>0</v>
      </c>
      <c r="O52" s="21">
        <f t="shared" ref="O52:Y52" si="48">IFERROR(O34-O43,"")</f>
        <v>0</v>
      </c>
      <c r="P52" s="21">
        <f t="shared" si="48"/>
        <v>0</v>
      </c>
      <c r="Q52" s="21">
        <f t="shared" si="48"/>
        <v>0</v>
      </c>
      <c r="R52" s="21">
        <f t="shared" si="48"/>
        <v>0</v>
      </c>
      <c r="S52" s="21">
        <f t="shared" si="48"/>
        <v>0</v>
      </c>
      <c r="T52" s="21">
        <f t="shared" si="48"/>
        <v>0</v>
      </c>
      <c r="U52" s="21">
        <f t="shared" si="48"/>
        <v>0</v>
      </c>
      <c r="V52" s="21">
        <f t="shared" si="48"/>
        <v>0</v>
      </c>
      <c r="W52" s="21">
        <f t="shared" si="48"/>
        <v>0</v>
      </c>
      <c r="X52" s="21">
        <f t="shared" si="48"/>
        <v>0</v>
      </c>
      <c r="Y52" s="21">
        <f t="shared" si="48"/>
        <v>0</v>
      </c>
      <c r="Z52" s="310" t="e">
        <f t="shared" ref="Z52:Z58" ca="1" si="49">IF($I52="B1","",SUM(N52:Y52))</f>
        <v>#NAME?</v>
      </c>
      <c r="AA52" s="17" t="e">
        <f t="shared" ref="AA52:AA58" ca="1" si="50">IF(Z52=0,"",IFERROR(Z52/Z34,""))</f>
        <v>#NAME?</v>
      </c>
      <c r="AC52" s="21">
        <f t="shared" ref="AC52:AC57" si="51">IFERROR(AC34-AC43,"")</f>
        <v>0</v>
      </c>
      <c r="AD52" s="17" t="str">
        <f t="shared" ref="AD52:AD58" si="52">IF(AC52=0,"",IFERROR(AC52/AC34,""))</f>
        <v/>
      </c>
      <c r="AE52" s="50" t="e">
        <f t="shared" ref="AE52:AE58" ca="1" si="53">IF(AND($Z52="",AC52=""),"",$Z52-AC52)</f>
        <v>#NAME?</v>
      </c>
      <c r="AF52" s="21">
        <f t="shared" ref="AF52:AF57" si="54">IFERROR(AF34-AF43,"")</f>
        <v>0</v>
      </c>
      <c r="AG52" s="17" t="str">
        <f t="shared" ref="AG52:AG58" si="55">IF(AF52=0,"",IFERROR(AF52/AF34,""))</f>
        <v/>
      </c>
      <c r="AH52" s="50" t="e">
        <f t="shared" ref="AH52:AH58" ca="1" si="56">IF(AND($Z52="",AF52=""),"",$Z52-AF52)</f>
        <v>#NAME?</v>
      </c>
      <c r="AI52" s="399">
        <f t="shared" ref="AI52:AI58" ca="1" si="57">IFERROR(Z52/Z$20,0)</f>
        <v>0</v>
      </c>
      <c r="AJ52" s="400">
        <f t="shared" ref="AJ52:AJ58" ca="1" si="58">IFERROR(AC52/AC$20,0)</f>
        <v>0</v>
      </c>
      <c r="AK52" s="401">
        <f t="shared" ref="AK52:AK58" ca="1" si="59">IFERROR(AF52/AF$20,0)</f>
        <v>0</v>
      </c>
      <c r="AL52" s="402">
        <f t="shared" ref="AL52:AL58" ca="1" si="60">+IFERROR(ROUND(($AA52-AD52)*100,2)&amp;" pts.",0)</f>
        <v>0</v>
      </c>
      <c r="AM52" s="403">
        <f t="shared" ref="AM52:AM58" ca="1" si="61">+IFERROR(ROUND(($AA52-AG52)*100,2)&amp;" pts.",0)</f>
        <v>0</v>
      </c>
    </row>
    <row r="53" spans="1:42" x14ac:dyDescent="0.25">
      <c r="A53" s="6" t="s">
        <v>34</v>
      </c>
      <c r="B53" s="7"/>
      <c r="G53" s="15" t="s">
        <v>366</v>
      </c>
      <c r="H53" s="15" t="s">
        <v>81</v>
      </c>
      <c r="I53" s="161" t="e">
        <f ca="1">_xll.EVPRO($B$1,$G53,"HLEVEL")</f>
        <v>#NAME?</v>
      </c>
      <c r="J53" s="161" t="e">
        <f ca="1">_xll.EVPRO($B$1,$H53,"CALC")</f>
        <v>#NAME?</v>
      </c>
      <c r="K53" s="162"/>
      <c r="L53" s="162"/>
      <c r="M53" s="162" t="e">
        <f ca="1">IF(_xll.EVDES(G53,$B$1)="#NODATA","",_xll.EVDES(G53,$B$1))</f>
        <v>#NAME?</v>
      </c>
      <c r="N53" s="21">
        <f t="shared" ref="N53:Y53" si="62">IFERROR(N35-N44,"")</f>
        <v>0</v>
      </c>
      <c r="O53" s="21">
        <f t="shared" si="62"/>
        <v>0</v>
      </c>
      <c r="P53" s="21">
        <f t="shared" si="62"/>
        <v>0</v>
      </c>
      <c r="Q53" s="21">
        <f t="shared" si="62"/>
        <v>0</v>
      </c>
      <c r="R53" s="21">
        <f t="shared" si="62"/>
        <v>0</v>
      </c>
      <c r="S53" s="21">
        <f t="shared" si="62"/>
        <v>0</v>
      </c>
      <c r="T53" s="21">
        <f t="shared" si="62"/>
        <v>0</v>
      </c>
      <c r="U53" s="21">
        <f t="shared" si="62"/>
        <v>0</v>
      </c>
      <c r="V53" s="21">
        <f t="shared" si="62"/>
        <v>0</v>
      </c>
      <c r="W53" s="21">
        <f t="shared" si="62"/>
        <v>0</v>
      </c>
      <c r="X53" s="21">
        <f t="shared" si="62"/>
        <v>0</v>
      </c>
      <c r="Y53" s="21">
        <f t="shared" si="62"/>
        <v>0</v>
      </c>
      <c r="Z53" s="310" t="e">
        <f t="shared" ref="Z53:Z57" ca="1" si="63">IF($I53="B1","",SUM(N53:Y53))</f>
        <v>#NAME?</v>
      </c>
      <c r="AA53" s="17" t="e">
        <f t="shared" ref="AA53:AA57" ca="1" si="64">IF(Z53=0,"",IFERROR(Z53/Z35,""))</f>
        <v>#NAME?</v>
      </c>
      <c r="AC53" s="21">
        <f t="shared" si="51"/>
        <v>0</v>
      </c>
      <c r="AD53" s="17" t="str">
        <f t="shared" ref="AD53:AD57" si="65">IF(AC53=0,"",IFERROR(AC53/AC35,""))</f>
        <v/>
      </c>
      <c r="AE53" s="50" t="e">
        <f t="shared" ref="AE53:AE57" ca="1" si="66">IF(AND($Z53="",AC53=""),"",$Z53-AC53)</f>
        <v>#NAME?</v>
      </c>
      <c r="AF53" s="21">
        <f t="shared" si="54"/>
        <v>0</v>
      </c>
      <c r="AG53" s="17" t="str">
        <f t="shared" ref="AG53:AG57" si="67">IF(AF53=0,"",IFERROR(AF53/AF35,""))</f>
        <v/>
      </c>
      <c r="AH53" s="50" t="e">
        <f t="shared" ref="AH53:AH57" ca="1" si="68">IF(AND($Z53="",AF53=""),"",$Z53-AF53)</f>
        <v>#NAME?</v>
      </c>
      <c r="AI53" s="399">
        <f t="shared" ref="AI53:AI57" ca="1" si="69">IFERROR(Z53/Z$20,0)</f>
        <v>0</v>
      </c>
      <c r="AJ53" s="400">
        <f t="shared" ref="AJ53:AJ57" ca="1" si="70">IFERROR(AC53/AC$20,0)</f>
        <v>0</v>
      </c>
      <c r="AK53" s="401">
        <f t="shared" ref="AK53:AK57" ca="1" si="71">IFERROR(AF53/AF$20,0)</f>
        <v>0</v>
      </c>
      <c r="AL53" s="402">
        <f t="shared" ref="AL53:AL57" ca="1" si="72">+IFERROR(ROUND(($AA53-AD53)*100,2)&amp;" pts.",0)</f>
        <v>0</v>
      </c>
      <c r="AM53" s="403">
        <f t="shared" ref="AM53:AM57" ca="1" si="73">+IFERROR(ROUND(($AA53-AG53)*100,2)&amp;" pts.",0)</f>
        <v>0</v>
      </c>
    </row>
    <row r="54" spans="1:42" x14ac:dyDescent="0.25">
      <c r="A54" s="6" t="s">
        <v>35</v>
      </c>
      <c r="B54" s="7"/>
      <c r="G54" s="15" t="s">
        <v>380</v>
      </c>
      <c r="H54" s="15" t="s">
        <v>81</v>
      </c>
      <c r="I54" s="161" t="e">
        <f ca="1">_xll.EVPRO($B$1,$G54,"HLEVEL")</f>
        <v>#NAME?</v>
      </c>
      <c r="J54" s="161" t="e">
        <f ca="1">_xll.EVPRO($B$1,$H54,"CALC")</f>
        <v>#NAME?</v>
      </c>
      <c r="K54" s="162"/>
      <c r="L54" s="162"/>
      <c r="M54" s="162" t="e">
        <f ca="1">IF(_xll.EVDES(G54,$B$1)="#NODATA","",_xll.EVDES(G54,$B$1))</f>
        <v>#NAME?</v>
      </c>
      <c r="N54" s="21">
        <f t="shared" ref="N54:Y54" si="74">IFERROR(N36-N45,"")</f>
        <v>0</v>
      </c>
      <c r="O54" s="21">
        <f t="shared" si="74"/>
        <v>0</v>
      </c>
      <c r="P54" s="21">
        <f t="shared" si="74"/>
        <v>0</v>
      </c>
      <c r="Q54" s="21">
        <f t="shared" si="74"/>
        <v>0</v>
      </c>
      <c r="R54" s="21">
        <f t="shared" si="74"/>
        <v>0</v>
      </c>
      <c r="S54" s="21">
        <f t="shared" si="74"/>
        <v>0</v>
      </c>
      <c r="T54" s="21">
        <f t="shared" si="74"/>
        <v>0</v>
      </c>
      <c r="U54" s="21">
        <f t="shared" si="74"/>
        <v>0</v>
      </c>
      <c r="V54" s="21">
        <f t="shared" si="74"/>
        <v>0</v>
      </c>
      <c r="W54" s="21">
        <f t="shared" si="74"/>
        <v>0</v>
      </c>
      <c r="X54" s="21">
        <f t="shared" si="74"/>
        <v>0</v>
      </c>
      <c r="Y54" s="21">
        <f t="shared" si="74"/>
        <v>0</v>
      </c>
      <c r="Z54" s="310" t="e">
        <f t="shared" ca="1" si="63"/>
        <v>#NAME?</v>
      </c>
      <c r="AA54" s="17" t="e">
        <f t="shared" ca="1" si="64"/>
        <v>#NAME?</v>
      </c>
      <c r="AC54" s="21">
        <f t="shared" si="51"/>
        <v>0</v>
      </c>
      <c r="AD54" s="17" t="str">
        <f t="shared" si="65"/>
        <v/>
      </c>
      <c r="AE54" s="50" t="e">
        <f t="shared" ca="1" si="66"/>
        <v>#NAME?</v>
      </c>
      <c r="AF54" s="21">
        <f t="shared" si="54"/>
        <v>0</v>
      </c>
      <c r="AG54" s="17" t="str">
        <f t="shared" si="67"/>
        <v/>
      </c>
      <c r="AH54" s="50" t="e">
        <f t="shared" ca="1" si="68"/>
        <v>#NAME?</v>
      </c>
      <c r="AI54" s="399">
        <f t="shared" ca="1" si="69"/>
        <v>0</v>
      </c>
      <c r="AJ54" s="400">
        <f t="shared" ca="1" si="70"/>
        <v>0</v>
      </c>
      <c r="AK54" s="401">
        <f t="shared" ca="1" si="71"/>
        <v>0</v>
      </c>
      <c r="AL54" s="402">
        <f t="shared" ca="1" si="72"/>
        <v>0</v>
      </c>
      <c r="AM54" s="403">
        <f t="shared" ca="1" si="73"/>
        <v>0</v>
      </c>
    </row>
    <row r="55" spans="1:42" x14ac:dyDescent="0.25">
      <c r="A55" s="6" t="s">
        <v>36</v>
      </c>
      <c r="B55" s="7"/>
      <c r="G55" s="15" t="s">
        <v>386</v>
      </c>
      <c r="H55" s="15" t="s">
        <v>81</v>
      </c>
      <c r="I55" s="161" t="e">
        <f ca="1">_xll.EVPRO($B$1,$G55,"HLEVEL")</f>
        <v>#NAME?</v>
      </c>
      <c r="J55" s="161" t="e">
        <f ca="1">_xll.EVPRO($B$1,$H55,"CALC")</f>
        <v>#NAME?</v>
      </c>
      <c r="K55" s="162"/>
      <c r="L55" s="162"/>
      <c r="M55" s="162" t="e">
        <f ca="1">IF(_xll.EVDES(G55,$B$1)="#NODATA","",_xll.EVDES(G55,$B$1))</f>
        <v>#NAME?</v>
      </c>
      <c r="N55" s="21">
        <f t="shared" ref="N55:Y55" si="75">IFERROR(N37-N46,"")</f>
        <v>0</v>
      </c>
      <c r="O55" s="21">
        <f t="shared" si="75"/>
        <v>0</v>
      </c>
      <c r="P55" s="21">
        <f t="shared" si="75"/>
        <v>0</v>
      </c>
      <c r="Q55" s="21">
        <f t="shared" si="75"/>
        <v>0</v>
      </c>
      <c r="R55" s="21">
        <f t="shared" si="75"/>
        <v>0</v>
      </c>
      <c r="S55" s="21">
        <f t="shared" si="75"/>
        <v>0</v>
      </c>
      <c r="T55" s="21">
        <f t="shared" si="75"/>
        <v>0</v>
      </c>
      <c r="U55" s="21">
        <f t="shared" si="75"/>
        <v>0</v>
      </c>
      <c r="V55" s="21">
        <f t="shared" si="75"/>
        <v>0</v>
      </c>
      <c r="W55" s="21">
        <f t="shared" si="75"/>
        <v>0</v>
      </c>
      <c r="X55" s="21">
        <f t="shared" si="75"/>
        <v>19.28</v>
      </c>
      <c r="Y55" s="21">
        <f t="shared" si="75"/>
        <v>0</v>
      </c>
      <c r="Z55" s="310" t="e">
        <f t="shared" ca="1" si="63"/>
        <v>#NAME?</v>
      </c>
      <c r="AA55" s="17" t="e">
        <f t="shared" ca="1" si="64"/>
        <v>#NAME?</v>
      </c>
      <c r="AC55" s="21">
        <f t="shared" si="51"/>
        <v>0</v>
      </c>
      <c r="AD55" s="17" t="str">
        <f t="shared" si="65"/>
        <v/>
      </c>
      <c r="AE55" s="50" t="e">
        <f t="shared" ca="1" si="66"/>
        <v>#NAME?</v>
      </c>
      <c r="AF55" s="21">
        <f t="shared" si="54"/>
        <v>0</v>
      </c>
      <c r="AG55" s="17" t="str">
        <f t="shared" si="67"/>
        <v/>
      </c>
      <c r="AH55" s="50" t="e">
        <f t="shared" ca="1" si="68"/>
        <v>#NAME?</v>
      </c>
      <c r="AI55" s="399">
        <f t="shared" ca="1" si="69"/>
        <v>0</v>
      </c>
      <c r="AJ55" s="400">
        <f t="shared" ca="1" si="70"/>
        <v>0</v>
      </c>
      <c r="AK55" s="401">
        <f t="shared" ca="1" si="71"/>
        <v>0</v>
      </c>
      <c r="AL55" s="402">
        <f t="shared" ca="1" si="72"/>
        <v>0</v>
      </c>
      <c r="AM55" s="403">
        <f t="shared" ca="1" si="73"/>
        <v>0</v>
      </c>
    </row>
    <row r="56" spans="1:42" x14ac:dyDescent="0.25">
      <c r="A56" s="6" t="s">
        <v>37</v>
      </c>
      <c r="B56" s="7"/>
      <c r="G56" s="15" t="s">
        <v>406</v>
      </c>
      <c r="H56" s="15" t="s">
        <v>81</v>
      </c>
      <c r="I56" s="161" t="e">
        <f ca="1">_xll.EVPRO($B$1,$G56,"HLEVEL")</f>
        <v>#NAME?</v>
      </c>
      <c r="J56" s="161" t="e">
        <f ca="1">_xll.EVPRO($B$1,$H56,"CALC")</f>
        <v>#NAME?</v>
      </c>
      <c r="K56" s="162"/>
      <c r="L56" s="162"/>
      <c r="M56" s="162" t="e">
        <f ca="1">IF(_xll.EVDES(G56,$B$1)="#NODATA","",_xll.EVDES(G56,$B$1))</f>
        <v>#NAME?</v>
      </c>
      <c r="N56" s="21">
        <f t="shared" ref="N56:Y56" si="76">IFERROR(N38-N47,"")</f>
        <v>0</v>
      </c>
      <c r="O56" s="21">
        <f t="shared" si="76"/>
        <v>0</v>
      </c>
      <c r="P56" s="21">
        <f t="shared" si="76"/>
        <v>0</v>
      </c>
      <c r="Q56" s="21">
        <f t="shared" si="76"/>
        <v>0</v>
      </c>
      <c r="R56" s="21">
        <f t="shared" si="76"/>
        <v>0</v>
      </c>
      <c r="S56" s="21">
        <f t="shared" si="76"/>
        <v>0</v>
      </c>
      <c r="T56" s="21">
        <f t="shared" si="76"/>
        <v>0</v>
      </c>
      <c r="U56" s="21">
        <f t="shared" si="76"/>
        <v>0</v>
      </c>
      <c r="V56" s="21">
        <f t="shared" si="76"/>
        <v>0</v>
      </c>
      <c r="W56" s="21">
        <f t="shared" si="76"/>
        <v>0</v>
      </c>
      <c r="X56" s="21">
        <f t="shared" si="76"/>
        <v>0</v>
      </c>
      <c r="Y56" s="21">
        <f t="shared" si="76"/>
        <v>0</v>
      </c>
      <c r="Z56" s="310" t="e">
        <f t="shared" ca="1" si="63"/>
        <v>#NAME?</v>
      </c>
      <c r="AA56" s="17" t="e">
        <f t="shared" ca="1" si="64"/>
        <v>#NAME?</v>
      </c>
      <c r="AC56" s="21">
        <f t="shared" si="51"/>
        <v>0</v>
      </c>
      <c r="AD56" s="17" t="str">
        <f t="shared" si="65"/>
        <v/>
      </c>
      <c r="AE56" s="50" t="e">
        <f t="shared" ca="1" si="66"/>
        <v>#NAME?</v>
      </c>
      <c r="AF56" s="21">
        <f t="shared" si="54"/>
        <v>0</v>
      </c>
      <c r="AG56" s="17" t="str">
        <f t="shared" si="67"/>
        <v/>
      </c>
      <c r="AH56" s="50" t="e">
        <f t="shared" ca="1" si="68"/>
        <v>#NAME?</v>
      </c>
      <c r="AI56" s="399">
        <f t="shared" ca="1" si="69"/>
        <v>0</v>
      </c>
      <c r="AJ56" s="400">
        <f t="shared" ca="1" si="70"/>
        <v>0</v>
      </c>
      <c r="AK56" s="401">
        <f t="shared" ca="1" si="71"/>
        <v>0</v>
      </c>
      <c r="AL56" s="402">
        <f t="shared" ca="1" si="72"/>
        <v>0</v>
      </c>
      <c r="AM56" s="403">
        <f t="shared" ca="1" si="73"/>
        <v>0</v>
      </c>
      <c r="AO56" s="398"/>
      <c r="AP56" s="398"/>
    </row>
    <row r="57" spans="1:42" x14ac:dyDescent="0.25">
      <c r="A57" s="6" t="s">
        <v>38</v>
      </c>
      <c r="B57" s="7"/>
      <c r="G57" s="15" t="s">
        <v>423</v>
      </c>
      <c r="H57" s="15" t="s">
        <v>81</v>
      </c>
      <c r="I57" s="161" t="e">
        <f ca="1">_xll.EVPRO($B$1,$G57,"HLEVEL")</f>
        <v>#NAME?</v>
      </c>
      <c r="J57" s="161" t="e">
        <f ca="1">_xll.EVPRO($B$1,$H57,"CALC")</f>
        <v>#NAME?</v>
      </c>
      <c r="K57" s="162"/>
      <c r="L57" s="162"/>
      <c r="M57" s="162" t="e">
        <f ca="1">IF(_xll.EVDES(G57,$B$1)="#NODATA","",_xll.EVDES(G57,$B$1))</f>
        <v>#NAME?</v>
      </c>
      <c r="N57" s="21">
        <f t="shared" ref="N57:Y57" si="77">IFERROR(N39-N48,"")</f>
        <v>1271.8399999999999</v>
      </c>
      <c r="O57" s="21">
        <f t="shared" si="77"/>
        <v>1225.7400000000002</v>
      </c>
      <c r="P57" s="21">
        <f t="shared" si="77"/>
        <v>156.63000000000011</v>
      </c>
      <c r="Q57" s="21">
        <f t="shared" si="77"/>
        <v>981.16000000000008</v>
      </c>
      <c r="R57" s="21">
        <f t="shared" si="77"/>
        <v>813.19999999999993</v>
      </c>
      <c r="S57" s="21">
        <f t="shared" si="77"/>
        <v>972.07999999999993</v>
      </c>
      <c r="T57" s="21">
        <f t="shared" si="77"/>
        <v>586.05999999999995</v>
      </c>
      <c r="U57" s="21">
        <f t="shared" si="77"/>
        <v>614.72</v>
      </c>
      <c r="V57" s="21">
        <f t="shared" si="77"/>
        <v>427.42999999999995</v>
      </c>
      <c r="W57" s="21">
        <f t="shared" si="77"/>
        <v>1032.71</v>
      </c>
      <c r="X57" s="21">
        <f t="shared" si="77"/>
        <v>971.18000000000006</v>
      </c>
      <c r="Y57" s="21">
        <f t="shared" si="77"/>
        <v>-395.14</v>
      </c>
      <c r="Z57" s="310" t="e">
        <f t="shared" ca="1" si="63"/>
        <v>#NAME?</v>
      </c>
      <c r="AA57" s="17" t="e">
        <f t="shared" ca="1" si="64"/>
        <v>#NAME?</v>
      </c>
      <c r="AC57" s="21">
        <f t="shared" si="51"/>
        <v>15919.135099999998</v>
      </c>
      <c r="AD57" s="17">
        <f t="shared" si="65"/>
        <v>0.63655737704918025</v>
      </c>
      <c r="AE57" s="50" t="e">
        <f t="shared" ca="1" si="66"/>
        <v>#NAME?</v>
      </c>
      <c r="AF57" s="21">
        <f t="shared" si="54"/>
        <v>16567.14</v>
      </c>
      <c r="AG57" s="17">
        <f t="shared" si="67"/>
        <v>0.59239402111532335</v>
      </c>
      <c r="AH57" s="50" t="e">
        <f t="shared" ca="1" si="68"/>
        <v>#NAME?</v>
      </c>
      <c r="AI57" s="399">
        <f t="shared" ca="1" si="69"/>
        <v>0</v>
      </c>
      <c r="AJ57" s="400">
        <f t="shared" ca="1" si="70"/>
        <v>0</v>
      </c>
      <c r="AK57" s="401">
        <f t="shared" ca="1" si="71"/>
        <v>0</v>
      </c>
      <c r="AL57" s="402">
        <f t="shared" ca="1" si="72"/>
        <v>0</v>
      </c>
      <c r="AM57" s="403">
        <f t="shared" ca="1" si="73"/>
        <v>0</v>
      </c>
    </row>
    <row r="58" spans="1:42" x14ac:dyDescent="0.25">
      <c r="A58" s="6" t="s">
        <v>39</v>
      </c>
      <c r="B58" s="7"/>
      <c r="H58" s="68"/>
      <c r="I58" s="68"/>
      <c r="J58" s="68"/>
      <c r="K58" s="68"/>
      <c r="L58" s="162"/>
      <c r="M58" s="25" t="s">
        <v>471</v>
      </c>
      <c r="N58" s="164">
        <f>SUM(N52:N57)</f>
        <v>1271.8399999999999</v>
      </c>
      <c r="O58" s="164">
        <f t="shared" ref="O58:Y58" si="78">SUM(O52:O57)</f>
        <v>1225.7400000000002</v>
      </c>
      <c r="P58" s="164">
        <f t="shared" si="78"/>
        <v>156.63000000000011</v>
      </c>
      <c r="Q58" s="164">
        <f t="shared" si="78"/>
        <v>981.16000000000008</v>
      </c>
      <c r="R58" s="164">
        <f t="shared" si="78"/>
        <v>813.19999999999993</v>
      </c>
      <c r="S58" s="164">
        <f t="shared" si="78"/>
        <v>972.07999999999993</v>
      </c>
      <c r="T58" s="164">
        <f t="shared" si="78"/>
        <v>586.05999999999995</v>
      </c>
      <c r="U58" s="164">
        <f t="shared" si="78"/>
        <v>614.72</v>
      </c>
      <c r="V58" s="164">
        <f t="shared" si="78"/>
        <v>427.42999999999995</v>
      </c>
      <c r="W58" s="164">
        <f t="shared" si="78"/>
        <v>1032.71</v>
      </c>
      <c r="X58" s="164">
        <f t="shared" si="78"/>
        <v>990.46</v>
      </c>
      <c r="Y58" s="164">
        <f t="shared" si="78"/>
        <v>-395.14</v>
      </c>
      <c r="Z58" s="164">
        <f t="shared" si="49"/>
        <v>8676.89</v>
      </c>
      <c r="AA58" s="175">
        <f t="shared" si="50"/>
        <v>0.54621069005219181</v>
      </c>
      <c r="AC58" s="164">
        <f>SUM(AC52:AC57)</f>
        <v>15919.135099999998</v>
      </c>
      <c r="AD58" s="175">
        <f t="shared" si="52"/>
        <v>0.63655737704918025</v>
      </c>
      <c r="AE58" s="165">
        <f t="shared" si="53"/>
        <v>-7242.2450999999983</v>
      </c>
      <c r="AF58" s="164">
        <f>SUM(AF52:AF57)</f>
        <v>16567.14</v>
      </c>
      <c r="AG58" s="175">
        <f t="shared" si="55"/>
        <v>0.59239402111532335</v>
      </c>
      <c r="AH58" s="165">
        <f t="shared" si="56"/>
        <v>-7890.25</v>
      </c>
      <c r="AI58" s="392">
        <f t="shared" ca="1" si="57"/>
        <v>0</v>
      </c>
      <c r="AJ58" s="393">
        <f t="shared" ca="1" si="58"/>
        <v>0</v>
      </c>
      <c r="AK58" s="394">
        <f t="shared" ca="1" si="59"/>
        <v>0</v>
      </c>
      <c r="AL58" s="395" t="str">
        <f t="shared" si="60"/>
        <v>-9.03 pts.</v>
      </c>
      <c r="AM58" s="437" t="str">
        <f t="shared" si="61"/>
        <v>-4.62 pts.</v>
      </c>
    </row>
    <row r="59" spans="1:42" x14ac:dyDescent="0.25">
      <c r="A59" s="6" t="s">
        <v>40</v>
      </c>
      <c r="B59" s="7"/>
      <c r="I59" s="1"/>
      <c r="J59" s="1"/>
    </row>
    <row r="60" spans="1:42" ht="15.75" thickBot="1" x14ac:dyDescent="0.3">
      <c r="A60" s="6" t="s">
        <v>41</v>
      </c>
      <c r="B60" s="7"/>
      <c r="G60" s="15" t="s">
        <v>463</v>
      </c>
      <c r="H60" s="15" t="s">
        <v>81</v>
      </c>
      <c r="I60" s="27" t="e">
        <f ca="1">_xll.EVPRO($B$1,$H60,"STYLE")</f>
        <v>#NAME?</v>
      </c>
      <c r="J60" s="27" t="e">
        <f ca="1">_xll.EVPRO($B$1,$H60,"CALC")</f>
        <v>#NAME?</v>
      </c>
      <c r="K60" s="25"/>
      <c r="L60" s="25"/>
      <c r="M60" s="25" t="e">
        <f ca="1">IF(_xll.EVDES(H60,$B$1)="#NODATA","",_xll.EVDES(H60,$B$1))</f>
        <v>#NAME?</v>
      </c>
      <c r="N60" s="62" t="e">
        <f ca="1">_xll.EVGTS($B$1,1,$B$3,$B$5,$B$7,$B$9,N$16,N$17,N$18,$G$60,$H$60)</f>
        <v>#NAME?</v>
      </c>
      <c r="O60" s="62" t="e">
        <f ca="1">_xll.EVGTS($B$1,1,$B$3,$B$5,$B$7,$B$9,O$16,O$17,O$18,$G$60,$H$60)</f>
        <v>#NAME?</v>
      </c>
      <c r="P60" s="62" t="e">
        <f ca="1">_xll.EVGTS($B$1,1,$B$3,$B$5,$B$7,$B$9,P$16,P$17,P$18,$G$60,$H$60)</f>
        <v>#NAME?</v>
      </c>
      <c r="Q60" s="62" t="e">
        <f ca="1">_xll.EVGTS($B$1,1,$B$3,$B$5,$B$7,$B$9,Q$16,Q$17,Q$18,$G$60,$H$60)</f>
        <v>#NAME?</v>
      </c>
      <c r="R60" s="62" t="e">
        <f ca="1">_xll.EVGTS($B$1,1,$B$3,$B$5,$B$7,$B$9,R$16,R$17,R$18,$G$60,$H$60)</f>
        <v>#NAME?</v>
      </c>
      <c r="S60" s="62" t="e">
        <f ca="1">_xll.EVGTS($B$1,1,$B$3,$B$5,$B$7,$B$9,S$16,S$17,S$18,$G$60,$H$60)</f>
        <v>#NAME?</v>
      </c>
      <c r="T60" s="62" t="e">
        <f ca="1">_xll.EVGTS($B$1,1,$B$3,$B$5,$B$7,$B$9,T$16,T$17,T$18,$G$60,$H$60)</f>
        <v>#NAME?</v>
      </c>
      <c r="U60" s="62" t="e">
        <f ca="1">_xll.EVGTS($B$1,1,$B$3,$B$5,$B$7,$B$9,U$16,U$17,U$18,$G$60,$H$60)</f>
        <v>#NAME?</v>
      </c>
      <c r="V60" s="62" t="e">
        <f ca="1">_xll.EVGTS($B$1,1,$B$3,$B$5,$B$7,$B$9,V$16,V$17,V$18,$G$60,$H$60)</f>
        <v>#NAME?</v>
      </c>
      <c r="W60" s="62" t="e">
        <f ca="1">_xll.EVGTS($B$1,1,$B$3,$B$5,$B$7,$B$9,W$16,W$17,W$18,$G$60,$H$60)</f>
        <v>#NAME?</v>
      </c>
      <c r="X60" s="62" t="e">
        <f ca="1">_xll.EVGTS($B$1,1,$B$3,$B$5,$B$7,$B$9,X$16,X$17,X$18,$G$60,$H$60)</f>
        <v>#NAME?</v>
      </c>
      <c r="Y60" s="62" t="e">
        <f ca="1">_xll.EVGTS($B$1,1,$B$3,$B$5,$B$7,$B$9,Y$16,Y$17,Y$18,$G$60,$H$60)</f>
        <v>#NAME?</v>
      </c>
      <c r="Z60" s="62" t="e">
        <f ca="1">IF($I60="B1","",SUM(N60:Y60))</f>
        <v>#NAME?</v>
      </c>
      <c r="AA60" s="63" t="e">
        <f ca="1">IF(Z60=0,"",IFERROR(Z60/Z$19,""))</f>
        <v>#NAME?</v>
      </c>
      <c r="AC60" s="62" t="e">
        <f ca="1">_xll.EVGTS($B$1,1,$B$3,$B$5,$B$7,$B$9,AC$16,AC$17,AC$18,$G$60,$H$60)</f>
        <v>#NAME?</v>
      </c>
      <c r="AD60" s="63" t="e">
        <f ca="1">IF(AC60=0,"",IFERROR(AC60/AC$19,""))</f>
        <v>#NAME?</v>
      </c>
      <c r="AE60" s="64" t="e">
        <f ca="1">IF(AND($Z60="",AC60=""),"",$Z60-AC60)</f>
        <v>#NAME?</v>
      </c>
      <c r="AF60" s="62" t="e">
        <f ca="1">_xll.EVGTS($B$1,1,$B$3,$B$5,$B$7,$B$9,AF$16,AF$17,AF$18,$G$60,$H$60)</f>
        <v>#NAME?</v>
      </c>
      <c r="AG60" s="63" t="e">
        <f ca="1">IF(AF60=0,"",IFERROR(AF60/AF$19,""))</f>
        <v>#NAME?</v>
      </c>
      <c r="AH60" s="64" t="e">
        <f ca="1">IF(AND($Z60="",AF60=""),"",$Z60-AF60)</f>
        <v>#NAME?</v>
      </c>
      <c r="AI60" s="430">
        <f ca="1">IFERROR(Z60/Z$20,0)</f>
        <v>0</v>
      </c>
      <c r="AJ60" s="431">
        <f ca="1">IFERROR(AC60/AC$20,0)</f>
        <v>0</v>
      </c>
      <c r="AK60" s="432">
        <f ca="1">IFERROR(AF60/AF$20,0)</f>
        <v>0</v>
      </c>
      <c r="AL60" s="433">
        <f ca="1">+IFERROR(ROUND(($AA60-AD60)*100,2)&amp;" pts.",0)</f>
        <v>0</v>
      </c>
      <c r="AM60" s="438">
        <f ca="1">+IFERROR(ROUND(($AA60-AG60)*100,2)&amp;" pts.",0)</f>
        <v>0</v>
      </c>
    </row>
    <row r="61" spans="1:42" ht="15.75" thickTop="1" x14ac:dyDescent="0.25">
      <c r="A61" s="6" t="s">
        <v>42</v>
      </c>
      <c r="B61" s="7"/>
      <c r="I61" s="1"/>
      <c r="J61" s="1"/>
    </row>
    <row r="62" spans="1:42" x14ac:dyDescent="0.25">
      <c r="A62" s="6" t="s">
        <v>43</v>
      </c>
      <c r="B62" s="7"/>
      <c r="M62" s="26" t="e">
        <f ca="1">$M$51&amp;" - Check"</f>
        <v>#NAME?</v>
      </c>
      <c r="N62" s="139" t="e">
        <f ca="1">SUMIF($H$34:$H$49,"REV",N34:N49)-SUMIF($H$34:$H$49,"EXP",N34:N49)-N60</f>
        <v>#NAME?</v>
      </c>
      <c r="O62" s="139" t="e">
        <f t="shared" ref="O62:Z62" ca="1" si="79">SUMIF($H$34:$H$49,"REV",O34:O49)-SUMIF($H$34:$H$49,"EXP",O34:O49)-O60</f>
        <v>#NAME?</v>
      </c>
      <c r="P62" s="139" t="e">
        <f t="shared" ca="1" si="79"/>
        <v>#NAME?</v>
      </c>
      <c r="Q62" s="139" t="e">
        <f t="shared" ca="1" si="79"/>
        <v>#NAME?</v>
      </c>
      <c r="R62" s="139" t="e">
        <f t="shared" ca="1" si="79"/>
        <v>#NAME?</v>
      </c>
      <c r="S62" s="139" t="e">
        <f t="shared" ca="1" si="79"/>
        <v>#NAME?</v>
      </c>
      <c r="T62" s="139" t="e">
        <f t="shared" ca="1" si="79"/>
        <v>#NAME?</v>
      </c>
      <c r="U62" s="139" t="e">
        <f t="shared" ca="1" si="79"/>
        <v>#NAME?</v>
      </c>
      <c r="V62" s="139" t="e">
        <f t="shared" ca="1" si="79"/>
        <v>#NAME?</v>
      </c>
      <c r="W62" s="139" t="e">
        <f t="shared" ca="1" si="79"/>
        <v>#NAME?</v>
      </c>
      <c r="X62" s="139" t="e">
        <f t="shared" ca="1" si="79"/>
        <v>#NAME?</v>
      </c>
      <c r="Y62" s="139" t="e">
        <f t="shared" ca="1" si="79"/>
        <v>#NAME?</v>
      </c>
      <c r="Z62" s="139" t="e">
        <f t="shared" ca="1" si="79"/>
        <v>#NAME?</v>
      </c>
      <c r="AA62" s="17"/>
      <c r="AC62" s="139" t="e">
        <f ca="1">SUMIF($H$34:$H$49,"REV",AC34:AC49)-SUMIF($H$34:$H$49,"EXP",AC34:AC49)-AC60</f>
        <v>#NAME?</v>
      </c>
      <c r="AD62" s="17"/>
      <c r="AE62" s="21"/>
      <c r="AF62" s="139" t="e">
        <f ca="1">SUMIF($H$34:$H$49,"REV",AF34:AF49)-SUMIF($H$34:$H$49,"EXP",AF34:AF49)-AF60</f>
        <v>#NAME?</v>
      </c>
      <c r="AG62" s="17"/>
      <c r="AH62" s="21"/>
    </row>
    <row r="63" spans="1:42" x14ac:dyDescent="0.25">
      <c r="A63" s="6" t="s">
        <v>44</v>
      </c>
      <c r="B63" s="7"/>
      <c r="N63" s="166"/>
      <c r="O63" s="166"/>
      <c r="P63" s="166"/>
      <c r="Q63" s="166"/>
      <c r="R63" s="166"/>
      <c r="S63" s="166"/>
      <c r="T63" s="166"/>
      <c r="U63" s="166"/>
      <c r="V63" s="166"/>
      <c r="W63" s="166"/>
      <c r="X63" s="166"/>
      <c r="Y63" s="166"/>
      <c r="Z63" s="166"/>
    </row>
    <row r="64" spans="1:42" x14ac:dyDescent="0.25">
      <c r="A64" s="6" t="s">
        <v>45</v>
      </c>
      <c r="B64" s="7"/>
      <c r="N64" s="166"/>
      <c r="O64" s="166"/>
      <c r="P64" s="166"/>
      <c r="Q64" s="166"/>
      <c r="R64" s="166"/>
      <c r="S64" s="166"/>
      <c r="T64" s="166"/>
      <c r="U64" s="166"/>
      <c r="V64" s="166"/>
      <c r="W64" s="166"/>
      <c r="X64" s="166"/>
      <c r="Y64" s="166"/>
      <c r="Z64" s="166"/>
      <c r="AC64" s="166"/>
      <c r="AF64" s="166"/>
    </row>
    <row r="65" spans="1:32" x14ac:dyDescent="0.25">
      <c r="A65" s="6" t="s">
        <v>46</v>
      </c>
      <c r="B65" s="7"/>
      <c r="N65" s="166"/>
      <c r="O65" s="166"/>
      <c r="P65" s="166"/>
      <c r="Q65" s="166"/>
      <c r="R65" s="166"/>
      <c r="S65" s="166"/>
      <c r="T65" s="166"/>
      <c r="U65" s="166"/>
      <c r="V65" s="166"/>
      <c r="W65" s="166"/>
      <c r="X65" s="166"/>
      <c r="Y65" s="166"/>
      <c r="Z65" s="166"/>
      <c r="AC65" s="166"/>
      <c r="AF65" s="166"/>
    </row>
    <row r="66" spans="1:32" x14ac:dyDescent="0.25">
      <c r="N66" s="166"/>
      <c r="O66" s="166"/>
      <c r="P66" s="166"/>
      <c r="Q66" s="166"/>
      <c r="R66" s="166"/>
      <c r="S66" s="166"/>
      <c r="T66" s="166"/>
      <c r="U66" s="166"/>
      <c r="V66" s="166"/>
      <c r="W66" s="166"/>
      <c r="X66" s="166"/>
      <c r="Y66" s="166"/>
      <c r="Z66" s="166"/>
      <c r="AC66" s="166"/>
      <c r="AF66" s="166"/>
    </row>
    <row r="69" spans="1:32" x14ac:dyDescent="0.25">
      <c r="H69" s="11"/>
      <c r="J69" s="1"/>
    </row>
    <row r="70" spans="1:32" x14ac:dyDescent="0.25">
      <c r="H70" s="11"/>
      <c r="J70" s="1"/>
    </row>
    <row r="71" spans="1:32" x14ac:dyDescent="0.25">
      <c r="H71" s="11"/>
      <c r="J71" s="1"/>
    </row>
    <row r="72" spans="1:32" x14ac:dyDescent="0.25">
      <c r="G72" s="14"/>
      <c r="H72" s="11"/>
      <c r="J72" s="1"/>
    </row>
    <row r="73" spans="1:32" x14ac:dyDescent="0.25">
      <c r="H73" s="11"/>
      <c r="J73" s="1"/>
    </row>
    <row r="74" spans="1:32" x14ac:dyDescent="0.25">
      <c r="H74" s="11"/>
      <c r="J74" s="1"/>
    </row>
    <row r="75" spans="1:32" x14ac:dyDescent="0.25">
      <c r="H75" s="11"/>
      <c r="J75" s="1"/>
    </row>
    <row r="76" spans="1:32" x14ac:dyDescent="0.25">
      <c r="H76" s="11"/>
      <c r="J76" s="1"/>
    </row>
    <row r="77" spans="1:32" x14ac:dyDescent="0.25">
      <c r="G77" s="14"/>
      <c r="H77" s="11"/>
      <c r="J77" s="1"/>
    </row>
    <row r="78" spans="1:32" x14ac:dyDescent="0.25">
      <c r="H78" s="11"/>
      <c r="J78" s="1"/>
    </row>
    <row r="79" spans="1:32" x14ac:dyDescent="0.25">
      <c r="H79" s="11"/>
      <c r="J79" s="1"/>
    </row>
    <row r="80" spans="1:32"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132" spans="5:33" x14ac:dyDescent="0.25">
      <c r="I132" s="76"/>
      <c r="J132" s="1"/>
      <c r="K132" s="76"/>
      <c r="L132" s="76"/>
      <c r="N132" s="76"/>
      <c r="O132" s="76"/>
      <c r="P132" s="76"/>
      <c r="Q132" s="76"/>
      <c r="R132" s="76"/>
      <c r="S132" s="76"/>
      <c r="T132" s="76"/>
      <c r="U132" s="76"/>
      <c r="V132" s="76"/>
      <c r="W132" s="76"/>
      <c r="X132" s="76"/>
      <c r="Y132" s="76"/>
      <c r="Z132" s="76"/>
      <c r="AC132" s="76"/>
      <c r="AE132" s="76"/>
      <c r="AG132" s="76"/>
    </row>
    <row r="136" spans="5:33" x14ac:dyDescent="0.25">
      <c r="I136" s="76"/>
      <c r="J136" s="1"/>
      <c r="K136" s="76"/>
      <c r="L136" s="76"/>
      <c r="N136" s="76"/>
      <c r="O136" s="76"/>
      <c r="P136" s="76"/>
      <c r="Q136" s="76"/>
      <c r="R136" s="76"/>
      <c r="S136" s="76"/>
      <c r="T136" s="76"/>
      <c r="U136" s="76"/>
      <c r="V136" s="76"/>
      <c r="W136" s="76"/>
      <c r="X136" s="76"/>
      <c r="Y136" s="76"/>
      <c r="Z136" s="76"/>
      <c r="AC136" s="76"/>
      <c r="AE136" s="76"/>
      <c r="AG136" s="76"/>
    </row>
    <row r="144" spans="5:33" x14ac:dyDescent="0.25">
      <c r="E144" s="76"/>
    </row>
    <row r="148" spans="5:7" x14ac:dyDescent="0.25">
      <c r="E148" s="76"/>
    </row>
    <row r="156" spans="5:7" x14ac:dyDescent="0.25">
      <c r="G156" s="76"/>
    </row>
    <row r="160" spans="5:7" x14ac:dyDescent="0.25">
      <c r="G160" s="76"/>
    </row>
  </sheetData>
  <mergeCells count="2">
    <mergeCell ref="AC31:AD31"/>
    <mergeCell ref="AF31:AG31"/>
  </mergeCells>
  <dataValidations disablePrompts="1" count="2">
    <dataValidation type="list" allowBlank="1" sqref="B28:C28" xr:uid="{00000000-0002-0000-3C00-000000000000}">
      <formula1>"ACCOUNT,BUSINESSUNIT,CATEGORY,DATASRC,DEPARTMENT,INTCO,MEASURES,RPTCURRENCY,TIME"</formula1>
    </dataValidation>
    <dataValidation type="list" allowBlank="1" sqref="B29:C29" xr:uid="{00000000-0002-0000-3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3016" r:id="rId7" name="FPMExcelClientSheetOptionstb1">
          <controlPr defaultSize="0" autoLine="0" r:id="rId8">
            <anchor moveWithCells="1" sizeWithCells="1">
              <from>
                <xdr:col>0</xdr:col>
                <xdr:colOff>0</xdr:colOff>
                <xdr:row>0</xdr:row>
                <xdr:rowOff>0</xdr:rowOff>
              </from>
              <to>
                <xdr:col>12</xdr:col>
                <xdr:colOff>904875</xdr:colOff>
                <xdr:row>0</xdr:row>
                <xdr:rowOff>0</xdr:rowOff>
              </to>
            </anchor>
          </controlPr>
        </control>
      </mc:Choice>
      <mc:Fallback>
        <control shapeId="43016" r:id="rId7" name="FPMExcelClientSheetOptionstb1"/>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0">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 min="13" max="13" width="36.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9" width="9.140625" style="1" hidden="1" customWidth="1" outlineLevel="1"/>
    <col min="40" max="40" width="9.140625" style="1" collapsed="1"/>
    <col min="41" max="16384" width="9.140625" style="1"/>
  </cols>
  <sheetData>
    <row r="1" spans="1:34" hidden="1" outlineLevel="1" x14ac:dyDescent="0.25">
      <c r="A1" s="8" t="s">
        <v>48</v>
      </c>
      <c r="B1" s="2" t="s">
        <v>49</v>
      </c>
      <c r="C1" s="8" t="s">
        <v>979</v>
      </c>
      <c r="I1" s="1"/>
      <c r="J1" s="1"/>
    </row>
    <row r="2" spans="1:34" hidden="1" outlineLevel="1" x14ac:dyDescent="0.25">
      <c r="A2" s="8" t="s">
        <v>22</v>
      </c>
      <c r="B2" s="12" t="s">
        <v>56</v>
      </c>
      <c r="C2" s="1" t="s">
        <v>980</v>
      </c>
      <c r="I2" s="1"/>
      <c r="J2" s="1"/>
    </row>
    <row r="3" spans="1:34" hidden="1" outlineLevel="1" x14ac:dyDescent="0.25">
      <c r="A3" s="8" t="s">
        <v>50</v>
      </c>
      <c r="B3" s="9" t="s">
        <v>978</v>
      </c>
      <c r="C3" s="1" t="s">
        <v>981</v>
      </c>
      <c r="I3" s="1"/>
      <c r="J3" s="1"/>
    </row>
    <row r="4" spans="1:34" hidden="1" outlineLevel="1" x14ac:dyDescent="0.25">
      <c r="A4" s="8" t="s">
        <v>19</v>
      </c>
      <c r="B4" s="9" t="str">
        <f>SetUp!$D$6</f>
        <v>CURRENT</v>
      </c>
      <c r="C4" s="1" t="s">
        <v>959</v>
      </c>
      <c r="E4" s="49">
        <v>20240100</v>
      </c>
      <c r="F4" s="49">
        <v>20240100</v>
      </c>
    </row>
    <row r="5" spans="1:34" hidden="1" outlineLevel="1" x14ac:dyDescent="0.25">
      <c r="A5" s="8" t="s">
        <v>51</v>
      </c>
      <c r="B5" s="12" t="s">
        <v>59</v>
      </c>
      <c r="C5" s="1" t="s">
        <v>59</v>
      </c>
    </row>
    <row r="6" spans="1:34" hidden="1" outlineLevel="1" x14ac:dyDescent="0.25">
      <c r="A6" s="8" t="s">
        <v>52</v>
      </c>
      <c r="B6" s="12" t="s">
        <v>463</v>
      </c>
      <c r="C6" s="1" t="s">
        <v>1021</v>
      </c>
      <c r="E6" s="49"/>
      <c r="F6" s="1" t="s">
        <v>278</v>
      </c>
    </row>
    <row r="7" spans="1:34" hidden="1" outlineLevel="1" x14ac:dyDescent="0.25">
      <c r="A7" s="8" t="s">
        <v>53</v>
      </c>
      <c r="B7" s="12" t="s">
        <v>61</v>
      </c>
      <c r="C7" s="1" t="s">
        <v>983</v>
      </c>
    </row>
    <row r="8" spans="1:34" hidden="1" outlineLevel="1" x14ac:dyDescent="0.25">
      <c r="A8" s="8" t="s">
        <v>20</v>
      </c>
      <c r="B8" s="12" t="s">
        <v>63</v>
      </c>
      <c r="C8" s="1" t="s">
        <v>984</v>
      </c>
    </row>
    <row r="9" spans="1:34" hidden="1" outlineLevel="1" x14ac:dyDescent="0.25">
      <c r="A9" s="8" t="s">
        <v>54</v>
      </c>
      <c r="B9" s="9" t="str">
        <f>SetUp!$D$10</f>
        <v>LC</v>
      </c>
      <c r="C9" s="1" t="s">
        <v>985</v>
      </c>
    </row>
    <row r="10" spans="1:34" hidden="1" outlineLevel="1" x14ac:dyDescent="0.25">
      <c r="A10" s="8" t="s">
        <v>18</v>
      </c>
      <c r="B10" s="9" t="str">
        <f>SetUp!$D$7</f>
        <v>2023.TOTAL</v>
      </c>
      <c r="C10" s="1" t="s">
        <v>986</v>
      </c>
      <c r="D10" s="234" t="s">
        <v>987</v>
      </c>
    </row>
    <row r="11" spans="1:34" hidden="1" outlineLevel="1" x14ac:dyDescent="0.25">
      <c r="B11" s="8"/>
      <c r="L11" s="49" t="str">
        <f>IF(LEFT(SetUp!$D$6,3)="ALT","Y","N")</f>
        <v>N</v>
      </c>
      <c r="M11" s="1" t="s">
        <v>800</v>
      </c>
      <c r="N11" s="13" t="s">
        <v>682</v>
      </c>
      <c r="O11" s="13" t="s">
        <v>682</v>
      </c>
      <c r="P11" s="13" t="s">
        <v>682</v>
      </c>
      <c r="Q11" s="13" t="s">
        <v>682</v>
      </c>
      <c r="R11" s="13" t="s">
        <v>682</v>
      </c>
      <c r="S11" s="13" t="s">
        <v>682</v>
      </c>
      <c r="T11" s="13" t="s">
        <v>682</v>
      </c>
      <c r="U11" s="13" t="s">
        <v>682</v>
      </c>
      <c r="V11" s="13" t="s">
        <v>682</v>
      </c>
      <c r="W11" s="13" t="s">
        <v>682</v>
      </c>
      <c r="X11" s="13" t="s">
        <v>682</v>
      </c>
      <c r="Y11" s="13" t="s">
        <v>682</v>
      </c>
    </row>
    <row r="12" spans="1:34" hidden="1" outlineLevel="1" x14ac:dyDescent="0.25">
      <c r="A12" s="1" t="s">
        <v>115</v>
      </c>
      <c r="B12" s="49">
        <v>2023</v>
      </c>
      <c r="L12" s="11"/>
      <c r="M12" s="1" t="s">
        <v>597</v>
      </c>
      <c r="N12" s="235" t="s">
        <v>78</v>
      </c>
      <c r="O12" s="235" t="s">
        <v>78</v>
      </c>
      <c r="P12" s="235" t="s">
        <v>78</v>
      </c>
      <c r="Q12" s="235" t="s">
        <v>78</v>
      </c>
      <c r="R12" s="235" t="s">
        <v>78</v>
      </c>
      <c r="S12" s="235" t="s">
        <v>78</v>
      </c>
      <c r="T12" s="235" t="s">
        <v>78</v>
      </c>
      <c r="U12" s="235" t="s">
        <v>78</v>
      </c>
      <c r="V12" s="235" t="s">
        <v>78</v>
      </c>
      <c r="W12" s="235" t="s">
        <v>78</v>
      </c>
      <c r="X12" s="235" t="s">
        <v>78</v>
      </c>
      <c r="Y12" s="235" t="s">
        <v>78</v>
      </c>
      <c r="Z12" s="235"/>
      <c r="AC12" s="235"/>
      <c r="AF12" s="235"/>
    </row>
    <row r="13" spans="1:34" hidden="1" outlineLevel="1" x14ac:dyDescent="0.25">
      <c r="A13" s="1" t="s">
        <v>602</v>
      </c>
      <c r="B13" s="49">
        <v>2023</v>
      </c>
      <c r="L13" s="11"/>
      <c r="M13" s="1" t="s">
        <v>598</v>
      </c>
      <c r="N13" s="236">
        <v>20230100</v>
      </c>
      <c r="O13" s="236">
        <v>20230200</v>
      </c>
      <c r="P13" s="236">
        <v>20230300</v>
      </c>
      <c r="Q13" s="236">
        <v>20230400</v>
      </c>
      <c r="R13" s="236">
        <v>20230500</v>
      </c>
      <c r="S13" s="236">
        <v>20230600</v>
      </c>
      <c r="T13" s="236">
        <v>20230700</v>
      </c>
      <c r="U13" s="236">
        <v>20230800</v>
      </c>
      <c r="V13" s="236">
        <v>20230900</v>
      </c>
      <c r="W13" s="236">
        <v>20231000</v>
      </c>
      <c r="X13" s="236">
        <v>20231100</v>
      </c>
      <c r="Y13" s="236">
        <v>20231200</v>
      </c>
      <c r="Z13" s="236">
        <v>10000182</v>
      </c>
      <c r="AC13" s="236">
        <v>10000182</v>
      </c>
      <c r="AF13" s="236">
        <v>10000177</v>
      </c>
    </row>
    <row r="14" spans="1:34" hidden="1" outlineLevel="1" x14ac:dyDescent="0.25">
      <c r="A14" s="4" t="s">
        <v>988</v>
      </c>
      <c r="L14" s="11"/>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L15" s="11"/>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L16" s="11"/>
      <c r="M16" s="1" t="s">
        <v>18</v>
      </c>
      <c r="N16" s="13" t="s">
        <v>989</v>
      </c>
      <c r="O16" s="13" t="s">
        <v>990</v>
      </c>
      <c r="P16" s="13" t="s">
        <v>991</v>
      </c>
      <c r="Q16" s="13" t="s">
        <v>992</v>
      </c>
      <c r="R16" s="13" t="s">
        <v>993</v>
      </c>
      <c r="S16" s="13" t="s">
        <v>994</v>
      </c>
      <c r="T16" s="13" t="s">
        <v>995</v>
      </c>
      <c r="U16" s="13" t="s">
        <v>996</v>
      </c>
      <c r="V16" s="13" t="s">
        <v>997</v>
      </c>
      <c r="W16" s="13" t="s">
        <v>998</v>
      </c>
      <c r="X16" s="13" t="s">
        <v>999</v>
      </c>
      <c r="Y16" s="13" t="str">
        <f>IF(SetUp!$O$1=TRUE,SetUp!$Q$6,IF($D$10="FY",LEFT($B$10,6)&amp;"."&amp;Y15,$B$12&amp;"."&amp;Y14))</f>
        <v>2023.DEC</v>
      </c>
      <c r="Z16" s="13" t="str">
        <f>IF($D$10="FY",LEFT($B$10,6)&amp;"."&amp;Z15,$B$12&amp;"."&amp;Z14)</f>
        <v>2023.TOTAL</v>
      </c>
      <c r="AA16" s="10"/>
      <c r="AB16" s="10"/>
      <c r="AC16" s="13" t="str">
        <f>IF(SetUp!$O$1=TRUE,SetUp!$Q$6,SetUp!$G$7)</f>
        <v>2023.TOTAL</v>
      </c>
      <c r="AD16" s="10"/>
      <c r="AE16" s="10"/>
      <c r="AF16" s="13" t="s">
        <v>954</v>
      </c>
      <c r="AG16" s="10"/>
      <c r="AH16" s="10"/>
    </row>
    <row r="17" spans="1:39" hidden="1" outlineLevel="1" x14ac:dyDescent="0.25">
      <c r="A17" s="6" t="s">
        <v>2</v>
      </c>
      <c r="B17" s="16" t="s">
        <v>1529</v>
      </c>
      <c r="L17" s="11"/>
      <c r="M17" s="1" t="s">
        <v>19</v>
      </c>
      <c r="N17" s="13" t="s">
        <v>682</v>
      </c>
      <c r="O17" s="13" t="s">
        <v>682</v>
      </c>
      <c r="P17" s="13" t="s">
        <v>682</v>
      </c>
      <c r="Q17" s="13" t="s">
        <v>682</v>
      </c>
      <c r="R17" s="13" t="s">
        <v>682</v>
      </c>
      <c r="S17" s="13" t="s">
        <v>682</v>
      </c>
      <c r="T17" s="13" t="s">
        <v>682</v>
      </c>
      <c r="U17" s="13" t="s">
        <v>682</v>
      </c>
      <c r="V17" s="13" t="s">
        <v>682</v>
      </c>
      <c r="W17" s="13" t="s">
        <v>682</v>
      </c>
      <c r="X17" s="13" t="s">
        <v>682</v>
      </c>
      <c r="Y17" s="13" t="s">
        <v>682</v>
      </c>
      <c r="Z17" s="13"/>
      <c r="AA17" s="10"/>
      <c r="AB17" s="10"/>
      <c r="AC17" s="13" t="str">
        <f>SetUp!$G$6</f>
        <v>BUDGET</v>
      </c>
      <c r="AD17" s="10"/>
      <c r="AE17" s="10"/>
      <c r="AF17" s="13" t="str">
        <f>SetUp!$J$6</f>
        <v>ACTUAL_CON</v>
      </c>
      <c r="AG17" s="10"/>
      <c r="AH17" s="10"/>
    </row>
    <row r="18" spans="1:39" hidden="1" outlineLevel="1" x14ac:dyDescent="0.25">
      <c r="A18" s="6" t="s">
        <v>3</v>
      </c>
      <c r="B18" s="16" t="s">
        <v>1530</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str">
        <f>IF(SetUp!$O$1=TRUE,"TRAILING12",IF(AC17="CURRENT","ROLLINGFORECAST","PERIODIC"))</f>
        <v>PERIODIC</v>
      </c>
      <c r="AD18" s="10"/>
      <c r="AE18" s="10"/>
      <c r="AF18" s="13" t="str">
        <f>IF(SetUp!$O$1=TRUE,"TRAILING12",IF(AF17="CURRENT","ROLLINGFORECAST","PERIODIC"))</f>
        <v>PERIODIC</v>
      </c>
      <c r="AG18" s="10"/>
      <c r="AH18" s="10"/>
    </row>
    <row r="19" spans="1:39" hidden="1" outlineLevel="1" x14ac:dyDescent="0.25">
      <c r="A19" s="6" t="s">
        <v>4</v>
      </c>
      <c r="B19" s="16" t="s">
        <v>1531</v>
      </c>
      <c r="G19" s="18" t="str">
        <f>$B$6</f>
        <v>D_OTHER_CON</v>
      </c>
      <c r="H19" s="18">
        <v>400000</v>
      </c>
      <c r="I19" s="19"/>
      <c r="J19" s="19"/>
      <c r="K19" s="18"/>
      <c r="L19" s="18"/>
      <c r="M19" s="18" t="s">
        <v>1003</v>
      </c>
      <c r="N19" s="20">
        <v>1876.85</v>
      </c>
      <c r="O19" s="20">
        <v>2263.09</v>
      </c>
      <c r="P19" s="20">
        <v>1369.74</v>
      </c>
      <c r="Q19" s="20">
        <v>2075.38</v>
      </c>
      <c r="R19" s="20">
        <v>1530.85</v>
      </c>
      <c r="S19" s="20">
        <v>1673.12</v>
      </c>
      <c r="T19" s="20">
        <v>1042.0899999999999</v>
      </c>
      <c r="U19" s="20">
        <v>785.26</v>
      </c>
      <c r="V19" s="20">
        <v>851.92</v>
      </c>
      <c r="W19" s="20">
        <v>1215.53</v>
      </c>
      <c r="X19" s="20">
        <v>1538.01</v>
      </c>
      <c r="Y19" s="20">
        <v>-336.23</v>
      </c>
      <c r="Z19" s="20">
        <f>SUM(N19:Y19)</f>
        <v>15885.61</v>
      </c>
      <c r="AA19" s="18"/>
      <c r="AB19" s="18"/>
      <c r="AC19" s="20">
        <v>25008.17</v>
      </c>
      <c r="AD19" s="18"/>
      <c r="AE19" s="18"/>
      <c r="AF19" s="20">
        <v>27966.42</v>
      </c>
      <c r="AG19" s="18"/>
      <c r="AH19" s="18"/>
    </row>
    <row r="20" spans="1:39" hidden="1" outlineLevel="1" x14ac:dyDescent="0.25">
      <c r="A20" s="6" t="s">
        <v>5</v>
      </c>
      <c r="B20" s="7"/>
      <c r="G20" s="18" t="s">
        <v>749</v>
      </c>
      <c r="H20" s="18">
        <v>900200</v>
      </c>
      <c r="I20" s="19"/>
      <c r="J20" s="19"/>
      <c r="K20" s="18"/>
      <c r="L20" s="19"/>
      <c r="M20" s="18" t="s">
        <v>1053</v>
      </c>
      <c r="N20" s="20">
        <v>3881</v>
      </c>
      <c r="O20" s="20">
        <v>3519</v>
      </c>
      <c r="P20" s="20">
        <v>3762</v>
      </c>
      <c r="Q20" s="20">
        <v>3457</v>
      </c>
      <c r="R20" s="20">
        <v>3164</v>
      </c>
      <c r="S20" s="20">
        <v>3405</v>
      </c>
      <c r="T20" s="20">
        <v>3379</v>
      </c>
      <c r="U20" s="20">
        <v>2992</v>
      </c>
      <c r="V20" s="20">
        <v>2680</v>
      </c>
      <c r="W20" s="20">
        <v>3199</v>
      </c>
      <c r="X20" s="20">
        <v>2979</v>
      </c>
      <c r="Y20" s="20">
        <v>3469</v>
      </c>
      <c r="Z20" s="20">
        <f>SUM(N20:Y20)</f>
        <v>39886</v>
      </c>
      <c r="AA20" s="18"/>
      <c r="AB20" s="18"/>
      <c r="AC20" s="20">
        <v>41253</v>
      </c>
      <c r="AD20" s="18"/>
      <c r="AE20" s="18"/>
      <c r="AF20" s="20">
        <v>41314</v>
      </c>
      <c r="AG20" s="18"/>
      <c r="AH20" s="18"/>
    </row>
    <row r="21" spans="1:39" hidden="1" outlineLevel="1" x14ac:dyDescent="0.25">
      <c r="A21" s="6" t="s">
        <v>6</v>
      </c>
      <c r="B21" s="7"/>
      <c r="I21" s="1"/>
      <c r="J21" s="1"/>
    </row>
    <row r="22" spans="1:39" hidden="1" outlineLevel="1" x14ac:dyDescent="0.25">
      <c r="A22" s="6" t="s">
        <v>7</v>
      </c>
      <c r="B22" s="16" t="s">
        <v>1532</v>
      </c>
      <c r="I22" s="1"/>
      <c r="J22" s="1"/>
    </row>
    <row r="23" spans="1:39" hidden="1" outlineLevel="1" x14ac:dyDescent="0.25">
      <c r="A23" s="6" t="s">
        <v>47</v>
      </c>
      <c r="B23" s="16" t="s">
        <v>1533</v>
      </c>
      <c r="K23" s="57"/>
      <c r="L23" s="57"/>
      <c r="AC23" s="152"/>
    </row>
    <row r="24" spans="1:39" hidden="1" outlineLevel="1" x14ac:dyDescent="0.25">
      <c r="A24" s="6" t="s">
        <v>8</v>
      </c>
      <c r="B24" s="7"/>
    </row>
    <row r="25" spans="1:39" collapsed="1" x14ac:dyDescent="0.25"/>
    <row r="26" spans="1:39" ht="22.5" x14ac:dyDescent="0.3">
      <c r="A26" s="3" t="s">
        <v>9</v>
      </c>
      <c r="B26" s="5" t="s">
        <v>10</v>
      </c>
      <c r="C26" s="5" t="s">
        <v>357</v>
      </c>
      <c r="M26" s="65" t="s">
        <v>981</v>
      </c>
    </row>
    <row r="27" spans="1:39" ht="18" x14ac:dyDescent="0.25">
      <c r="A27" s="6" t="s">
        <v>11</v>
      </c>
      <c r="B27" s="7" t="s">
        <v>21</v>
      </c>
      <c r="C27" s="7" t="s">
        <v>21</v>
      </c>
      <c r="M27" s="70" t="s">
        <v>1021</v>
      </c>
    </row>
    <row r="28" spans="1:39" ht="15.75" x14ac:dyDescent="0.25">
      <c r="A28" s="6" t="s">
        <v>12</v>
      </c>
      <c r="B28" s="7" t="s">
        <v>52</v>
      </c>
      <c r="C28" s="7" t="s">
        <v>22</v>
      </c>
      <c r="M28" s="71" t="s">
        <v>1005</v>
      </c>
    </row>
    <row r="29" spans="1:39" ht="15" customHeight="1" x14ac:dyDescent="0.25">
      <c r="A29" s="6" t="s">
        <v>13</v>
      </c>
      <c r="B29" s="7" t="s">
        <v>468</v>
      </c>
      <c r="C29" s="7" t="s">
        <v>467</v>
      </c>
      <c r="M29" s="71" t="s">
        <v>985</v>
      </c>
    </row>
    <row r="30" spans="1:39" x14ac:dyDescent="0.25">
      <c r="A30" s="6" t="s">
        <v>14</v>
      </c>
      <c r="B30" s="7"/>
      <c r="C30" s="7"/>
      <c r="N30" s="230"/>
      <c r="O30" s="231"/>
      <c r="P30" s="231"/>
      <c r="Q30" s="231"/>
      <c r="R30" s="231"/>
      <c r="S30" s="231"/>
      <c r="T30" s="231"/>
      <c r="U30" s="231"/>
      <c r="V30" s="231"/>
      <c r="W30" s="231"/>
      <c r="X30" s="231"/>
      <c r="Y30" s="231"/>
      <c r="Z30" s="231"/>
      <c r="AA30" s="232"/>
      <c r="AC30" s="231"/>
      <c r="AD30" s="231"/>
      <c r="AE30" s="231"/>
      <c r="AF30" s="231"/>
      <c r="AG30" s="231"/>
      <c r="AH30" s="231"/>
      <c r="AI30" s="230" t="s">
        <v>748</v>
      </c>
      <c r="AJ30" s="231"/>
      <c r="AK30" s="232"/>
      <c r="AL30" s="231" t="s">
        <v>750</v>
      </c>
      <c r="AM30" s="231"/>
    </row>
    <row r="31" spans="1:39" x14ac:dyDescent="0.25">
      <c r="A31" s="6" t="s">
        <v>15</v>
      </c>
      <c r="B31" s="7"/>
      <c r="C31" s="7"/>
      <c r="G31" s="14"/>
      <c r="N31" s="233" t="s">
        <v>603</v>
      </c>
      <c r="O31" s="233" t="s">
        <v>604</v>
      </c>
      <c r="P31" s="233" t="s">
        <v>605</v>
      </c>
      <c r="Q31" s="233" t="s">
        <v>606</v>
      </c>
      <c r="R31" s="233" t="s">
        <v>607</v>
      </c>
      <c r="S31" s="233" t="s">
        <v>608</v>
      </c>
      <c r="T31" s="233" t="s">
        <v>609</v>
      </c>
      <c r="U31" s="233" t="s">
        <v>610</v>
      </c>
      <c r="V31" s="233" t="s">
        <v>611</v>
      </c>
      <c r="W31" s="233" t="s">
        <v>612</v>
      </c>
      <c r="X31" s="233" t="s">
        <v>613</v>
      </c>
      <c r="Y31" s="233" t="s">
        <v>614</v>
      </c>
      <c r="Z31" s="233" t="str">
        <f>Z14</f>
        <v>TOTAL</v>
      </c>
      <c r="AA31" s="229"/>
      <c r="AC31" s="530" t="s">
        <v>986</v>
      </c>
      <c r="AD31" s="531"/>
      <c r="AE31" s="233" t="s">
        <v>631</v>
      </c>
      <c r="AF31" s="530" t="s">
        <v>1006</v>
      </c>
      <c r="AG31" s="531"/>
      <c r="AH31" s="233" t="s">
        <v>631</v>
      </c>
      <c r="AI31" s="233">
        <v>2023</v>
      </c>
      <c r="AJ31" s="262">
        <v>2023</v>
      </c>
      <c r="AK31" s="262">
        <v>2022</v>
      </c>
      <c r="AL31" s="233" t="str">
        <f>"vs "&amp;AJ31</f>
        <v>vs 2023</v>
      </c>
      <c r="AM31" s="233" t="str">
        <f>"vs "&amp;AK31</f>
        <v>vs 2022</v>
      </c>
    </row>
    <row r="32" spans="1:39" s="256" customFormat="1" ht="30" customHeight="1" x14ac:dyDescent="0.25">
      <c r="A32" s="254" t="s">
        <v>16</v>
      </c>
      <c r="B32" s="255"/>
      <c r="C32" s="255"/>
      <c r="G32" s="345"/>
      <c r="H32" s="257"/>
      <c r="I32" s="258"/>
      <c r="J32" s="258"/>
      <c r="N32" s="261" t="s">
        <v>956</v>
      </c>
      <c r="O32" s="261" t="s">
        <v>956</v>
      </c>
      <c r="P32" s="261" t="s">
        <v>956</v>
      </c>
      <c r="Q32" s="261" t="s">
        <v>956</v>
      </c>
      <c r="R32" s="261" t="s">
        <v>956</v>
      </c>
      <c r="S32" s="261" t="s">
        <v>956</v>
      </c>
      <c r="T32" s="261" t="s">
        <v>956</v>
      </c>
      <c r="U32" s="261" t="s">
        <v>956</v>
      </c>
      <c r="V32" s="261" t="s">
        <v>956</v>
      </c>
      <c r="W32" s="261" t="s">
        <v>956</v>
      </c>
      <c r="X32" s="261" t="s">
        <v>956</v>
      </c>
      <c r="Y32" s="261" t="s">
        <v>956</v>
      </c>
      <c r="Z32" s="262"/>
      <c r="AA32" s="262" t="s">
        <v>58</v>
      </c>
      <c r="AC32" s="261" t="s">
        <v>958</v>
      </c>
      <c r="AD32" s="262" t="s">
        <v>58</v>
      </c>
      <c r="AE32" s="261" t="s">
        <v>57</v>
      </c>
      <c r="AF32" s="261" t="s">
        <v>956</v>
      </c>
      <c r="AG32" s="262" t="s">
        <v>58</v>
      </c>
      <c r="AH32" s="261" t="s">
        <v>57</v>
      </c>
      <c r="AI32" s="261" t="str">
        <f>Y32</f>
        <v>Actual</v>
      </c>
      <c r="AJ32" s="262" t="str">
        <f>AC32</f>
        <v>Budget</v>
      </c>
      <c r="AK32" s="261" t="str">
        <f>AF32</f>
        <v>Actual</v>
      </c>
      <c r="AL32" s="233" t="s">
        <v>747</v>
      </c>
      <c r="AM32" s="233" t="s">
        <v>747</v>
      </c>
    </row>
    <row r="33" spans="1:39" x14ac:dyDescent="0.25">
      <c r="A33" s="6" t="s">
        <v>17</v>
      </c>
      <c r="B33" s="7"/>
      <c r="C33" s="7"/>
      <c r="H33" s="1" t="s">
        <v>69</v>
      </c>
      <c r="I33" s="11" t="s">
        <v>1011</v>
      </c>
      <c r="J33" s="11" t="s">
        <v>78</v>
      </c>
      <c r="M33" s="40" t="s">
        <v>1019</v>
      </c>
      <c r="N33" s="41"/>
      <c r="O33" s="45"/>
      <c r="P33" s="45"/>
      <c r="Q33" s="45"/>
      <c r="R33" s="45"/>
      <c r="S33" s="45"/>
      <c r="T33" s="45"/>
      <c r="U33" s="45"/>
      <c r="V33" s="45"/>
      <c r="W33" s="45"/>
      <c r="X33" s="45"/>
      <c r="Y33" s="45"/>
      <c r="Z33" s="45"/>
      <c r="AA33" s="42"/>
      <c r="AC33" s="41"/>
      <c r="AD33" s="45"/>
      <c r="AE33" s="42"/>
      <c r="AF33" s="41"/>
      <c r="AG33" s="45"/>
      <c r="AH33" s="42"/>
    </row>
    <row r="34" spans="1:39" x14ac:dyDescent="0.25">
      <c r="G34" s="15" t="s">
        <v>365</v>
      </c>
      <c r="H34" s="15" t="s">
        <v>280</v>
      </c>
      <c r="I34" s="161">
        <v>7</v>
      </c>
      <c r="J34" s="161" t="s">
        <v>78</v>
      </c>
      <c r="K34" s="68" t="str">
        <f t="shared" ref="K34:K39" si="0">IF(AND(I34&gt;="T5"),"&gt;","")</f>
        <v/>
      </c>
      <c r="L34" s="162"/>
      <c r="M34" s="162" t="s">
        <v>1534</v>
      </c>
      <c r="N34" s="21"/>
      <c r="O34" s="21"/>
      <c r="P34" s="21"/>
      <c r="Q34" s="21"/>
      <c r="R34" s="21"/>
      <c r="S34" s="21"/>
      <c r="T34" s="21"/>
      <c r="U34" s="21"/>
      <c r="V34" s="21"/>
      <c r="W34" s="21"/>
      <c r="X34" s="21"/>
      <c r="Y34" s="21"/>
      <c r="Z34" s="310">
        <f t="shared" ref="Z34:Z40" si="1">IF($I34="B1","",SUM(N34:Y34))</f>
        <v>0</v>
      </c>
      <c r="AA34" s="17" t="str">
        <f t="shared" ref="AA34:AA40" si="2">IF(Z34=0,"",IFERROR(Z34/Z$19,""))</f>
        <v/>
      </c>
      <c r="AC34" s="21"/>
      <c r="AD34" s="17" t="str">
        <f t="shared" ref="AD34:AD40" si="3">IF(AC34=0,"",IFERROR(AC34/AC$19,""))</f>
        <v/>
      </c>
      <c r="AE34" s="50">
        <f t="shared" ref="AE34:AE40" si="4">IF(AND($Z34="",AC34=""),"",$Z34-AC34)</f>
        <v>0</v>
      </c>
      <c r="AF34" s="21"/>
      <c r="AG34" s="17" t="str">
        <f t="shared" ref="AG34:AG40" si="5">IF(AF34=0,"",IFERROR(AF34/AF$19,""))</f>
        <v/>
      </c>
      <c r="AH34" s="50">
        <f t="shared" ref="AH34:AH40" si="6">IF(AND($Z34="",AF34=""),"",$Z34-AF34)</f>
        <v>0</v>
      </c>
      <c r="AI34" s="399">
        <f t="shared" ref="AI34:AI40" si="7">IFERROR(Z34/Z$20,0)</f>
        <v>0</v>
      </c>
      <c r="AJ34" s="400">
        <f t="shared" ref="AJ34:AJ40" si="8">IFERROR(AC34/AC$20,0)</f>
        <v>0</v>
      </c>
      <c r="AK34" s="401">
        <f t="shared" ref="AK34:AK40" si="9">IFERROR(AF34/AF$20,0)</f>
        <v>0</v>
      </c>
      <c r="AL34" s="402">
        <f t="shared" ref="AL34:AL40" si="10">+IFERROR(ROUND(($AA34-AD34)*100,2)&amp;" pts.",0)</f>
        <v>0</v>
      </c>
      <c r="AM34" s="403">
        <f t="shared" ref="AM34:AM40" si="11">+IFERROR(ROUND(($AA34-AG34)*100,2)&amp;" pts.",0)</f>
        <v>0</v>
      </c>
    </row>
    <row r="35" spans="1:39" x14ac:dyDescent="0.25">
      <c r="A35" s="22" t="s">
        <v>92</v>
      </c>
      <c r="B35" s="23" t="s">
        <v>93</v>
      </c>
      <c r="C35" s="23" t="s">
        <v>94</v>
      </c>
      <c r="D35" s="23" t="s">
        <v>95</v>
      </c>
      <c r="E35" s="23" t="s">
        <v>96</v>
      </c>
      <c r="F35" s="24" t="s">
        <v>97</v>
      </c>
      <c r="G35" s="15" t="s">
        <v>366</v>
      </c>
      <c r="H35" s="15" t="s">
        <v>280</v>
      </c>
      <c r="I35" s="161">
        <v>7</v>
      </c>
      <c r="J35" s="161" t="s">
        <v>78</v>
      </c>
      <c r="K35" s="68" t="str">
        <f t="shared" si="0"/>
        <v/>
      </c>
      <c r="L35" s="162"/>
      <c r="M35" s="162" t="s">
        <v>1535</v>
      </c>
      <c r="N35" s="21"/>
      <c r="O35" s="21"/>
      <c r="P35" s="21"/>
      <c r="Q35" s="21"/>
      <c r="R35" s="21"/>
      <c r="S35" s="21"/>
      <c r="T35" s="21"/>
      <c r="U35" s="21"/>
      <c r="V35" s="21"/>
      <c r="W35" s="21"/>
      <c r="X35" s="21"/>
      <c r="Y35" s="21"/>
      <c r="Z35" s="310">
        <f t="shared" si="1"/>
        <v>0</v>
      </c>
      <c r="AA35" s="17" t="str">
        <f t="shared" si="2"/>
        <v/>
      </c>
      <c r="AC35" s="21"/>
      <c r="AD35" s="17" t="str">
        <f t="shared" si="3"/>
        <v/>
      </c>
      <c r="AE35" s="50">
        <f t="shared" si="4"/>
        <v>0</v>
      </c>
      <c r="AF35" s="21"/>
      <c r="AG35" s="17" t="str">
        <f t="shared" si="5"/>
        <v/>
      </c>
      <c r="AH35" s="50">
        <f t="shared" si="6"/>
        <v>0</v>
      </c>
      <c r="AI35" s="399">
        <f t="shared" si="7"/>
        <v>0</v>
      </c>
      <c r="AJ35" s="400">
        <f t="shared" si="8"/>
        <v>0</v>
      </c>
      <c r="AK35" s="401">
        <f t="shared" si="9"/>
        <v>0</v>
      </c>
      <c r="AL35" s="402">
        <f t="shared" si="10"/>
        <v>0</v>
      </c>
      <c r="AM35" s="403">
        <f t="shared" si="11"/>
        <v>0</v>
      </c>
    </row>
    <row r="36" spans="1:39" x14ac:dyDescent="0.25">
      <c r="G36" s="15" t="s">
        <v>380</v>
      </c>
      <c r="H36" s="15" t="s">
        <v>280</v>
      </c>
      <c r="I36" s="161">
        <v>7</v>
      </c>
      <c r="J36" s="161" t="s">
        <v>78</v>
      </c>
      <c r="K36" s="68" t="str">
        <f t="shared" si="0"/>
        <v/>
      </c>
      <c r="L36" s="162"/>
      <c r="M36" s="162" t="s">
        <v>1536</v>
      </c>
      <c r="N36" s="21"/>
      <c r="O36" s="21"/>
      <c r="P36" s="21">
        <v>0</v>
      </c>
      <c r="Q36" s="21"/>
      <c r="R36" s="21">
        <v>0</v>
      </c>
      <c r="S36" s="21"/>
      <c r="T36" s="21"/>
      <c r="U36" s="21"/>
      <c r="V36" s="21"/>
      <c r="W36" s="21"/>
      <c r="X36" s="21"/>
      <c r="Y36" s="21"/>
      <c r="Z36" s="310">
        <f t="shared" si="1"/>
        <v>0</v>
      </c>
      <c r="AA36" s="17" t="str">
        <f t="shared" si="2"/>
        <v/>
      </c>
      <c r="AC36" s="21"/>
      <c r="AD36" s="17" t="str">
        <f t="shared" si="3"/>
        <v/>
      </c>
      <c r="AE36" s="50">
        <f t="shared" si="4"/>
        <v>0</v>
      </c>
      <c r="AF36" s="21"/>
      <c r="AG36" s="17" t="str">
        <f t="shared" si="5"/>
        <v/>
      </c>
      <c r="AH36" s="50">
        <f t="shared" si="6"/>
        <v>0</v>
      </c>
      <c r="AI36" s="399">
        <f t="shared" si="7"/>
        <v>0</v>
      </c>
      <c r="AJ36" s="400">
        <f t="shared" si="8"/>
        <v>0</v>
      </c>
      <c r="AK36" s="401">
        <f t="shared" si="9"/>
        <v>0</v>
      </c>
      <c r="AL36" s="402">
        <f t="shared" si="10"/>
        <v>0</v>
      </c>
      <c r="AM36" s="403">
        <f t="shared" si="11"/>
        <v>0</v>
      </c>
    </row>
    <row r="37" spans="1:39" x14ac:dyDescent="0.25">
      <c r="A37" s="1" t="s">
        <v>105</v>
      </c>
      <c r="C37" s="26" t="s">
        <v>101</v>
      </c>
      <c r="D37" s="1" t="s">
        <v>106</v>
      </c>
      <c r="F37" s="1" t="s">
        <v>98</v>
      </c>
      <c r="G37" s="15" t="s">
        <v>386</v>
      </c>
      <c r="H37" s="15" t="s">
        <v>280</v>
      </c>
      <c r="I37" s="161">
        <v>7</v>
      </c>
      <c r="J37" s="161" t="s">
        <v>78</v>
      </c>
      <c r="K37" s="68" t="str">
        <f t="shared" si="0"/>
        <v/>
      </c>
      <c r="L37" s="162"/>
      <c r="M37" s="162" t="s">
        <v>1537</v>
      </c>
      <c r="N37" s="21"/>
      <c r="O37" s="21"/>
      <c r="P37" s="21"/>
      <c r="Q37" s="21"/>
      <c r="R37" s="21"/>
      <c r="S37" s="21"/>
      <c r="T37" s="21"/>
      <c r="U37" s="21"/>
      <c r="V37" s="21"/>
      <c r="W37" s="21"/>
      <c r="X37" s="21">
        <v>19.28</v>
      </c>
      <c r="Y37" s="21"/>
      <c r="Z37" s="310">
        <f t="shared" si="1"/>
        <v>19.28</v>
      </c>
      <c r="AA37" s="17">
        <f t="shared" si="2"/>
        <v>1.213677032232316E-3</v>
      </c>
      <c r="AC37" s="21"/>
      <c r="AD37" s="17" t="str">
        <f t="shared" si="3"/>
        <v/>
      </c>
      <c r="AE37" s="50">
        <f t="shared" si="4"/>
        <v>19.28</v>
      </c>
      <c r="AF37" s="21"/>
      <c r="AG37" s="17" t="str">
        <f t="shared" si="5"/>
        <v/>
      </c>
      <c r="AH37" s="50">
        <f t="shared" si="6"/>
        <v>19.28</v>
      </c>
      <c r="AI37" s="399">
        <f t="shared" si="7"/>
        <v>4.8337762623476912E-4</v>
      </c>
      <c r="AJ37" s="400">
        <f t="shared" si="8"/>
        <v>0</v>
      </c>
      <c r="AK37" s="401">
        <f t="shared" si="9"/>
        <v>0</v>
      </c>
      <c r="AL37" s="402">
        <f t="shared" si="10"/>
        <v>0</v>
      </c>
      <c r="AM37" s="403">
        <f t="shared" si="11"/>
        <v>0</v>
      </c>
    </row>
    <row r="38" spans="1:39" x14ac:dyDescent="0.25">
      <c r="A38" s="1" t="s">
        <v>465</v>
      </c>
      <c r="C38" s="26" t="s">
        <v>101</v>
      </c>
      <c r="D38" s="1" t="s">
        <v>106</v>
      </c>
      <c r="F38" s="1" t="s">
        <v>98</v>
      </c>
      <c r="G38" s="15" t="s">
        <v>406</v>
      </c>
      <c r="H38" s="15" t="s">
        <v>280</v>
      </c>
      <c r="I38" s="161">
        <v>6</v>
      </c>
      <c r="J38" s="161" t="s">
        <v>78</v>
      </c>
      <c r="K38" s="68" t="str">
        <f t="shared" si="0"/>
        <v/>
      </c>
      <c r="L38" s="162"/>
      <c r="M38" s="162" t="s">
        <v>1538</v>
      </c>
      <c r="N38" s="21"/>
      <c r="O38" s="21"/>
      <c r="P38" s="21"/>
      <c r="Q38" s="21"/>
      <c r="R38" s="21"/>
      <c r="S38" s="21"/>
      <c r="T38" s="21"/>
      <c r="U38" s="21"/>
      <c r="V38" s="21"/>
      <c r="W38" s="21"/>
      <c r="X38" s="21"/>
      <c r="Y38" s="21"/>
      <c r="Z38" s="310">
        <f t="shared" si="1"/>
        <v>0</v>
      </c>
      <c r="AA38" s="17" t="str">
        <f t="shared" si="2"/>
        <v/>
      </c>
      <c r="AC38" s="21"/>
      <c r="AD38" s="17" t="str">
        <f t="shared" si="3"/>
        <v/>
      </c>
      <c r="AE38" s="50">
        <f t="shared" si="4"/>
        <v>0</v>
      </c>
      <c r="AF38" s="21"/>
      <c r="AG38" s="17" t="str">
        <f t="shared" si="5"/>
        <v/>
      </c>
      <c r="AH38" s="50">
        <f t="shared" si="6"/>
        <v>0</v>
      </c>
      <c r="AI38" s="399">
        <f t="shared" si="7"/>
        <v>0</v>
      </c>
      <c r="AJ38" s="400">
        <f t="shared" si="8"/>
        <v>0</v>
      </c>
      <c r="AK38" s="401">
        <f t="shared" si="9"/>
        <v>0</v>
      </c>
      <c r="AL38" s="402">
        <f t="shared" si="10"/>
        <v>0</v>
      </c>
      <c r="AM38" s="403">
        <f t="shared" si="11"/>
        <v>0</v>
      </c>
    </row>
    <row r="39" spans="1:39" x14ac:dyDescent="0.25">
      <c r="A39" s="1" t="s">
        <v>466</v>
      </c>
      <c r="C39" s="8" t="s">
        <v>101</v>
      </c>
      <c r="D39" s="1" t="s">
        <v>106</v>
      </c>
      <c r="F39" s="1" t="s">
        <v>98</v>
      </c>
      <c r="G39" s="15" t="s">
        <v>423</v>
      </c>
      <c r="H39" s="15" t="s">
        <v>280</v>
      </c>
      <c r="I39" s="161">
        <v>7</v>
      </c>
      <c r="J39" s="161" t="s">
        <v>78</v>
      </c>
      <c r="K39" s="68" t="str">
        <f t="shared" si="0"/>
        <v/>
      </c>
      <c r="L39" s="162"/>
      <c r="M39" s="162" t="s">
        <v>1539</v>
      </c>
      <c r="N39" s="21">
        <v>1876.85</v>
      </c>
      <c r="O39" s="21">
        <v>2263.09</v>
      </c>
      <c r="P39" s="21">
        <v>1369.74</v>
      </c>
      <c r="Q39" s="21">
        <v>2075.38</v>
      </c>
      <c r="R39" s="21">
        <v>1530.85</v>
      </c>
      <c r="S39" s="21">
        <v>1673.12</v>
      </c>
      <c r="T39" s="21">
        <v>1042.0899999999999</v>
      </c>
      <c r="U39" s="21">
        <v>785.26</v>
      </c>
      <c r="V39" s="21">
        <v>851.92</v>
      </c>
      <c r="W39" s="21">
        <v>1215.53</v>
      </c>
      <c r="X39" s="21">
        <v>1518.73</v>
      </c>
      <c r="Y39" s="21">
        <v>-336.23</v>
      </c>
      <c r="Z39" s="310">
        <f t="shared" si="1"/>
        <v>15866.33</v>
      </c>
      <c r="AA39" s="17">
        <f t="shared" si="2"/>
        <v>0.99878632296776759</v>
      </c>
      <c r="AC39" s="21">
        <v>25008.17</v>
      </c>
      <c r="AD39" s="17">
        <f t="shared" si="3"/>
        <v>1</v>
      </c>
      <c r="AE39" s="50">
        <f t="shared" si="4"/>
        <v>-9141.8399999999983</v>
      </c>
      <c r="AF39" s="21">
        <v>27966.42</v>
      </c>
      <c r="AG39" s="17">
        <f t="shared" si="5"/>
        <v>1</v>
      </c>
      <c r="AH39" s="50">
        <f t="shared" si="6"/>
        <v>-12100.089999999998</v>
      </c>
      <c r="AI39" s="399">
        <f t="shared" si="7"/>
        <v>0.39779195707767134</v>
      </c>
      <c r="AJ39" s="400">
        <f t="shared" si="8"/>
        <v>0.60621457833369685</v>
      </c>
      <c r="AK39" s="401">
        <f t="shared" si="9"/>
        <v>0.67692356102047724</v>
      </c>
      <c r="AL39" s="402" t="str">
        <f t="shared" si="10"/>
        <v>-0.12 pts.</v>
      </c>
      <c r="AM39" s="403" t="str">
        <f t="shared" si="11"/>
        <v>-0.12 pts.</v>
      </c>
    </row>
    <row r="40" spans="1:39" x14ac:dyDescent="0.25">
      <c r="A40" s="1" t="s">
        <v>466</v>
      </c>
      <c r="C40" s="151" t="s">
        <v>101</v>
      </c>
      <c r="D40" s="1" t="s">
        <v>107</v>
      </c>
      <c r="F40" s="1" t="s">
        <v>99</v>
      </c>
      <c r="H40" s="348" t="s">
        <v>69</v>
      </c>
      <c r="I40" s="68"/>
      <c r="J40" s="68"/>
      <c r="K40" s="68"/>
      <c r="L40" s="162"/>
      <c r="M40" s="25" t="s">
        <v>470</v>
      </c>
      <c r="N40" s="164">
        <f t="shared" ref="N40:Y40" si="12">SUM(N34:N39)</f>
        <v>1876.85</v>
      </c>
      <c r="O40" s="164">
        <f t="shared" si="12"/>
        <v>2263.09</v>
      </c>
      <c r="P40" s="164">
        <f t="shared" si="12"/>
        <v>1369.74</v>
      </c>
      <c r="Q40" s="164">
        <f t="shared" si="12"/>
        <v>2075.38</v>
      </c>
      <c r="R40" s="164">
        <f t="shared" si="12"/>
        <v>1530.85</v>
      </c>
      <c r="S40" s="164">
        <f t="shared" si="12"/>
        <v>1673.12</v>
      </c>
      <c r="T40" s="164">
        <f t="shared" si="12"/>
        <v>1042.0899999999999</v>
      </c>
      <c r="U40" s="164">
        <f t="shared" si="12"/>
        <v>785.26</v>
      </c>
      <c r="V40" s="164">
        <f t="shared" si="12"/>
        <v>851.92</v>
      </c>
      <c r="W40" s="164">
        <f t="shared" si="12"/>
        <v>1215.53</v>
      </c>
      <c r="X40" s="164">
        <f t="shared" si="12"/>
        <v>1538.01</v>
      </c>
      <c r="Y40" s="164">
        <f t="shared" si="12"/>
        <v>-336.23</v>
      </c>
      <c r="Z40" s="164">
        <f t="shared" si="1"/>
        <v>15885.61</v>
      </c>
      <c r="AA40" s="175">
        <f t="shared" si="2"/>
        <v>1</v>
      </c>
      <c r="AC40" s="164">
        <f>SUM(AC34:AC39)</f>
        <v>25008.17</v>
      </c>
      <c r="AD40" s="175">
        <f t="shared" si="3"/>
        <v>1</v>
      </c>
      <c r="AE40" s="165">
        <f t="shared" si="4"/>
        <v>-9122.5599999999977</v>
      </c>
      <c r="AF40" s="164">
        <f>SUM(AF34:AF39)</f>
        <v>27966.42</v>
      </c>
      <c r="AG40" s="175">
        <f t="shared" si="5"/>
        <v>1</v>
      </c>
      <c r="AH40" s="165">
        <f t="shared" si="6"/>
        <v>-12080.809999999998</v>
      </c>
      <c r="AI40" s="392">
        <f t="shared" si="7"/>
        <v>0.39827533470390614</v>
      </c>
      <c r="AJ40" s="393">
        <f t="shared" si="8"/>
        <v>0.60621457833369685</v>
      </c>
      <c r="AK40" s="394">
        <f t="shared" si="9"/>
        <v>0.67692356102047724</v>
      </c>
      <c r="AL40" s="395" t="str">
        <f t="shared" si="10"/>
        <v>0 pts.</v>
      </c>
      <c r="AM40" s="437" t="str">
        <f t="shared" si="11"/>
        <v>0 pts.</v>
      </c>
    </row>
    <row r="41" spans="1:39" x14ac:dyDescent="0.25">
      <c r="G41" s="25"/>
      <c r="H41" s="25"/>
      <c r="I41" s="25"/>
      <c r="J41" s="25"/>
      <c r="K41" s="25"/>
      <c r="L41" s="25"/>
      <c r="M41" s="25"/>
      <c r="N41" s="53"/>
      <c r="O41" s="54"/>
      <c r="P41" s="54"/>
      <c r="Q41" s="54"/>
      <c r="R41" s="54"/>
      <c r="S41" s="54"/>
      <c r="T41" s="54"/>
      <c r="U41" s="54"/>
      <c r="V41" s="54"/>
      <c r="W41" s="54"/>
      <c r="X41" s="54"/>
      <c r="Y41" s="54"/>
      <c r="Z41" s="54"/>
      <c r="AA41" s="55"/>
      <c r="AC41" s="53"/>
      <c r="AD41" s="54"/>
      <c r="AE41" s="55"/>
      <c r="AF41" s="53"/>
      <c r="AG41" s="54"/>
      <c r="AH41" s="55"/>
    </row>
    <row r="42" spans="1:39" x14ac:dyDescent="0.25">
      <c r="H42" s="1" t="s">
        <v>464</v>
      </c>
      <c r="I42" s="11" t="s">
        <v>1012</v>
      </c>
      <c r="J42" s="11" t="s">
        <v>78</v>
      </c>
      <c r="M42" s="40" t="s">
        <v>1049</v>
      </c>
      <c r="N42" s="53"/>
      <c r="O42" s="54"/>
      <c r="P42" s="54"/>
      <c r="Q42" s="54"/>
      <c r="R42" s="54"/>
      <c r="S42" s="54"/>
      <c r="T42" s="54"/>
      <c r="U42" s="54"/>
      <c r="V42" s="54"/>
      <c r="W42" s="54"/>
      <c r="X42" s="54"/>
      <c r="Y42" s="54"/>
      <c r="Z42" s="54"/>
      <c r="AA42" s="55"/>
      <c r="AC42" s="53"/>
      <c r="AD42" s="54"/>
      <c r="AE42" s="55"/>
      <c r="AF42" s="53"/>
      <c r="AG42" s="54"/>
      <c r="AH42" s="55"/>
    </row>
    <row r="43" spans="1:39" x14ac:dyDescent="0.25">
      <c r="A43" s="3" t="s">
        <v>23</v>
      </c>
      <c r="B43" s="5" t="s">
        <v>24</v>
      </c>
      <c r="G43" s="15" t="s">
        <v>365</v>
      </c>
      <c r="H43" s="15" t="s">
        <v>464</v>
      </c>
      <c r="I43" s="161">
        <v>7</v>
      </c>
      <c r="J43" s="161" t="s">
        <v>78</v>
      </c>
      <c r="K43" s="162"/>
      <c r="L43" s="162"/>
      <c r="M43" s="162" t="s">
        <v>1534</v>
      </c>
      <c r="N43" s="21"/>
      <c r="O43" s="21"/>
      <c r="P43" s="21"/>
      <c r="Q43" s="21"/>
      <c r="R43" s="21"/>
      <c r="S43" s="21"/>
      <c r="T43" s="21"/>
      <c r="U43" s="21"/>
      <c r="V43" s="21"/>
      <c r="W43" s="21"/>
      <c r="X43" s="21"/>
      <c r="Y43" s="21"/>
      <c r="Z43" s="310">
        <f t="shared" ref="Z43:Z49" si="13">IF($I43="B1","",SUM(N43:Y43))</f>
        <v>0</v>
      </c>
      <c r="AA43" s="17" t="str">
        <f t="shared" ref="AA43:AA49" si="14">IF(Z43=0,"",IFERROR(Z43/Z34,""))</f>
        <v/>
      </c>
      <c r="AC43" s="21"/>
      <c r="AD43" s="17" t="str">
        <f t="shared" ref="AD43:AD49" si="15">IF(AC43=0,"",IFERROR(AC43/AC34,""))</f>
        <v/>
      </c>
      <c r="AE43" s="50">
        <f t="shared" ref="AE43:AE49" si="16">IF(AND($Z43="",AC43=""),"",$Z43-AC43)</f>
        <v>0</v>
      </c>
      <c r="AF43" s="21"/>
      <c r="AG43" s="17" t="str">
        <f t="shared" ref="AG43:AG49" si="17">IF(AF43=0,"",IFERROR(AF43/AF34,""))</f>
        <v/>
      </c>
      <c r="AH43" s="50">
        <f t="shared" ref="AH43:AH49" si="18">IF(AND($Z43="",AF43=""),"",$Z43-AF43)</f>
        <v>0</v>
      </c>
      <c r="AI43" s="399">
        <f t="shared" ref="AI43:AI49" si="19">IFERROR(Z43/Z$20,0)</f>
        <v>0</v>
      </c>
      <c r="AJ43" s="400">
        <f t="shared" ref="AJ43:AJ49" si="20">IFERROR(AC43/AC$20,0)</f>
        <v>0</v>
      </c>
      <c r="AK43" s="401">
        <f t="shared" ref="AK43:AK49" si="21">IFERROR(AF43/AF$20,0)</f>
        <v>0</v>
      </c>
      <c r="AL43" s="402">
        <f t="shared" ref="AL43:AL49" si="22">+IFERROR(ROUND(($AA43-AD43)*100,2)&amp;" pts.",0)</f>
        <v>0</v>
      </c>
      <c r="AM43" s="403">
        <f t="shared" ref="AM43:AM49" si="23">+IFERROR(ROUND(($AA43-AG43)*100,2)&amp;" pts.",0)</f>
        <v>0</v>
      </c>
    </row>
    <row r="44" spans="1:39" x14ac:dyDescent="0.25">
      <c r="A44" s="6" t="s">
        <v>25</v>
      </c>
      <c r="B44" s="7"/>
      <c r="G44" s="15" t="s">
        <v>366</v>
      </c>
      <c r="H44" s="15" t="s">
        <v>464</v>
      </c>
      <c r="I44" s="161">
        <v>7</v>
      </c>
      <c r="J44" s="161" t="s">
        <v>78</v>
      </c>
      <c r="K44" s="162"/>
      <c r="L44" s="162"/>
      <c r="M44" s="162" t="s">
        <v>1535</v>
      </c>
      <c r="N44" s="21"/>
      <c r="O44" s="21"/>
      <c r="P44" s="21"/>
      <c r="Q44" s="21"/>
      <c r="R44" s="21"/>
      <c r="S44" s="21"/>
      <c r="T44" s="21"/>
      <c r="U44" s="21"/>
      <c r="V44" s="21"/>
      <c r="W44" s="21"/>
      <c r="X44" s="21"/>
      <c r="Y44" s="21"/>
      <c r="Z44" s="310">
        <f t="shared" si="13"/>
        <v>0</v>
      </c>
      <c r="AA44" s="17" t="str">
        <f t="shared" si="14"/>
        <v/>
      </c>
      <c r="AC44" s="21"/>
      <c r="AD44" s="17" t="str">
        <f t="shared" si="15"/>
        <v/>
      </c>
      <c r="AE44" s="50">
        <f t="shared" si="16"/>
        <v>0</v>
      </c>
      <c r="AF44" s="21"/>
      <c r="AG44" s="17" t="str">
        <f t="shared" si="17"/>
        <v/>
      </c>
      <c r="AH44" s="50">
        <f t="shared" si="18"/>
        <v>0</v>
      </c>
      <c r="AI44" s="399">
        <f t="shared" si="19"/>
        <v>0</v>
      </c>
      <c r="AJ44" s="400">
        <f t="shared" si="20"/>
        <v>0</v>
      </c>
      <c r="AK44" s="401">
        <f t="shared" si="21"/>
        <v>0</v>
      </c>
      <c r="AL44" s="402">
        <f t="shared" si="22"/>
        <v>0</v>
      </c>
      <c r="AM44" s="403">
        <f t="shared" si="23"/>
        <v>0</v>
      </c>
    </row>
    <row r="45" spans="1:39" x14ac:dyDescent="0.25">
      <c r="A45" s="6" t="s">
        <v>26</v>
      </c>
      <c r="B45" s="7"/>
      <c r="G45" s="15" t="s">
        <v>380</v>
      </c>
      <c r="H45" s="15" t="s">
        <v>464</v>
      </c>
      <c r="I45" s="161">
        <v>7</v>
      </c>
      <c r="J45" s="161" t="s">
        <v>78</v>
      </c>
      <c r="K45" s="162"/>
      <c r="L45" s="162"/>
      <c r="M45" s="162" t="s">
        <v>1536</v>
      </c>
      <c r="N45" s="21"/>
      <c r="O45" s="21"/>
      <c r="P45" s="21"/>
      <c r="Q45" s="21"/>
      <c r="R45" s="21"/>
      <c r="S45" s="21"/>
      <c r="T45" s="21"/>
      <c r="U45" s="21"/>
      <c r="V45" s="21"/>
      <c r="W45" s="21"/>
      <c r="X45" s="21"/>
      <c r="Y45" s="21"/>
      <c r="Z45" s="310">
        <f t="shared" si="13"/>
        <v>0</v>
      </c>
      <c r="AA45" s="17" t="str">
        <f t="shared" si="14"/>
        <v/>
      </c>
      <c r="AC45" s="21"/>
      <c r="AD45" s="17" t="str">
        <f t="shared" si="15"/>
        <v/>
      </c>
      <c r="AE45" s="50">
        <f t="shared" si="16"/>
        <v>0</v>
      </c>
      <c r="AF45" s="21"/>
      <c r="AG45" s="17" t="str">
        <f t="shared" si="17"/>
        <v/>
      </c>
      <c r="AH45" s="50">
        <f t="shared" si="18"/>
        <v>0</v>
      </c>
      <c r="AI45" s="399">
        <f t="shared" si="19"/>
        <v>0</v>
      </c>
      <c r="AJ45" s="400">
        <f t="shared" si="20"/>
        <v>0</v>
      </c>
      <c r="AK45" s="401">
        <f t="shared" si="21"/>
        <v>0</v>
      </c>
      <c r="AL45" s="402">
        <f t="shared" si="22"/>
        <v>0</v>
      </c>
      <c r="AM45" s="403">
        <f t="shared" si="23"/>
        <v>0</v>
      </c>
    </row>
    <row r="46" spans="1:39" x14ac:dyDescent="0.25">
      <c r="A46" s="6" t="s">
        <v>27</v>
      </c>
      <c r="B46" s="7"/>
      <c r="G46" s="15" t="s">
        <v>386</v>
      </c>
      <c r="H46" s="15" t="s">
        <v>464</v>
      </c>
      <c r="I46" s="161">
        <v>7</v>
      </c>
      <c r="J46" s="161" t="s">
        <v>78</v>
      </c>
      <c r="K46" s="162"/>
      <c r="L46" s="162"/>
      <c r="M46" s="162" t="s">
        <v>1537</v>
      </c>
      <c r="N46" s="21"/>
      <c r="O46" s="21"/>
      <c r="P46" s="21"/>
      <c r="Q46" s="21"/>
      <c r="R46" s="21"/>
      <c r="S46" s="21"/>
      <c r="T46" s="21"/>
      <c r="U46" s="21"/>
      <c r="V46" s="21"/>
      <c r="W46" s="21"/>
      <c r="X46" s="21"/>
      <c r="Y46" s="21"/>
      <c r="Z46" s="310">
        <f t="shared" si="13"/>
        <v>0</v>
      </c>
      <c r="AA46" s="17" t="str">
        <f t="shared" si="14"/>
        <v/>
      </c>
      <c r="AC46" s="21"/>
      <c r="AD46" s="17" t="str">
        <f t="shared" si="15"/>
        <v/>
      </c>
      <c r="AE46" s="50">
        <f t="shared" si="16"/>
        <v>0</v>
      </c>
      <c r="AF46" s="21"/>
      <c r="AG46" s="17" t="str">
        <f t="shared" si="17"/>
        <v/>
      </c>
      <c r="AH46" s="50">
        <f t="shared" si="18"/>
        <v>0</v>
      </c>
      <c r="AI46" s="399">
        <f t="shared" si="19"/>
        <v>0</v>
      </c>
      <c r="AJ46" s="400">
        <f t="shared" si="20"/>
        <v>0</v>
      </c>
      <c r="AK46" s="401">
        <f t="shared" si="21"/>
        <v>0</v>
      </c>
      <c r="AL46" s="402">
        <f t="shared" si="22"/>
        <v>0</v>
      </c>
      <c r="AM46" s="403">
        <f t="shared" si="23"/>
        <v>0</v>
      </c>
    </row>
    <row r="47" spans="1:39" x14ac:dyDescent="0.25">
      <c r="A47" s="6" t="s">
        <v>28</v>
      </c>
      <c r="B47" s="7"/>
      <c r="G47" s="15" t="s">
        <v>406</v>
      </c>
      <c r="H47" s="15" t="s">
        <v>464</v>
      </c>
      <c r="I47" s="161">
        <v>6</v>
      </c>
      <c r="J47" s="161" t="s">
        <v>78</v>
      </c>
      <c r="K47" s="162"/>
      <c r="L47" s="162"/>
      <c r="M47" s="162" t="s">
        <v>1538</v>
      </c>
      <c r="N47" s="21"/>
      <c r="O47" s="21"/>
      <c r="P47" s="21"/>
      <c r="Q47" s="21"/>
      <c r="R47" s="21"/>
      <c r="S47" s="21"/>
      <c r="T47" s="21"/>
      <c r="U47" s="21"/>
      <c r="V47" s="21"/>
      <c r="W47" s="21"/>
      <c r="X47" s="21"/>
      <c r="Y47" s="21"/>
      <c r="Z47" s="310">
        <f t="shared" si="13"/>
        <v>0</v>
      </c>
      <c r="AA47" s="17" t="str">
        <f t="shared" si="14"/>
        <v/>
      </c>
      <c r="AC47" s="21"/>
      <c r="AD47" s="17" t="str">
        <f t="shared" si="15"/>
        <v/>
      </c>
      <c r="AE47" s="50">
        <f t="shared" si="16"/>
        <v>0</v>
      </c>
      <c r="AF47" s="21"/>
      <c r="AG47" s="17" t="str">
        <f t="shared" si="17"/>
        <v/>
      </c>
      <c r="AH47" s="50">
        <f t="shared" si="18"/>
        <v>0</v>
      </c>
      <c r="AI47" s="399">
        <f t="shared" si="19"/>
        <v>0</v>
      </c>
      <c r="AJ47" s="400">
        <f t="shared" si="20"/>
        <v>0</v>
      </c>
      <c r="AK47" s="401">
        <f t="shared" si="21"/>
        <v>0</v>
      </c>
      <c r="AL47" s="402">
        <f t="shared" si="22"/>
        <v>0</v>
      </c>
      <c r="AM47" s="403">
        <f t="shared" si="23"/>
        <v>0</v>
      </c>
    </row>
    <row r="48" spans="1:39" x14ac:dyDescent="0.25">
      <c r="A48" s="6" t="s">
        <v>29</v>
      </c>
      <c r="B48" s="7"/>
      <c r="G48" s="15" t="s">
        <v>423</v>
      </c>
      <c r="H48" s="15" t="s">
        <v>464</v>
      </c>
      <c r="I48" s="161">
        <v>7</v>
      </c>
      <c r="J48" s="161" t="s">
        <v>78</v>
      </c>
      <c r="K48" s="162"/>
      <c r="L48" s="162"/>
      <c r="M48" s="162" t="s">
        <v>1539</v>
      </c>
      <c r="N48" s="21">
        <v>605.01</v>
      </c>
      <c r="O48" s="21">
        <v>1037.3499999999999</v>
      </c>
      <c r="P48" s="21">
        <v>1213.1099999999999</v>
      </c>
      <c r="Q48" s="21">
        <v>1094.22</v>
      </c>
      <c r="R48" s="21">
        <v>717.65</v>
      </c>
      <c r="S48" s="21">
        <v>701.04</v>
      </c>
      <c r="T48" s="21">
        <v>456.03</v>
      </c>
      <c r="U48" s="21">
        <v>170.54</v>
      </c>
      <c r="V48" s="21">
        <v>424.49</v>
      </c>
      <c r="W48" s="21">
        <v>182.82</v>
      </c>
      <c r="X48" s="21">
        <v>547.54999999999995</v>
      </c>
      <c r="Y48" s="21">
        <v>58.91</v>
      </c>
      <c r="Z48" s="310">
        <f t="shared" si="13"/>
        <v>7208.7199999999984</v>
      </c>
      <c r="AA48" s="17">
        <f t="shared" si="14"/>
        <v>0.45434073286008791</v>
      </c>
      <c r="AC48" s="21">
        <v>9089.0349000000006</v>
      </c>
      <c r="AD48" s="17">
        <f t="shared" si="15"/>
        <v>0.36344262295081969</v>
      </c>
      <c r="AE48" s="50">
        <f t="shared" si="16"/>
        <v>-1880.3149000000021</v>
      </c>
      <c r="AF48" s="21">
        <v>11399.28</v>
      </c>
      <c r="AG48" s="17">
        <f t="shared" si="17"/>
        <v>0.40760597888467676</v>
      </c>
      <c r="AH48" s="50">
        <f t="shared" si="18"/>
        <v>-4190.5600000000022</v>
      </c>
      <c r="AI48" s="399">
        <f t="shared" si="19"/>
        <v>0.18073308930451784</v>
      </c>
      <c r="AJ48" s="400">
        <f t="shared" si="20"/>
        <v>0.22032421642062397</v>
      </c>
      <c r="AK48" s="401">
        <f t="shared" si="21"/>
        <v>0.27591809071985285</v>
      </c>
      <c r="AL48" s="402" t="str">
        <f t="shared" si="22"/>
        <v>9.09 pts.</v>
      </c>
      <c r="AM48" s="403" t="str">
        <f t="shared" si="23"/>
        <v>4.67 pts.</v>
      </c>
    </row>
    <row r="49" spans="1:42" x14ac:dyDescent="0.25">
      <c r="A49" s="6" t="s">
        <v>30</v>
      </c>
      <c r="B49" s="7" t="s">
        <v>78</v>
      </c>
      <c r="H49" s="348" t="s">
        <v>493</v>
      </c>
      <c r="I49" s="68"/>
      <c r="J49" s="68"/>
      <c r="K49" s="68"/>
      <c r="L49" s="162"/>
      <c r="M49" s="25" t="s">
        <v>469</v>
      </c>
      <c r="N49" s="164">
        <f t="shared" ref="N49:Y49" si="24">SUM(N43:N48)</f>
        <v>605.01</v>
      </c>
      <c r="O49" s="164">
        <f t="shared" si="24"/>
        <v>1037.3499999999999</v>
      </c>
      <c r="P49" s="164">
        <f t="shared" si="24"/>
        <v>1213.1099999999999</v>
      </c>
      <c r="Q49" s="164">
        <f t="shared" si="24"/>
        <v>1094.22</v>
      </c>
      <c r="R49" s="164">
        <f t="shared" si="24"/>
        <v>717.65</v>
      </c>
      <c r="S49" s="164">
        <f t="shared" si="24"/>
        <v>701.04</v>
      </c>
      <c r="T49" s="164">
        <f t="shared" si="24"/>
        <v>456.03</v>
      </c>
      <c r="U49" s="164">
        <f t="shared" si="24"/>
        <v>170.54</v>
      </c>
      <c r="V49" s="164">
        <f t="shared" si="24"/>
        <v>424.49</v>
      </c>
      <c r="W49" s="164">
        <f t="shared" si="24"/>
        <v>182.82</v>
      </c>
      <c r="X49" s="164">
        <f t="shared" si="24"/>
        <v>547.54999999999995</v>
      </c>
      <c r="Y49" s="164">
        <f t="shared" si="24"/>
        <v>58.91</v>
      </c>
      <c r="Z49" s="164">
        <f t="shared" si="13"/>
        <v>7208.7199999999984</v>
      </c>
      <c r="AA49" s="175">
        <f t="shared" si="14"/>
        <v>0.45378930994780797</v>
      </c>
      <c r="AC49" s="164">
        <f>SUM(AC43:AC48)</f>
        <v>9089.0349000000006</v>
      </c>
      <c r="AD49" s="175">
        <f t="shared" si="15"/>
        <v>0.36344262295081969</v>
      </c>
      <c r="AE49" s="165">
        <f t="shared" si="16"/>
        <v>-1880.3149000000021</v>
      </c>
      <c r="AF49" s="164">
        <f>SUM(AF43:AF48)</f>
        <v>11399.28</v>
      </c>
      <c r="AG49" s="175">
        <f t="shared" si="17"/>
        <v>0.40760597888467676</v>
      </c>
      <c r="AH49" s="165">
        <f t="shared" si="18"/>
        <v>-4190.5600000000022</v>
      </c>
      <c r="AI49" s="392">
        <f t="shared" si="19"/>
        <v>0.18073308930451784</v>
      </c>
      <c r="AJ49" s="393">
        <f t="shared" si="20"/>
        <v>0.22032421642062397</v>
      </c>
      <c r="AK49" s="394">
        <f t="shared" si="21"/>
        <v>0.27591809071985285</v>
      </c>
      <c r="AL49" s="395" t="str">
        <f t="shared" si="22"/>
        <v>9.03 pts.</v>
      </c>
      <c r="AM49" s="437" t="str">
        <f t="shared" si="23"/>
        <v>4.62 pts.</v>
      </c>
    </row>
    <row r="50" spans="1:42" x14ac:dyDescent="0.25">
      <c r="A50" s="6" t="s">
        <v>31</v>
      </c>
      <c r="B50" s="7" t="s">
        <v>78</v>
      </c>
      <c r="G50" s="25"/>
      <c r="H50" s="25"/>
      <c r="I50" s="25"/>
      <c r="J50" s="25"/>
      <c r="K50" s="25"/>
      <c r="L50" s="25"/>
      <c r="M50" s="25"/>
      <c r="N50" s="53"/>
      <c r="O50" s="54"/>
      <c r="P50" s="54"/>
      <c r="Q50" s="54"/>
      <c r="R50" s="54"/>
      <c r="S50" s="54"/>
      <c r="T50" s="54"/>
      <c r="U50" s="54"/>
      <c r="V50" s="54"/>
      <c r="W50" s="54"/>
      <c r="X50" s="54"/>
      <c r="Y50" s="54"/>
      <c r="Z50" s="54"/>
      <c r="AA50" s="55"/>
      <c r="AC50" s="53"/>
      <c r="AD50" s="54"/>
      <c r="AE50" s="55"/>
      <c r="AF50" s="53"/>
      <c r="AG50" s="54"/>
      <c r="AH50" s="55"/>
    </row>
    <row r="51" spans="1:42" x14ac:dyDescent="0.25">
      <c r="A51" s="6" t="s">
        <v>32</v>
      </c>
      <c r="B51" s="7"/>
      <c r="H51" s="1" t="s">
        <v>81</v>
      </c>
      <c r="I51" s="11" t="s">
        <v>1012</v>
      </c>
      <c r="J51" s="11" t="s">
        <v>78</v>
      </c>
      <c r="M51" s="40" t="s">
        <v>1118</v>
      </c>
      <c r="N51" s="53"/>
      <c r="O51" s="54"/>
      <c r="P51" s="54"/>
      <c r="Q51" s="54"/>
      <c r="R51" s="54"/>
      <c r="S51" s="54"/>
      <c r="T51" s="54"/>
      <c r="U51" s="54"/>
      <c r="V51" s="54"/>
      <c r="W51" s="54"/>
      <c r="X51" s="54"/>
      <c r="Y51" s="54"/>
      <c r="Z51" s="54"/>
      <c r="AA51" s="55"/>
      <c r="AC51" s="53"/>
      <c r="AD51" s="54"/>
      <c r="AE51" s="55"/>
      <c r="AF51" s="53"/>
      <c r="AG51" s="54"/>
      <c r="AH51" s="55"/>
    </row>
    <row r="52" spans="1:42" x14ac:dyDescent="0.25">
      <c r="A52" s="6" t="s">
        <v>33</v>
      </c>
      <c r="B52" s="7"/>
      <c r="G52" s="15" t="s">
        <v>365</v>
      </c>
      <c r="H52" s="15" t="s">
        <v>81</v>
      </c>
      <c r="I52" s="161">
        <v>7</v>
      </c>
      <c r="J52" s="161" t="s">
        <v>78</v>
      </c>
      <c r="K52" s="162"/>
      <c r="L52" s="162"/>
      <c r="M52" s="162" t="s">
        <v>1534</v>
      </c>
      <c r="N52" s="21">
        <f t="shared" ref="N52:Y52" si="25">IFERROR(N34-N43,"")</f>
        <v>0</v>
      </c>
      <c r="O52" s="21">
        <f t="shared" si="25"/>
        <v>0</v>
      </c>
      <c r="P52" s="21">
        <f t="shared" si="25"/>
        <v>0</v>
      </c>
      <c r="Q52" s="21">
        <f t="shared" si="25"/>
        <v>0</v>
      </c>
      <c r="R52" s="21">
        <f t="shared" si="25"/>
        <v>0</v>
      </c>
      <c r="S52" s="21">
        <f t="shared" si="25"/>
        <v>0</v>
      </c>
      <c r="T52" s="21">
        <f t="shared" si="25"/>
        <v>0</v>
      </c>
      <c r="U52" s="21">
        <f t="shared" si="25"/>
        <v>0</v>
      </c>
      <c r="V52" s="21">
        <f t="shared" si="25"/>
        <v>0</v>
      </c>
      <c r="W52" s="21">
        <f t="shared" si="25"/>
        <v>0</v>
      </c>
      <c r="X52" s="21">
        <f t="shared" si="25"/>
        <v>0</v>
      </c>
      <c r="Y52" s="21">
        <f t="shared" si="25"/>
        <v>0</v>
      </c>
      <c r="Z52" s="310">
        <f t="shared" ref="Z52:Z58" si="26">IF($I52="B1","",SUM(N52:Y52))</f>
        <v>0</v>
      </c>
      <c r="AA52" s="17" t="str">
        <f t="shared" ref="AA52:AA58" si="27">IF(Z52=0,"",IFERROR(Z52/Z34,""))</f>
        <v/>
      </c>
      <c r="AC52" s="21">
        <f t="shared" ref="AC52:AC57" si="28">IFERROR(AC34-AC43,"")</f>
        <v>0</v>
      </c>
      <c r="AD52" s="17" t="str">
        <f t="shared" ref="AD52:AD58" si="29">IF(AC52=0,"",IFERROR(AC52/AC34,""))</f>
        <v/>
      </c>
      <c r="AE52" s="50">
        <f t="shared" ref="AE52:AE58" si="30">IF(AND($Z52="",AC52=""),"",$Z52-AC52)</f>
        <v>0</v>
      </c>
      <c r="AF52" s="21">
        <f t="shared" ref="AF52:AF57" si="31">IFERROR(AF34-AF43,"")</f>
        <v>0</v>
      </c>
      <c r="AG52" s="17" t="str">
        <f t="shared" ref="AG52:AG58" si="32">IF(AF52=0,"",IFERROR(AF52/AF34,""))</f>
        <v/>
      </c>
      <c r="AH52" s="50">
        <f t="shared" ref="AH52:AH58" si="33">IF(AND($Z52="",AF52=""),"",$Z52-AF52)</f>
        <v>0</v>
      </c>
      <c r="AI52" s="399">
        <f t="shared" ref="AI52:AI58" si="34">IFERROR(Z52/Z$20,0)</f>
        <v>0</v>
      </c>
      <c r="AJ52" s="400">
        <f t="shared" ref="AJ52:AJ58" si="35">IFERROR(AC52/AC$20,0)</f>
        <v>0</v>
      </c>
      <c r="AK52" s="401">
        <f t="shared" ref="AK52:AK58" si="36">IFERROR(AF52/AF$20,0)</f>
        <v>0</v>
      </c>
      <c r="AL52" s="402">
        <f t="shared" ref="AL52:AL58" si="37">+IFERROR(ROUND(($AA52-AD52)*100,2)&amp;" pts.",0)</f>
        <v>0</v>
      </c>
      <c r="AM52" s="403">
        <f t="shared" ref="AM52:AM58" si="38">+IFERROR(ROUND(($AA52-AG52)*100,2)&amp;" pts.",0)</f>
        <v>0</v>
      </c>
    </row>
    <row r="53" spans="1:42" x14ac:dyDescent="0.25">
      <c r="A53" s="6" t="s">
        <v>34</v>
      </c>
      <c r="B53" s="7"/>
      <c r="G53" s="15" t="s">
        <v>366</v>
      </c>
      <c r="H53" s="15" t="s">
        <v>81</v>
      </c>
      <c r="I53" s="161">
        <v>7</v>
      </c>
      <c r="J53" s="161" t="s">
        <v>78</v>
      </c>
      <c r="K53" s="162"/>
      <c r="L53" s="162"/>
      <c r="M53" s="162" t="s">
        <v>1535</v>
      </c>
      <c r="N53" s="21">
        <f t="shared" ref="N53:Y53" si="39">IFERROR(N35-N44,"")</f>
        <v>0</v>
      </c>
      <c r="O53" s="21">
        <f t="shared" si="39"/>
        <v>0</v>
      </c>
      <c r="P53" s="21">
        <f t="shared" si="39"/>
        <v>0</v>
      </c>
      <c r="Q53" s="21">
        <f t="shared" si="39"/>
        <v>0</v>
      </c>
      <c r="R53" s="21">
        <f t="shared" si="39"/>
        <v>0</v>
      </c>
      <c r="S53" s="21">
        <f t="shared" si="39"/>
        <v>0</v>
      </c>
      <c r="T53" s="21">
        <f t="shared" si="39"/>
        <v>0</v>
      </c>
      <c r="U53" s="21">
        <f t="shared" si="39"/>
        <v>0</v>
      </c>
      <c r="V53" s="21">
        <f t="shared" si="39"/>
        <v>0</v>
      </c>
      <c r="W53" s="21">
        <f t="shared" si="39"/>
        <v>0</v>
      </c>
      <c r="X53" s="21">
        <f t="shared" si="39"/>
        <v>0</v>
      </c>
      <c r="Y53" s="21">
        <f t="shared" si="39"/>
        <v>0</v>
      </c>
      <c r="Z53" s="310">
        <f t="shared" si="26"/>
        <v>0</v>
      </c>
      <c r="AA53" s="17" t="str">
        <f t="shared" si="27"/>
        <v/>
      </c>
      <c r="AC53" s="21">
        <f t="shared" si="28"/>
        <v>0</v>
      </c>
      <c r="AD53" s="17" t="str">
        <f t="shared" si="29"/>
        <v/>
      </c>
      <c r="AE53" s="50">
        <f t="shared" si="30"/>
        <v>0</v>
      </c>
      <c r="AF53" s="21">
        <f t="shared" si="31"/>
        <v>0</v>
      </c>
      <c r="AG53" s="17" t="str">
        <f t="shared" si="32"/>
        <v/>
      </c>
      <c r="AH53" s="50">
        <f t="shared" si="33"/>
        <v>0</v>
      </c>
      <c r="AI53" s="399">
        <f t="shared" si="34"/>
        <v>0</v>
      </c>
      <c r="AJ53" s="400">
        <f t="shared" si="35"/>
        <v>0</v>
      </c>
      <c r="AK53" s="401">
        <f t="shared" si="36"/>
        <v>0</v>
      </c>
      <c r="AL53" s="402">
        <f t="shared" si="37"/>
        <v>0</v>
      </c>
      <c r="AM53" s="403">
        <f t="shared" si="38"/>
        <v>0</v>
      </c>
    </row>
    <row r="54" spans="1:42" x14ac:dyDescent="0.25">
      <c r="A54" s="6" t="s">
        <v>35</v>
      </c>
      <c r="B54" s="7"/>
      <c r="G54" s="15" t="s">
        <v>380</v>
      </c>
      <c r="H54" s="15" t="s">
        <v>81</v>
      </c>
      <c r="I54" s="161">
        <v>7</v>
      </c>
      <c r="J54" s="161" t="s">
        <v>78</v>
      </c>
      <c r="K54" s="162"/>
      <c r="L54" s="162"/>
      <c r="M54" s="162" t="s">
        <v>1536</v>
      </c>
      <c r="N54" s="21">
        <f t="shared" ref="N54:Y54" si="40">IFERROR(N36-N45,"")</f>
        <v>0</v>
      </c>
      <c r="O54" s="21">
        <f t="shared" si="40"/>
        <v>0</v>
      </c>
      <c r="P54" s="21">
        <f t="shared" si="40"/>
        <v>0</v>
      </c>
      <c r="Q54" s="21">
        <f t="shared" si="40"/>
        <v>0</v>
      </c>
      <c r="R54" s="21">
        <f t="shared" si="40"/>
        <v>0</v>
      </c>
      <c r="S54" s="21">
        <f t="shared" si="40"/>
        <v>0</v>
      </c>
      <c r="T54" s="21">
        <f t="shared" si="40"/>
        <v>0</v>
      </c>
      <c r="U54" s="21">
        <f t="shared" si="40"/>
        <v>0</v>
      </c>
      <c r="V54" s="21">
        <f t="shared" si="40"/>
        <v>0</v>
      </c>
      <c r="W54" s="21">
        <f t="shared" si="40"/>
        <v>0</v>
      </c>
      <c r="X54" s="21">
        <f t="shared" si="40"/>
        <v>0</v>
      </c>
      <c r="Y54" s="21">
        <f t="shared" si="40"/>
        <v>0</v>
      </c>
      <c r="Z54" s="310">
        <f t="shared" si="26"/>
        <v>0</v>
      </c>
      <c r="AA54" s="17" t="str">
        <f t="shared" si="27"/>
        <v/>
      </c>
      <c r="AC54" s="21">
        <f t="shared" si="28"/>
        <v>0</v>
      </c>
      <c r="AD54" s="17" t="str">
        <f t="shared" si="29"/>
        <v/>
      </c>
      <c r="AE54" s="50">
        <f t="shared" si="30"/>
        <v>0</v>
      </c>
      <c r="AF54" s="21">
        <f t="shared" si="31"/>
        <v>0</v>
      </c>
      <c r="AG54" s="17" t="str">
        <f t="shared" si="32"/>
        <v/>
      </c>
      <c r="AH54" s="50">
        <f t="shared" si="33"/>
        <v>0</v>
      </c>
      <c r="AI54" s="399">
        <f t="shared" si="34"/>
        <v>0</v>
      </c>
      <c r="AJ54" s="400">
        <f t="shared" si="35"/>
        <v>0</v>
      </c>
      <c r="AK54" s="401">
        <f t="shared" si="36"/>
        <v>0</v>
      </c>
      <c r="AL54" s="402">
        <f t="shared" si="37"/>
        <v>0</v>
      </c>
      <c r="AM54" s="403">
        <f t="shared" si="38"/>
        <v>0</v>
      </c>
    </row>
    <row r="55" spans="1:42" x14ac:dyDescent="0.25">
      <c r="A55" s="6" t="s">
        <v>36</v>
      </c>
      <c r="B55" s="7"/>
      <c r="G55" s="15" t="s">
        <v>386</v>
      </c>
      <c r="H55" s="15" t="s">
        <v>81</v>
      </c>
      <c r="I55" s="161">
        <v>7</v>
      </c>
      <c r="J55" s="161" t="s">
        <v>78</v>
      </c>
      <c r="K55" s="162"/>
      <c r="L55" s="162"/>
      <c r="M55" s="162" t="s">
        <v>1537</v>
      </c>
      <c r="N55" s="21">
        <f t="shared" ref="N55:Y55" si="41">IFERROR(N37-N46,"")</f>
        <v>0</v>
      </c>
      <c r="O55" s="21">
        <f t="shared" si="41"/>
        <v>0</v>
      </c>
      <c r="P55" s="21">
        <f t="shared" si="41"/>
        <v>0</v>
      </c>
      <c r="Q55" s="21">
        <f t="shared" si="41"/>
        <v>0</v>
      </c>
      <c r="R55" s="21">
        <f t="shared" si="41"/>
        <v>0</v>
      </c>
      <c r="S55" s="21">
        <f t="shared" si="41"/>
        <v>0</v>
      </c>
      <c r="T55" s="21">
        <f t="shared" si="41"/>
        <v>0</v>
      </c>
      <c r="U55" s="21">
        <f t="shared" si="41"/>
        <v>0</v>
      </c>
      <c r="V55" s="21">
        <f t="shared" si="41"/>
        <v>0</v>
      </c>
      <c r="W55" s="21">
        <f t="shared" si="41"/>
        <v>0</v>
      </c>
      <c r="X55" s="21">
        <f t="shared" si="41"/>
        <v>19.28</v>
      </c>
      <c r="Y55" s="21">
        <f t="shared" si="41"/>
        <v>0</v>
      </c>
      <c r="Z55" s="310">
        <f t="shared" si="26"/>
        <v>19.28</v>
      </c>
      <c r="AA55" s="17">
        <f t="shared" si="27"/>
        <v>1</v>
      </c>
      <c r="AC55" s="21">
        <f t="shared" si="28"/>
        <v>0</v>
      </c>
      <c r="AD55" s="17" t="str">
        <f t="shared" si="29"/>
        <v/>
      </c>
      <c r="AE55" s="50">
        <f t="shared" si="30"/>
        <v>19.28</v>
      </c>
      <c r="AF55" s="21">
        <f t="shared" si="31"/>
        <v>0</v>
      </c>
      <c r="AG55" s="17" t="str">
        <f t="shared" si="32"/>
        <v/>
      </c>
      <c r="AH55" s="50">
        <f t="shared" si="33"/>
        <v>19.28</v>
      </c>
      <c r="AI55" s="399">
        <f t="shared" si="34"/>
        <v>4.8337762623476912E-4</v>
      </c>
      <c r="AJ55" s="400">
        <f t="shared" si="35"/>
        <v>0</v>
      </c>
      <c r="AK55" s="401">
        <f t="shared" si="36"/>
        <v>0</v>
      </c>
      <c r="AL55" s="402">
        <f t="shared" si="37"/>
        <v>0</v>
      </c>
      <c r="AM55" s="403">
        <f t="shared" si="38"/>
        <v>0</v>
      </c>
    </row>
    <row r="56" spans="1:42" x14ac:dyDescent="0.25">
      <c r="A56" s="6" t="s">
        <v>37</v>
      </c>
      <c r="B56" s="7"/>
      <c r="G56" s="15" t="s">
        <v>406</v>
      </c>
      <c r="H56" s="15" t="s">
        <v>81</v>
      </c>
      <c r="I56" s="161">
        <v>6</v>
      </c>
      <c r="J56" s="161" t="s">
        <v>78</v>
      </c>
      <c r="K56" s="162"/>
      <c r="L56" s="162"/>
      <c r="M56" s="162" t="s">
        <v>1538</v>
      </c>
      <c r="N56" s="21">
        <f t="shared" ref="N56:Y56" si="42">IFERROR(N38-N47,"")</f>
        <v>0</v>
      </c>
      <c r="O56" s="21">
        <f t="shared" si="42"/>
        <v>0</v>
      </c>
      <c r="P56" s="21">
        <f t="shared" si="42"/>
        <v>0</v>
      </c>
      <c r="Q56" s="21">
        <f t="shared" si="42"/>
        <v>0</v>
      </c>
      <c r="R56" s="21">
        <f t="shared" si="42"/>
        <v>0</v>
      </c>
      <c r="S56" s="21">
        <f t="shared" si="42"/>
        <v>0</v>
      </c>
      <c r="T56" s="21">
        <f t="shared" si="42"/>
        <v>0</v>
      </c>
      <c r="U56" s="21">
        <f t="shared" si="42"/>
        <v>0</v>
      </c>
      <c r="V56" s="21">
        <f t="shared" si="42"/>
        <v>0</v>
      </c>
      <c r="W56" s="21">
        <f t="shared" si="42"/>
        <v>0</v>
      </c>
      <c r="X56" s="21">
        <f t="shared" si="42"/>
        <v>0</v>
      </c>
      <c r="Y56" s="21">
        <f t="shared" si="42"/>
        <v>0</v>
      </c>
      <c r="Z56" s="310">
        <f t="shared" si="26"/>
        <v>0</v>
      </c>
      <c r="AA56" s="17" t="str">
        <f t="shared" si="27"/>
        <v/>
      </c>
      <c r="AC56" s="21">
        <f t="shared" si="28"/>
        <v>0</v>
      </c>
      <c r="AD56" s="17" t="str">
        <f t="shared" si="29"/>
        <v/>
      </c>
      <c r="AE56" s="50">
        <f t="shared" si="30"/>
        <v>0</v>
      </c>
      <c r="AF56" s="21">
        <f t="shared" si="31"/>
        <v>0</v>
      </c>
      <c r="AG56" s="17" t="str">
        <f t="shared" si="32"/>
        <v/>
      </c>
      <c r="AH56" s="50">
        <f t="shared" si="33"/>
        <v>0</v>
      </c>
      <c r="AI56" s="399">
        <f t="shared" si="34"/>
        <v>0</v>
      </c>
      <c r="AJ56" s="400">
        <f t="shared" si="35"/>
        <v>0</v>
      </c>
      <c r="AK56" s="401">
        <f t="shared" si="36"/>
        <v>0</v>
      </c>
      <c r="AL56" s="402">
        <f t="shared" si="37"/>
        <v>0</v>
      </c>
      <c r="AM56" s="403">
        <f t="shared" si="38"/>
        <v>0</v>
      </c>
      <c r="AO56" s="398"/>
      <c r="AP56" s="398"/>
    </row>
    <row r="57" spans="1:42" x14ac:dyDescent="0.25">
      <c r="A57" s="6" t="s">
        <v>38</v>
      </c>
      <c r="B57" s="7"/>
      <c r="G57" s="15" t="s">
        <v>423</v>
      </c>
      <c r="H57" s="15" t="s">
        <v>81</v>
      </c>
      <c r="I57" s="161">
        <v>7</v>
      </c>
      <c r="J57" s="161" t="s">
        <v>78</v>
      </c>
      <c r="K57" s="162"/>
      <c r="L57" s="162"/>
      <c r="M57" s="162" t="s">
        <v>1539</v>
      </c>
      <c r="N57" s="21">
        <f t="shared" ref="N57:Y57" si="43">IFERROR(N39-N48,"")</f>
        <v>1271.8399999999999</v>
      </c>
      <c r="O57" s="21">
        <f t="shared" si="43"/>
        <v>1225.7400000000002</v>
      </c>
      <c r="P57" s="21">
        <f t="shared" si="43"/>
        <v>156.63000000000011</v>
      </c>
      <c r="Q57" s="21">
        <f t="shared" si="43"/>
        <v>981.16000000000008</v>
      </c>
      <c r="R57" s="21">
        <f t="shared" si="43"/>
        <v>813.19999999999993</v>
      </c>
      <c r="S57" s="21">
        <f t="shared" si="43"/>
        <v>972.07999999999993</v>
      </c>
      <c r="T57" s="21">
        <f t="shared" si="43"/>
        <v>586.05999999999995</v>
      </c>
      <c r="U57" s="21">
        <f t="shared" si="43"/>
        <v>614.72</v>
      </c>
      <c r="V57" s="21">
        <f t="shared" si="43"/>
        <v>427.42999999999995</v>
      </c>
      <c r="W57" s="21">
        <f t="shared" si="43"/>
        <v>1032.71</v>
      </c>
      <c r="X57" s="21">
        <f t="shared" si="43"/>
        <v>971.18000000000006</v>
      </c>
      <c r="Y57" s="21">
        <f t="shared" si="43"/>
        <v>-395.14</v>
      </c>
      <c r="Z57" s="310">
        <f t="shared" si="26"/>
        <v>8657.61</v>
      </c>
      <c r="AA57" s="17">
        <f t="shared" si="27"/>
        <v>0.54565926713991209</v>
      </c>
      <c r="AC57" s="21">
        <f t="shared" si="28"/>
        <v>15919.135099999998</v>
      </c>
      <c r="AD57" s="17">
        <f t="shared" si="29"/>
        <v>0.63655737704918025</v>
      </c>
      <c r="AE57" s="50">
        <f t="shared" si="30"/>
        <v>-7261.5250999999971</v>
      </c>
      <c r="AF57" s="21">
        <f t="shared" si="31"/>
        <v>16567.14</v>
      </c>
      <c r="AG57" s="17">
        <f t="shared" si="32"/>
        <v>0.59239402111532335</v>
      </c>
      <c r="AH57" s="50">
        <f t="shared" si="33"/>
        <v>-7909.5299999999988</v>
      </c>
      <c r="AI57" s="399">
        <f t="shared" si="34"/>
        <v>0.2170588677731535</v>
      </c>
      <c r="AJ57" s="400">
        <f t="shared" si="35"/>
        <v>0.38589036191307291</v>
      </c>
      <c r="AK57" s="401">
        <f t="shared" si="36"/>
        <v>0.40100547030062444</v>
      </c>
      <c r="AL57" s="402" t="str">
        <f t="shared" si="37"/>
        <v>-9.09 pts.</v>
      </c>
      <c r="AM57" s="403" t="str">
        <f t="shared" si="38"/>
        <v>-4.67 pts.</v>
      </c>
    </row>
    <row r="58" spans="1:42" x14ac:dyDescent="0.25">
      <c r="A58" s="6" t="s">
        <v>39</v>
      </c>
      <c r="B58" s="7"/>
      <c r="H58" s="68"/>
      <c r="I58" s="68"/>
      <c r="J58" s="68"/>
      <c r="K58" s="68"/>
      <c r="L58" s="162"/>
      <c r="M58" s="25" t="s">
        <v>471</v>
      </c>
      <c r="N58" s="164">
        <f t="shared" ref="N58:Y58" si="44">SUM(N52:N57)</f>
        <v>1271.8399999999999</v>
      </c>
      <c r="O58" s="164">
        <f t="shared" si="44"/>
        <v>1225.7400000000002</v>
      </c>
      <c r="P58" s="164">
        <f t="shared" si="44"/>
        <v>156.63000000000011</v>
      </c>
      <c r="Q58" s="164">
        <f t="shared" si="44"/>
        <v>981.16000000000008</v>
      </c>
      <c r="R58" s="164">
        <f t="shared" si="44"/>
        <v>813.19999999999993</v>
      </c>
      <c r="S58" s="164">
        <f t="shared" si="44"/>
        <v>972.07999999999993</v>
      </c>
      <c r="T58" s="164">
        <f t="shared" si="44"/>
        <v>586.05999999999995</v>
      </c>
      <c r="U58" s="164">
        <f t="shared" si="44"/>
        <v>614.72</v>
      </c>
      <c r="V58" s="164">
        <f t="shared" si="44"/>
        <v>427.42999999999995</v>
      </c>
      <c r="W58" s="164">
        <f t="shared" si="44"/>
        <v>1032.71</v>
      </c>
      <c r="X58" s="164">
        <f t="shared" si="44"/>
        <v>990.46</v>
      </c>
      <c r="Y58" s="164">
        <f t="shared" si="44"/>
        <v>-395.14</v>
      </c>
      <c r="Z58" s="164">
        <f t="shared" si="26"/>
        <v>8676.89</v>
      </c>
      <c r="AA58" s="175">
        <f t="shared" si="27"/>
        <v>0.54621069005219181</v>
      </c>
      <c r="AC58" s="164">
        <f>SUM(AC52:AC57)</f>
        <v>15919.135099999998</v>
      </c>
      <c r="AD58" s="175">
        <f t="shared" si="29"/>
        <v>0.63655737704918025</v>
      </c>
      <c r="AE58" s="165">
        <f t="shared" si="30"/>
        <v>-7242.2450999999983</v>
      </c>
      <c r="AF58" s="164">
        <f>SUM(AF52:AF57)</f>
        <v>16567.14</v>
      </c>
      <c r="AG58" s="175">
        <f t="shared" si="32"/>
        <v>0.59239402111532335</v>
      </c>
      <c r="AH58" s="165">
        <f t="shared" si="33"/>
        <v>-7890.25</v>
      </c>
      <c r="AI58" s="392">
        <f t="shared" si="34"/>
        <v>0.21754224539938824</v>
      </c>
      <c r="AJ58" s="393">
        <f t="shared" si="35"/>
        <v>0.38589036191307291</v>
      </c>
      <c r="AK58" s="394">
        <f t="shared" si="36"/>
        <v>0.40100547030062444</v>
      </c>
      <c r="AL58" s="395" t="str">
        <f t="shared" si="37"/>
        <v>-9.03 pts.</v>
      </c>
      <c r="AM58" s="437" t="str">
        <f t="shared" si="38"/>
        <v>-4.62 pts.</v>
      </c>
    </row>
    <row r="59" spans="1:42" x14ac:dyDescent="0.25">
      <c r="A59" s="6" t="s">
        <v>40</v>
      </c>
      <c r="B59" s="7"/>
      <c r="I59" s="1"/>
      <c r="J59" s="1"/>
    </row>
    <row r="60" spans="1:42" ht="15.75" thickBot="1" x14ac:dyDescent="0.3">
      <c r="A60" s="6" t="s">
        <v>41</v>
      </c>
      <c r="B60" s="7"/>
      <c r="G60" s="15" t="s">
        <v>463</v>
      </c>
      <c r="H60" s="15" t="s">
        <v>81</v>
      </c>
      <c r="I60" s="27" t="s">
        <v>1012</v>
      </c>
      <c r="J60" s="27" t="s">
        <v>78</v>
      </c>
      <c r="K60" s="25"/>
      <c r="L60" s="25"/>
      <c r="M60" s="25" t="s">
        <v>1118</v>
      </c>
      <c r="N60" s="62">
        <v>1271.8399999999999</v>
      </c>
      <c r="O60" s="62">
        <v>1225.74</v>
      </c>
      <c r="P60" s="62">
        <v>156.63</v>
      </c>
      <c r="Q60" s="62">
        <v>981.16</v>
      </c>
      <c r="R60" s="62">
        <v>813.2</v>
      </c>
      <c r="S60" s="62">
        <v>972.08</v>
      </c>
      <c r="T60" s="62">
        <v>586.05999999999995</v>
      </c>
      <c r="U60" s="62">
        <v>614.72</v>
      </c>
      <c r="V60" s="62">
        <v>427.43</v>
      </c>
      <c r="W60" s="62">
        <v>1032.71</v>
      </c>
      <c r="X60" s="62">
        <v>990.46</v>
      </c>
      <c r="Y60" s="62">
        <v>-395.14</v>
      </c>
      <c r="Z60" s="62">
        <f>IF($I60="B1","",SUM(N60:Y60))</f>
        <v>8676.89</v>
      </c>
      <c r="AA60" s="63">
        <f>IF(Z60=0,"",IFERROR(Z60/Z$19,""))</f>
        <v>0.54621069005219181</v>
      </c>
      <c r="AC60" s="62">
        <v>15919.1351</v>
      </c>
      <c r="AD60" s="63">
        <f>IF(AC60=0,"",IFERROR(AC60/AC$19,""))</f>
        <v>0.63655737704918036</v>
      </c>
      <c r="AE60" s="64">
        <f>IF(AND($Z60="",AC60=""),"",$Z60-AC60)</f>
        <v>-7242.2451000000001</v>
      </c>
      <c r="AF60" s="62">
        <v>16567.14</v>
      </c>
      <c r="AG60" s="63">
        <f>IF(AF60=0,"",IFERROR(AF60/AF$19,""))</f>
        <v>0.59239402111532335</v>
      </c>
      <c r="AH60" s="64">
        <f>IF(AND($Z60="",AF60=""),"",$Z60-AF60)</f>
        <v>-7890.25</v>
      </c>
      <c r="AI60" s="430">
        <f>IFERROR(Z60/Z$20,0)</f>
        <v>0.21754224539938824</v>
      </c>
      <c r="AJ60" s="431">
        <f>IFERROR(AC60/AC$20,0)</f>
        <v>0.38589036191307297</v>
      </c>
      <c r="AK60" s="432">
        <f>IFERROR(AF60/AF$20,0)</f>
        <v>0.40100547030062444</v>
      </c>
      <c r="AL60" s="433" t="str">
        <f>+IFERROR(ROUND(($AA60-AD60)*100,2)&amp;" pts.",0)</f>
        <v>-9.03 pts.</v>
      </c>
      <c r="AM60" s="438" t="str">
        <f>+IFERROR(ROUND(($AA60-AG60)*100,2)&amp;" pts.",0)</f>
        <v>-4.62 pts.</v>
      </c>
    </row>
    <row r="61" spans="1:42" ht="15.75" thickTop="1" x14ac:dyDescent="0.25">
      <c r="A61" s="6" t="s">
        <v>42</v>
      </c>
      <c r="B61" s="7"/>
      <c r="I61" s="1"/>
      <c r="J61" s="1"/>
    </row>
    <row r="62" spans="1:42" x14ac:dyDescent="0.25">
      <c r="A62" s="6" t="s">
        <v>43</v>
      </c>
      <c r="B62" s="7"/>
      <c r="M62" s="26" t="str">
        <f>$M$51&amp;" - Check"</f>
        <v>Department Profit (Loss) - Check</v>
      </c>
      <c r="N62" s="139">
        <f t="shared" ref="N62:Z62" si="45">SUMIF($H$34:$H$49,"REV",N34:N49)-SUMIF($H$34:$H$49,"EXP",N34:N49)-N60</f>
        <v>0</v>
      </c>
      <c r="O62" s="139">
        <f t="shared" si="45"/>
        <v>0</v>
      </c>
      <c r="P62" s="139">
        <f t="shared" si="45"/>
        <v>0</v>
      </c>
      <c r="Q62" s="139">
        <f t="shared" si="45"/>
        <v>0</v>
      </c>
      <c r="R62" s="139">
        <f t="shared" si="45"/>
        <v>0</v>
      </c>
      <c r="S62" s="139">
        <f t="shared" si="45"/>
        <v>0</v>
      </c>
      <c r="T62" s="139">
        <f t="shared" si="45"/>
        <v>0</v>
      </c>
      <c r="U62" s="139">
        <f t="shared" si="45"/>
        <v>0</v>
      </c>
      <c r="V62" s="139">
        <f t="shared" si="45"/>
        <v>0</v>
      </c>
      <c r="W62" s="139">
        <f t="shared" si="45"/>
        <v>0</v>
      </c>
      <c r="X62" s="139">
        <f t="shared" si="45"/>
        <v>0</v>
      </c>
      <c r="Y62" s="139">
        <f t="shared" si="45"/>
        <v>0</v>
      </c>
      <c r="Z62" s="139">
        <f t="shared" si="45"/>
        <v>0</v>
      </c>
      <c r="AA62" s="17"/>
      <c r="AC62" s="139">
        <f>SUMIF($H$34:$H$49,"REV",AC34:AC49)-SUMIF($H$34:$H$49,"EXP",AC34:AC49)-AC60</f>
        <v>0</v>
      </c>
      <c r="AD62" s="17"/>
      <c r="AE62" s="21"/>
      <c r="AF62" s="139">
        <f>SUMIF($H$34:$H$49,"REV",AF34:AF49)-SUMIF($H$34:$H$49,"EXP",AF34:AF49)-AF60</f>
        <v>0</v>
      </c>
      <c r="AG62" s="17"/>
      <c r="AH62" s="21"/>
    </row>
    <row r="63" spans="1:42" x14ac:dyDescent="0.25">
      <c r="A63" s="6" t="s">
        <v>44</v>
      </c>
      <c r="B63" s="7"/>
      <c r="N63" s="166"/>
      <c r="O63" s="166"/>
      <c r="P63" s="166"/>
      <c r="Q63" s="166"/>
      <c r="R63" s="166"/>
      <c r="S63" s="166"/>
      <c r="T63" s="166"/>
      <c r="U63" s="166"/>
      <c r="V63" s="166"/>
      <c r="W63" s="166"/>
      <c r="X63" s="166"/>
      <c r="Y63" s="166"/>
      <c r="Z63" s="166"/>
    </row>
    <row r="64" spans="1:42" x14ac:dyDescent="0.25">
      <c r="A64" s="6" t="s">
        <v>45</v>
      </c>
      <c r="B64" s="7"/>
      <c r="N64" s="166"/>
      <c r="O64" s="166"/>
      <c r="P64" s="166"/>
      <c r="Q64" s="166"/>
      <c r="R64" s="166"/>
      <c r="S64" s="166"/>
      <c r="T64" s="166"/>
      <c r="U64" s="166"/>
      <c r="V64" s="166"/>
      <c r="W64" s="166"/>
      <c r="X64" s="166"/>
      <c r="Y64" s="166"/>
      <c r="Z64" s="166"/>
      <c r="AC64" s="166"/>
      <c r="AF64" s="166"/>
    </row>
    <row r="65" spans="1:32" x14ac:dyDescent="0.25">
      <c r="A65" s="6" t="s">
        <v>46</v>
      </c>
      <c r="B65" s="7"/>
      <c r="N65" s="166"/>
      <c r="O65" s="166"/>
      <c r="P65" s="166"/>
      <c r="Q65" s="166"/>
      <c r="R65" s="166"/>
      <c r="S65" s="166"/>
      <c r="T65" s="166"/>
      <c r="U65" s="166"/>
      <c r="V65" s="166"/>
      <c r="W65" s="166"/>
      <c r="X65" s="166"/>
      <c r="Y65" s="166"/>
      <c r="Z65" s="166"/>
      <c r="AC65" s="166"/>
      <c r="AF65" s="166"/>
    </row>
    <row r="66" spans="1:32" x14ac:dyDescent="0.25">
      <c r="N66" s="166"/>
      <c r="O66" s="166"/>
      <c r="P66" s="166"/>
      <c r="Q66" s="166"/>
      <c r="R66" s="166"/>
      <c r="S66" s="166"/>
      <c r="T66" s="166"/>
      <c r="U66" s="166"/>
      <c r="V66" s="166"/>
      <c r="W66" s="166"/>
      <c r="X66" s="166"/>
      <c r="Y66" s="166"/>
      <c r="Z66" s="166"/>
      <c r="AC66" s="166"/>
      <c r="AF66" s="166"/>
    </row>
    <row r="69" spans="1:32" x14ac:dyDescent="0.25">
      <c r="H69" s="11"/>
      <c r="J69" s="1"/>
    </row>
    <row r="70" spans="1:32" x14ac:dyDescent="0.25">
      <c r="H70" s="11"/>
      <c r="J70" s="1"/>
    </row>
    <row r="71" spans="1:32" x14ac:dyDescent="0.25">
      <c r="H71" s="11"/>
      <c r="J71" s="1"/>
    </row>
    <row r="72" spans="1:32" x14ac:dyDescent="0.25">
      <c r="G72" s="14"/>
      <c r="H72" s="11"/>
      <c r="J72" s="1"/>
    </row>
    <row r="73" spans="1:32" x14ac:dyDescent="0.25">
      <c r="H73" s="11"/>
      <c r="J73" s="1"/>
    </row>
    <row r="74" spans="1:32" x14ac:dyDescent="0.25">
      <c r="H74" s="11"/>
      <c r="J74" s="1"/>
    </row>
    <row r="75" spans="1:32" x14ac:dyDescent="0.25">
      <c r="H75" s="11"/>
      <c r="J75" s="1"/>
    </row>
    <row r="76" spans="1:32" x14ac:dyDescent="0.25">
      <c r="H76" s="11"/>
      <c r="J76" s="1"/>
    </row>
    <row r="77" spans="1:32" x14ac:dyDescent="0.25">
      <c r="G77" s="14"/>
      <c r="H77" s="11"/>
      <c r="J77" s="1"/>
    </row>
    <row r="78" spans="1:32" x14ac:dyDescent="0.25">
      <c r="H78" s="11"/>
      <c r="J78" s="1"/>
    </row>
    <row r="79" spans="1:32" x14ac:dyDescent="0.25">
      <c r="H79" s="11"/>
      <c r="J79" s="1"/>
    </row>
    <row r="80" spans="1:32"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132" spans="5:33" x14ac:dyDescent="0.25">
      <c r="I132" s="76"/>
      <c r="J132" s="1"/>
      <c r="K132" s="76"/>
      <c r="L132" s="76"/>
      <c r="N132" s="76"/>
      <c r="O132" s="76"/>
      <c r="P132" s="76"/>
      <c r="Q132" s="76"/>
      <c r="R132" s="76"/>
      <c r="S132" s="76"/>
      <c r="T132" s="76"/>
      <c r="U132" s="76"/>
      <c r="V132" s="76"/>
      <c r="W132" s="76"/>
      <c r="X132" s="76"/>
      <c r="Y132" s="76"/>
      <c r="Z132" s="76"/>
      <c r="AC132" s="76"/>
      <c r="AE132" s="76"/>
      <c r="AG132" s="76"/>
    </row>
    <row r="136" spans="5:33" x14ac:dyDescent="0.25">
      <c r="I136" s="76"/>
      <c r="J136" s="1"/>
      <c r="K136" s="76"/>
      <c r="L136" s="76"/>
      <c r="N136" s="76"/>
      <c r="O136" s="76"/>
      <c r="P136" s="76"/>
      <c r="Q136" s="76"/>
      <c r="R136" s="76"/>
      <c r="S136" s="76"/>
      <c r="T136" s="76"/>
      <c r="U136" s="76"/>
      <c r="V136" s="76"/>
      <c r="W136" s="76"/>
      <c r="X136" s="76"/>
      <c r="Y136" s="76"/>
      <c r="Z136" s="76"/>
      <c r="AC136" s="76"/>
      <c r="AE136" s="76"/>
      <c r="AG136" s="76"/>
    </row>
    <row r="144" spans="5:33" x14ac:dyDescent="0.25">
      <c r="E144" s="76"/>
    </row>
    <row r="148" spans="5:7" x14ac:dyDescent="0.25">
      <c r="E148" s="76"/>
    </row>
    <row r="156" spans="5:7" x14ac:dyDescent="0.25">
      <c r="G156" s="76"/>
    </row>
    <row r="160" spans="5:7" x14ac:dyDescent="0.25">
      <c r="G160" s="76"/>
    </row>
  </sheetData>
  <mergeCells count="2">
    <mergeCell ref="AC31:AD31"/>
    <mergeCell ref="AF31:AG31"/>
  </mergeCells>
  <dataValidations count="2">
    <dataValidation type="list" allowBlank="1" sqref="B29:C29" xr:uid="{00000000-0002-0000-3D00-000000000000}">
      <formula1>"SELF,ALL,BAS,DEP,BASMEMBERS,MEMBERS,NOEXPAND,GDEP"</formula1>
    </dataValidation>
    <dataValidation type="list" allowBlank="1" sqref="B28:C28" xr:uid="{00000000-0002-0000-3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1476" r:id="rId5" name="FPMExcelClientSheetOptionstb1">
          <controlPr defaultSize="0" autoLine="0" r:id="rId6">
            <anchor moveWithCells="1" sizeWithCells="1">
              <from>
                <xdr:col>0</xdr:col>
                <xdr:colOff>0</xdr:colOff>
                <xdr:row>0</xdr:row>
                <xdr:rowOff>0</xdr:rowOff>
              </from>
              <to>
                <xdr:col>12</xdr:col>
                <xdr:colOff>666750</xdr:colOff>
                <xdr:row>0</xdr:row>
                <xdr:rowOff>0</xdr:rowOff>
              </to>
            </anchor>
          </controlPr>
        </control>
      </mc:Choice>
      <mc:Fallback>
        <control shapeId="361476" r:id="rId5" name="FPMExcelClientSheetOptionstb1"/>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365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35" hidden="1" outlineLevel="1" x14ac:dyDescent="0.25">
      <c r="A19" s="6" t="s">
        <v>4</v>
      </c>
      <c r="B19" s="7" t="e">
        <f ca="1">_xll.EVRNG(H34:H39)</f>
        <v>#NAME?</v>
      </c>
      <c r="G19" s="18" t="str">
        <f>$B$6</f>
        <v>D_TELCOM</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I20" s="1"/>
      <c r="J20" s="1"/>
    </row>
    <row r="21" spans="1:35" hidden="1" outlineLevel="1" x14ac:dyDescent="0.25">
      <c r="A21" s="6" t="s">
        <v>6</v>
      </c>
      <c r="B21" s="7"/>
      <c r="I21" s="1"/>
      <c r="J21" s="1"/>
    </row>
    <row r="22" spans="1:35" hidden="1" outlineLevel="1" x14ac:dyDescent="0.25">
      <c r="A22" s="6" t="s">
        <v>7</v>
      </c>
      <c r="B22" s="7" t="e">
        <f ca="1">_xll.EVRNG(A36:F40)</f>
        <v>#NAME?</v>
      </c>
      <c r="I22" s="1"/>
      <c r="J22" s="1"/>
    </row>
    <row r="23" spans="1:35" hidden="1" outlineLevel="1" x14ac:dyDescent="0.25">
      <c r="A23" s="6" t="s">
        <v>47</v>
      </c>
      <c r="B23" s="7" t="e">
        <f ca="1">_xll.EVRNG($A$117:$B$138)</f>
        <v>#NAME?</v>
      </c>
      <c r="K23" s="57"/>
      <c r="L23" s="57"/>
      <c r="M23" s="57"/>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IF(_xll.EVDES(B6,$B$1)="#NODATA","",_xll.EVDES(B6,$B$1)&amp;" Department")</f>
        <v>#NAME?</v>
      </c>
    </row>
    <row r="28" spans="1:35" ht="15.75" x14ac:dyDescent="0.25">
      <c r="A28" s="6" t="s">
        <v>12</v>
      </c>
      <c r="B28" s="7" t="s">
        <v>22</v>
      </c>
      <c r="N28" s="71" t="e">
        <f ca="1">"For the Period ended"&amp;" "&amp;IF(_xll.EVDES($B$10,$B$1)="#NODATA","",_xll.EVDES($B$10,$B$1))</f>
        <v>#NAME?</v>
      </c>
    </row>
    <row r="29" spans="1:35" ht="15" customHeight="1" x14ac:dyDescent="0.25">
      <c r="A29" s="6" t="s">
        <v>13</v>
      </c>
      <c r="B29" s="7" t="e">
        <f ca="1">"DEP(410000) AND "&amp;$E$6&amp;"=Y,400000"</f>
        <v>#NAME?</v>
      </c>
      <c r="N29" s="71" t="e">
        <f ca="1">_xll.EVDES(B9,B1)</f>
        <v>#NAME?</v>
      </c>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row>
    <row r="32" spans="1:35"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35" x14ac:dyDescent="0.25">
      <c r="H34" s="15" t="s">
        <v>656</v>
      </c>
      <c r="I34" s="161" t="e">
        <f ca="1">_xll.EVPRO($B$1,$H34,"STYLE")</f>
        <v>#NAME?</v>
      </c>
      <c r="J34" s="161" t="e">
        <f ca="1">_xll.EVPRO($B$1,$H34,"CALC")</f>
        <v>#NAME?</v>
      </c>
      <c r="K34" s="68" t="e">
        <f t="shared" ref="K34" ca="1" si="0">IF(AND(I34&gt;="T5"),"&gt;","")</f>
        <v>#NAME?</v>
      </c>
      <c r="L34" s="162" t="e">
        <f ca="1">_xll.EVPRO($B$1,H34,"JDEID")</f>
        <v>#NAME?</v>
      </c>
      <c r="M34" s="162" t="e">
        <f ca="1">IF(AND(I34="N",J34="N"),_xll.EVPRO($B$1,H34,"PSFTID"),"")</f>
        <v>#NAME?</v>
      </c>
      <c r="N34" s="162" t="e">
        <f ca="1">IF(_xll.EVDES(H34,$B$1)="#NODATA","",_xll.EVDES(H34,$B$1))</f>
        <v>#NAME?</v>
      </c>
      <c r="O34" s="309"/>
      <c r="P34" s="310"/>
      <c r="Q34" s="310"/>
      <c r="R34" s="310"/>
      <c r="S34" s="310"/>
      <c r="T34" s="310"/>
      <c r="U34" s="310"/>
      <c r="V34" s="310"/>
      <c r="W34" s="310"/>
      <c r="X34" s="310"/>
      <c r="Y34" s="310"/>
      <c r="Z34" s="310"/>
      <c r="AA34" s="310" t="e">
        <f t="shared" ref="AA34:AA39" ca="1" si="1">IF($I34="B1","",SUM(O34:Z34))</f>
        <v>#NAME?</v>
      </c>
      <c r="AB34" s="311" t="e">
        <f t="shared" ref="AB34:AB39" ca="1" si="2">IF(AA34=0,"",IFERROR(AA34/AA$19,""))</f>
        <v>#NAME?</v>
      </c>
      <c r="AC34" s="328"/>
      <c r="AD34" s="310"/>
      <c r="AE34" s="311" t="str">
        <f t="shared" ref="AE34:AE39" si="3">IF(AD34=0,"",IFERROR(AD34/AD$19,""))</f>
        <v/>
      </c>
      <c r="AF34" s="312" t="e">
        <f t="shared" ref="AF34:AF39" ca="1" si="4">IF(AND($AA34="",AD34=""),"",$AA34-AD34)</f>
        <v>#NAME?</v>
      </c>
      <c r="AG34" s="310"/>
      <c r="AH34" s="311" t="str">
        <f t="shared" ref="AH34" si="5">IF(AG34=0,"",IFERROR(AG34/AG$19,""))</f>
        <v/>
      </c>
      <c r="AI34" s="313" t="e">
        <f t="shared" ref="AI34" ca="1" si="6">IF(AND($AA34="",AG34=""),"",$AA34-AG34)</f>
        <v>#NAME?</v>
      </c>
    </row>
    <row r="35" spans="1:35" x14ac:dyDescent="0.25">
      <c r="A35" s="22" t="s">
        <v>92</v>
      </c>
      <c r="B35" s="23" t="s">
        <v>93</v>
      </c>
      <c r="C35" s="23" t="s">
        <v>94</v>
      </c>
      <c r="D35" s="23" t="s">
        <v>95</v>
      </c>
      <c r="E35" s="23" t="s">
        <v>96</v>
      </c>
      <c r="F35" s="24" t="s">
        <v>97</v>
      </c>
      <c r="H35" s="15" t="s">
        <v>657</v>
      </c>
      <c r="I35" s="161" t="e">
        <f ca="1">_xll.EVPRO($B$1,$H35,"STYLE")</f>
        <v>#NAME?</v>
      </c>
      <c r="J35" s="161" t="e">
        <f ca="1">_xll.EVPRO($B$1,$H35,"CALC")</f>
        <v>#NAME?</v>
      </c>
      <c r="K35" s="68" t="e">
        <f t="shared" ref="K35:K39" ca="1" si="7">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ca="1" si="1"/>
        <v>#NAME?</v>
      </c>
      <c r="AB35" s="311" t="e">
        <f t="shared" ca="1" si="2"/>
        <v>#NAME?</v>
      </c>
      <c r="AC35" s="328"/>
      <c r="AD35" s="310"/>
      <c r="AE35" s="311" t="str">
        <f t="shared" si="3"/>
        <v/>
      </c>
      <c r="AF35" s="312" t="e">
        <f t="shared" ca="1" si="4"/>
        <v>#NAME?</v>
      </c>
      <c r="AG35" s="310"/>
      <c r="AH35" s="311" t="str">
        <f t="shared" ref="AH35:AH39" si="8">IF(AG35=0,"",IFERROR(AG35/AG$19,""))</f>
        <v/>
      </c>
      <c r="AI35" s="313" t="e">
        <f t="shared" ref="AI35:AI39" ca="1" si="9">IF(AND($AA35="",AG35=""),"",$AA35-AG35)</f>
        <v>#NAME?</v>
      </c>
    </row>
    <row r="36" spans="1:35" x14ac:dyDescent="0.25">
      <c r="H36" s="15" t="s">
        <v>658</v>
      </c>
      <c r="I36" s="161" t="e">
        <f ca="1">_xll.EVPRO($B$1,$H36,"STYLE")</f>
        <v>#NAME?</v>
      </c>
      <c r="J36" s="161" t="e">
        <f ca="1">_xll.EVPRO($B$1,$H36,"CALC")</f>
        <v>#NAME?</v>
      </c>
      <c r="K36" s="68" t="e">
        <f t="shared" ca="1" si="7"/>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1"/>
        <v>#NAME?</v>
      </c>
      <c r="AB36" s="311" t="e">
        <f t="shared" ca="1" si="2"/>
        <v>#NAME?</v>
      </c>
      <c r="AC36" s="328"/>
      <c r="AD36" s="310"/>
      <c r="AE36" s="311" t="str">
        <f t="shared" si="3"/>
        <v/>
      </c>
      <c r="AF36" s="312" t="e">
        <f t="shared" ca="1" si="4"/>
        <v>#NAME?</v>
      </c>
      <c r="AG36" s="310"/>
      <c r="AH36" s="311" t="str">
        <f t="shared" si="8"/>
        <v/>
      </c>
      <c r="AI36" s="313" t="e">
        <f t="shared" ca="1" si="9"/>
        <v>#NAME?</v>
      </c>
    </row>
    <row r="37" spans="1:35" x14ac:dyDescent="0.25">
      <c r="A37" s="1" t="s">
        <v>209</v>
      </c>
      <c r="B37" s="1" t="s">
        <v>21</v>
      </c>
      <c r="C37" s="74"/>
      <c r="D37" s="1" t="s">
        <v>590</v>
      </c>
      <c r="F37" s="1" t="s">
        <v>99</v>
      </c>
      <c r="H37" s="15" t="s">
        <v>659</v>
      </c>
      <c r="I37" s="161" t="e">
        <f ca="1">_xll.EVPRO($B$1,$H37,"STYLE")</f>
        <v>#NAME?</v>
      </c>
      <c r="J37" s="161" t="e">
        <f ca="1">_xll.EVPRO($B$1,$H37,"CALC")</f>
        <v>#NAME?</v>
      </c>
      <c r="K37" s="68" t="e">
        <f t="shared" ca="1" si="7"/>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1"/>
        <v>#NAME?</v>
      </c>
      <c r="AB37" s="311" t="e">
        <f t="shared" ca="1" si="2"/>
        <v>#NAME?</v>
      </c>
      <c r="AC37" s="328"/>
      <c r="AD37" s="310"/>
      <c r="AE37" s="311" t="str">
        <f t="shared" si="3"/>
        <v/>
      </c>
      <c r="AF37" s="312" t="e">
        <f t="shared" ca="1" si="4"/>
        <v>#NAME?</v>
      </c>
      <c r="AG37" s="310"/>
      <c r="AH37" s="311" t="str">
        <f t="shared" si="8"/>
        <v/>
      </c>
      <c r="AI37" s="313" t="e">
        <f t="shared" ca="1" si="9"/>
        <v>#NAME?</v>
      </c>
    </row>
    <row r="38" spans="1:35" x14ac:dyDescent="0.25">
      <c r="A38" s="1" t="s">
        <v>105</v>
      </c>
      <c r="C38" s="26" t="s">
        <v>101</v>
      </c>
      <c r="D38" s="1" t="s">
        <v>106</v>
      </c>
      <c r="F38" s="1" t="s">
        <v>98</v>
      </c>
      <c r="H38" s="15" t="s">
        <v>660</v>
      </c>
      <c r="I38" s="161" t="e">
        <f ca="1">_xll.EVPRO($B$1,$H38,"STYLE")</f>
        <v>#NAME?</v>
      </c>
      <c r="J38" s="161" t="e">
        <f ca="1">_xll.EVPRO($B$1,$H38,"CALC")</f>
        <v>#NAME?</v>
      </c>
      <c r="K38" s="68" t="e">
        <f t="shared" ca="1" si="7"/>
        <v>#NAME?</v>
      </c>
      <c r="L38" s="162" t="e">
        <f ca="1">_xll.EVPRO($B$1,H38,"JDEID")</f>
        <v>#NAME?</v>
      </c>
      <c r="M38" s="162" t="e">
        <f ca="1">IF(AND(I38="N",J38="N"),_xll.EVPRO($B$1,H38,"PSFTID"),"")</f>
        <v>#NAME?</v>
      </c>
      <c r="N38" s="162" t="e">
        <f ca="1">IF(_xll.EVDES(H38,$B$1)="#NODATA","",_xll.EVDES(H38,$B$1))</f>
        <v>#NAME?</v>
      </c>
      <c r="O38" s="323"/>
      <c r="P38" s="324"/>
      <c r="Q38" s="324"/>
      <c r="R38" s="324"/>
      <c r="S38" s="324"/>
      <c r="T38" s="324"/>
      <c r="U38" s="324"/>
      <c r="V38" s="324"/>
      <c r="W38" s="324"/>
      <c r="X38" s="324"/>
      <c r="Y38" s="324"/>
      <c r="Z38" s="324"/>
      <c r="AA38" s="324" t="e">
        <f t="shared" ca="1" si="1"/>
        <v>#NAME?</v>
      </c>
      <c r="AB38" s="325" t="e">
        <f t="shared" ca="1" si="2"/>
        <v>#NAME?</v>
      </c>
      <c r="AC38" s="290"/>
      <c r="AD38" s="324"/>
      <c r="AE38" s="325" t="str">
        <f t="shared" si="3"/>
        <v/>
      </c>
      <c r="AF38" s="326" t="e">
        <f t="shared" ca="1" si="4"/>
        <v>#NAME?</v>
      </c>
      <c r="AG38" s="324"/>
      <c r="AH38" s="325" t="str">
        <f t="shared" si="8"/>
        <v/>
      </c>
      <c r="AI38" s="327" t="e">
        <f t="shared" ca="1" si="9"/>
        <v>#NAME?</v>
      </c>
    </row>
    <row r="39" spans="1:35" x14ac:dyDescent="0.25">
      <c r="A39" s="1" t="s">
        <v>108</v>
      </c>
      <c r="C39" s="25" t="s">
        <v>101</v>
      </c>
      <c r="D39" s="1" t="s">
        <v>106</v>
      </c>
      <c r="F39" s="1" t="s">
        <v>98</v>
      </c>
      <c r="H39" s="15" t="s">
        <v>280</v>
      </c>
      <c r="I39" s="479" t="e">
        <f ca="1">_xll.EVPRO($B$1,$H39,"STYLE")</f>
        <v>#NAME?</v>
      </c>
      <c r="J39" s="479" t="e">
        <f ca="1">_xll.EVPRO($B$1,$H39,"CALC")</f>
        <v>#NAME?</v>
      </c>
      <c r="K39" s="480" t="e">
        <f t="shared" ca="1" si="7"/>
        <v>#NAME?</v>
      </c>
      <c r="L39" s="170" t="e">
        <f ca="1">_xll.EVPRO($B$1,H39,"JDEID")</f>
        <v>#NAME?</v>
      </c>
      <c r="M39" s="170" t="e">
        <f ca="1">IF(AND(I39="N",J39="N"),_xll.EVPRO($B$1,H39,"PSFTID"),"")</f>
        <v>#NAME?</v>
      </c>
      <c r="N39" s="170" t="e">
        <f ca="1">IF(_xll.EVDES(H39,$B$1)="#NODATA","",_xll.EVDES(H39,$B$1))</f>
        <v>#NAME?</v>
      </c>
      <c r="O39" s="224"/>
      <c r="P39" s="134"/>
      <c r="Q39" s="134"/>
      <c r="R39" s="134"/>
      <c r="S39" s="134"/>
      <c r="T39" s="134"/>
      <c r="U39" s="134"/>
      <c r="V39" s="134"/>
      <c r="W39" s="134"/>
      <c r="X39" s="134"/>
      <c r="Y39" s="134"/>
      <c r="Z39" s="134"/>
      <c r="AA39" s="134" t="e">
        <f t="shared" ca="1" si="1"/>
        <v>#NAME?</v>
      </c>
      <c r="AB39" s="135" t="e">
        <f t="shared" ca="1" si="2"/>
        <v>#NAME?</v>
      </c>
      <c r="AC39" s="137"/>
      <c r="AD39" s="134"/>
      <c r="AE39" s="135" t="str">
        <f t="shared" si="3"/>
        <v/>
      </c>
      <c r="AF39" s="136" t="e">
        <f t="shared" ca="1" si="4"/>
        <v>#NAME?</v>
      </c>
      <c r="AG39" s="134"/>
      <c r="AH39" s="135" t="str">
        <f t="shared" si="8"/>
        <v/>
      </c>
      <c r="AI39" s="291" t="e">
        <f t="shared" ca="1" si="9"/>
        <v>#NAME?</v>
      </c>
    </row>
    <row r="40" spans="1:35" x14ac:dyDescent="0.25">
      <c r="A40" s="1" t="s">
        <v>108</v>
      </c>
      <c r="C40" s="151" t="s">
        <v>101</v>
      </c>
      <c r="D40" s="1" t="s">
        <v>107</v>
      </c>
      <c r="F40" s="1" t="s">
        <v>99</v>
      </c>
      <c r="O40" s="53"/>
      <c r="P40" s="54"/>
      <c r="Q40" s="54"/>
      <c r="R40" s="54"/>
      <c r="S40" s="54"/>
      <c r="T40" s="54"/>
      <c r="U40" s="54"/>
      <c r="V40" s="54"/>
      <c r="W40" s="54"/>
      <c r="X40" s="54"/>
      <c r="Y40" s="54"/>
      <c r="Z40" s="54"/>
      <c r="AA40" s="54"/>
      <c r="AB40" s="55"/>
      <c r="AD40" s="53"/>
      <c r="AE40" s="54"/>
      <c r="AF40" s="55"/>
      <c r="AG40" s="53"/>
      <c r="AH40" s="54"/>
      <c r="AI40" s="55"/>
    </row>
    <row r="41" spans="1:35" x14ac:dyDescent="0.25">
      <c r="H41" s="1" t="s">
        <v>281</v>
      </c>
      <c r="I41" s="11" t="e">
        <f ca="1">_xll.EVPRO($B$1,$H41,"STYLE")</f>
        <v>#NAME?</v>
      </c>
      <c r="J41" s="11" t="e">
        <f ca="1">_xll.EVPRO($B$1,$H41,"CALC")</f>
        <v>#NAME?</v>
      </c>
      <c r="N41" s="40" t="e">
        <f ca="1">IF(_xll.EVDES(H41,$B$1)="#NODATA","",_xll.EVDES(H41,$B$1))</f>
        <v>#NAME?</v>
      </c>
      <c r="O41" s="53"/>
      <c r="P41" s="54"/>
      <c r="Q41" s="54"/>
      <c r="R41" s="54"/>
      <c r="S41" s="54"/>
      <c r="T41" s="54"/>
      <c r="U41" s="54"/>
      <c r="V41" s="54"/>
      <c r="W41" s="54"/>
      <c r="X41" s="54"/>
      <c r="Y41" s="54"/>
      <c r="Z41" s="54"/>
      <c r="AA41" s="54"/>
      <c r="AB41" s="55"/>
      <c r="AD41" s="53"/>
      <c r="AE41" s="54"/>
      <c r="AF41" s="55"/>
      <c r="AG41" s="53"/>
      <c r="AH41" s="54"/>
      <c r="AI41" s="55"/>
    </row>
    <row r="42" spans="1:35" x14ac:dyDescent="0.25">
      <c r="H42" s="15" t="s">
        <v>661</v>
      </c>
      <c r="I42" s="161" t="e">
        <f ca="1">_xll.EVPRO($B$1,$H42,"STYLE")</f>
        <v>#NAME?</v>
      </c>
      <c r="J42" s="161" t="e">
        <f ca="1">_xll.EVPRO($B$1,$H42,"CALC")</f>
        <v>#NAME?</v>
      </c>
      <c r="K42" s="68" t="e">
        <f t="shared" ref="K42:K48" ca="1" si="10">IF(AND(I42&gt;="T5"),"&gt;","")</f>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ca="1">IF($I42="B1","",SUM(O42:Z42))</f>
        <v>#NAME?</v>
      </c>
      <c r="AB42" s="311" t="e">
        <f ca="1">IF(AA42=0,"",IFERROR(AA42/_xll.EVGTS($B$1,1,_xll.EVPRO($B$1,$H42,"COSBASIS"),$B$3,$B$5,$B$6,$B$7,$B$9,AA$16,AA$17,AA$11),""))</f>
        <v>#NAME?</v>
      </c>
      <c r="AC42" s="328"/>
      <c r="AD42" s="310"/>
      <c r="AE42" s="311" t="str">
        <f>IF(AD42=0,"",IFERROR(AD42/_xll.EVGTS($B$1,1,_xll.EVPRO($B$1,$H42,"COSBASIS"),$B$3,$B$5,$B$6,$B$7,$B$9,AD$16,AD$17,AD$18),""))</f>
        <v/>
      </c>
      <c r="AF42" s="312" t="e">
        <f ca="1">IF(AND($AA42="",AD42=""),"",$AA42-AD42)</f>
        <v>#NAME?</v>
      </c>
      <c r="AG42" s="310"/>
      <c r="AH42" s="311" t="str">
        <f>IF(AG42=0,"",IFERROR(AG42/_xll.EVGTS($B$1,1,_xll.EVPRO($B$1,$H42,"COSBASIS"),$B$3,$B$5,$B$6,$B$7,$B$9,AG$16,AG$17,AG$18),""))</f>
        <v/>
      </c>
      <c r="AI42" s="313" t="e">
        <f t="shared" ref="AI42:AI48" ca="1" si="11">IF(AND($AA42="",AG42=""),"",$AA42-AG42)</f>
        <v>#NAME?</v>
      </c>
    </row>
    <row r="43" spans="1:35" x14ac:dyDescent="0.25">
      <c r="A43" s="4" t="e">
        <f ca="1">_xll.EVDRE($B$1,A46:B53,A56:B62)</f>
        <v>#NAME?</v>
      </c>
      <c r="H43" s="15" t="s">
        <v>662</v>
      </c>
      <c r="I43" s="161" t="e">
        <f ca="1">_xll.EVPRO($B$1,$H43,"STYLE")</f>
        <v>#NAME?</v>
      </c>
      <c r="J43" s="161" t="e">
        <f ca="1">_xll.EVPRO($B$1,$H43,"CALC")</f>
        <v>#NAME?</v>
      </c>
      <c r="K43" s="68" t="e">
        <f t="shared" ref="K43:K46" ca="1" si="12">IF(AND(I43&gt;="T5"),"&gt;","")</f>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ca="1">IF($I43="B1","",SUM(O43:Z43))</f>
        <v>#NAME?</v>
      </c>
      <c r="AB43" s="311" t="e">
        <f ca="1">IF(AA43=0,"",IFERROR(AA43/_xll.EVGTS($B$1,1,_xll.EVPRO($B$1,$H43,"COSBASIS"),$B$3,$B$5,$B$6,$B$7,$B$9,AA$16,AA$17,AA$11),""))</f>
        <v>#NAME?</v>
      </c>
      <c r="AC43" s="328"/>
      <c r="AD43" s="310"/>
      <c r="AE43" s="311" t="str">
        <f>IF(AD43=0,"",IFERROR(AD43/_xll.EVGTS($B$1,1,_xll.EVPRO($B$1,$H43,"COSBASIS"),$B$3,$B$5,$B$6,$B$7,$B$9,AD$16,AD$17,AD$18),""))</f>
        <v/>
      </c>
      <c r="AF43" s="312" t="e">
        <f ca="1">IF(AND($AA43="",AD43=""),"",$AA43-AD43)</f>
        <v>#NAME?</v>
      </c>
      <c r="AG43" s="310"/>
      <c r="AH43" s="311" t="str">
        <f>IF(AG43=0,"",IFERROR(AG43/_xll.EVGTS($B$1,1,_xll.EVPRO($B$1,$H43,"COSBASIS"),$B$3,$B$5,$B$6,$B$7,$B$9,AG$16,AG$17,AG$18),""))</f>
        <v/>
      </c>
      <c r="AI43" s="313" t="e">
        <f t="shared" ref="AI43:AI46" ca="1" si="13">IF(AND($AA43="",AG43=""),"",$AA43-AG43)</f>
        <v>#NAME?</v>
      </c>
    </row>
    <row r="44" spans="1:35" x14ac:dyDescent="0.25">
      <c r="H44" s="15" t="s">
        <v>663</v>
      </c>
      <c r="I44" s="161" t="e">
        <f ca="1">_xll.EVPRO($B$1,$H44,"STYLE")</f>
        <v>#NAME?</v>
      </c>
      <c r="J44" s="161" t="e">
        <f ca="1">_xll.EVPRO($B$1,$H44,"CALC")</f>
        <v>#NAME?</v>
      </c>
      <c r="K44" s="68" t="e">
        <f t="shared" ca="1" si="12"/>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ca="1">IF($I44="B1","",SUM(O44:Z44))</f>
        <v>#NAME?</v>
      </c>
      <c r="AB44" s="311" t="e">
        <f ca="1">IF(AA44=0,"",IFERROR(AA44/_xll.EVGTS($B$1,1,_xll.EVPRO($B$1,$H44,"COSBASIS"),$B$3,$B$5,$B$6,$B$7,$B$9,AA$16,AA$17,AA$11),""))</f>
        <v>#NAME?</v>
      </c>
      <c r="AC44" s="328"/>
      <c r="AD44" s="310"/>
      <c r="AE44" s="311" t="str">
        <f>IF(AD44=0,"",IFERROR(AD44/_xll.EVGTS($B$1,1,_xll.EVPRO($B$1,$H44,"COSBASIS"),$B$3,$B$5,$B$6,$B$7,$B$9,AD$16,AD$17,AD$18),""))</f>
        <v/>
      </c>
      <c r="AF44" s="312" t="e">
        <f ca="1">IF(AND($AA44="",AD44=""),"",$AA44-AD44)</f>
        <v>#NAME?</v>
      </c>
      <c r="AG44" s="310"/>
      <c r="AH44" s="311" t="str">
        <f>IF(AG44=0,"",IFERROR(AG44/_xll.EVGTS($B$1,1,_xll.EVPRO($B$1,$H44,"COSBASIS"),$B$3,$B$5,$B$6,$B$7,$B$9,AG$16,AG$17,AG$18),""))</f>
        <v/>
      </c>
      <c r="AI44" s="313" t="e">
        <f t="shared" ca="1" si="13"/>
        <v>#NAME?</v>
      </c>
    </row>
    <row r="45" spans="1:35" x14ac:dyDescent="0.25">
      <c r="A45" s="3" t="s">
        <v>0</v>
      </c>
      <c r="B45" s="5" t="s">
        <v>1</v>
      </c>
      <c r="H45" s="15" t="s">
        <v>664</v>
      </c>
      <c r="I45" s="161" t="e">
        <f ca="1">_xll.EVPRO($B$1,$H45,"STYLE")</f>
        <v>#NAME?</v>
      </c>
      <c r="J45" s="161" t="e">
        <f ca="1">_xll.EVPRO($B$1,$H45,"CALC")</f>
        <v>#NAME?</v>
      </c>
      <c r="K45" s="68" t="e">
        <f t="shared" ca="1" si="12"/>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ca="1">IF($I45="B1","",SUM(O45:Z45))</f>
        <v>#NAME?</v>
      </c>
      <c r="AB45" s="325" t="e">
        <f ca="1">IF(AA45=0,"",IFERROR(AA45/_xll.EVGTS($B$1,1,_xll.EVPRO($B$1,$H45,"COSBASIS"),$B$3,$B$5,$B$6,$B$7,$B$9,AA$16,AA$17,AA$11),""))</f>
        <v>#NAME?</v>
      </c>
      <c r="AC45" s="290"/>
      <c r="AD45" s="324"/>
      <c r="AE45" s="325" t="str">
        <f>IF(AD45=0,"",IFERROR(AD45/_xll.EVGTS($B$1,1,_xll.EVPRO($B$1,$H45,"COSBASIS"),$B$3,$B$5,$B$6,$B$7,$B$9,AD$16,AD$17,AD$18),""))</f>
        <v/>
      </c>
      <c r="AF45" s="326" t="e">
        <f ca="1">IF(AND($AA45="",AD45=""),"",$AA45-AD45)</f>
        <v>#NAME?</v>
      </c>
      <c r="AG45" s="324"/>
      <c r="AH45" s="325" t="str">
        <f>IF(AG45=0,"",IFERROR(AG45/_xll.EVGTS($B$1,1,_xll.EVPRO($B$1,$H45,"COSBASIS"),$B$3,$B$5,$B$6,$B$7,$B$9,AG$16,AG$17,AG$18),""))</f>
        <v/>
      </c>
      <c r="AI45" s="327" t="e">
        <f t="shared" ca="1" si="13"/>
        <v>#NAME?</v>
      </c>
    </row>
    <row r="46" spans="1:35" x14ac:dyDescent="0.25">
      <c r="A46" s="6" t="s">
        <v>2</v>
      </c>
      <c r="B46" s="7" t="e">
        <f ca="1">_xll.EVRNG($B$2:$B$10)</f>
        <v>#NAME?</v>
      </c>
      <c r="H46" s="15" t="s">
        <v>289</v>
      </c>
      <c r="I46" s="479" t="e">
        <f ca="1">_xll.EVPRO($B$1,$H46,"STYLE")</f>
        <v>#NAME?</v>
      </c>
      <c r="J46" s="479" t="e">
        <f ca="1">_xll.EVPRO($B$1,$H46,"CALC")</f>
        <v>#NAME?</v>
      </c>
      <c r="K46" s="480" t="e">
        <f t="shared" ca="1" si="12"/>
        <v>#NAME?</v>
      </c>
      <c r="L46" s="170" t="e">
        <f ca="1">_xll.EVPRO($B$1,H46,"JDEID")</f>
        <v>#NAME?</v>
      </c>
      <c r="M46" s="170" t="e">
        <f ca="1">IF(AND(I46="N",J46="N"),_xll.EVPRO($B$1,H46,"PSFTID"),"")</f>
        <v>#NAME?</v>
      </c>
      <c r="N46" s="170" t="e">
        <f ca="1">IF(_xll.EVDES(H46,$B$1)="#NODATA","",_xll.EVDES(H46,$B$1))</f>
        <v>#NAME?</v>
      </c>
      <c r="O46" s="224"/>
      <c r="P46" s="134"/>
      <c r="Q46" s="134"/>
      <c r="R46" s="134"/>
      <c r="S46" s="134"/>
      <c r="T46" s="134"/>
      <c r="U46" s="134"/>
      <c r="V46" s="134"/>
      <c r="W46" s="134"/>
      <c r="X46" s="134"/>
      <c r="Y46" s="134"/>
      <c r="Z46" s="134"/>
      <c r="AA46" s="134" t="e">
        <f ca="1">IF($I46="B1","",SUM(O46:Z46))</f>
        <v>#NAME?</v>
      </c>
      <c r="AB46" s="135" t="e">
        <f ca="1">IF(AA46=0,"",IFERROR(AA46/_xll.EVGTS($B$1,1,_xll.EVPRO($B$1,$H46,"COSBASIS"),$B$3,$B$5,$B$6,$B$7,$B$9,AA$16,AA$17,AA$11),""))</f>
        <v>#NAME?</v>
      </c>
      <c r="AC46" s="137"/>
      <c r="AD46" s="134"/>
      <c r="AE46" s="135" t="str">
        <f>IF(AD46=0,"",IFERROR(AD46/_xll.EVGTS($B$1,1,_xll.EVPRO($B$1,$H46,"COSBASIS"),$B$3,$B$5,$B$6,$B$7,$B$9,AD$16,AD$17,AD$18),""))</f>
        <v/>
      </c>
      <c r="AF46" s="136" t="e">
        <f ca="1">IF(AND($AA46="",AD46=""),"",$AA46-AD46)</f>
        <v>#NAME?</v>
      </c>
      <c r="AG46" s="134"/>
      <c r="AH46" s="135" t="str">
        <f>IF(AG46=0,"",IFERROR(AG46/_xll.EVGTS($B$1,1,_xll.EVPRO($B$1,$H46,"COSBASIS"),$B$3,$B$5,$B$6,$B$7,$B$9,AG$16,AG$17,AG$18),""))</f>
        <v/>
      </c>
      <c r="AI46" s="291" t="e">
        <f t="shared" ca="1" si="13"/>
        <v>#NAME?</v>
      </c>
    </row>
    <row r="47" spans="1:35" x14ac:dyDescent="0.25">
      <c r="A47" s="6" t="s">
        <v>3</v>
      </c>
      <c r="B47" s="7" t="e">
        <f ca="1">_xll.EVRNG(O16:AI18)</f>
        <v>#NAME?</v>
      </c>
      <c r="H47" s="149" t="s">
        <v>175</v>
      </c>
      <c r="I47" s="28" t="e">
        <f ca="1">_xll.EVPRO($B$1,$H47,"STYLE")</f>
        <v>#NAME?</v>
      </c>
      <c r="J47" s="28" t="e">
        <f ca="1">_xll.EVPRO($B$1,$H47,"CALC")</f>
        <v>#NAME?</v>
      </c>
      <c r="K47" s="69" t="e">
        <f t="shared" ca="1" si="10"/>
        <v>#NAME?</v>
      </c>
      <c r="L47" s="69"/>
      <c r="M47" s="69"/>
      <c r="N47" s="25" t="e">
        <f ca="1">IF(_xll.EVDES(H47,$B$1)="#NODATA","",_xll.EVDES(H47,$B$1))</f>
        <v>#NAME?</v>
      </c>
      <c r="O47" s="47"/>
      <c r="P47" s="47"/>
      <c r="Q47" s="47"/>
      <c r="R47" s="47"/>
      <c r="S47" s="47"/>
      <c r="T47" s="47"/>
      <c r="U47" s="47"/>
      <c r="V47" s="47"/>
      <c r="W47" s="47"/>
      <c r="X47" s="47"/>
      <c r="Y47" s="47"/>
      <c r="Z47" s="47"/>
      <c r="AA47" s="47"/>
      <c r="AB47" s="48" t="str">
        <f>IF(O47=0,"",IFERROR(O47/_xll.EVGTS($B$1,1,INDEX($C$144:$C$167,MATCH($H47,$A$144:$A$167,0)),$B$3,$B$5,$B$6,$B$7,$B$9,O$16,O$17,O$18),""))</f>
        <v/>
      </c>
      <c r="AD47" s="47"/>
      <c r="AE47" s="48" t="str">
        <f>IF(AD47=0,"",IFERROR(AD47/_xll.EVGTS($B$1,1,INDEX($C$144:$C$167,MATCH($H47,$A$144:$A$167,0)),$B$3,$B$5,$B$6,$B$7,$B$9,AD$16,AD$17,AD$18),""))</f>
        <v/>
      </c>
      <c r="AF47" s="150" t="str">
        <f t="shared" ref="AF47:AF48" si="14">IF(AND($AA47="",AD47=""),"",$AA47-AD47)</f>
        <v/>
      </c>
      <c r="AG47" s="47"/>
      <c r="AH47" s="48" t="str">
        <f>IF(AG47=0,"",IFERROR(AG47/_xll.EVGTS($B$1,1,INDEX($C$144:$C$167,MATCH($H47,$A$144:$A$167,0)),$B$3,$B$5,$B$6,$B$7,$B$9,AG$16,AG$17,AG$18),""))</f>
        <v/>
      </c>
      <c r="AI47" s="150" t="str">
        <f t="shared" si="11"/>
        <v/>
      </c>
    </row>
    <row r="48" spans="1:35" x14ac:dyDescent="0.25">
      <c r="A48" s="6" t="s">
        <v>4</v>
      </c>
      <c r="B48" s="7" t="e">
        <f ca="1">_xll.EVRNG(H42:H46)</f>
        <v>#NAME?</v>
      </c>
      <c r="H48" s="149" t="s">
        <v>292</v>
      </c>
      <c r="I48" s="28" t="e">
        <f ca="1">_xll.EVPRO($B$1,$H48,"STYLE")</f>
        <v>#NAME?</v>
      </c>
      <c r="J48" s="28" t="e">
        <f ca="1">_xll.EVPRO($B$1,$H48,"CALC")</f>
        <v>#NAME?</v>
      </c>
      <c r="K48" s="69" t="e">
        <f t="shared" ca="1" si="10"/>
        <v>#NAME?</v>
      </c>
      <c r="L48" s="69"/>
      <c r="M48" s="69"/>
      <c r="N48" s="25" t="e">
        <f ca="1">IF(_xll.EVDES(H48,$B$1)="#NODATA","",_xll.EVDES(H48,$B$1))</f>
        <v>#NAME?</v>
      </c>
      <c r="O48" s="164">
        <f>SUMIF($H$34:$H$46,"400000",O34:O46)-SUMIF($H$34:$H$46,"500001",O34:O46)</f>
        <v>0</v>
      </c>
      <c r="P48" s="164">
        <f t="shared" ref="P48:Z48" si="15">SUMIF($H$34:$H$46,"400000",P34:P46)-SUMIF($H$34:$H$46,"500001",P34:P46)</f>
        <v>0</v>
      </c>
      <c r="Q48" s="164">
        <f t="shared" si="15"/>
        <v>0</v>
      </c>
      <c r="R48" s="164">
        <f t="shared" si="15"/>
        <v>0</v>
      </c>
      <c r="S48" s="164">
        <f t="shared" si="15"/>
        <v>0</v>
      </c>
      <c r="T48" s="164">
        <f t="shared" si="15"/>
        <v>0</v>
      </c>
      <c r="U48" s="164">
        <f t="shared" si="15"/>
        <v>0</v>
      </c>
      <c r="V48" s="164">
        <f t="shared" si="15"/>
        <v>0</v>
      </c>
      <c r="W48" s="164">
        <f t="shared" si="15"/>
        <v>0</v>
      </c>
      <c r="X48" s="164">
        <f t="shared" si="15"/>
        <v>0</v>
      </c>
      <c r="Y48" s="164">
        <f t="shared" si="15"/>
        <v>0</v>
      </c>
      <c r="Z48" s="164">
        <f t="shared" si="15"/>
        <v>0</v>
      </c>
      <c r="AA48" s="134" t="e">
        <f ca="1">IF($I48="B1","",SUM(O48:Z48))</f>
        <v>#NAME?</v>
      </c>
      <c r="AB48" s="135" t="e">
        <f ca="1">IF(AA48=0,"",IFERROR(AA48/AA$19,""))</f>
        <v>#NAME?</v>
      </c>
      <c r="AD48" s="164">
        <f>SUMIF($H$34:$H$46,"400000",AD34:AD46)-SUMIF($H$34:$H$46,"500001",AD34:AD46)</f>
        <v>0</v>
      </c>
      <c r="AE48" s="135" t="str">
        <f>IF(AD48=0,"",IFERROR(AD48/AD$19,""))</f>
        <v/>
      </c>
      <c r="AF48" s="165" t="e">
        <f t="shared" ca="1" si="14"/>
        <v>#NAME?</v>
      </c>
      <c r="AG48" s="164">
        <f>SUMIF($H$34:$H$46,"400000",AG34:AG46)-SUMIF($H$34:$H$46,"500001",AG34:AG46)</f>
        <v>0</v>
      </c>
      <c r="AH48" s="135" t="str">
        <f>IF(AG48=0,"",IFERROR(AG48/AG$19,""))</f>
        <v/>
      </c>
      <c r="AI48" s="165" t="e">
        <f t="shared" ca="1" si="11"/>
        <v>#NAME?</v>
      </c>
    </row>
    <row r="49" spans="1:35" x14ac:dyDescent="0.25">
      <c r="A49" s="6" t="s">
        <v>5</v>
      </c>
      <c r="B49" s="7"/>
      <c r="F49" s="152"/>
      <c r="O49" s="163"/>
      <c r="P49" s="287"/>
      <c r="Q49" s="287"/>
      <c r="R49" s="287"/>
      <c r="S49" s="287"/>
      <c r="T49" s="287"/>
      <c r="U49" s="287"/>
      <c r="V49" s="287"/>
      <c r="W49" s="287"/>
      <c r="X49" s="287"/>
      <c r="Y49" s="287"/>
      <c r="Z49" s="287"/>
      <c r="AA49" s="287"/>
      <c r="AB49" s="55"/>
      <c r="AD49" s="53"/>
      <c r="AE49" s="54"/>
      <c r="AF49" s="55"/>
      <c r="AG49" s="54"/>
      <c r="AH49" s="54"/>
      <c r="AI49" s="55"/>
    </row>
    <row r="50" spans="1:35" x14ac:dyDescent="0.25">
      <c r="A50" s="6" t="s">
        <v>6</v>
      </c>
      <c r="B50" s="7"/>
      <c r="F50" s="152"/>
      <c r="H50" s="1" t="s">
        <v>73</v>
      </c>
      <c r="I50" s="11" t="e">
        <f ca="1">_xll.EVPRO($B$1,$H50,"STYLE")</f>
        <v>#NAME?</v>
      </c>
      <c r="J50" s="11" t="e">
        <f ca="1">_xll.EVPRO($B$1,$H50,"CALC")</f>
        <v>#NAME?</v>
      </c>
      <c r="N50" s="40" t="e">
        <f ca="1">IF(_xll.EVDES(H50,$B$1)="#NODATA","",_xll.EVDES(H50,$B$1))</f>
        <v>#NAME?</v>
      </c>
      <c r="O50" s="53"/>
      <c r="P50" s="54"/>
      <c r="Q50" s="54"/>
      <c r="R50" s="54"/>
      <c r="S50" s="54"/>
      <c r="T50" s="54"/>
      <c r="U50" s="54"/>
      <c r="V50" s="54"/>
      <c r="W50" s="54"/>
      <c r="X50" s="54"/>
      <c r="Y50" s="54"/>
      <c r="Z50" s="54"/>
      <c r="AA50" s="54"/>
      <c r="AB50" s="168"/>
      <c r="AD50" s="167"/>
      <c r="AE50" s="169"/>
      <c r="AF50" s="55"/>
      <c r="AG50" s="54"/>
      <c r="AH50" s="169"/>
      <c r="AI50" s="55"/>
    </row>
    <row r="51" spans="1:35" x14ac:dyDescent="0.25">
      <c r="A51" s="6" t="s">
        <v>7</v>
      </c>
      <c r="B51" s="7" t="e">
        <f ca="1">_xll.EVRNG(A65:F69)</f>
        <v>#NAME?</v>
      </c>
      <c r="F51" s="152"/>
      <c r="H51" s="1" t="s">
        <v>74</v>
      </c>
      <c r="I51" s="11" t="e">
        <f ca="1">_xll.EVPRO($B$1,$H51,"STYLE")</f>
        <v>#NAME?</v>
      </c>
      <c r="J51" s="11" t="e">
        <f ca="1">_xll.EVPRO($B$1,$H51,"CALC")</f>
        <v>#NAME?</v>
      </c>
      <c r="N51" s="8" t="e">
        <f ca="1">IF(_xll.EVDES(H51,$B$1)="#NODATA","",_xll.EVDES(H51,$B$1))</f>
        <v>#NAME?</v>
      </c>
      <c r="O51" s="43"/>
      <c r="P51" s="46"/>
      <c r="Q51" s="46"/>
      <c r="R51" s="46"/>
      <c r="S51" s="46"/>
      <c r="T51" s="46"/>
      <c r="U51" s="46"/>
      <c r="V51" s="46"/>
      <c r="W51" s="46"/>
      <c r="X51" s="46"/>
      <c r="Y51" s="46"/>
      <c r="Z51" s="46"/>
      <c r="AA51" s="46"/>
      <c r="AB51" s="44"/>
      <c r="AD51" s="43"/>
      <c r="AE51" s="46"/>
      <c r="AF51" s="44"/>
      <c r="AG51" s="46"/>
      <c r="AH51" s="46"/>
      <c r="AI51" s="44"/>
    </row>
    <row r="52" spans="1:35" hidden="1" x14ac:dyDescent="0.25">
      <c r="A52" s="6" t="s">
        <v>47</v>
      </c>
      <c r="B52" s="7" t="e">
        <f ca="1">_xll.EVRNG($A$117:$B$138)</f>
        <v>#NAME?</v>
      </c>
      <c r="H52" s="15" t="s">
        <v>667</v>
      </c>
      <c r="I52" s="161" t="e">
        <f ca="1">_xll.EVPRO($B$1,$H52,"STYLE")</f>
        <v>#NAME?</v>
      </c>
      <c r="J52" s="161" t="e">
        <f ca="1">_xll.EVPRO($B$1,$H52,"CALC")</f>
        <v>#NAME?</v>
      </c>
      <c r="K52" s="68" t="e">
        <f ca="1">IF(AND(I52&gt;="T3"),"&gt;","")</f>
        <v>#NAME?</v>
      </c>
      <c r="L52" s="162" t="e">
        <f ca="1">_xll.EVPRO($B$1,H52,"JDEID")</f>
        <v>#NAME?</v>
      </c>
      <c r="M52" s="162" t="e">
        <f ca="1">IF(AND(I52="N",J52="N"),_xll.EVPRO($B$1,H52,"PSFTID"),"")</f>
        <v>#NAME?</v>
      </c>
      <c r="N52" s="162" t="e">
        <f ca="1">IF(_xll.EVDES(H52,$B$1)="#NODATA","",_xll.EVDES(H52,$B$1))</f>
        <v>#NAME?</v>
      </c>
      <c r="O52" s="47"/>
      <c r="P52" s="47"/>
      <c r="Q52" s="47"/>
      <c r="R52" s="47"/>
      <c r="S52" s="47"/>
      <c r="T52" s="47"/>
      <c r="U52" s="47"/>
      <c r="V52" s="47"/>
      <c r="W52" s="47"/>
      <c r="X52" s="47"/>
      <c r="Y52" s="47"/>
      <c r="Z52" s="47"/>
      <c r="AA52" s="324" t="e">
        <f ca="1">IF($I52="B1","",SUM(O52:Z52))</f>
        <v>#NAME?</v>
      </c>
      <c r="AB52" s="48" t="str">
        <f>IF(O52=0,"",IFERROR(O52/O$19,""))</f>
        <v/>
      </c>
      <c r="AD52" s="47"/>
      <c r="AE52" s="48" t="str">
        <f>IF(AD52=0,"",IFERROR(AD52/AD$19,""))</f>
        <v/>
      </c>
      <c r="AF52" s="150" t="e">
        <f ca="1">IF(AND($AA52="",AD52=""),"",$AA52-AD52)</f>
        <v>#NAME?</v>
      </c>
      <c r="AG52" s="47"/>
      <c r="AH52" s="48" t="str">
        <f>IF(AG52=0,"",IFERROR(AG52/AG$19,""))</f>
        <v/>
      </c>
      <c r="AI52" s="150" t="e">
        <f ca="1">IF(AND($AA52="",AG52=""),"",$AA52-AG52)</f>
        <v>#NAME?</v>
      </c>
    </row>
    <row r="53" spans="1:35" hidden="1" x14ac:dyDescent="0.25">
      <c r="A53" s="6" t="s">
        <v>8</v>
      </c>
      <c r="B53" s="7"/>
      <c r="H53" s="15"/>
      <c r="I53" s="161" t="e">
        <f ca="1">_xll.EVPRO($B$1,$H53,"STYLE")</f>
        <v>#NAME?</v>
      </c>
      <c r="J53" s="161" t="e">
        <f ca="1">_xll.EVPRO($B$1,$H53,"CALC")</f>
        <v>#NAME?</v>
      </c>
      <c r="K53" s="68" t="e">
        <f ca="1">IF(AND(I53&gt;="T3"),"&gt;","")</f>
        <v>#NAME?</v>
      </c>
      <c r="L53" s="162" t="e">
        <f ca="1">_xll.EVPRO($B$1,H53,"JDEID")</f>
        <v>#NAME?</v>
      </c>
      <c r="M53" s="162" t="e">
        <f ca="1">IF(AND(I53="N",J53="N"),_xll.EVPRO($B$1,H53,"PSFTID"),"")</f>
        <v>#NAME?</v>
      </c>
      <c r="N53" s="162" t="e">
        <f ca="1">IF(_xll.EVDES(H53,$B$1)="#NODATA","",_xll.EVDES(H53,$B$1))</f>
        <v>#NAME?</v>
      </c>
      <c r="O53" s="47"/>
      <c r="P53" s="47"/>
      <c r="Q53" s="47"/>
      <c r="R53" s="47"/>
      <c r="S53" s="47"/>
      <c r="T53" s="47"/>
      <c r="U53" s="47"/>
      <c r="V53" s="47"/>
      <c r="W53" s="47"/>
      <c r="X53" s="47"/>
      <c r="Y53" s="47"/>
      <c r="Z53" s="47"/>
      <c r="AA53" s="324" t="e">
        <f ca="1">IF($I53="B1","",SUM(O53:Z53))</f>
        <v>#NAME?</v>
      </c>
      <c r="AB53" s="48" t="str">
        <f>IF(O53=0,"",IFERROR(O53/O$19,""))</f>
        <v/>
      </c>
      <c r="AD53" s="47"/>
      <c r="AE53" s="48" t="str">
        <f>IF(AD53=0,"",IFERROR(AD53/AD$19,""))</f>
        <v/>
      </c>
      <c r="AF53" s="150" t="e">
        <f ca="1">IF(AND($AA53="",AD53=""),"",$AA53-AD53)</f>
        <v>#NAME?</v>
      </c>
      <c r="AG53" s="47"/>
      <c r="AH53" s="48" t="str">
        <f>IF(AG53=0,"",IFERROR(AG53/AG$19,""))</f>
        <v/>
      </c>
      <c r="AI53" s="150" t="e">
        <f ca="1">IF(AND($AA53="",AG53=""),"",$AA53-AG53)</f>
        <v>#NAME?</v>
      </c>
    </row>
    <row r="54" spans="1:35" x14ac:dyDescent="0.25">
      <c r="H54" s="15" t="s">
        <v>75</v>
      </c>
      <c r="I54" s="28" t="e">
        <f ca="1">_xll.EVPRO($B$1,$H54,"STYLE")</f>
        <v>#NAME?</v>
      </c>
      <c r="J54" s="28" t="e">
        <f ca="1">_xll.EVPRO($B$1,$H54,"CALC")</f>
        <v>#NAME?</v>
      </c>
      <c r="K54" s="69" t="e">
        <f ca="1">IF(AND(I54&gt;="T3"),"&gt;","")</f>
        <v>#NAME?</v>
      </c>
      <c r="L54" s="25" t="e">
        <f ca="1">_xll.EVPRO($B$1,H54,"JDEID")</f>
        <v>#NAME?</v>
      </c>
      <c r="M54" s="162" t="e">
        <f ca="1">IF(AND(I54="N",J54="N"),_xll.EVPRO($B$1,H54,"PSFTID"),"")</f>
        <v>#NAME?</v>
      </c>
      <c r="N54" s="25" t="e">
        <f ca="1">IF(_xll.EVDES(H54,$B$1)="#NODATA","",_xll.EVDES(H54,$B$1))</f>
        <v>#NAME?</v>
      </c>
      <c r="O54" s="38"/>
      <c r="P54" s="38"/>
      <c r="Q54" s="38"/>
      <c r="R54" s="38"/>
      <c r="S54" s="38"/>
      <c r="T54" s="38"/>
      <c r="U54" s="38"/>
      <c r="V54" s="38"/>
      <c r="W54" s="38"/>
      <c r="X54" s="38"/>
      <c r="Y54" s="38"/>
      <c r="Z54" s="38"/>
      <c r="AA54" s="310" t="e">
        <f ca="1">IF($I54="B1","",SUM(O54:Z54))</f>
        <v>#NAME?</v>
      </c>
      <c r="AB54" s="39" t="str">
        <f>IF(O54=0,"",IFERROR(O54/O$19,""))</f>
        <v/>
      </c>
      <c r="AD54" s="38"/>
      <c r="AE54" s="39" t="str">
        <f>IF(AD54=0,"",IFERROR(AD54/AD$19,""))</f>
        <v/>
      </c>
      <c r="AF54" s="132" t="e">
        <f ca="1">IF(AND($AA54="",AD54=""),"",$AA54-AD54)</f>
        <v>#NAME?</v>
      </c>
      <c r="AG54" s="38"/>
      <c r="AH54" s="39" t="str">
        <f>IF(AG54=0,"",IFERROR(AG54/AG$19,""))</f>
        <v/>
      </c>
      <c r="AI54" s="132" t="e">
        <f ca="1">IF(AND($AA54="",AG54=""),"",$AA54-AG54)</f>
        <v>#NAME?</v>
      </c>
    </row>
    <row r="55" spans="1:35" hidden="1" x14ac:dyDescent="0.25">
      <c r="A55" s="3" t="s">
        <v>9</v>
      </c>
      <c r="B55" s="5" t="s">
        <v>10</v>
      </c>
      <c r="H55" s="15" t="s">
        <v>667</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47"/>
      <c r="P55" s="47"/>
      <c r="Q55" s="47"/>
      <c r="R55" s="47"/>
      <c r="S55" s="47"/>
      <c r="T55" s="47"/>
      <c r="U55" s="47"/>
      <c r="V55" s="47"/>
      <c r="W55" s="47"/>
      <c r="X55" s="47"/>
      <c r="Y55" s="47"/>
      <c r="Z55" s="47"/>
      <c r="AA55" s="324" t="e">
        <f ca="1">IF($I55="B1","",SUM(O55:Z55))</f>
        <v>#NAME?</v>
      </c>
      <c r="AB55" s="48" t="str">
        <f>IF(O55=0,"",IFERROR(O55/O$19,""))</f>
        <v/>
      </c>
      <c r="AD55" s="47"/>
      <c r="AE55" s="48" t="str">
        <f>IF(AD55=0,"",IFERROR(AD55/AD$19,""))</f>
        <v/>
      </c>
      <c r="AF55" s="150" t="e">
        <f ca="1">IF(AND($AA55="",AD55=""),"",$AA55-AD55)</f>
        <v>#NAME?</v>
      </c>
      <c r="AG55" s="47"/>
      <c r="AH55" s="48" t="str">
        <f>IF(AG55=0,"",IFERROR(AG55/AG$19,""))</f>
        <v/>
      </c>
      <c r="AI55" s="150" t="e">
        <f ca="1">IF(AND($AA55="",AG55=""),"",$AA55-AG55)</f>
        <v>#NAME?</v>
      </c>
    </row>
    <row r="56" spans="1:35" hidden="1" x14ac:dyDescent="0.25">
      <c r="A56" s="6" t="s">
        <v>11</v>
      </c>
      <c r="B56" s="7" t="s">
        <v>21</v>
      </c>
      <c r="G56" s="14"/>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47"/>
      <c r="P56" s="47"/>
      <c r="Q56" s="47"/>
      <c r="R56" s="47"/>
      <c r="S56" s="47"/>
      <c r="T56" s="47"/>
      <c r="U56" s="47"/>
      <c r="V56" s="47"/>
      <c r="W56" s="47"/>
      <c r="X56" s="47"/>
      <c r="Y56" s="47"/>
      <c r="Z56" s="47"/>
      <c r="AA56" s="324" t="e">
        <f ca="1">IF($I56="B1","",SUM(O56:Z56))</f>
        <v>#NAME?</v>
      </c>
      <c r="AB56" s="48" t="str">
        <f>IF(O56=0,"",IFERROR(O56/O$19,""))</f>
        <v/>
      </c>
      <c r="AD56" s="47"/>
      <c r="AE56" s="48" t="str">
        <f>IF(AD56=0,"",IFERROR(AD56/AD$19,""))</f>
        <v/>
      </c>
      <c r="AF56" s="150" t="e">
        <f ca="1">IF(AND($AA56="",AD56=""),"",$AA56-AD56)</f>
        <v>#NAME?</v>
      </c>
      <c r="AG56" s="47"/>
      <c r="AH56" s="48" t="str">
        <f>IF(AG56=0,"",IFERROR(AG56/AG$19,""))</f>
        <v/>
      </c>
      <c r="AI56" s="150" t="e">
        <f ca="1">IF(AND($AA56="",AG56=""),"",$AA56-AG56)</f>
        <v>#NAME?</v>
      </c>
    </row>
    <row r="57" spans="1:35" x14ac:dyDescent="0.25">
      <c r="A57" s="6" t="s">
        <v>12</v>
      </c>
      <c r="B57" s="7" t="s">
        <v>22</v>
      </c>
      <c r="O57" s="41"/>
      <c r="P57" s="45"/>
      <c r="Q57" s="45"/>
      <c r="R57" s="45"/>
      <c r="S57" s="45"/>
      <c r="T57" s="45"/>
      <c r="U57" s="45"/>
      <c r="V57" s="45"/>
      <c r="W57" s="45"/>
      <c r="X57" s="45"/>
      <c r="Y57" s="45"/>
      <c r="Z57" s="45"/>
      <c r="AA57" s="45"/>
      <c r="AB57" s="42"/>
      <c r="AD57" s="41"/>
      <c r="AE57" s="45"/>
      <c r="AF57" s="42"/>
      <c r="AG57" s="41"/>
      <c r="AH57" s="45"/>
      <c r="AI57" s="42"/>
    </row>
    <row r="58" spans="1:35" x14ac:dyDescent="0.25">
      <c r="A58" s="6" t="s">
        <v>13</v>
      </c>
      <c r="B58" s="7" t="e">
        <f ca="1">"DEP(510000) AND "&amp;$E$6&amp;"=Y,500001"</f>
        <v>#NAME?</v>
      </c>
      <c r="H58" s="1" t="s">
        <v>82</v>
      </c>
      <c r="I58" s="11" t="e">
        <f ca="1">_xll.EVPRO($B$1,$H58,"STYLE")</f>
        <v>#NAME?</v>
      </c>
      <c r="J58" s="11" t="e">
        <f ca="1">_xll.EVPRO($B$1,$H58,"CALC")</f>
        <v>#NAME?</v>
      </c>
      <c r="N58" s="40" t="e">
        <f ca="1">IF(_xll.EVDES(H58,$B$1)="#NODATA","",_xll.EVDES(H58,$B$1))</f>
        <v>#NAME?</v>
      </c>
      <c r="O58" s="43"/>
      <c r="P58" s="46"/>
      <c r="Q58" s="46"/>
      <c r="R58" s="46"/>
      <c r="S58" s="46"/>
      <c r="T58" s="46"/>
      <c r="U58" s="46"/>
      <c r="V58" s="46"/>
      <c r="W58" s="46"/>
      <c r="X58" s="46"/>
      <c r="Y58" s="46"/>
      <c r="Z58" s="46"/>
      <c r="AA58" s="46"/>
      <c r="AB58" s="44"/>
      <c r="AD58" s="43"/>
      <c r="AE58" s="46"/>
      <c r="AF58" s="44"/>
      <c r="AG58" s="43"/>
      <c r="AH58" s="46"/>
      <c r="AI58" s="44"/>
    </row>
    <row r="59" spans="1:35" hidden="1" x14ac:dyDescent="0.25">
      <c r="A59" s="6" t="s">
        <v>14</v>
      </c>
      <c r="B59" s="7"/>
      <c r="H59" s="15" t="s">
        <v>667</v>
      </c>
      <c r="I59" s="161" t="e">
        <f ca="1">_xll.EVPRO($B$1,$H59,"STYLE")</f>
        <v>#NAME?</v>
      </c>
      <c r="J59" s="161" t="e">
        <f ca="1">_xll.EVPRO($B$1,$H59,"CALC")</f>
        <v>#NAME?</v>
      </c>
      <c r="K59" s="68" t="e">
        <f ca="1">IF(AND(I59&lt;&gt;"B1",J59="Y"),"&gt;","")</f>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310" t="e">
        <f ca="1">IF($I59="B1","",SUM(O59:Z59))</f>
        <v>#NAME?</v>
      </c>
      <c r="AB59" s="17" t="e">
        <f ca="1">IF(AA59=0,"",IFERROR(AA59/AA$19,""))</f>
        <v>#NAME?</v>
      </c>
      <c r="AD59" s="21"/>
      <c r="AE59" s="17" t="str">
        <f>IF(AD59=0,"",IFERROR(AD59/AD$19,""))</f>
        <v/>
      </c>
      <c r="AF59" s="50" t="e">
        <f ca="1">IF(AND($AA59="",AD59=""),"",$AA59-AD59)</f>
        <v>#NAME?</v>
      </c>
      <c r="AG59" s="21"/>
      <c r="AH59" s="17" t="str">
        <f>IF(AG59=0,"",IFERROR(AG59/AG$19,""))</f>
        <v/>
      </c>
      <c r="AI59" s="50" t="e">
        <f ca="1">IF(AND($AA59="",AG59=""),"",$AA59-AG59)</f>
        <v>#NAME?</v>
      </c>
    </row>
    <row r="60" spans="1:35" hidden="1" x14ac:dyDescent="0.25">
      <c r="A60" s="6" t="s">
        <v>15</v>
      </c>
      <c r="B60" s="7"/>
      <c r="H60" s="15"/>
      <c r="I60" s="161" t="e">
        <f ca="1">_xll.EVPRO($B$1,$H60,"STYLE")</f>
        <v>#NAME?</v>
      </c>
      <c r="J60" s="161" t="e">
        <f ca="1">_xll.EVPRO($B$1,$H60,"CALC")</f>
        <v>#NAME?</v>
      </c>
      <c r="K60" s="68" t="e">
        <f ca="1">IF(AND(I60&lt;&gt;"B1",J60="Y"),"&gt;","")</f>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310" t="e">
        <f ca="1">IF($I60="B1","",SUM(O60:Z60))</f>
        <v>#NAME?</v>
      </c>
      <c r="AB60" s="17" t="e">
        <f ca="1">IF(AA60=0,"",IFERROR(AA60/AA$19,""))</f>
        <v>#NAME?</v>
      </c>
      <c r="AD60" s="21"/>
      <c r="AE60" s="17" t="str">
        <f>IF(AD60=0,"",IFERROR(AD60/AD$19,""))</f>
        <v/>
      </c>
      <c r="AF60" s="50" t="e">
        <f ca="1">IF(AND($AA60="",AD60=""),"",$AA60-AD60)</f>
        <v>#NAME?</v>
      </c>
      <c r="AG60" s="21"/>
      <c r="AH60" s="17" t="str">
        <f>IF(AG60=0,"",IFERROR(AG60/AG$19,""))</f>
        <v/>
      </c>
      <c r="AI60" s="50" t="e">
        <f ca="1">IF(AND($AA60="",AG60=""),"",$AA60-AG60)</f>
        <v>#NAME?</v>
      </c>
    </row>
    <row r="61" spans="1:35" x14ac:dyDescent="0.25">
      <c r="A61" s="6" t="s">
        <v>16</v>
      </c>
      <c r="B61" s="7"/>
      <c r="H61" s="15" t="s">
        <v>79</v>
      </c>
      <c r="I61" s="27" t="e">
        <f ca="1">_xll.EVPRO($B$1,$H61,"STYLE")</f>
        <v>#NAME?</v>
      </c>
      <c r="J61" s="27" t="e">
        <f ca="1">_xll.EVPRO($B$1,$H61,"CALC")</f>
        <v>#NAME?</v>
      </c>
      <c r="K61" s="26"/>
      <c r="L61" s="26"/>
      <c r="M61" s="26"/>
      <c r="N61" s="25" t="e">
        <f ca="1">IF(_xll.EVDES(H61,$B$1)="#NODATA","",_xll.EVDES(H61,$B$1))</f>
        <v>#NAME?</v>
      </c>
      <c r="O61" s="33"/>
      <c r="P61" s="33"/>
      <c r="Q61" s="33"/>
      <c r="R61" s="33"/>
      <c r="S61" s="33"/>
      <c r="T61" s="33"/>
      <c r="U61" s="33"/>
      <c r="V61" s="33"/>
      <c r="W61" s="33"/>
      <c r="X61" s="33"/>
      <c r="Y61" s="33"/>
      <c r="Z61" s="33"/>
      <c r="AA61" s="33" t="e">
        <f ca="1">IF($I61="B1","",SUM(O61:Z61))</f>
        <v>#NAME?</v>
      </c>
      <c r="AB61" s="34" t="e">
        <f ca="1">IF(AA61=0,"",IFERROR(AA61/AA$19,""))</f>
        <v>#NAME?</v>
      </c>
      <c r="AD61" s="33"/>
      <c r="AE61" s="34" t="str">
        <f>IF(AD61=0,"",IFERROR(AD61/AD$19,""))</f>
        <v/>
      </c>
      <c r="AF61" s="52" t="e">
        <f ca="1">IF(AND($AA61="",AD61=""),"",$AA61-AD61)</f>
        <v>#NAME?</v>
      </c>
      <c r="AG61" s="33"/>
      <c r="AH61" s="34" t="str">
        <f>IF(AG61=0,"",IFERROR(AG61/AG$19,""))</f>
        <v/>
      </c>
      <c r="AI61" s="52" t="e">
        <f ca="1">IF(AND($AA61="",AG61=""),"",$AA61-AG61)</f>
        <v>#NAME?</v>
      </c>
    </row>
    <row r="62" spans="1:35" x14ac:dyDescent="0.25">
      <c r="A62" s="6" t="s">
        <v>17</v>
      </c>
      <c r="B62" s="7"/>
    </row>
    <row r="63" spans="1:35" x14ac:dyDescent="0.25">
      <c r="H63" s="15" t="s">
        <v>80</v>
      </c>
      <c r="I63" s="27" t="e">
        <f ca="1">_xll.EVPRO($B$1,$H63,"STYLE")</f>
        <v>#NAME?</v>
      </c>
      <c r="J63" s="27" t="e">
        <f ca="1">_xll.EVPRO($B$1,$H63,"CALC")</f>
        <v>#NAME?</v>
      </c>
      <c r="K63" s="25"/>
      <c r="L63" s="25"/>
      <c r="M63" s="25"/>
      <c r="N63" s="25" t="e">
        <f ca="1">IF(_xll.EVDES(H63,$B$1)="#NODATA","",_xll.EVDES(H63,$B$1))</f>
        <v>#NAME?</v>
      </c>
      <c r="O63" s="36"/>
      <c r="P63" s="36"/>
      <c r="Q63" s="36"/>
      <c r="R63" s="36"/>
      <c r="S63" s="36"/>
      <c r="T63" s="36"/>
      <c r="U63" s="36"/>
      <c r="V63" s="36"/>
      <c r="W63" s="36"/>
      <c r="X63" s="36"/>
      <c r="Y63" s="36"/>
      <c r="Z63" s="36"/>
      <c r="AA63" s="36" t="e">
        <f ca="1">IF($I63="B1","",SUM(O63:Z63))</f>
        <v>#NAME?</v>
      </c>
      <c r="AB63" s="37" t="e">
        <f ca="1">IF(AA63=0,"",IFERROR(AA63/AA$19,""))</f>
        <v>#NAME?</v>
      </c>
      <c r="AD63" s="36"/>
      <c r="AE63" s="37" t="str">
        <f>IF(AD63=0,"",IFERROR(AD63/AD$19,""))</f>
        <v/>
      </c>
      <c r="AF63" s="59" t="e">
        <f ca="1">IF(AND($AA63="",AD63=""),"",$AA63-AD63)</f>
        <v>#NAME?</v>
      </c>
      <c r="AG63" s="60"/>
      <c r="AH63" s="61" t="str">
        <f>IF(AG63=0,"",IFERROR(AG63/AG$19,""))</f>
        <v/>
      </c>
      <c r="AI63" s="59" t="e">
        <f ca="1">IF(AND($AA63="",AG63=""),"",$AA63-AG63)</f>
        <v>#NAME?</v>
      </c>
    </row>
    <row r="64" spans="1:35" ht="15.75" thickBot="1" x14ac:dyDescent="0.3">
      <c r="A64" s="22" t="s">
        <v>92</v>
      </c>
      <c r="B64" s="23" t="s">
        <v>93</v>
      </c>
      <c r="C64" s="23" t="s">
        <v>94</v>
      </c>
      <c r="D64" s="23" t="s">
        <v>95</v>
      </c>
      <c r="E64" s="23" t="s">
        <v>96</v>
      </c>
      <c r="F64" s="24" t="s">
        <v>97</v>
      </c>
      <c r="H64" s="15" t="s">
        <v>81</v>
      </c>
      <c r="I64" s="27" t="e">
        <f ca="1">_xll.EVPRO($B$1,$H64,"STYLE")</f>
        <v>#NAME?</v>
      </c>
      <c r="J64" s="27" t="e">
        <f ca="1">_xll.EVPRO($B$1,$H64,"CALC")</f>
        <v>#NAME?</v>
      </c>
      <c r="K64" s="25"/>
      <c r="L64" s="25"/>
      <c r="M64" s="25"/>
      <c r="N64" s="25" t="e">
        <f ca="1">IF(_xll.EVDES(H64,$B$1)="#NODATA","",_xll.EVDES(H64,$B$1))</f>
        <v>#NAME?</v>
      </c>
      <c r="O64" s="62"/>
      <c r="P64" s="62"/>
      <c r="Q64" s="62"/>
      <c r="R64" s="62"/>
      <c r="S64" s="62"/>
      <c r="T64" s="62"/>
      <c r="U64" s="62"/>
      <c r="V64" s="62"/>
      <c r="W64" s="62"/>
      <c r="X64" s="62"/>
      <c r="Y64" s="62"/>
      <c r="Z64" s="62"/>
      <c r="AA64" s="62" t="e">
        <f ca="1">IF($I64="B1","",SUM(O64:Z64))</f>
        <v>#NAME?</v>
      </c>
      <c r="AB64" s="63" t="e">
        <f ca="1">IF(AA64=0,"",IFERROR(AA64/AA$19,""))</f>
        <v>#NAME?</v>
      </c>
      <c r="AD64" s="62"/>
      <c r="AE64" s="63" t="str">
        <f>IF(AD64=0,"",IFERROR(AD64/AD$19,""))</f>
        <v/>
      </c>
      <c r="AF64" s="64" t="e">
        <f ca="1">IF(AND($AA64="",AD64=""),"",$AA64-AD64)</f>
        <v>#NAME?</v>
      </c>
      <c r="AG64" s="62"/>
      <c r="AH64" s="63" t="str">
        <f>IF(AG64=0,"",IFERROR(AG64/AG$19,""))</f>
        <v/>
      </c>
      <c r="AI64" s="64" t="e">
        <f ca="1">IF(AND($AA64="",AG64=""),"",$AA64-AG64)</f>
        <v>#NAME?</v>
      </c>
    </row>
    <row r="65" spans="1:35" ht="15.75" thickTop="1" x14ac:dyDescent="0.25"/>
    <row r="66" spans="1:35" x14ac:dyDescent="0.25">
      <c r="A66" s="1" t="s">
        <v>209</v>
      </c>
      <c r="B66" s="1" t="s">
        <v>21</v>
      </c>
      <c r="C66" s="74"/>
      <c r="D66" s="1" t="s">
        <v>590</v>
      </c>
      <c r="F66" s="1" t="s">
        <v>99</v>
      </c>
      <c r="N66" s="26" t="e">
        <f ca="1">N63&amp;" - Check"</f>
        <v>#NAME?</v>
      </c>
      <c r="O66" s="139">
        <f t="shared" ref="O66:AA66" si="16">SUMIF($H$34:$H$64,"600000",O$34:O$64)+SUMIF($H$34:$H$64,"700000",O$34:O$64)-SUMIF($H$34:$H$64,"TOTDEPTEXP",O$34:O$64)</f>
        <v>0</v>
      </c>
      <c r="P66" s="139">
        <f t="shared" si="16"/>
        <v>0</v>
      </c>
      <c r="Q66" s="139">
        <f t="shared" si="16"/>
        <v>0</v>
      </c>
      <c r="R66" s="139">
        <f t="shared" si="16"/>
        <v>0</v>
      </c>
      <c r="S66" s="139">
        <f t="shared" si="16"/>
        <v>0</v>
      </c>
      <c r="T66" s="139">
        <f t="shared" si="16"/>
        <v>0</v>
      </c>
      <c r="U66" s="139">
        <f t="shared" si="16"/>
        <v>0</v>
      </c>
      <c r="V66" s="139">
        <f t="shared" si="16"/>
        <v>0</v>
      </c>
      <c r="W66" s="139">
        <f t="shared" si="16"/>
        <v>0</v>
      </c>
      <c r="X66" s="139">
        <f t="shared" si="16"/>
        <v>0</v>
      </c>
      <c r="Y66" s="139">
        <f t="shared" si="16"/>
        <v>0</v>
      </c>
      <c r="Z66" s="139">
        <f t="shared" si="16"/>
        <v>0</v>
      </c>
      <c r="AA66" s="139" t="e">
        <f t="shared" ca="1" si="16"/>
        <v>#NAME?</v>
      </c>
      <c r="AB66" s="17"/>
      <c r="AD66" s="139">
        <f>SUMIF($H$34:$H$64,"600000",AD$34:AD$64)+SUMIF($H$34:$H$64,"700000",AD$34:AD$64)-SUMIF($H$34:$H$64,"TOTDEPTEXP",AD$34:AD$64)</f>
        <v>0</v>
      </c>
      <c r="AE66" s="17"/>
      <c r="AF66" s="21"/>
      <c r="AG66" s="139">
        <f>SUMIF($H$34:$H$64,"600000",AG$34:AG$64)+SUMIF($H$34:$H$64,"700000",AG$34:AG$64)-SUMIF($H$34:$H$64,"TOTDEPTEXP",AG$34:AG$64)</f>
        <v>0</v>
      </c>
      <c r="AH66" s="17"/>
      <c r="AI66" s="21"/>
    </row>
    <row r="67" spans="1:35" x14ac:dyDescent="0.25">
      <c r="A67" s="1" t="s">
        <v>105</v>
      </c>
      <c r="C67" s="26" t="s">
        <v>101</v>
      </c>
      <c r="D67" s="1" t="s">
        <v>106</v>
      </c>
      <c r="F67" s="1" t="s">
        <v>98</v>
      </c>
      <c r="N67" s="26" t="e">
        <f ca="1">N64&amp;" - Check"</f>
        <v>#NAME?</v>
      </c>
      <c r="O67" s="139">
        <f t="shared" ref="O67:AA67" si="17">SUMIF($H$34:$H$64,"KPI_GP",O$34:O$64)-SUMIF($H$34:$H$64,"TOTDEPTEXP",O$34:O$64)-SUMIF($H$34:$H$64,"TOTDEPTPL",O$34:O$64)</f>
        <v>0</v>
      </c>
      <c r="P67" s="139">
        <f t="shared" si="17"/>
        <v>0</v>
      </c>
      <c r="Q67" s="139">
        <f t="shared" si="17"/>
        <v>0</v>
      </c>
      <c r="R67" s="139">
        <f t="shared" si="17"/>
        <v>0</v>
      </c>
      <c r="S67" s="139">
        <f t="shared" si="17"/>
        <v>0</v>
      </c>
      <c r="T67" s="139">
        <f t="shared" si="17"/>
        <v>0</v>
      </c>
      <c r="U67" s="139">
        <f t="shared" si="17"/>
        <v>0</v>
      </c>
      <c r="V67" s="139">
        <f t="shared" si="17"/>
        <v>0</v>
      </c>
      <c r="W67" s="139">
        <f t="shared" si="17"/>
        <v>0</v>
      </c>
      <c r="X67" s="139">
        <f t="shared" si="17"/>
        <v>0</v>
      </c>
      <c r="Y67" s="139">
        <f t="shared" si="17"/>
        <v>0</v>
      </c>
      <c r="Z67" s="139">
        <f t="shared" si="17"/>
        <v>0</v>
      </c>
      <c r="AA67" s="139" t="e">
        <f t="shared" ca="1" si="17"/>
        <v>#NAME?</v>
      </c>
      <c r="AB67" s="17"/>
      <c r="AD67" s="139">
        <f>SUMIF($H$34:$H$64,"KPI_GP",AD$34:AD$64)-SUMIF($H$34:$H$64,"TOTDEPTEXP",AD$34:AD$64)-SUMIF($H$34:$H$64,"TOTDEPTPL",AD$34:AD$64)</f>
        <v>0</v>
      </c>
      <c r="AE67" s="17"/>
      <c r="AF67" s="21"/>
      <c r="AG67" s="139">
        <f>SUMIF($H$34:$H$64,"KPI_GP",AG$34:AG$64)-SUMIF($H$34:$H$64,"TOTDEPTEXP",AG$34:AG$64)-SUMIF($H$34:$H$64,"TOTDEPTPL",AG$34:AG$64)</f>
        <v>0</v>
      </c>
      <c r="AH67" s="17"/>
      <c r="AI67" s="21"/>
    </row>
    <row r="68" spans="1:35" x14ac:dyDescent="0.25">
      <c r="A68" s="1" t="s">
        <v>108</v>
      </c>
      <c r="C68" s="25" t="s">
        <v>101</v>
      </c>
      <c r="D68" s="1" t="s">
        <v>106</v>
      </c>
      <c r="F68" s="1" t="s">
        <v>98</v>
      </c>
    </row>
    <row r="69" spans="1:35" x14ac:dyDescent="0.25">
      <c r="A69" s="1" t="s">
        <v>108</v>
      </c>
      <c r="C69" s="151" t="s">
        <v>101</v>
      </c>
      <c r="D69" s="1" t="s">
        <v>107</v>
      </c>
      <c r="F69" s="1" t="s">
        <v>99</v>
      </c>
      <c r="O69" s="166"/>
      <c r="P69" s="166"/>
      <c r="Q69" s="166"/>
      <c r="R69" s="166"/>
      <c r="S69" s="166"/>
      <c r="T69" s="166"/>
      <c r="U69" s="166"/>
      <c r="V69" s="166"/>
      <c r="W69" s="166"/>
      <c r="X69" s="166"/>
      <c r="Y69" s="166"/>
      <c r="Z69" s="166"/>
      <c r="AA69" s="166"/>
      <c r="AD69" s="166"/>
      <c r="AG69" s="166"/>
    </row>
    <row r="71" spans="1:35" x14ac:dyDescent="0.25">
      <c r="C71" s="32"/>
      <c r="O71" s="166"/>
      <c r="P71" s="166"/>
      <c r="Q71" s="166"/>
      <c r="R71" s="166"/>
      <c r="S71" s="166"/>
      <c r="T71" s="166"/>
      <c r="U71" s="166"/>
      <c r="V71" s="166"/>
      <c r="W71" s="166"/>
      <c r="X71" s="166"/>
      <c r="Y71" s="166"/>
      <c r="Z71" s="166"/>
      <c r="AA71" s="166"/>
      <c r="AD71" s="166"/>
      <c r="AG71" s="166"/>
    </row>
    <row r="72" spans="1:35" x14ac:dyDescent="0.25">
      <c r="A72" s="4" t="e">
        <f ca="1">_xll.EVDRE($B$1,A75:B82,A85:B91)</f>
        <v>#NAME?</v>
      </c>
    </row>
    <row r="74" spans="1:35" x14ac:dyDescent="0.25">
      <c r="A74" s="3" t="s">
        <v>0</v>
      </c>
      <c r="B74" s="5" t="s">
        <v>1</v>
      </c>
      <c r="H74" s="11"/>
      <c r="J74" s="1"/>
    </row>
    <row r="75" spans="1:35" x14ac:dyDescent="0.25">
      <c r="A75" s="6" t="s">
        <v>2</v>
      </c>
      <c r="B75" s="7" t="e">
        <f ca="1">_xll.EVRNG($B$2:$B$10)</f>
        <v>#NAME?</v>
      </c>
      <c r="H75" s="11"/>
      <c r="J75" s="1"/>
    </row>
    <row r="76" spans="1:35" x14ac:dyDescent="0.25">
      <c r="A76" s="6" t="s">
        <v>3</v>
      </c>
      <c r="B76" s="7" t="e">
        <f ca="1">_xll.EVRNG(O16:AI18)</f>
        <v>#NAME?</v>
      </c>
      <c r="H76" s="11"/>
      <c r="J76" s="1"/>
    </row>
    <row r="77" spans="1:35" x14ac:dyDescent="0.25">
      <c r="A77" s="6" t="s">
        <v>4</v>
      </c>
      <c r="B77" s="7" t="e">
        <f ca="1">_xll.EVRNG(H52:H53,H55:H56,H59:H60)</f>
        <v>#NAME?</v>
      </c>
      <c r="H77" s="11"/>
      <c r="J77" s="1"/>
    </row>
    <row r="78" spans="1:35" x14ac:dyDescent="0.25">
      <c r="A78" s="6" t="s">
        <v>5</v>
      </c>
      <c r="B78" s="7"/>
      <c r="H78" s="11"/>
      <c r="J78" s="1"/>
    </row>
    <row r="79" spans="1:35" x14ac:dyDescent="0.25">
      <c r="A79" s="6" t="s">
        <v>6</v>
      </c>
      <c r="B79" s="7"/>
      <c r="H79" s="11"/>
      <c r="J79" s="1"/>
    </row>
    <row r="80" spans="1:35" x14ac:dyDescent="0.25">
      <c r="A80" s="6" t="s">
        <v>7</v>
      </c>
      <c r="B80" s="7" t="e">
        <f ca="1">_xll.EVRNG(A94:F100)</f>
        <v>#NAME?</v>
      </c>
      <c r="H80" s="11"/>
      <c r="J80" s="1"/>
    </row>
    <row r="81" spans="1:10" x14ac:dyDescent="0.25">
      <c r="A81" s="6" t="s">
        <v>47</v>
      </c>
      <c r="B81" s="7" t="e">
        <f ca="1">_xll.EVRNG($A$117:$B$138)</f>
        <v>#NAME?</v>
      </c>
      <c r="H81" s="11"/>
      <c r="J81" s="1"/>
    </row>
    <row r="82" spans="1:10" x14ac:dyDescent="0.25">
      <c r="A82" s="6" t="s">
        <v>8</v>
      </c>
      <c r="B82" s="7"/>
      <c r="H82" s="11"/>
      <c r="J82" s="1"/>
    </row>
    <row r="83" spans="1:10" x14ac:dyDescent="0.25">
      <c r="H83" s="11"/>
      <c r="J83" s="1"/>
    </row>
    <row r="84" spans="1:10" x14ac:dyDescent="0.25">
      <c r="A84" s="3" t="s">
        <v>9</v>
      </c>
      <c r="B84" s="5" t="s">
        <v>10</v>
      </c>
      <c r="H84" s="11"/>
      <c r="J84" s="1"/>
    </row>
    <row r="85" spans="1:10" x14ac:dyDescent="0.25">
      <c r="A85" s="6" t="s">
        <v>11</v>
      </c>
      <c r="B85" s="7" t="s">
        <v>21</v>
      </c>
      <c r="H85" s="11"/>
      <c r="J85" s="1"/>
    </row>
    <row r="86" spans="1:10" x14ac:dyDescent="0.25">
      <c r="A86" s="6" t="s">
        <v>12</v>
      </c>
      <c r="B86" s="7" t="s">
        <v>22</v>
      </c>
      <c r="H86" s="11"/>
      <c r="J86" s="1"/>
    </row>
    <row r="87" spans="1:10" x14ac:dyDescent="0.25">
      <c r="A87" s="6" t="s">
        <v>13</v>
      </c>
      <c r="B87" s="7" t="s">
        <v>737</v>
      </c>
      <c r="H87" s="11"/>
      <c r="J87" s="1"/>
    </row>
    <row r="88" spans="1:10" x14ac:dyDescent="0.25">
      <c r="A88" s="6" t="s">
        <v>14</v>
      </c>
      <c r="B88" s="7"/>
      <c r="H88" s="11"/>
      <c r="J88" s="1"/>
    </row>
    <row r="89" spans="1:10" x14ac:dyDescent="0.25">
      <c r="A89" s="6" t="s">
        <v>15</v>
      </c>
      <c r="B89" s="7"/>
      <c r="G89" s="14"/>
      <c r="H89" s="11"/>
      <c r="J89" s="1"/>
    </row>
    <row r="90" spans="1:10" x14ac:dyDescent="0.25">
      <c r="A90" s="6" t="s">
        <v>16</v>
      </c>
      <c r="B90" s="7" t="s">
        <v>78</v>
      </c>
      <c r="H90" s="11"/>
      <c r="J90" s="1"/>
    </row>
    <row r="91" spans="1:10" x14ac:dyDescent="0.25">
      <c r="A91" s="6" t="s">
        <v>17</v>
      </c>
      <c r="B91" s="7"/>
      <c r="H91" s="11"/>
      <c r="J91" s="1"/>
    </row>
    <row r="92" spans="1:10" x14ac:dyDescent="0.25">
      <c r="H92" s="11"/>
      <c r="J92" s="1"/>
    </row>
    <row r="93" spans="1:10" x14ac:dyDescent="0.25">
      <c r="A93" s="22" t="s">
        <v>92</v>
      </c>
      <c r="B93" s="23" t="s">
        <v>93</v>
      </c>
      <c r="C93" s="23" t="s">
        <v>94</v>
      </c>
      <c r="D93" s="23" t="s">
        <v>95</v>
      </c>
      <c r="E93" s="23" t="s">
        <v>96</v>
      </c>
      <c r="F93" s="24" t="s">
        <v>97</v>
      </c>
      <c r="H93" s="11"/>
      <c r="J93" s="1"/>
    </row>
    <row r="94" spans="1:10" x14ac:dyDescent="0.25">
      <c r="H94" s="11"/>
      <c r="J94" s="1"/>
    </row>
    <row r="95" spans="1:10" x14ac:dyDescent="0.25">
      <c r="A95" s="1" t="s">
        <v>108</v>
      </c>
      <c r="C95" s="26" t="s">
        <v>101</v>
      </c>
      <c r="D95" s="1" t="s">
        <v>106</v>
      </c>
      <c r="F95" s="1" t="s">
        <v>98</v>
      </c>
      <c r="H95" s="11"/>
      <c r="J95" s="1"/>
    </row>
    <row r="96" spans="1:10" x14ac:dyDescent="0.25">
      <c r="A96" s="1" t="s">
        <v>100</v>
      </c>
      <c r="C96" s="8" t="s">
        <v>101</v>
      </c>
      <c r="D96" s="1" t="s">
        <v>106</v>
      </c>
      <c r="F96" s="1" t="s">
        <v>98</v>
      </c>
      <c r="H96" s="11"/>
      <c r="J96" s="1"/>
    </row>
    <row r="97" spans="1:7" x14ac:dyDescent="0.25">
      <c r="A97" s="1" t="s">
        <v>109</v>
      </c>
      <c r="C97" s="25" t="s">
        <v>101</v>
      </c>
      <c r="D97" s="1" t="s">
        <v>106</v>
      </c>
      <c r="F97" s="1" t="s">
        <v>98</v>
      </c>
    </row>
    <row r="98" spans="1:7" x14ac:dyDescent="0.25">
      <c r="A98" s="1" t="s">
        <v>109</v>
      </c>
      <c r="C98" s="151" t="s">
        <v>101</v>
      </c>
      <c r="D98" s="1" t="s">
        <v>107</v>
      </c>
      <c r="F98" s="1" t="s">
        <v>99</v>
      </c>
    </row>
    <row r="99" spans="1:7" x14ac:dyDescent="0.25">
      <c r="A99" s="1" t="s">
        <v>110</v>
      </c>
      <c r="C99" s="25" t="s">
        <v>101</v>
      </c>
      <c r="D99" s="1" t="s">
        <v>106</v>
      </c>
      <c r="F99" s="1" t="s">
        <v>98</v>
      </c>
    </row>
    <row r="100" spans="1:7" x14ac:dyDescent="0.25">
      <c r="A100" s="1" t="s">
        <v>110</v>
      </c>
      <c r="C100" s="29" t="s">
        <v>101</v>
      </c>
      <c r="D100" s="1" t="s">
        <v>107</v>
      </c>
      <c r="F100" s="1" t="s">
        <v>99</v>
      </c>
    </row>
    <row r="101" spans="1:7" x14ac:dyDescent="0.25">
      <c r="C101" s="32"/>
    </row>
    <row r="103" spans="1:7" x14ac:dyDescent="0.25">
      <c r="A103" s="4" t="e">
        <f ca="1">_xll.EVDRE($B$1,A106:B113)</f>
        <v>#NAME?</v>
      </c>
      <c r="B103" s="1" t="s">
        <v>736</v>
      </c>
      <c r="G103" s="14"/>
    </row>
    <row r="105" spans="1:7" x14ac:dyDescent="0.25">
      <c r="A105" s="3" t="s">
        <v>0</v>
      </c>
      <c r="B105" s="5" t="s">
        <v>1</v>
      </c>
    </row>
    <row r="106" spans="1:7" x14ac:dyDescent="0.25">
      <c r="A106" s="6" t="s">
        <v>2</v>
      </c>
      <c r="B106" s="7" t="e">
        <f ca="1">_xll.EVRNG($B$2:$B$10)</f>
        <v>#NAME?</v>
      </c>
    </row>
    <row r="107" spans="1:7" x14ac:dyDescent="0.25">
      <c r="A107" s="6" t="s">
        <v>3</v>
      </c>
      <c r="B107" s="7" t="e">
        <f ca="1">_xll.EVRNG(O16:AI18)</f>
        <v>#NAME?</v>
      </c>
    </row>
    <row r="108" spans="1:7" x14ac:dyDescent="0.25">
      <c r="A108" s="6" t="s">
        <v>4</v>
      </c>
      <c r="B108" s="7" t="e">
        <f ca="1">_xll.EVRNG(H61:H64)</f>
        <v>#NAME?</v>
      </c>
    </row>
    <row r="109" spans="1:7" x14ac:dyDescent="0.25">
      <c r="A109" s="6" t="s">
        <v>5</v>
      </c>
      <c r="B109" s="7"/>
      <c r="G109" s="14"/>
    </row>
    <row r="110" spans="1:7" x14ac:dyDescent="0.25">
      <c r="A110" s="6" t="s">
        <v>6</v>
      </c>
      <c r="B110" s="7"/>
    </row>
    <row r="111" spans="1:7" x14ac:dyDescent="0.25">
      <c r="A111" s="6" t="s">
        <v>7</v>
      </c>
      <c r="B111" s="7"/>
    </row>
    <row r="112" spans="1:7" x14ac:dyDescent="0.25">
      <c r="A112" s="6" t="s">
        <v>47</v>
      </c>
      <c r="B112" s="7" t="e">
        <f ca="1">_xll.EVRNG($A$117:$B$138)</f>
        <v>#NAME?</v>
      </c>
    </row>
    <row r="113" spans="1:2" x14ac:dyDescent="0.25">
      <c r="A113" s="6" t="s">
        <v>8</v>
      </c>
      <c r="B113" s="7"/>
    </row>
    <row r="116" spans="1:2" x14ac:dyDescent="0.25">
      <c r="A116" s="3" t="s">
        <v>23</v>
      </c>
      <c r="B116" s="5" t="s">
        <v>24</v>
      </c>
    </row>
    <row r="117" spans="1:2" x14ac:dyDescent="0.25">
      <c r="A117" s="6" t="s">
        <v>25</v>
      </c>
      <c r="B117" s="7"/>
    </row>
    <row r="118" spans="1:2" x14ac:dyDescent="0.25">
      <c r="A118" s="6" t="s">
        <v>26</v>
      </c>
      <c r="B118" s="7"/>
    </row>
    <row r="119" spans="1:2" x14ac:dyDescent="0.25">
      <c r="A119" s="6" t="s">
        <v>27</v>
      </c>
      <c r="B119" s="7"/>
    </row>
    <row r="120" spans="1:2" x14ac:dyDescent="0.25">
      <c r="A120" s="6" t="s">
        <v>28</v>
      </c>
      <c r="B120" s="7"/>
    </row>
    <row r="121" spans="1:2" x14ac:dyDescent="0.25">
      <c r="A121" s="6" t="s">
        <v>29</v>
      </c>
      <c r="B121" s="7"/>
    </row>
    <row r="122" spans="1:2" x14ac:dyDescent="0.25">
      <c r="A122" s="6" t="s">
        <v>30</v>
      </c>
      <c r="B122" s="7" t="s">
        <v>78</v>
      </c>
    </row>
    <row r="123" spans="1:2" x14ac:dyDescent="0.25">
      <c r="A123" s="6" t="s">
        <v>31</v>
      </c>
      <c r="B123" s="7" t="s">
        <v>78</v>
      </c>
    </row>
    <row r="124" spans="1:2" x14ac:dyDescent="0.25">
      <c r="A124" s="6" t="s">
        <v>32</v>
      </c>
      <c r="B124" s="7"/>
    </row>
    <row r="125" spans="1:2" x14ac:dyDescent="0.25">
      <c r="A125" s="6" t="s">
        <v>33</v>
      </c>
      <c r="B125" s="7"/>
    </row>
    <row r="126" spans="1:2" x14ac:dyDescent="0.25">
      <c r="A126" s="6" t="s">
        <v>34</v>
      </c>
      <c r="B126" s="7"/>
    </row>
    <row r="127" spans="1:2" x14ac:dyDescent="0.25">
      <c r="A127" s="6" t="s">
        <v>35</v>
      </c>
      <c r="B127" s="7"/>
    </row>
    <row r="128" spans="1:2" x14ac:dyDescent="0.25">
      <c r="A128" s="6" t="s">
        <v>36</v>
      </c>
      <c r="B128" s="7"/>
    </row>
    <row r="129" spans="1:34" x14ac:dyDescent="0.25">
      <c r="A129" s="6" t="s">
        <v>37</v>
      </c>
      <c r="B129" s="7"/>
    </row>
    <row r="130" spans="1:34" x14ac:dyDescent="0.25">
      <c r="A130" s="6" t="s">
        <v>38</v>
      </c>
      <c r="B130" s="7"/>
    </row>
    <row r="131" spans="1:34" x14ac:dyDescent="0.25">
      <c r="A131" s="6" t="s">
        <v>39</v>
      </c>
      <c r="B131" s="7"/>
    </row>
    <row r="132" spans="1:34" x14ac:dyDescent="0.25">
      <c r="A132" s="6" t="s">
        <v>40</v>
      </c>
      <c r="B132" s="7"/>
    </row>
    <row r="133" spans="1:34" x14ac:dyDescent="0.25">
      <c r="A133" s="6" t="s">
        <v>41</v>
      </c>
      <c r="B133" s="7"/>
    </row>
    <row r="134" spans="1:34" x14ac:dyDescent="0.25">
      <c r="A134" s="6" t="s">
        <v>42</v>
      </c>
      <c r="B134" s="7"/>
    </row>
    <row r="135" spans="1:34" x14ac:dyDescent="0.25">
      <c r="A135" s="6" t="s">
        <v>43</v>
      </c>
      <c r="B135" s="7"/>
    </row>
    <row r="136" spans="1:34" x14ac:dyDescent="0.25">
      <c r="A136" s="6" t="s">
        <v>44</v>
      </c>
      <c r="B136" s="7"/>
    </row>
    <row r="137" spans="1:34" x14ac:dyDescent="0.25">
      <c r="A137" s="6" t="s">
        <v>45</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38" spans="1:34" x14ac:dyDescent="0.25">
      <c r="A138" s="6" t="s">
        <v>46</v>
      </c>
      <c r="B138" s="7"/>
    </row>
    <row r="141" spans="1:34" x14ac:dyDescent="0.25">
      <c r="I141" s="76"/>
      <c r="J141" s="1"/>
      <c r="K141" s="76"/>
      <c r="L141" s="76"/>
      <c r="M141" s="76"/>
      <c r="O141" s="76"/>
      <c r="P141" s="76"/>
      <c r="Q141" s="76"/>
      <c r="R141" s="76"/>
      <c r="S141" s="76"/>
      <c r="T141" s="76"/>
      <c r="U141" s="76"/>
      <c r="V141" s="76"/>
      <c r="W141" s="76"/>
      <c r="X141" s="76"/>
      <c r="Y141" s="76"/>
      <c r="Z141" s="76"/>
      <c r="AA141" s="76"/>
      <c r="AD141" s="76"/>
      <c r="AF141" s="76"/>
      <c r="AH141" s="76"/>
    </row>
    <row r="155" spans="5:5" x14ac:dyDescent="0.25">
      <c r="E155" s="76"/>
    </row>
    <row r="159" spans="5:5" x14ac:dyDescent="0.25">
      <c r="E159" s="76"/>
    </row>
    <row r="188" spans="7:7" x14ac:dyDescent="0.25">
      <c r="G188" s="76"/>
    </row>
    <row r="192" spans="7:7" x14ac:dyDescent="0.25">
      <c r="G192" s="76"/>
    </row>
  </sheetData>
  <mergeCells count="2">
    <mergeCell ref="AD31:AE31"/>
    <mergeCell ref="AG31:AH31"/>
  </mergeCells>
  <dataValidations disablePrompts="1" count="2">
    <dataValidation type="list" allowBlank="1" sqref="B87 B58 B29" xr:uid="{00000000-0002-0000-3E00-000000000000}">
      <formula1>"SELF,ALL,BAS,DEP,BASMEMBERS,MEMBERS,NOEXPAND,GDEP"</formula1>
    </dataValidation>
    <dataValidation type="list" allowBlank="1" sqref="B57 B86 B28" xr:uid="{00000000-0002-0000-3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1">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365</v>
      </c>
      <c r="C6" s="1" t="s">
        <v>1534</v>
      </c>
      <c r="E6" s="49" t="s">
        <v>1540</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35" hidden="1" outlineLevel="1" x14ac:dyDescent="0.25">
      <c r="A17" s="6" t="s">
        <v>2</v>
      </c>
      <c r="B17" s="16" t="s">
        <v>1541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35" hidden="1" outlineLevel="1" x14ac:dyDescent="0.25">
      <c r="A18" s="6" t="s">
        <v>3</v>
      </c>
      <c r="B18" s="16" t="s">
        <v>1542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1543</v>
      </c>
      <c r="G19" s="18" t="str">
        <f>$B$6</f>
        <v>D_TELCOM</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I20" s="1"/>
      <c r="J20" s="1"/>
    </row>
    <row r="21" spans="1:35" hidden="1" outlineLevel="1" x14ac:dyDescent="0.25">
      <c r="A21" s="6" t="s">
        <v>6</v>
      </c>
      <c r="B21" s="7"/>
      <c r="I21" s="1"/>
      <c r="J21" s="1"/>
    </row>
    <row r="22" spans="1:35" hidden="1" outlineLevel="1" x14ac:dyDescent="0.25">
      <c r="A22" s="6" t="s">
        <v>7</v>
      </c>
      <c r="B22" s="16" t="s">
        <v>1544</v>
      </c>
      <c r="I22" s="1"/>
      <c r="J22" s="1"/>
    </row>
    <row r="23" spans="1:35" hidden="1" outlineLevel="1" x14ac:dyDescent="0.25">
      <c r="A23" s="6" t="s">
        <v>47</v>
      </c>
      <c r="B23" s="16" t="s">
        <v>1545</v>
      </c>
      <c r="K23" s="57"/>
      <c r="L23" s="57"/>
      <c r="M23" s="57"/>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1546</v>
      </c>
    </row>
    <row r="28" spans="1:35" ht="15.75" x14ac:dyDescent="0.25">
      <c r="A28" s="6" t="s">
        <v>12</v>
      </c>
      <c r="B28" s="7" t="s">
        <v>22</v>
      </c>
      <c r="N28" s="71" t="s">
        <v>1005</v>
      </c>
    </row>
    <row r="29" spans="1:35" ht="15" customHeight="1" x14ac:dyDescent="0.25">
      <c r="A29" s="6" t="s">
        <v>13</v>
      </c>
      <c r="B29" s="7" t="str">
        <f>"DEP(410000) AND "&amp;$E$6&amp;"=Y,400000"</f>
        <v>DEP(410000) AND D1131=Y,400000</v>
      </c>
      <c r="N29" s="71" t="s">
        <v>985</v>
      </c>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row>
    <row r="32" spans="1:35"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row>
    <row r="33" spans="1:35"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35" x14ac:dyDescent="0.25">
      <c r="H34" s="15" t="s">
        <v>656</v>
      </c>
      <c r="I34" s="161" t="s">
        <v>1009</v>
      </c>
      <c r="J34" s="161" t="s">
        <v>1009</v>
      </c>
      <c r="K34" s="68" t="str">
        <f t="shared" ref="K34:K39" si="0">IF(AND(I34&gt;="T5"),"&gt;","")</f>
        <v/>
      </c>
      <c r="L34" s="162">
        <v>410100</v>
      </c>
      <c r="M34" s="162">
        <v>204010</v>
      </c>
      <c r="N34" s="162" t="s">
        <v>1547</v>
      </c>
      <c r="O34" s="309"/>
      <c r="P34" s="310"/>
      <c r="Q34" s="310"/>
      <c r="R34" s="310"/>
      <c r="S34" s="310"/>
      <c r="T34" s="310"/>
      <c r="U34" s="310"/>
      <c r="V34" s="310"/>
      <c r="W34" s="310"/>
      <c r="X34" s="310"/>
      <c r="Y34" s="310"/>
      <c r="Z34" s="310"/>
      <c r="AA34" s="310">
        <f t="shared" ref="AA34:AA39" si="1">IF($I34="B1","",SUM(O34:Z34))</f>
        <v>0</v>
      </c>
      <c r="AB34" s="311" t="str">
        <f t="shared" ref="AB34:AB39" si="2">IF(AA34=0,"",IFERROR(AA34/AA$19,""))</f>
        <v/>
      </c>
      <c r="AC34" s="328"/>
      <c r="AD34" s="310"/>
      <c r="AE34" s="311" t="str">
        <f t="shared" ref="AE34:AE39" si="3">IF(AD34=0,"",IFERROR(AD34/AD$19,""))</f>
        <v/>
      </c>
      <c r="AF34" s="312">
        <f t="shared" ref="AF34:AF39" si="4">IF(AND($AA34="",AD34=""),"",$AA34-AD34)</f>
        <v>0</v>
      </c>
      <c r="AG34" s="310"/>
      <c r="AH34" s="311" t="str">
        <f t="shared" ref="AH34:AH39" si="5">IF(AG34=0,"",IFERROR(AG34/AG$19,""))</f>
        <v/>
      </c>
      <c r="AI34" s="313">
        <f t="shared" ref="AI34:AI39" si="6">IF(AND($AA34="",AG34=""),"",$AA34-AG34)</f>
        <v>0</v>
      </c>
    </row>
    <row r="35" spans="1:35" x14ac:dyDescent="0.25">
      <c r="A35" s="22" t="s">
        <v>92</v>
      </c>
      <c r="B35" s="23" t="s">
        <v>93</v>
      </c>
      <c r="C35" s="23" t="s">
        <v>94</v>
      </c>
      <c r="D35" s="23" t="s">
        <v>95</v>
      </c>
      <c r="E35" s="23" t="s">
        <v>96</v>
      </c>
      <c r="F35" s="24" t="s">
        <v>97</v>
      </c>
      <c r="H35" s="15" t="s">
        <v>657</v>
      </c>
      <c r="I35" s="161" t="s">
        <v>1009</v>
      </c>
      <c r="J35" s="161" t="s">
        <v>1009</v>
      </c>
      <c r="K35" s="68" t="str">
        <f t="shared" si="0"/>
        <v/>
      </c>
      <c r="L35" s="162">
        <v>410200</v>
      </c>
      <c r="M35" s="162">
        <v>204012</v>
      </c>
      <c r="N35" s="162" t="s">
        <v>1548</v>
      </c>
      <c r="O35" s="309"/>
      <c r="P35" s="310"/>
      <c r="Q35" s="310"/>
      <c r="R35" s="310"/>
      <c r="S35" s="310"/>
      <c r="T35" s="310"/>
      <c r="U35" s="310"/>
      <c r="V35" s="310"/>
      <c r="W35" s="310"/>
      <c r="X35" s="310"/>
      <c r="Y35" s="310"/>
      <c r="Z35" s="310"/>
      <c r="AA35" s="310">
        <f t="shared" si="1"/>
        <v>0</v>
      </c>
      <c r="AB35" s="311" t="str">
        <f t="shared" si="2"/>
        <v/>
      </c>
      <c r="AC35" s="328"/>
      <c r="AD35" s="310"/>
      <c r="AE35" s="311" t="str">
        <f t="shared" si="3"/>
        <v/>
      </c>
      <c r="AF35" s="312">
        <f t="shared" si="4"/>
        <v>0</v>
      </c>
      <c r="AG35" s="310"/>
      <c r="AH35" s="311" t="str">
        <f t="shared" si="5"/>
        <v/>
      </c>
      <c r="AI35" s="313">
        <f t="shared" si="6"/>
        <v>0</v>
      </c>
    </row>
    <row r="36" spans="1:35" x14ac:dyDescent="0.25">
      <c r="H36" s="15" t="s">
        <v>658</v>
      </c>
      <c r="I36" s="161" t="s">
        <v>1009</v>
      </c>
      <c r="J36" s="161" t="s">
        <v>1009</v>
      </c>
      <c r="K36" s="68" t="str">
        <f t="shared" si="0"/>
        <v/>
      </c>
      <c r="L36" s="162">
        <v>410300</v>
      </c>
      <c r="M36" s="162">
        <v>204019</v>
      </c>
      <c r="N36" s="162" t="s">
        <v>1549</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row>
    <row r="37" spans="1:35" x14ac:dyDescent="0.25">
      <c r="A37" s="1" t="s">
        <v>209</v>
      </c>
      <c r="B37" s="1" t="s">
        <v>21</v>
      </c>
      <c r="C37" s="74"/>
      <c r="D37" s="1" t="s">
        <v>590</v>
      </c>
      <c r="F37" s="1" t="s">
        <v>99</v>
      </c>
      <c r="H37" s="15" t="s">
        <v>659</v>
      </c>
      <c r="I37" s="161" t="s">
        <v>1009</v>
      </c>
      <c r="J37" s="161" t="s">
        <v>1009</v>
      </c>
      <c r="K37" s="68" t="str">
        <f t="shared" si="0"/>
        <v/>
      </c>
      <c r="L37" s="162">
        <v>410400</v>
      </c>
      <c r="M37" s="162">
        <v>204098</v>
      </c>
      <c r="N37" s="162" t="s">
        <v>1215</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row>
    <row r="38" spans="1:35" x14ac:dyDescent="0.25">
      <c r="A38" s="1" t="s">
        <v>105</v>
      </c>
      <c r="C38" s="26" t="s">
        <v>101</v>
      </c>
      <c r="D38" s="1" t="s">
        <v>106</v>
      </c>
      <c r="F38" s="1" t="s">
        <v>98</v>
      </c>
      <c r="H38" s="15" t="s">
        <v>660</v>
      </c>
      <c r="I38" s="161" t="s">
        <v>1009</v>
      </c>
      <c r="J38" s="161" t="s">
        <v>1009</v>
      </c>
      <c r="K38" s="68" t="str">
        <f t="shared" si="0"/>
        <v/>
      </c>
      <c r="L38" s="162">
        <v>410500</v>
      </c>
      <c r="M38" s="162">
        <v>200529</v>
      </c>
      <c r="N38" s="162" t="s">
        <v>1550</v>
      </c>
      <c r="O38" s="323"/>
      <c r="P38" s="324"/>
      <c r="Q38" s="324"/>
      <c r="R38" s="324"/>
      <c r="S38" s="324"/>
      <c r="T38" s="324"/>
      <c r="U38" s="324"/>
      <c r="V38" s="324"/>
      <c r="W38" s="324"/>
      <c r="X38" s="324"/>
      <c r="Y38" s="324"/>
      <c r="Z38" s="324"/>
      <c r="AA38" s="324">
        <f t="shared" si="1"/>
        <v>0</v>
      </c>
      <c r="AB38" s="325" t="str">
        <f t="shared" si="2"/>
        <v/>
      </c>
      <c r="AC38" s="290"/>
      <c r="AD38" s="324"/>
      <c r="AE38" s="325" t="str">
        <f t="shared" si="3"/>
        <v/>
      </c>
      <c r="AF38" s="326">
        <f t="shared" si="4"/>
        <v>0</v>
      </c>
      <c r="AG38" s="324"/>
      <c r="AH38" s="325" t="str">
        <f t="shared" si="5"/>
        <v/>
      </c>
      <c r="AI38" s="327">
        <f t="shared" si="6"/>
        <v>0</v>
      </c>
    </row>
    <row r="39" spans="1:35" x14ac:dyDescent="0.25">
      <c r="A39" s="1" t="s">
        <v>108</v>
      </c>
      <c r="C39" s="25" t="s">
        <v>101</v>
      </c>
      <c r="D39" s="1" t="s">
        <v>106</v>
      </c>
      <c r="F39" s="1" t="s">
        <v>98</v>
      </c>
      <c r="H39" s="15" t="s">
        <v>280</v>
      </c>
      <c r="I39" s="479" t="s">
        <v>1012</v>
      </c>
      <c r="J39" s="479" t="s">
        <v>78</v>
      </c>
      <c r="K39" s="480" t="str">
        <f t="shared" si="0"/>
        <v/>
      </c>
      <c r="L39" s="170">
        <v>400000</v>
      </c>
      <c r="M39" s="170"/>
      <c r="N39" s="170" t="s">
        <v>1003</v>
      </c>
      <c r="O39" s="224"/>
      <c r="P39" s="134"/>
      <c r="Q39" s="134"/>
      <c r="R39" s="134"/>
      <c r="S39" s="134"/>
      <c r="T39" s="134"/>
      <c r="U39" s="134"/>
      <c r="V39" s="134"/>
      <c r="W39" s="134"/>
      <c r="X39" s="134"/>
      <c r="Y39" s="134"/>
      <c r="Z39" s="134"/>
      <c r="AA39" s="134">
        <f t="shared" si="1"/>
        <v>0</v>
      </c>
      <c r="AB39" s="135" t="str">
        <f t="shared" si="2"/>
        <v/>
      </c>
      <c r="AC39" s="137"/>
      <c r="AD39" s="134"/>
      <c r="AE39" s="135" t="str">
        <f t="shared" si="3"/>
        <v/>
      </c>
      <c r="AF39" s="136">
        <f t="shared" si="4"/>
        <v>0</v>
      </c>
      <c r="AG39" s="134"/>
      <c r="AH39" s="135" t="str">
        <f t="shared" si="5"/>
        <v/>
      </c>
      <c r="AI39" s="291">
        <f t="shared" si="6"/>
        <v>0</v>
      </c>
    </row>
    <row r="40" spans="1:35" x14ac:dyDescent="0.25">
      <c r="A40" s="1" t="s">
        <v>108</v>
      </c>
      <c r="C40" s="151" t="s">
        <v>101</v>
      </c>
      <c r="D40" s="1" t="s">
        <v>107</v>
      </c>
      <c r="F40" s="1" t="s">
        <v>99</v>
      </c>
      <c r="O40" s="53"/>
      <c r="P40" s="54"/>
      <c r="Q40" s="54"/>
      <c r="R40" s="54"/>
      <c r="S40" s="54"/>
      <c r="T40" s="54"/>
      <c r="U40" s="54"/>
      <c r="V40" s="54"/>
      <c r="W40" s="54"/>
      <c r="X40" s="54"/>
      <c r="Y40" s="54"/>
      <c r="Z40" s="54"/>
      <c r="AA40" s="54"/>
      <c r="AB40" s="55"/>
      <c r="AD40" s="53"/>
      <c r="AE40" s="54"/>
      <c r="AF40" s="55"/>
      <c r="AG40" s="53"/>
      <c r="AH40" s="54"/>
      <c r="AI40" s="55"/>
    </row>
    <row r="41" spans="1:35" x14ac:dyDescent="0.25">
      <c r="H41" s="1" t="s">
        <v>281</v>
      </c>
      <c r="I41" s="11" t="s">
        <v>1011</v>
      </c>
      <c r="J41" s="11" t="s">
        <v>78</v>
      </c>
      <c r="N41" s="40" t="s">
        <v>1223</v>
      </c>
      <c r="O41" s="53"/>
      <c r="P41" s="54"/>
      <c r="Q41" s="54"/>
      <c r="R41" s="54"/>
      <c r="S41" s="54"/>
      <c r="T41" s="54"/>
      <c r="U41" s="54"/>
      <c r="V41" s="54"/>
      <c r="W41" s="54"/>
      <c r="X41" s="54"/>
      <c r="Y41" s="54"/>
      <c r="Z41" s="54"/>
      <c r="AA41" s="54"/>
      <c r="AB41" s="55"/>
      <c r="AD41" s="53"/>
      <c r="AE41" s="54"/>
      <c r="AF41" s="55"/>
      <c r="AG41" s="53"/>
      <c r="AH41" s="54"/>
      <c r="AI41" s="55"/>
    </row>
    <row r="42" spans="1:35" x14ac:dyDescent="0.25">
      <c r="H42" s="15" t="s">
        <v>661</v>
      </c>
      <c r="I42" s="161" t="s">
        <v>1009</v>
      </c>
      <c r="J42" s="161" t="s">
        <v>1009</v>
      </c>
      <c r="K42" s="68" t="str">
        <f t="shared" ref="K42:K48" si="7">IF(AND(I42&gt;="T5"),"&gt;","")</f>
        <v/>
      </c>
      <c r="L42" s="162">
        <v>510100</v>
      </c>
      <c r="M42" s="162">
        <v>304014</v>
      </c>
      <c r="N42" s="162" t="s">
        <v>1551</v>
      </c>
      <c r="O42" s="309"/>
      <c r="P42" s="310"/>
      <c r="Q42" s="310"/>
      <c r="R42" s="310"/>
      <c r="S42" s="310"/>
      <c r="T42" s="310"/>
      <c r="U42" s="310"/>
      <c r="V42" s="310"/>
      <c r="W42" s="310"/>
      <c r="X42" s="310"/>
      <c r="Y42" s="310"/>
      <c r="Z42" s="310"/>
      <c r="AA42" s="310">
        <f>IF($I42="B1","",SUM(O42:Z42))</f>
        <v>0</v>
      </c>
      <c r="AB42" s="311"/>
      <c r="AC42" s="328"/>
      <c r="AD42" s="310"/>
      <c r="AE42" s="311"/>
      <c r="AF42" s="312">
        <f t="shared" ref="AF42:AF48" si="8">IF(AND($AA42="",AD42=""),"",$AA42-AD42)</f>
        <v>0</v>
      </c>
      <c r="AG42" s="310"/>
      <c r="AH42" s="311"/>
      <c r="AI42" s="313">
        <f t="shared" ref="AI42:AI48" si="9">IF(AND($AA42="",AG42=""),"",$AA42-AG42)</f>
        <v>0</v>
      </c>
    </row>
    <row r="43" spans="1:35" x14ac:dyDescent="0.25">
      <c r="A43" s="4" t="s">
        <v>988</v>
      </c>
      <c r="H43" s="15" t="s">
        <v>662</v>
      </c>
      <c r="I43" s="161" t="s">
        <v>1009</v>
      </c>
      <c r="J43" s="161" t="s">
        <v>1009</v>
      </c>
      <c r="K43" s="68" t="str">
        <f t="shared" si="7"/>
        <v/>
      </c>
      <c r="L43" s="162">
        <v>510200</v>
      </c>
      <c r="M43" s="162">
        <v>304010</v>
      </c>
      <c r="N43" s="162" t="s">
        <v>1552</v>
      </c>
      <c r="O43" s="309"/>
      <c r="P43" s="310"/>
      <c r="Q43" s="310"/>
      <c r="R43" s="310"/>
      <c r="S43" s="310"/>
      <c r="T43" s="310"/>
      <c r="U43" s="310"/>
      <c r="V43" s="310"/>
      <c r="W43" s="310"/>
      <c r="X43" s="310"/>
      <c r="Y43" s="310"/>
      <c r="Z43" s="310"/>
      <c r="AA43" s="310">
        <f>IF($I43="B1","",SUM(O43:Z43))</f>
        <v>0</v>
      </c>
      <c r="AB43" s="311"/>
      <c r="AC43" s="328"/>
      <c r="AD43" s="310"/>
      <c r="AE43" s="311"/>
      <c r="AF43" s="312">
        <f t="shared" si="8"/>
        <v>0</v>
      </c>
      <c r="AG43" s="310"/>
      <c r="AH43" s="311"/>
      <c r="AI43" s="313">
        <f t="shared" si="9"/>
        <v>0</v>
      </c>
    </row>
    <row r="44" spans="1:35" x14ac:dyDescent="0.25">
      <c r="H44" s="15" t="s">
        <v>663</v>
      </c>
      <c r="I44" s="161" t="s">
        <v>1009</v>
      </c>
      <c r="J44" s="161" t="s">
        <v>1009</v>
      </c>
      <c r="K44" s="68" t="str">
        <f t="shared" si="7"/>
        <v/>
      </c>
      <c r="L44" s="162">
        <v>510300</v>
      </c>
      <c r="M44" s="162">
        <v>306048</v>
      </c>
      <c r="N44" s="162" t="s">
        <v>1553</v>
      </c>
      <c r="O44" s="309"/>
      <c r="P44" s="310"/>
      <c r="Q44" s="310"/>
      <c r="R44" s="310"/>
      <c r="S44" s="310"/>
      <c r="T44" s="310"/>
      <c r="U44" s="310"/>
      <c r="V44" s="310"/>
      <c r="W44" s="310"/>
      <c r="X44" s="310"/>
      <c r="Y44" s="310"/>
      <c r="Z44" s="310"/>
      <c r="AA44" s="310">
        <f>IF($I44="B1","",SUM(O44:Z44))</f>
        <v>0</v>
      </c>
      <c r="AB44" s="311"/>
      <c r="AC44" s="328"/>
      <c r="AD44" s="310"/>
      <c r="AE44" s="311"/>
      <c r="AF44" s="312">
        <f t="shared" si="8"/>
        <v>0</v>
      </c>
      <c r="AG44" s="310"/>
      <c r="AH44" s="311"/>
      <c r="AI44" s="313">
        <f t="shared" si="9"/>
        <v>0</v>
      </c>
    </row>
    <row r="45" spans="1:35" x14ac:dyDescent="0.25">
      <c r="A45" s="3" t="s">
        <v>0</v>
      </c>
      <c r="B45" s="5" t="s">
        <v>1</v>
      </c>
      <c r="H45" s="15" t="s">
        <v>664</v>
      </c>
      <c r="I45" s="161" t="s">
        <v>1009</v>
      </c>
      <c r="J45" s="161" t="s">
        <v>1009</v>
      </c>
      <c r="K45" s="68" t="str">
        <f t="shared" si="7"/>
        <v/>
      </c>
      <c r="L45" s="162">
        <v>510400</v>
      </c>
      <c r="M45" s="162">
        <v>306001</v>
      </c>
      <c r="N45" s="162" t="s">
        <v>1554</v>
      </c>
      <c r="O45" s="323"/>
      <c r="P45" s="324"/>
      <c r="Q45" s="324"/>
      <c r="R45" s="324"/>
      <c r="S45" s="324"/>
      <c r="T45" s="324"/>
      <c r="U45" s="324"/>
      <c r="V45" s="324"/>
      <c r="W45" s="324"/>
      <c r="X45" s="324"/>
      <c r="Y45" s="324"/>
      <c r="Z45" s="324"/>
      <c r="AA45" s="324">
        <f>IF($I45="B1","",SUM(O45:Z45))</f>
        <v>0</v>
      </c>
      <c r="AB45" s="325"/>
      <c r="AC45" s="290"/>
      <c r="AD45" s="324"/>
      <c r="AE45" s="325"/>
      <c r="AF45" s="326">
        <f t="shared" si="8"/>
        <v>0</v>
      </c>
      <c r="AG45" s="324"/>
      <c r="AH45" s="325"/>
      <c r="AI45" s="327">
        <f t="shared" si="9"/>
        <v>0</v>
      </c>
    </row>
    <row r="46" spans="1:35" x14ac:dyDescent="0.25">
      <c r="A46" s="6" t="s">
        <v>2</v>
      </c>
      <c r="B46" s="16" t="s">
        <v>1541</v>
      </c>
      <c r="H46" s="15" t="s">
        <v>289</v>
      </c>
      <c r="I46" s="479" t="s">
        <v>1012</v>
      </c>
      <c r="J46" s="479" t="s">
        <v>78</v>
      </c>
      <c r="K46" s="480" t="str">
        <f t="shared" si="7"/>
        <v/>
      </c>
      <c r="L46" s="170">
        <v>500001</v>
      </c>
      <c r="M46" s="170"/>
      <c r="N46" s="170" t="s">
        <v>1232</v>
      </c>
      <c r="O46" s="224"/>
      <c r="P46" s="134"/>
      <c r="Q46" s="134"/>
      <c r="R46" s="134"/>
      <c r="S46" s="134"/>
      <c r="T46" s="134"/>
      <c r="U46" s="134"/>
      <c r="V46" s="134"/>
      <c r="W46" s="134"/>
      <c r="X46" s="134"/>
      <c r="Y46" s="134"/>
      <c r="Z46" s="134"/>
      <c r="AA46" s="134">
        <f>IF($I46="B1","",SUM(O46:Z46))</f>
        <v>0</v>
      </c>
      <c r="AB46" s="135"/>
      <c r="AC46" s="137"/>
      <c r="AD46" s="134"/>
      <c r="AE46" s="135"/>
      <c r="AF46" s="136">
        <f t="shared" si="8"/>
        <v>0</v>
      </c>
      <c r="AG46" s="134"/>
      <c r="AH46" s="135"/>
      <c r="AI46" s="291">
        <f t="shared" si="9"/>
        <v>0</v>
      </c>
    </row>
    <row r="47" spans="1:35" x14ac:dyDescent="0.25">
      <c r="A47" s="6" t="s">
        <v>3</v>
      </c>
      <c r="B47" s="16" t="s">
        <v>1542</v>
      </c>
      <c r="H47" s="149" t="s">
        <v>175</v>
      </c>
      <c r="I47" s="28" t="s">
        <v>1011</v>
      </c>
      <c r="J47" s="28" t="s">
        <v>78</v>
      </c>
      <c r="K47" s="69" t="str">
        <f t="shared" si="7"/>
        <v/>
      </c>
      <c r="L47" s="69"/>
      <c r="M47" s="69"/>
      <c r="N47" s="25" t="s">
        <v>175</v>
      </c>
      <c r="O47" s="47"/>
      <c r="P47" s="47"/>
      <c r="Q47" s="47"/>
      <c r="R47" s="47"/>
      <c r="S47" s="47"/>
      <c r="T47" s="47"/>
      <c r="U47" s="47"/>
      <c r="V47" s="47"/>
      <c r="W47" s="47"/>
      <c r="X47" s="47"/>
      <c r="Y47" s="47"/>
      <c r="Z47" s="47"/>
      <c r="AA47" s="47"/>
      <c r="AB47" s="48"/>
      <c r="AD47" s="47"/>
      <c r="AE47" s="48"/>
      <c r="AF47" s="150" t="str">
        <f t="shared" si="8"/>
        <v/>
      </c>
      <c r="AG47" s="47"/>
      <c r="AH47" s="48"/>
      <c r="AI47" s="150" t="str">
        <f t="shared" si="9"/>
        <v/>
      </c>
    </row>
    <row r="48" spans="1:35" x14ac:dyDescent="0.25">
      <c r="A48" s="6" t="s">
        <v>4</v>
      </c>
      <c r="B48" s="16" t="s">
        <v>1555</v>
      </c>
      <c r="H48" s="149" t="s">
        <v>292</v>
      </c>
      <c r="I48" s="28" t="s">
        <v>1012</v>
      </c>
      <c r="J48" s="28" t="s">
        <v>78</v>
      </c>
      <c r="K48" s="69" t="str">
        <f t="shared" si="7"/>
        <v/>
      </c>
      <c r="L48" s="69"/>
      <c r="M48" s="69"/>
      <c r="N48" s="25" t="s">
        <v>1233</v>
      </c>
      <c r="O48" s="164">
        <f t="shared" ref="O48:Z48" si="10">SUMIF($H$34:$H$46,"400000",O34:O46)-SUMIF($H$34:$H$46,"500001",O34:O46)</f>
        <v>0</v>
      </c>
      <c r="P48" s="164">
        <f t="shared" si="10"/>
        <v>0</v>
      </c>
      <c r="Q48" s="164">
        <f t="shared" si="10"/>
        <v>0</v>
      </c>
      <c r="R48" s="164">
        <f t="shared" si="10"/>
        <v>0</v>
      </c>
      <c r="S48" s="164">
        <f t="shared" si="10"/>
        <v>0</v>
      </c>
      <c r="T48" s="164">
        <f t="shared" si="10"/>
        <v>0</v>
      </c>
      <c r="U48" s="164">
        <f t="shared" si="10"/>
        <v>0</v>
      </c>
      <c r="V48" s="164">
        <f t="shared" si="10"/>
        <v>0</v>
      </c>
      <c r="W48" s="164">
        <f t="shared" si="10"/>
        <v>0</v>
      </c>
      <c r="X48" s="164">
        <f t="shared" si="10"/>
        <v>0</v>
      </c>
      <c r="Y48" s="164">
        <f t="shared" si="10"/>
        <v>0</v>
      </c>
      <c r="Z48" s="164">
        <f t="shared" si="10"/>
        <v>0</v>
      </c>
      <c r="AA48" s="134">
        <f>IF($I48="B1","",SUM(O48:Z48))</f>
        <v>0</v>
      </c>
      <c r="AB48" s="135" t="str">
        <f>IF(AA48=0,"",IFERROR(AA48/AA$19,""))</f>
        <v/>
      </c>
      <c r="AD48" s="164">
        <f>SUMIF($H$34:$H$46,"400000",AD34:AD46)-SUMIF($H$34:$H$46,"500001",AD34:AD46)</f>
        <v>0</v>
      </c>
      <c r="AE48" s="135" t="str">
        <f>IF(AD48=0,"",IFERROR(AD48/AD$19,""))</f>
        <v/>
      </c>
      <c r="AF48" s="165">
        <f t="shared" si="8"/>
        <v>0</v>
      </c>
      <c r="AG48" s="164">
        <f>SUMIF($H$34:$H$46,"400000",AG34:AG46)-SUMIF($H$34:$H$46,"500001",AG34:AG46)</f>
        <v>0</v>
      </c>
      <c r="AH48" s="135" t="str">
        <f>IF(AG48=0,"",IFERROR(AG48/AG$19,""))</f>
        <v/>
      </c>
      <c r="AI48" s="165">
        <f t="shared" si="9"/>
        <v>0</v>
      </c>
    </row>
    <row r="49" spans="1:35" x14ac:dyDescent="0.25">
      <c r="A49" s="6" t="s">
        <v>5</v>
      </c>
      <c r="B49" s="7"/>
      <c r="F49" s="152"/>
      <c r="O49" s="163"/>
      <c r="P49" s="287"/>
      <c r="Q49" s="287"/>
      <c r="R49" s="287"/>
      <c r="S49" s="287"/>
      <c r="T49" s="287"/>
      <c r="U49" s="287"/>
      <c r="V49" s="287"/>
      <c r="W49" s="287"/>
      <c r="X49" s="287"/>
      <c r="Y49" s="287"/>
      <c r="Z49" s="287"/>
      <c r="AA49" s="287"/>
      <c r="AB49" s="55"/>
      <c r="AD49" s="53"/>
      <c r="AE49" s="54"/>
      <c r="AF49" s="55"/>
      <c r="AG49" s="54"/>
      <c r="AH49" s="54"/>
      <c r="AI49" s="55"/>
    </row>
    <row r="50" spans="1:35" x14ac:dyDescent="0.25">
      <c r="A50" s="6" t="s">
        <v>6</v>
      </c>
      <c r="B50" s="7"/>
      <c r="F50" s="152"/>
      <c r="H50" s="1" t="s">
        <v>73</v>
      </c>
      <c r="I50" s="11" t="s">
        <v>1011</v>
      </c>
      <c r="J50" s="11" t="s">
        <v>78</v>
      </c>
      <c r="N50" s="40" t="s">
        <v>1079</v>
      </c>
      <c r="O50" s="53"/>
      <c r="P50" s="54"/>
      <c r="Q50" s="54"/>
      <c r="R50" s="54"/>
      <c r="S50" s="54"/>
      <c r="T50" s="54"/>
      <c r="U50" s="54"/>
      <c r="V50" s="54"/>
      <c r="W50" s="54"/>
      <c r="X50" s="54"/>
      <c r="Y50" s="54"/>
      <c r="Z50" s="54"/>
      <c r="AA50" s="54"/>
      <c r="AB50" s="168"/>
      <c r="AD50" s="167"/>
      <c r="AE50" s="169"/>
      <c r="AF50" s="55"/>
      <c r="AG50" s="54"/>
      <c r="AH50" s="169"/>
      <c r="AI50" s="55"/>
    </row>
    <row r="51" spans="1:35" x14ac:dyDescent="0.25">
      <c r="A51" s="6" t="s">
        <v>7</v>
      </c>
      <c r="B51" s="16" t="s">
        <v>1556</v>
      </c>
      <c r="F51" s="152"/>
      <c r="H51" s="1" t="s">
        <v>74</v>
      </c>
      <c r="I51" s="11" t="s">
        <v>1011</v>
      </c>
      <c r="J51" s="11" t="s">
        <v>78</v>
      </c>
      <c r="N51" s="8" t="s">
        <v>1080</v>
      </c>
      <c r="O51" s="43"/>
      <c r="P51" s="46"/>
      <c r="Q51" s="46"/>
      <c r="R51" s="46"/>
      <c r="S51" s="46"/>
      <c r="T51" s="46"/>
      <c r="U51" s="46"/>
      <c r="V51" s="46"/>
      <c r="W51" s="46"/>
      <c r="X51" s="46"/>
      <c r="Y51" s="46"/>
      <c r="Z51" s="46"/>
      <c r="AA51" s="46"/>
      <c r="AB51" s="44"/>
      <c r="AD51" s="43"/>
      <c r="AE51" s="46"/>
      <c r="AF51" s="44"/>
      <c r="AG51" s="46"/>
      <c r="AH51" s="46"/>
      <c r="AI51" s="44"/>
    </row>
    <row r="52" spans="1:35" hidden="1" x14ac:dyDescent="0.25">
      <c r="A52" s="6" t="s">
        <v>47</v>
      </c>
      <c r="B52" s="16" t="s">
        <v>1545</v>
      </c>
      <c r="H52" s="15" t="s">
        <v>667</v>
      </c>
      <c r="I52" s="161"/>
      <c r="J52" s="161"/>
      <c r="K52" s="68" t="str">
        <f>IF(AND(I52&gt;="T3"),"&gt;","")</f>
        <v/>
      </c>
      <c r="L52" s="162"/>
      <c r="M52" s="162"/>
      <c r="N52" s="162"/>
      <c r="O52" s="47"/>
      <c r="P52" s="47"/>
      <c r="Q52" s="47"/>
      <c r="R52" s="47"/>
      <c r="S52" s="47"/>
      <c r="T52" s="47"/>
      <c r="U52" s="47"/>
      <c r="V52" s="47"/>
      <c r="W52" s="47"/>
      <c r="X52" s="47"/>
      <c r="Y52" s="47"/>
      <c r="Z52" s="47"/>
      <c r="AA52" s="324">
        <f>IF($I52="B1","",SUM(O52:Z52))</f>
        <v>0</v>
      </c>
      <c r="AB52" s="48" t="str">
        <f>IF(O52=0,"",IFERROR(O52/O$19,""))</f>
        <v/>
      </c>
      <c r="AD52" s="47"/>
      <c r="AE52" s="48" t="str">
        <f>IF(AD52=0,"",IFERROR(AD52/AD$19,""))</f>
        <v/>
      </c>
      <c r="AF52" s="150">
        <f>IF(AND($AA52="",AD52=""),"",$AA52-AD52)</f>
        <v>0</v>
      </c>
      <c r="AG52" s="47"/>
      <c r="AH52" s="48" t="str">
        <f>IF(AG52=0,"",IFERROR(AG52/AG$19,""))</f>
        <v/>
      </c>
      <c r="AI52" s="150">
        <f>IF(AND($AA52="",AG52=""),"",$AA52-AG52)</f>
        <v>0</v>
      </c>
    </row>
    <row r="53" spans="1:35" hidden="1" x14ac:dyDescent="0.25">
      <c r="A53" s="6" t="s">
        <v>8</v>
      </c>
      <c r="B53" s="7"/>
      <c r="H53" s="15"/>
      <c r="I53" s="161"/>
      <c r="J53" s="161"/>
      <c r="K53" s="68" t="str">
        <f>IF(AND(I53&gt;="T3"),"&gt;","")</f>
        <v/>
      </c>
      <c r="L53" s="162"/>
      <c r="M53" s="162"/>
      <c r="N53" s="162"/>
      <c r="O53" s="47"/>
      <c r="P53" s="47"/>
      <c r="Q53" s="47"/>
      <c r="R53" s="47"/>
      <c r="S53" s="47"/>
      <c r="T53" s="47"/>
      <c r="U53" s="47"/>
      <c r="V53" s="47"/>
      <c r="W53" s="47"/>
      <c r="X53" s="47"/>
      <c r="Y53" s="47"/>
      <c r="Z53" s="47"/>
      <c r="AA53" s="324">
        <f>IF($I53="B1","",SUM(O53:Z53))</f>
        <v>0</v>
      </c>
      <c r="AB53" s="48" t="str">
        <f>IF(O53=0,"",IFERROR(O53/O$19,""))</f>
        <v/>
      </c>
      <c r="AD53" s="47"/>
      <c r="AE53" s="48" t="str">
        <f>IF(AD53=0,"",IFERROR(AD53/AD$19,""))</f>
        <v/>
      </c>
      <c r="AF53" s="150">
        <f>IF(AND($AA53="",AD53=""),"",$AA53-AD53)</f>
        <v>0</v>
      </c>
      <c r="AG53" s="47"/>
      <c r="AH53" s="48" t="str">
        <f>IF(AG53=0,"",IFERROR(AG53/AG$19,""))</f>
        <v/>
      </c>
      <c r="AI53" s="150">
        <f>IF(AND($AA53="",AG53=""),"",$AA53-AG53)</f>
        <v>0</v>
      </c>
    </row>
    <row r="54" spans="1:35" x14ac:dyDescent="0.25">
      <c r="H54" s="15" t="s">
        <v>75</v>
      </c>
      <c r="I54" s="28" t="s">
        <v>1011</v>
      </c>
      <c r="J54" s="28" t="s">
        <v>78</v>
      </c>
      <c r="K54" s="69" t="str">
        <f>IF(AND(I54&gt;="T3"),"&gt;","")</f>
        <v/>
      </c>
      <c r="L54" s="25"/>
      <c r="M54" s="162"/>
      <c r="N54" s="25" t="s">
        <v>1082</v>
      </c>
      <c r="O54" s="38"/>
      <c r="P54" s="38"/>
      <c r="Q54" s="38"/>
      <c r="R54" s="38"/>
      <c r="S54" s="38"/>
      <c r="T54" s="38"/>
      <c r="U54" s="38"/>
      <c r="V54" s="38"/>
      <c r="W54" s="38"/>
      <c r="X54" s="38"/>
      <c r="Y54" s="38"/>
      <c r="Z54" s="38"/>
      <c r="AA54" s="310" t="str">
        <f>IF($I54="B1","",SUM(O54:Z54))</f>
        <v/>
      </c>
      <c r="AB54" s="39" t="str">
        <f>IF(O54=0,"",IFERROR(O54/O$19,""))</f>
        <v/>
      </c>
      <c r="AD54" s="38"/>
      <c r="AE54" s="39" t="str">
        <f>IF(AD54=0,"",IFERROR(AD54/AD$19,""))</f>
        <v/>
      </c>
      <c r="AF54" s="132" t="str">
        <f>IF(AND($AA54="",AD54=""),"",$AA54-AD54)</f>
        <v/>
      </c>
      <c r="AG54" s="38"/>
      <c r="AH54" s="39" t="str">
        <f>IF(AG54=0,"",IFERROR(AG54/AG$19,""))</f>
        <v/>
      </c>
      <c r="AI54" s="132" t="str">
        <f>IF(AND($AA54="",AG54=""),"",$AA54-AG54)</f>
        <v/>
      </c>
    </row>
    <row r="55" spans="1:35" hidden="1" x14ac:dyDescent="0.25">
      <c r="A55" s="3" t="s">
        <v>9</v>
      </c>
      <c r="B55" s="5" t="s">
        <v>10</v>
      </c>
      <c r="H55" s="15" t="s">
        <v>667</v>
      </c>
      <c r="I55" s="161"/>
      <c r="J55" s="161"/>
      <c r="K55" s="68" t="str">
        <f>IF(AND(I55&gt;="T3"),"&gt;","")</f>
        <v/>
      </c>
      <c r="L55" s="162"/>
      <c r="M55" s="162"/>
      <c r="N55" s="162"/>
      <c r="O55" s="47"/>
      <c r="P55" s="47"/>
      <c r="Q55" s="47"/>
      <c r="R55" s="47"/>
      <c r="S55" s="47"/>
      <c r="T55" s="47"/>
      <c r="U55" s="47"/>
      <c r="V55" s="47"/>
      <c r="W55" s="47"/>
      <c r="X55" s="47"/>
      <c r="Y55" s="47"/>
      <c r="Z55" s="47"/>
      <c r="AA55" s="324">
        <f>IF($I55="B1","",SUM(O55:Z55))</f>
        <v>0</v>
      </c>
      <c r="AB55" s="48" t="str">
        <f>IF(O55=0,"",IFERROR(O55/O$19,""))</f>
        <v/>
      </c>
      <c r="AD55" s="47"/>
      <c r="AE55" s="48" t="str">
        <f>IF(AD55=0,"",IFERROR(AD55/AD$19,""))</f>
        <v/>
      </c>
      <c r="AF55" s="150">
        <f>IF(AND($AA55="",AD55=""),"",$AA55-AD55)</f>
        <v>0</v>
      </c>
      <c r="AG55" s="47"/>
      <c r="AH55" s="48" t="str">
        <f>IF(AG55=0,"",IFERROR(AG55/AG$19,""))</f>
        <v/>
      </c>
      <c r="AI55" s="150">
        <f>IF(AND($AA55="",AG55=""),"",$AA55-AG55)</f>
        <v>0</v>
      </c>
    </row>
    <row r="56" spans="1:35" hidden="1" x14ac:dyDescent="0.25">
      <c r="A56" s="6" t="s">
        <v>11</v>
      </c>
      <c r="B56" s="7" t="s">
        <v>21</v>
      </c>
      <c r="G56" s="14"/>
      <c r="H56" s="15"/>
      <c r="I56" s="161"/>
      <c r="J56" s="161"/>
      <c r="K56" s="68" t="str">
        <f>IF(AND(I56&gt;="T3"),"&gt;","")</f>
        <v/>
      </c>
      <c r="L56" s="162"/>
      <c r="M56" s="162"/>
      <c r="N56" s="162"/>
      <c r="O56" s="47"/>
      <c r="P56" s="47"/>
      <c r="Q56" s="47"/>
      <c r="R56" s="47"/>
      <c r="S56" s="47"/>
      <c r="T56" s="47"/>
      <c r="U56" s="47"/>
      <c r="V56" s="47"/>
      <c r="W56" s="47"/>
      <c r="X56" s="47"/>
      <c r="Y56" s="47"/>
      <c r="Z56" s="47"/>
      <c r="AA56" s="324">
        <f>IF($I56="B1","",SUM(O56:Z56))</f>
        <v>0</v>
      </c>
      <c r="AB56" s="48" t="str">
        <f>IF(O56=0,"",IFERROR(O56/O$19,""))</f>
        <v/>
      </c>
      <c r="AD56" s="47"/>
      <c r="AE56" s="48" t="str">
        <f>IF(AD56=0,"",IFERROR(AD56/AD$19,""))</f>
        <v/>
      </c>
      <c r="AF56" s="150">
        <f>IF(AND($AA56="",AD56=""),"",$AA56-AD56)</f>
        <v>0</v>
      </c>
      <c r="AG56" s="47"/>
      <c r="AH56" s="48" t="str">
        <f>IF(AG56=0,"",IFERROR(AG56/AG$19,""))</f>
        <v/>
      </c>
      <c r="AI56" s="150">
        <f>IF(AND($AA56="",AG56=""),"",$AA56-AG56)</f>
        <v>0</v>
      </c>
    </row>
    <row r="57" spans="1:35" x14ac:dyDescent="0.25">
      <c r="A57" s="6" t="s">
        <v>12</v>
      </c>
      <c r="B57" s="7" t="s">
        <v>22</v>
      </c>
      <c r="O57" s="41"/>
      <c r="P57" s="45"/>
      <c r="Q57" s="45"/>
      <c r="R57" s="45"/>
      <c r="S57" s="45"/>
      <c r="T57" s="45"/>
      <c r="U57" s="45"/>
      <c r="V57" s="45"/>
      <c r="W57" s="45"/>
      <c r="X57" s="45"/>
      <c r="Y57" s="45"/>
      <c r="Z57" s="45"/>
      <c r="AA57" s="45"/>
      <c r="AB57" s="42"/>
      <c r="AD57" s="41"/>
      <c r="AE57" s="45"/>
      <c r="AF57" s="42"/>
      <c r="AG57" s="41"/>
      <c r="AH57" s="45"/>
      <c r="AI57" s="42"/>
    </row>
    <row r="58" spans="1:35" x14ac:dyDescent="0.25">
      <c r="A58" s="6" t="s">
        <v>13</v>
      </c>
      <c r="B58" s="7" t="str">
        <f>"DEP(510000) AND "&amp;$E$6&amp;"=Y,500001"</f>
        <v>DEP(510000) AND D1131=Y,500001</v>
      </c>
      <c r="H58" s="1" t="s">
        <v>82</v>
      </c>
      <c r="I58" s="11" t="s">
        <v>1011</v>
      </c>
      <c r="J58" s="11" t="s">
        <v>78</v>
      </c>
      <c r="N58" s="40" t="s">
        <v>1092</v>
      </c>
      <c r="O58" s="43"/>
      <c r="P58" s="46"/>
      <c r="Q58" s="46"/>
      <c r="R58" s="46"/>
      <c r="S58" s="46"/>
      <c r="T58" s="46"/>
      <c r="U58" s="46"/>
      <c r="V58" s="46"/>
      <c r="W58" s="46"/>
      <c r="X58" s="46"/>
      <c r="Y58" s="46"/>
      <c r="Z58" s="46"/>
      <c r="AA58" s="46"/>
      <c r="AB58" s="44"/>
      <c r="AD58" s="43"/>
      <c r="AE58" s="46"/>
      <c r="AF58" s="44"/>
      <c r="AG58" s="43"/>
      <c r="AH58" s="46"/>
      <c r="AI58" s="44"/>
    </row>
    <row r="59" spans="1:35" hidden="1" x14ac:dyDescent="0.25">
      <c r="A59" s="6" t="s">
        <v>14</v>
      </c>
      <c r="B59" s="7"/>
      <c r="H59" s="15" t="s">
        <v>667</v>
      </c>
      <c r="I59" s="161"/>
      <c r="J59" s="161"/>
      <c r="K59" s="68" t="str">
        <f>IF(AND(I59&lt;&gt;"B1",J59="Y"),"&gt;","")</f>
        <v/>
      </c>
      <c r="L59" s="162"/>
      <c r="M59" s="162"/>
      <c r="N59" s="162"/>
      <c r="O59" s="21"/>
      <c r="P59" s="21"/>
      <c r="Q59" s="21"/>
      <c r="R59" s="21"/>
      <c r="S59" s="21"/>
      <c r="T59" s="21"/>
      <c r="U59" s="21"/>
      <c r="V59" s="21"/>
      <c r="W59" s="21"/>
      <c r="X59" s="21"/>
      <c r="Y59" s="21"/>
      <c r="Z59" s="21"/>
      <c r="AA59" s="310">
        <f>IF($I59="B1","",SUM(O59:Z59))</f>
        <v>0</v>
      </c>
      <c r="AB59" s="17" t="str">
        <f>IF(AA59=0,"",IFERROR(AA59/AA$19,""))</f>
        <v/>
      </c>
      <c r="AD59" s="21"/>
      <c r="AE59" s="17" t="str">
        <f>IF(AD59=0,"",IFERROR(AD59/AD$19,""))</f>
        <v/>
      </c>
      <c r="AF59" s="50">
        <f>IF(AND($AA59="",AD59=""),"",$AA59-AD59)</f>
        <v>0</v>
      </c>
      <c r="AG59" s="21"/>
      <c r="AH59" s="17" t="str">
        <f>IF(AG59=0,"",IFERROR(AG59/AG$19,""))</f>
        <v/>
      </c>
      <c r="AI59" s="50">
        <f>IF(AND($AA59="",AG59=""),"",$AA59-AG59)</f>
        <v>0</v>
      </c>
    </row>
    <row r="60" spans="1:35" hidden="1" x14ac:dyDescent="0.25">
      <c r="A60" s="6" t="s">
        <v>15</v>
      </c>
      <c r="B60" s="7"/>
      <c r="H60" s="15"/>
      <c r="I60" s="161"/>
      <c r="J60" s="161"/>
      <c r="K60" s="68" t="str">
        <f>IF(AND(I60&lt;&gt;"B1",J60="Y"),"&gt;","")</f>
        <v/>
      </c>
      <c r="L60" s="162"/>
      <c r="M60" s="162"/>
      <c r="N60" s="162"/>
      <c r="O60" s="21"/>
      <c r="P60" s="21"/>
      <c r="Q60" s="21"/>
      <c r="R60" s="21"/>
      <c r="S60" s="21"/>
      <c r="T60" s="21"/>
      <c r="U60" s="21"/>
      <c r="V60" s="21"/>
      <c r="W60" s="21"/>
      <c r="X60" s="21"/>
      <c r="Y60" s="21"/>
      <c r="Z60" s="21"/>
      <c r="AA60" s="310">
        <f>IF($I60="B1","",SUM(O60:Z60))</f>
        <v>0</v>
      </c>
      <c r="AB60" s="17" t="str">
        <f>IF(AA60=0,"",IFERROR(AA60/AA$19,""))</f>
        <v/>
      </c>
      <c r="AD60" s="21"/>
      <c r="AE60" s="17" t="str">
        <f>IF(AD60=0,"",IFERROR(AD60/AD$19,""))</f>
        <v/>
      </c>
      <c r="AF60" s="50">
        <f>IF(AND($AA60="",AD60=""),"",$AA60-AD60)</f>
        <v>0</v>
      </c>
      <c r="AG60" s="21"/>
      <c r="AH60" s="17" t="str">
        <f>IF(AG60=0,"",IFERROR(AG60/AG$19,""))</f>
        <v/>
      </c>
      <c r="AI60" s="50">
        <f>IF(AND($AA60="",AG60=""),"",$AA60-AG60)</f>
        <v>0</v>
      </c>
    </row>
    <row r="61" spans="1:35" x14ac:dyDescent="0.25">
      <c r="A61" s="6" t="s">
        <v>16</v>
      </c>
      <c r="B61" s="7"/>
      <c r="H61" s="15" t="s">
        <v>79</v>
      </c>
      <c r="I61" s="27" t="s">
        <v>1012</v>
      </c>
      <c r="J61" s="27" t="s">
        <v>78</v>
      </c>
      <c r="K61" s="26"/>
      <c r="L61" s="26"/>
      <c r="M61" s="26"/>
      <c r="N61" s="25" t="s">
        <v>1116</v>
      </c>
      <c r="O61" s="33"/>
      <c r="P61" s="33"/>
      <c r="Q61" s="33"/>
      <c r="R61" s="33"/>
      <c r="S61" s="33"/>
      <c r="T61" s="33"/>
      <c r="U61" s="33"/>
      <c r="V61" s="33"/>
      <c r="W61" s="33"/>
      <c r="X61" s="33"/>
      <c r="Y61" s="33"/>
      <c r="Z61" s="33"/>
      <c r="AA61" s="33">
        <f>IF($I61="B1","",SUM(O61:Z61))</f>
        <v>0</v>
      </c>
      <c r="AB61" s="34" t="str">
        <f>IF(AA61=0,"",IFERROR(AA61/AA$19,""))</f>
        <v/>
      </c>
      <c r="AD61" s="33"/>
      <c r="AE61" s="34" t="str">
        <f>IF(AD61=0,"",IFERROR(AD61/AD$19,""))</f>
        <v/>
      </c>
      <c r="AF61" s="52">
        <f>IF(AND($AA61="",AD61=""),"",$AA61-AD61)</f>
        <v>0</v>
      </c>
      <c r="AG61" s="33"/>
      <c r="AH61" s="34" t="str">
        <f>IF(AG61=0,"",IFERROR(AG61/AG$19,""))</f>
        <v/>
      </c>
      <c r="AI61" s="52">
        <f>IF(AND($AA61="",AG61=""),"",$AA61-AG61)</f>
        <v>0</v>
      </c>
    </row>
    <row r="62" spans="1:35" x14ac:dyDescent="0.25">
      <c r="A62" s="6" t="s">
        <v>17</v>
      </c>
      <c r="B62" s="7"/>
    </row>
    <row r="63" spans="1:35" x14ac:dyDescent="0.25">
      <c r="H63" s="15" t="s">
        <v>80</v>
      </c>
      <c r="I63" s="27" t="s">
        <v>1012</v>
      </c>
      <c r="J63" s="27" t="s">
        <v>78</v>
      </c>
      <c r="K63" s="25"/>
      <c r="L63" s="25"/>
      <c r="M63" s="25"/>
      <c r="N63" s="25" t="s">
        <v>1117</v>
      </c>
      <c r="O63" s="36"/>
      <c r="P63" s="36"/>
      <c r="Q63" s="36"/>
      <c r="R63" s="36"/>
      <c r="S63" s="36"/>
      <c r="T63" s="36"/>
      <c r="U63" s="36"/>
      <c r="V63" s="36"/>
      <c r="W63" s="36"/>
      <c r="X63" s="36"/>
      <c r="Y63" s="36"/>
      <c r="Z63" s="36"/>
      <c r="AA63" s="36">
        <f>IF($I63="B1","",SUM(O63:Z63))</f>
        <v>0</v>
      </c>
      <c r="AB63" s="37" t="str">
        <f>IF(AA63=0,"",IFERROR(AA63/AA$19,""))</f>
        <v/>
      </c>
      <c r="AD63" s="36"/>
      <c r="AE63" s="37" t="str">
        <f>IF(AD63=0,"",IFERROR(AD63/AD$19,""))</f>
        <v/>
      </c>
      <c r="AF63" s="59">
        <f>IF(AND($AA63="",AD63=""),"",$AA63-AD63)</f>
        <v>0</v>
      </c>
      <c r="AG63" s="60"/>
      <c r="AH63" s="61" t="str">
        <f>IF(AG63=0,"",IFERROR(AG63/AG$19,""))</f>
        <v/>
      </c>
      <c r="AI63" s="59">
        <f>IF(AND($AA63="",AG63=""),"",$AA63-AG63)</f>
        <v>0</v>
      </c>
    </row>
    <row r="64" spans="1:35" ht="15.75" thickBot="1" x14ac:dyDescent="0.3">
      <c r="A64" s="22" t="s">
        <v>92</v>
      </c>
      <c r="B64" s="23" t="s">
        <v>93</v>
      </c>
      <c r="C64" s="23" t="s">
        <v>94</v>
      </c>
      <c r="D64" s="23" t="s">
        <v>95</v>
      </c>
      <c r="E64" s="23" t="s">
        <v>96</v>
      </c>
      <c r="F64" s="24" t="s">
        <v>97</v>
      </c>
      <c r="H64" s="15" t="s">
        <v>81</v>
      </c>
      <c r="I64" s="27" t="s">
        <v>1012</v>
      </c>
      <c r="J64" s="27" t="s">
        <v>78</v>
      </c>
      <c r="K64" s="25"/>
      <c r="L64" s="25"/>
      <c r="M64" s="25"/>
      <c r="N64" s="25" t="s">
        <v>1118</v>
      </c>
      <c r="O64" s="62"/>
      <c r="P64" s="62"/>
      <c r="Q64" s="62"/>
      <c r="R64" s="62"/>
      <c r="S64" s="62"/>
      <c r="T64" s="62"/>
      <c r="U64" s="62"/>
      <c r="V64" s="62"/>
      <c r="W64" s="62"/>
      <c r="X64" s="62"/>
      <c r="Y64" s="62"/>
      <c r="Z64" s="62"/>
      <c r="AA64" s="62">
        <f>IF($I64="B1","",SUM(O64:Z64))</f>
        <v>0</v>
      </c>
      <c r="AB64" s="63" t="str">
        <f>IF(AA64=0,"",IFERROR(AA64/AA$19,""))</f>
        <v/>
      </c>
      <c r="AD64" s="62"/>
      <c r="AE64" s="63" t="str">
        <f>IF(AD64=0,"",IFERROR(AD64/AD$19,""))</f>
        <v/>
      </c>
      <c r="AF64" s="64">
        <f>IF(AND($AA64="",AD64=""),"",$AA64-AD64)</f>
        <v>0</v>
      </c>
      <c r="AG64" s="62"/>
      <c r="AH64" s="63" t="str">
        <f>IF(AG64=0,"",IFERROR(AG64/AG$19,""))</f>
        <v/>
      </c>
      <c r="AI64" s="64">
        <f>IF(AND($AA64="",AG64=""),"",$AA64-AG64)</f>
        <v>0</v>
      </c>
    </row>
    <row r="65" spans="1:35" ht="15.75" thickTop="1" x14ac:dyDescent="0.25"/>
    <row r="66" spans="1:35" x14ac:dyDescent="0.25">
      <c r="A66" s="1" t="s">
        <v>209</v>
      </c>
      <c r="B66" s="1" t="s">
        <v>21</v>
      </c>
      <c r="C66" s="74"/>
      <c r="D66" s="1" t="s">
        <v>590</v>
      </c>
      <c r="F66" s="1" t="s">
        <v>99</v>
      </c>
      <c r="N66" s="26" t="str">
        <f>N63&amp;" - Check"</f>
        <v>Total Expenses - Check</v>
      </c>
      <c r="O66" s="139">
        <f t="shared" ref="O66:AA66" si="11">SUMIF($H$34:$H$64,"600000",O$34:O$64)+SUMIF($H$34:$H$64,"700000",O$34:O$64)-SUMIF($H$34:$H$64,"TOTDEPTEXP",O$34:O$64)</f>
        <v>0</v>
      </c>
      <c r="P66" s="139">
        <f t="shared" si="11"/>
        <v>0</v>
      </c>
      <c r="Q66" s="139">
        <f t="shared" si="11"/>
        <v>0</v>
      </c>
      <c r="R66" s="139">
        <f t="shared" si="11"/>
        <v>0</v>
      </c>
      <c r="S66" s="139">
        <f t="shared" si="11"/>
        <v>0</v>
      </c>
      <c r="T66" s="139">
        <f t="shared" si="11"/>
        <v>0</v>
      </c>
      <c r="U66" s="139">
        <f t="shared" si="11"/>
        <v>0</v>
      </c>
      <c r="V66" s="139">
        <f t="shared" si="11"/>
        <v>0</v>
      </c>
      <c r="W66" s="139">
        <f t="shared" si="11"/>
        <v>0</v>
      </c>
      <c r="X66" s="139">
        <f t="shared" si="11"/>
        <v>0</v>
      </c>
      <c r="Y66" s="139">
        <f t="shared" si="11"/>
        <v>0</v>
      </c>
      <c r="Z66" s="139">
        <f t="shared" si="11"/>
        <v>0</v>
      </c>
      <c r="AA66" s="139">
        <f t="shared" si="11"/>
        <v>0</v>
      </c>
      <c r="AB66" s="17"/>
      <c r="AD66" s="139">
        <f>SUMIF($H$34:$H$64,"600000",AD$34:AD$64)+SUMIF($H$34:$H$64,"700000",AD$34:AD$64)-SUMIF($H$34:$H$64,"TOTDEPTEXP",AD$34:AD$64)</f>
        <v>0</v>
      </c>
      <c r="AE66" s="17"/>
      <c r="AF66" s="21"/>
      <c r="AG66" s="139">
        <f>SUMIF($H$34:$H$64,"600000",AG$34:AG$64)+SUMIF($H$34:$H$64,"700000",AG$34:AG$64)-SUMIF($H$34:$H$64,"TOTDEPTEXP",AG$34:AG$64)</f>
        <v>0</v>
      </c>
      <c r="AH66" s="17"/>
      <c r="AI66" s="21"/>
    </row>
    <row r="67" spans="1:35" x14ac:dyDescent="0.25">
      <c r="A67" s="1" t="s">
        <v>105</v>
      </c>
      <c r="C67" s="26" t="s">
        <v>101</v>
      </c>
      <c r="D67" s="1" t="s">
        <v>106</v>
      </c>
      <c r="F67" s="1" t="s">
        <v>98</v>
      </c>
      <c r="N67" s="26" t="str">
        <f>N64&amp;" - Check"</f>
        <v>Department Profit (Loss) - Check</v>
      </c>
      <c r="O67" s="139">
        <f t="shared" ref="O67:AA67" si="12">SUMIF($H$34:$H$64,"KPI_GP",O$34:O$64)-SUMIF($H$34:$H$64,"TOTDEPTEXP",O$34:O$64)-SUMIF($H$34:$H$64,"TOTDEPTPL",O$34:O$64)</f>
        <v>0</v>
      </c>
      <c r="P67" s="139">
        <f t="shared" si="12"/>
        <v>0</v>
      </c>
      <c r="Q67" s="139">
        <f t="shared" si="12"/>
        <v>0</v>
      </c>
      <c r="R67" s="139">
        <f t="shared" si="12"/>
        <v>0</v>
      </c>
      <c r="S67" s="139">
        <f t="shared" si="12"/>
        <v>0</v>
      </c>
      <c r="T67" s="139">
        <f t="shared" si="12"/>
        <v>0</v>
      </c>
      <c r="U67" s="139">
        <f t="shared" si="12"/>
        <v>0</v>
      </c>
      <c r="V67" s="139">
        <f t="shared" si="12"/>
        <v>0</v>
      </c>
      <c r="W67" s="139">
        <f t="shared" si="12"/>
        <v>0</v>
      </c>
      <c r="X67" s="139">
        <f t="shared" si="12"/>
        <v>0</v>
      </c>
      <c r="Y67" s="139">
        <f t="shared" si="12"/>
        <v>0</v>
      </c>
      <c r="Z67" s="139">
        <f t="shared" si="12"/>
        <v>0</v>
      </c>
      <c r="AA67" s="139">
        <f t="shared" si="12"/>
        <v>0</v>
      </c>
      <c r="AB67" s="17"/>
      <c r="AD67" s="139">
        <f>SUMIF($H$34:$H$64,"KPI_GP",AD$34:AD$64)-SUMIF($H$34:$H$64,"TOTDEPTEXP",AD$34:AD$64)-SUMIF($H$34:$H$64,"TOTDEPTPL",AD$34:AD$64)</f>
        <v>0</v>
      </c>
      <c r="AE67" s="17"/>
      <c r="AF67" s="21"/>
      <c r="AG67" s="139">
        <f>SUMIF($H$34:$H$64,"KPI_GP",AG$34:AG$64)-SUMIF($H$34:$H$64,"TOTDEPTEXP",AG$34:AG$64)-SUMIF($H$34:$H$64,"TOTDEPTPL",AG$34:AG$64)</f>
        <v>0</v>
      </c>
      <c r="AH67" s="17"/>
      <c r="AI67" s="21"/>
    </row>
    <row r="68" spans="1:35" x14ac:dyDescent="0.25">
      <c r="A68" s="1" t="s">
        <v>108</v>
      </c>
      <c r="C68" s="25" t="s">
        <v>101</v>
      </c>
      <c r="D68" s="1" t="s">
        <v>106</v>
      </c>
      <c r="F68" s="1" t="s">
        <v>98</v>
      </c>
    </row>
    <row r="69" spans="1:35" x14ac:dyDescent="0.25">
      <c r="A69" s="1" t="s">
        <v>108</v>
      </c>
      <c r="C69" s="151" t="s">
        <v>101</v>
      </c>
      <c r="D69" s="1" t="s">
        <v>107</v>
      </c>
      <c r="F69" s="1" t="s">
        <v>99</v>
      </c>
      <c r="O69" s="166"/>
      <c r="P69" s="166"/>
      <c r="Q69" s="166"/>
      <c r="R69" s="166"/>
      <c r="S69" s="166"/>
      <c r="T69" s="166"/>
      <c r="U69" s="166"/>
      <c r="V69" s="166"/>
      <c r="W69" s="166"/>
      <c r="X69" s="166"/>
      <c r="Y69" s="166"/>
      <c r="Z69" s="166"/>
      <c r="AA69" s="166"/>
      <c r="AD69" s="166"/>
      <c r="AG69" s="166"/>
    </row>
    <row r="71" spans="1:35" x14ac:dyDescent="0.25">
      <c r="C71" s="32"/>
      <c r="O71" s="166"/>
      <c r="P71" s="166"/>
      <c r="Q71" s="166"/>
      <c r="R71" s="166"/>
      <c r="S71" s="166"/>
      <c r="T71" s="166"/>
      <c r="U71" s="166"/>
      <c r="V71" s="166"/>
      <c r="W71" s="166"/>
      <c r="X71" s="166"/>
      <c r="Y71" s="166"/>
      <c r="Z71" s="166"/>
      <c r="AA71" s="166"/>
      <c r="AD71" s="166"/>
      <c r="AG71" s="166"/>
    </row>
    <row r="72" spans="1:35" x14ac:dyDescent="0.25">
      <c r="A72" s="4" t="s">
        <v>988</v>
      </c>
    </row>
    <row r="74" spans="1:35" x14ac:dyDescent="0.25">
      <c r="A74" s="3" t="s">
        <v>0</v>
      </c>
      <c r="B74" s="5" t="s">
        <v>1</v>
      </c>
      <c r="H74" s="11"/>
      <c r="J74" s="1"/>
    </row>
    <row r="75" spans="1:35" x14ac:dyDescent="0.25">
      <c r="A75" s="6" t="s">
        <v>2</v>
      </c>
      <c r="B75" s="16" t="s">
        <v>1541</v>
      </c>
      <c r="H75" s="11"/>
      <c r="J75" s="1"/>
    </row>
    <row r="76" spans="1:35" x14ac:dyDescent="0.25">
      <c r="A76" s="6" t="s">
        <v>3</v>
      </c>
      <c r="B76" s="16" t="s">
        <v>1542</v>
      </c>
      <c r="H76" s="11"/>
      <c r="J76" s="1"/>
    </row>
    <row r="77" spans="1:35" x14ac:dyDescent="0.25">
      <c r="A77" s="6" t="s">
        <v>4</v>
      </c>
      <c r="B77" s="16" t="s">
        <v>1557</v>
      </c>
      <c r="H77" s="11"/>
      <c r="J77" s="1"/>
    </row>
    <row r="78" spans="1:35" x14ac:dyDescent="0.25">
      <c r="A78" s="6" t="s">
        <v>5</v>
      </c>
      <c r="B78" s="7"/>
      <c r="H78" s="11"/>
      <c r="J78" s="1"/>
    </row>
    <row r="79" spans="1:35" x14ac:dyDescent="0.25">
      <c r="A79" s="6" t="s">
        <v>6</v>
      </c>
      <c r="B79" s="7"/>
      <c r="H79" s="11"/>
      <c r="J79" s="1"/>
    </row>
    <row r="80" spans="1:35" x14ac:dyDescent="0.25">
      <c r="A80" s="6" t="s">
        <v>7</v>
      </c>
      <c r="B80" s="16" t="s">
        <v>1558</v>
      </c>
      <c r="H80" s="11"/>
      <c r="J80" s="1"/>
    </row>
    <row r="81" spans="1:10" x14ac:dyDescent="0.25">
      <c r="A81" s="6" t="s">
        <v>47</v>
      </c>
      <c r="B81" s="16" t="s">
        <v>1545</v>
      </c>
      <c r="H81" s="11"/>
      <c r="J81" s="1"/>
    </row>
    <row r="82" spans="1:10" x14ac:dyDescent="0.25">
      <c r="A82" s="6" t="s">
        <v>8</v>
      </c>
      <c r="B82" s="7"/>
      <c r="H82" s="11"/>
      <c r="J82" s="1"/>
    </row>
    <row r="83" spans="1:10" x14ac:dyDescent="0.25">
      <c r="H83" s="11"/>
      <c r="J83" s="1"/>
    </row>
    <row r="84" spans="1:10" x14ac:dyDescent="0.25">
      <c r="A84" s="3" t="s">
        <v>9</v>
      </c>
      <c r="B84" s="5" t="s">
        <v>10</v>
      </c>
      <c r="H84" s="11"/>
      <c r="J84" s="1"/>
    </row>
    <row r="85" spans="1:10" x14ac:dyDescent="0.25">
      <c r="A85" s="6" t="s">
        <v>11</v>
      </c>
      <c r="B85" s="7" t="s">
        <v>21</v>
      </c>
      <c r="H85" s="11"/>
      <c r="J85" s="1"/>
    </row>
    <row r="86" spans="1:10" x14ac:dyDescent="0.25">
      <c r="A86" s="6" t="s">
        <v>12</v>
      </c>
      <c r="B86" s="7" t="s">
        <v>22</v>
      </c>
      <c r="H86" s="11"/>
      <c r="J86" s="1"/>
    </row>
    <row r="87" spans="1:10" x14ac:dyDescent="0.25">
      <c r="A87" s="6" t="s">
        <v>13</v>
      </c>
      <c r="B87" s="7" t="s">
        <v>737</v>
      </c>
      <c r="H87" s="11"/>
      <c r="J87" s="1"/>
    </row>
    <row r="88" spans="1:10" x14ac:dyDescent="0.25">
      <c r="A88" s="6" t="s">
        <v>14</v>
      </c>
      <c r="B88" s="7"/>
      <c r="H88" s="11"/>
      <c r="J88" s="1"/>
    </row>
    <row r="89" spans="1:10" x14ac:dyDescent="0.25">
      <c r="A89" s="6" t="s">
        <v>15</v>
      </c>
      <c r="B89" s="7"/>
      <c r="G89" s="14"/>
      <c r="H89" s="11"/>
      <c r="J89" s="1"/>
    </row>
    <row r="90" spans="1:10" x14ac:dyDescent="0.25">
      <c r="A90" s="6" t="s">
        <v>16</v>
      </c>
      <c r="B90" s="7" t="s">
        <v>78</v>
      </c>
      <c r="H90" s="11"/>
      <c r="J90" s="1"/>
    </row>
    <row r="91" spans="1:10" x14ac:dyDescent="0.25">
      <c r="A91" s="6" t="s">
        <v>17</v>
      </c>
      <c r="B91" s="7"/>
      <c r="H91" s="11"/>
      <c r="J91" s="1"/>
    </row>
    <row r="92" spans="1:10" x14ac:dyDescent="0.25">
      <c r="H92" s="11"/>
      <c r="J92" s="1"/>
    </row>
    <row r="93" spans="1:10" x14ac:dyDescent="0.25">
      <c r="A93" s="22" t="s">
        <v>92</v>
      </c>
      <c r="B93" s="23" t="s">
        <v>93</v>
      </c>
      <c r="C93" s="23" t="s">
        <v>94</v>
      </c>
      <c r="D93" s="23" t="s">
        <v>95</v>
      </c>
      <c r="E93" s="23" t="s">
        <v>96</v>
      </c>
      <c r="F93" s="24" t="s">
        <v>97</v>
      </c>
      <c r="H93" s="11"/>
      <c r="J93" s="1"/>
    </row>
    <row r="94" spans="1:10" x14ac:dyDescent="0.25">
      <c r="H94" s="11"/>
      <c r="J94" s="1"/>
    </row>
    <row r="95" spans="1:10" x14ac:dyDescent="0.25">
      <c r="A95" s="1" t="s">
        <v>108</v>
      </c>
      <c r="C95" s="26" t="s">
        <v>101</v>
      </c>
      <c r="D95" s="1" t="s">
        <v>106</v>
      </c>
      <c r="F95" s="1" t="s">
        <v>98</v>
      </c>
      <c r="H95" s="11"/>
      <c r="J95" s="1"/>
    </row>
    <row r="96" spans="1:10" x14ac:dyDescent="0.25">
      <c r="A96" s="1" t="s">
        <v>100</v>
      </c>
      <c r="C96" s="8" t="s">
        <v>101</v>
      </c>
      <c r="D96" s="1" t="s">
        <v>106</v>
      </c>
      <c r="F96" s="1" t="s">
        <v>98</v>
      </c>
      <c r="H96" s="11"/>
      <c r="J96" s="1"/>
    </row>
    <row r="97" spans="1:7" x14ac:dyDescent="0.25">
      <c r="A97" s="1" t="s">
        <v>109</v>
      </c>
      <c r="C97" s="25" t="s">
        <v>101</v>
      </c>
      <c r="D97" s="1" t="s">
        <v>106</v>
      </c>
      <c r="F97" s="1" t="s">
        <v>98</v>
      </c>
    </row>
    <row r="98" spans="1:7" x14ac:dyDescent="0.25">
      <c r="A98" s="1" t="s">
        <v>109</v>
      </c>
      <c r="C98" s="151" t="s">
        <v>101</v>
      </c>
      <c r="D98" s="1" t="s">
        <v>107</v>
      </c>
      <c r="F98" s="1" t="s">
        <v>99</v>
      </c>
    </row>
    <row r="99" spans="1:7" x14ac:dyDescent="0.25">
      <c r="A99" s="1" t="s">
        <v>110</v>
      </c>
      <c r="C99" s="25" t="s">
        <v>101</v>
      </c>
      <c r="D99" s="1" t="s">
        <v>106</v>
      </c>
      <c r="F99" s="1" t="s">
        <v>98</v>
      </c>
    </row>
    <row r="100" spans="1:7" x14ac:dyDescent="0.25">
      <c r="A100" s="1" t="s">
        <v>110</v>
      </c>
      <c r="C100" s="29" t="s">
        <v>101</v>
      </c>
      <c r="D100" s="1" t="s">
        <v>107</v>
      </c>
      <c r="F100" s="1" t="s">
        <v>99</v>
      </c>
    </row>
    <row r="101" spans="1:7" x14ac:dyDescent="0.25">
      <c r="C101" s="32"/>
    </row>
    <row r="103" spans="1:7" x14ac:dyDescent="0.25">
      <c r="A103" s="4" t="s">
        <v>988</v>
      </c>
      <c r="B103" s="1" t="s">
        <v>736</v>
      </c>
      <c r="G103" s="14"/>
    </row>
    <row r="105" spans="1:7" x14ac:dyDescent="0.25">
      <c r="A105" s="3" t="s">
        <v>0</v>
      </c>
      <c r="B105" s="5" t="s">
        <v>1</v>
      </c>
    </row>
    <row r="106" spans="1:7" x14ac:dyDescent="0.25">
      <c r="A106" s="6" t="s">
        <v>2</v>
      </c>
      <c r="B106" s="16" t="s">
        <v>1541</v>
      </c>
    </row>
    <row r="107" spans="1:7" x14ac:dyDescent="0.25">
      <c r="A107" s="6" t="s">
        <v>3</v>
      </c>
      <c r="B107" s="16" t="s">
        <v>1542</v>
      </c>
    </row>
    <row r="108" spans="1:7" x14ac:dyDescent="0.25">
      <c r="A108" s="6" t="s">
        <v>4</v>
      </c>
      <c r="B108" s="16" t="s">
        <v>1559</v>
      </c>
    </row>
    <row r="109" spans="1:7" x14ac:dyDescent="0.25">
      <c r="A109" s="6" t="s">
        <v>5</v>
      </c>
      <c r="B109" s="7"/>
      <c r="G109" s="14"/>
    </row>
    <row r="110" spans="1:7" x14ac:dyDescent="0.25">
      <c r="A110" s="6" t="s">
        <v>6</v>
      </c>
      <c r="B110" s="7"/>
    </row>
    <row r="111" spans="1:7" x14ac:dyDescent="0.25">
      <c r="A111" s="6" t="s">
        <v>7</v>
      </c>
      <c r="B111" s="7"/>
    </row>
    <row r="112" spans="1:7" x14ac:dyDescent="0.25">
      <c r="A112" s="6" t="s">
        <v>47</v>
      </c>
      <c r="B112" s="16" t="s">
        <v>1545</v>
      </c>
    </row>
    <row r="113" spans="1:2" x14ac:dyDescent="0.25">
      <c r="A113" s="6" t="s">
        <v>8</v>
      </c>
      <c r="B113" s="7"/>
    </row>
    <row r="116" spans="1:2" x14ac:dyDescent="0.25">
      <c r="A116" s="3" t="s">
        <v>23</v>
      </c>
      <c r="B116" s="5" t="s">
        <v>24</v>
      </c>
    </row>
    <row r="117" spans="1:2" x14ac:dyDescent="0.25">
      <c r="A117" s="6" t="s">
        <v>25</v>
      </c>
      <c r="B117" s="7"/>
    </row>
    <row r="118" spans="1:2" x14ac:dyDescent="0.25">
      <c r="A118" s="6" t="s">
        <v>26</v>
      </c>
      <c r="B118" s="7"/>
    </row>
    <row r="119" spans="1:2" x14ac:dyDescent="0.25">
      <c r="A119" s="6" t="s">
        <v>27</v>
      </c>
      <c r="B119" s="7"/>
    </row>
    <row r="120" spans="1:2" x14ac:dyDescent="0.25">
      <c r="A120" s="6" t="s">
        <v>28</v>
      </c>
      <c r="B120" s="7"/>
    </row>
    <row r="121" spans="1:2" x14ac:dyDescent="0.25">
      <c r="A121" s="6" t="s">
        <v>29</v>
      </c>
      <c r="B121" s="7"/>
    </row>
    <row r="122" spans="1:2" x14ac:dyDescent="0.25">
      <c r="A122" s="6" t="s">
        <v>30</v>
      </c>
      <c r="B122" s="7" t="s">
        <v>78</v>
      </c>
    </row>
    <row r="123" spans="1:2" x14ac:dyDescent="0.25">
      <c r="A123" s="6" t="s">
        <v>31</v>
      </c>
      <c r="B123" s="7" t="s">
        <v>78</v>
      </c>
    </row>
    <row r="124" spans="1:2" x14ac:dyDescent="0.25">
      <c r="A124" s="6" t="s">
        <v>32</v>
      </c>
      <c r="B124" s="7"/>
    </row>
    <row r="125" spans="1:2" x14ac:dyDescent="0.25">
      <c r="A125" s="6" t="s">
        <v>33</v>
      </c>
      <c r="B125" s="7"/>
    </row>
    <row r="126" spans="1:2" x14ac:dyDescent="0.25">
      <c r="A126" s="6" t="s">
        <v>34</v>
      </c>
      <c r="B126" s="7"/>
    </row>
    <row r="127" spans="1:2" x14ac:dyDescent="0.25">
      <c r="A127" s="6" t="s">
        <v>35</v>
      </c>
      <c r="B127" s="7"/>
    </row>
    <row r="128" spans="1:2" x14ac:dyDescent="0.25">
      <c r="A128" s="6" t="s">
        <v>36</v>
      </c>
      <c r="B128" s="7"/>
    </row>
    <row r="129" spans="1:34" x14ac:dyDescent="0.25">
      <c r="A129" s="6" t="s">
        <v>37</v>
      </c>
      <c r="B129" s="7"/>
    </row>
    <row r="130" spans="1:34" x14ac:dyDescent="0.25">
      <c r="A130" s="6" t="s">
        <v>38</v>
      </c>
      <c r="B130" s="7"/>
    </row>
    <row r="131" spans="1:34" x14ac:dyDescent="0.25">
      <c r="A131" s="6" t="s">
        <v>39</v>
      </c>
      <c r="B131" s="7"/>
    </row>
    <row r="132" spans="1:34" x14ac:dyDescent="0.25">
      <c r="A132" s="6" t="s">
        <v>40</v>
      </c>
      <c r="B132" s="7"/>
    </row>
    <row r="133" spans="1:34" x14ac:dyDescent="0.25">
      <c r="A133" s="6" t="s">
        <v>41</v>
      </c>
      <c r="B133" s="7"/>
    </row>
    <row r="134" spans="1:34" x14ac:dyDescent="0.25">
      <c r="A134" s="6" t="s">
        <v>42</v>
      </c>
      <c r="B134" s="7"/>
    </row>
    <row r="135" spans="1:34" x14ac:dyDescent="0.25">
      <c r="A135" s="6" t="s">
        <v>43</v>
      </c>
      <c r="B135" s="7"/>
    </row>
    <row r="136" spans="1:34" x14ac:dyDescent="0.25">
      <c r="A136" s="6" t="s">
        <v>44</v>
      </c>
      <c r="B136" s="7"/>
    </row>
    <row r="137" spans="1:34" x14ac:dyDescent="0.25">
      <c r="A137" s="6" t="s">
        <v>45</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38" spans="1:34" x14ac:dyDescent="0.25">
      <c r="A138" s="6" t="s">
        <v>46</v>
      </c>
      <c r="B138" s="7"/>
    </row>
    <row r="141" spans="1:34" x14ac:dyDescent="0.25">
      <c r="I141" s="76"/>
      <c r="J141" s="1"/>
      <c r="K141" s="76"/>
      <c r="L141" s="76"/>
      <c r="M141" s="76"/>
      <c r="O141" s="76"/>
      <c r="P141" s="76"/>
      <c r="Q141" s="76"/>
      <c r="R141" s="76"/>
      <c r="S141" s="76"/>
      <c r="T141" s="76"/>
      <c r="U141" s="76"/>
      <c r="V141" s="76"/>
      <c r="W141" s="76"/>
      <c r="X141" s="76"/>
      <c r="Y141" s="76"/>
      <c r="Z141" s="76"/>
      <c r="AA141" s="76"/>
      <c r="AD141" s="76"/>
      <c r="AF141" s="76"/>
      <c r="AH141" s="76"/>
    </row>
    <row r="155" spans="5:5" x14ac:dyDescent="0.25">
      <c r="E155" s="76"/>
    </row>
    <row r="159" spans="5:5" x14ac:dyDescent="0.25">
      <c r="E159" s="76"/>
    </row>
    <row r="188" spans="7:7" x14ac:dyDescent="0.25">
      <c r="G188" s="76"/>
    </row>
    <row r="192" spans="7:7" x14ac:dyDescent="0.25">
      <c r="G192" s="76"/>
    </row>
  </sheetData>
  <mergeCells count="2">
    <mergeCell ref="AD31:AE31"/>
    <mergeCell ref="AG31:AH31"/>
  </mergeCells>
  <dataValidations count="2">
    <dataValidation type="list" allowBlank="1" sqref="B57 B86 B28" xr:uid="{00000000-0002-0000-3F00-000000000000}">
      <formula1>"ACCOUNT,BUSINESSUNIT,CATEGORY,DATASRC,DEPARTMENT,INTCO,MEASURES,RPTCURRENCY,TIME"</formula1>
    </dataValidation>
    <dataValidation type="list" allowBlank="1" sqref="B87 B58 B29" xr:uid="{00000000-0002-0000-3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2501"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2501" r:id="rId5" name="FPMExcelClientSheetOptionstb1"/>
      </mc:Fallback>
    </mc:AlternateContent>
  </control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6">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366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_xll.EVRNG(H34:H44)</f>
        <v>#NAME?</v>
      </c>
      <c r="G19" s="18" t="str">
        <f>$B$6</f>
        <v>D1132</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"DEP(420100)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367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4" ca="1" si="0">IF($I34="B1","",SUM(O34:Z34))</f>
        <v>#NAME?</v>
      </c>
      <c r="AB34" s="17" t="e">
        <f t="shared" ref="AB34:AB44" ca="1" si="1">IF(AA34=0,"",IFERROR(AA34/AA$19,""))</f>
        <v>#NAME?</v>
      </c>
      <c r="AD34" s="21"/>
      <c r="AE34" s="17" t="str">
        <f t="shared" ref="AE34:AE44" si="2">IF(AD34=0,"",IFERROR(AD34/AD$19,""))</f>
        <v/>
      </c>
      <c r="AF34" s="50" t="e">
        <f t="shared" ref="AF34:AF44"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368</v>
      </c>
      <c r="I35" s="161" t="e">
        <f ca="1">_xll.EVPRO($B$1,$H35,"STYLE")</f>
        <v>#NAME?</v>
      </c>
      <c r="J35" s="161" t="e">
        <f ca="1">_xll.EVPRO($B$1,$H35,"CALC")</f>
        <v>#NAME?</v>
      </c>
      <c r="K35" s="68" t="e">
        <f t="shared" ref="K35:K44"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4" si="5">IF(AG35=0,"",IFERROR(AG35/AG$19,""))</f>
        <v/>
      </c>
      <c r="AI35" s="50" t="e">
        <f t="shared" ref="AI35:AI44" ca="1" si="6">IF(AND($AA35="",AG35=""),"",$AA35-AG35)</f>
        <v>#NAME?</v>
      </c>
      <c r="AJ35" s="399">
        <f t="shared" ref="AJ35:AJ44" ca="1" si="7">IFERROR(AA35/AA$20,0)</f>
        <v>0</v>
      </c>
      <c r="AK35" s="400">
        <f t="shared" ref="AK35:AK44" ca="1" si="8">IFERROR(AD35/AD$20,0)</f>
        <v>0</v>
      </c>
      <c r="AL35" s="401">
        <f t="shared" ref="AL35:AL44" ca="1" si="9">IFERROR(AG35/AG$20,0)</f>
        <v>0</v>
      </c>
      <c r="AM35" s="402">
        <f t="shared" ref="AM35:AM44" ca="1" si="10">+IFERROR(ROUND(($AB35-AE35)*100,2)&amp;" pts.",0)</f>
        <v>0</v>
      </c>
      <c r="AN35" s="403">
        <f t="shared" ref="AN35:AN44" ca="1" si="11">+IFERROR(ROUND(($AB35-AH35)*100,2)&amp;" pts.",0)</f>
        <v>0</v>
      </c>
    </row>
    <row r="36" spans="1:40" x14ac:dyDescent="0.25">
      <c r="H36" s="15" t="s">
        <v>369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370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104</v>
      </c>
      <c r="C38" s="26" t="s">
        <v>101</v>
      </c>
      <c r="D38" s="1" t="s">
        <v>106</v>
      </c>
      <c r="F38" s="1" t="s">
        <v>98</v>
      </c>
      <c r="H38" s="15" t="s">
        <v>371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372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151" t="s">
        <v>101</v>
      </c>
      <c r="D40" s="1" t="s">
        <v>107</v>
      </c>
      <c r="F40" s="1" t="s">
        <v>99</v>
      </c>
      <c r="H40" s="15" t="s">
        <v>373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374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H42" s="149" t="s">
        <v>375</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4" t="e">
        <f ca="1">_xll.EVDRE($B$1,A46:B53,A56:B62)</f>
        <v>#NAME?</v>
      </c>
      <c r="H43" s="149" t="s">
        <v>376</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409">
        <f t="shared" ca="1" si="7"/>
        <v>0</v>
      </c>
      <c r="AK43" s="410">
        <f t="shared" ca="1" si="8"/>
        <v>0</v>
      </c>
      <c r="AL43" s="411">
        <f t="shared" ca="1" si="9"/>
        <v>0</v>
      </c>
      <c r="AM43" s="412">
        <f t="shared" ca="1" si="10"/>
        <v>0</v>
      </c>
      <c r="AN43" s="413">
        <f t="shared" ca="1" si="11"/>
        <v>0</v>
      </c>
    </row>
    <row r="44" spans="1:40" x14ac:dyDescent="0.25">
      <c r="H44" s="15" t="s">
        <v>280</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134"/>
      <c r="P44" s="134"/>
      <c r="Q44" s="134"/>
      <c r="R44" s="134"/>
      <c r="S44" s="134"/>
      <c r="T44" s="134"/>
      <c r="U44" s="134"/>
      <c r="V44" s="134"/>
      <c r="W44" s="134"/>
      <c r="X44" s="134"/>
      <c r="Y44" s="134"/>
      <c r="Z44" s="134"/>
      <c r="AA44" s="134" t="e">
        <f t="shared" ca="1" si="0"/>
        <v>#NAME?</v>
      </c>
      <c r="AB44" s="135" t="e">
        <f t="shared" ca="1" si="1"/>
        <v>#NAME?</v>
      </c>
      <c r="AC44" s="137"/>
      <c r="AD44" s="134"/>
      <c r="AE44" s="135" t="str">
        <f t="shared" si="2"/>
        <v/>
      </c>
      <c r="AF44" s="136" t="e">
        <f t="shared" ca="1" si="3"/>
        <v>#NAME?</v>
      </c>
      <c r="AG44" s="134"/>
      <c r="AH44" s="135" t="str">
        <f t="shared" si="5"/>
        <v/>
      </c>
      <c r="AI44" s="136" t="e">
        <f t="shared" ca="1" si="6"/>
        <v>#NAME?</v>
      </c>
      <c r="AJ44" s="360">
        <f t="shared" ca="1" si="7"/>
        <v>0</v>
      </c>
      <c r="AK44" s="361">
        <f t="shared" ca="1" si="8"/>
        <v>0</v>
      </c>
      <c r="AL44" s="363">
        <f t="shared" ca="1" si="9"/>
        <v>0</v>
      </c>
      <c r="AM44" s="405">
        <f t="shared" ca="1" si="10"/>
        <v>0</v>
      </c>
      <c r="AN44" s="406">
        <f t="shared" ca="1" si="11"/>
        <v>0</v>
      </c>
    </row>
    <row r="45" spans="1:40" x14ac:dyDescent="0.25">
      <c r="A45" s="3" t="s">
        <v>0</v>
      </c>
      <c r="B45" s="5" t="s">
        <v>1</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7" t="e">
        <f ca="1">_xll.EVRNG($B$2:$B$10)</f>
        <v>#NAME?</v>
      </c>
      <c r="H46" s="1" t="s">
        <v>281</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3</v>
      </c>
      <c r="B47" s="7" t="e">
        <f ca="1">_xll.EVRNG($O$16:$AN$18)</f>
        <v>#NAME?</v>
      </c>
      <c r="H47" s="15" t="s">
        <v>377</v>
      </c>
      <c r="I47" s="161" t="e">
        <f ca="1">_xll.EVPRO($B$1,$H47,"STYLE")</f>
        <v>#NAME?</v>
      </c>
      <c r="J47" s="161" t="e">
        <f ca="1">_xll.EVPRO($B$1,$H47,"CALC")</f>
        <v>#NAME?</v>
      </c>
      <c r="K47" s="68" t="e">
        <f ca="1">IF(AND(I47&gt;="T5"),"&gt;","")</f>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t="e">
        <f ca="1">IF($I47="B1","",SUM(O47:Z47))</f>
        <v>#NAME?</v>
      </c>
      <c r="AB47" s="17" t="e">
        <f ca="1">IF(AA47=0,"",IFERROR(AA47/_xll.EVGTS($B$1,1,_xll.EVPRO($B$1,$H47,"COSBASIS"),$B$3,$B$5,$B$6,$B$7,$B$9,AA$16,AA$17,AA$11),""))</f>
        <v>#NAME?</v>
      </c>
      <c r="AD47" s="21"/>
      <c r="AE47" s="17" t="str">
        <f>IF(AD47=0,"",IFERROR(AD47/_xll.EVGTS($B$1,1,_xll.EVPRO($B$1,$H47,"COSBASIS"),$B$3,$B$5,$B$6,$B$7,$B$9,AD$16,AD$17,AD$18),""))</f>
        <v/>
      </c>
      <c r="AF47" s="50" t="e">
        <f ca="1">IF(AND($AA47="",AD47=""),"",$AA47-AD47)</f>
        <v>#NAME?</v>
      </c>
      <c r="AG47" s="21"/>
      <c r="AH47" s="17" t="str">
        <f>IF(AG47=0,"",IFERROR(AG47/_xll.EVGTS($B$1,1,_xll.EVPRO($B$1,$H47,"COSBASIS"),$B$3,$B$5,$B$6,$B$7,$B$9,AG$16,AG$17,AG$18),""))</f>
        <v/>
      </c>
      <c r="AI47" s="50"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4</v>
      </c>
      <c r="B48" s="7" t="e">
        <f ca="1">_xll.EVRNG(H47:H49)</f>
        <v>#NAME?</v>
      </c>
      <c r="H48" s="149" t="s">
        <v>378</v>
      </c>
      <c r="I48" s="161" t="e">
        <f ca="1">_xll.EVPRO($B$1,$H48,"STYLE")</f>
        <v>#NAME?</v>
      </c>
      <c r="J48" s="161" t="e">
        <f ca="1">_xll.EVPRO($B$1,$H48,"CALC")</f>
        <v>#NAME?</v>
      </c>
      <c r="K48" s="68" t="e">
        <f t="shared" ref="K48:K49" ca="1" si="12">IF(AND(I48&gt;="T5"),"&gt;","")</f>
        <v>#NAME?</v>
      </c>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t="e">
        <f ca="1">IF($I48="B1","",SUM(O48:Z48))</f>
        <v>#NAME?</v>
      </c>
      <c r="AB48" s="31" t="e">
        <f ca="1">IF(AA48=0,"",IFERROR(AA48/_xll.EVGTS($B$1,1,_xll.EVPRO($B$1,$H48,"COSBASIS"),$B$3,$B$5,$B$6,$B$7,$B$9,AA$16,AA$17,AA$11),""))</f>
        <v>#NAME?</v>
      </c>
      <c r="AD48" s="30"/>
      <c r="AE48" s="31" t="str">
        <f>IF(AD48=0,"",IFERROR(AD48/_xll.EVGTS($B$1,1,_xll.EVPRO($B$1,$H48,"COSBASIS"),$B$3,$B$5,$B$6,$B$7,$B$9,AD$16,AD$17,AD$18),""))</f>
        <v/>
      </c>
      <c r="AF48" s="51" t="e">
        <f ca="1">IF(AND($AA48="",AD48=""),"",$AA48-AD48)</f>
        <v>#NAME?</v>
      </c>
      <c r="AG48" s="30"/>
      <c r="AH48" s="31" t="str">
        <f>IF(AG48=0,"",IFERROR(AG48/_xll.EVGTS($B$1,1,_xll.EVPRO($B$1,$H48,"COSBASIS"),$B$3,$B$5,$B$6,$B$7,$B$9,AG$16,AG$17,AG$18),""))</f>
        <v/>
      </c>
      <c r="AI48" s="51" t="e">
        <f t="shared" ref="AI48:AI49" ca="1" si="13">IF(AND($AA48="",AG48=""),"",$AA48-AG48)</f>
        <v>#NAME?</v>
      </c>
      <c r="AJ48" s="409">
        <f t="shared" ref="AJ48:AJ49" ca="1" si="14">IFERROR(AA48/AA$20,0)</f>
        <v>0</v>
      </c>
      <c r="AK48" s="410">
        <f t="shared" ref="AK48:AK49" ca="1" si="15">IFERROR(AD48/AD$20,0)</f>
        <v>0</v>
      </c>
      <c r="AL48" s="411">
        <f t="shared" ref="AL48:AL49" ca="1" si="16">IFERROR(AG48/AG$20,0)</f>
        <v>0</v>
      </c>
      <c r="AM48" s="412">
        <f t="shared" ref="AM48:AM49" ca="1" si="17">+IFERROR(ROUND(($AB48-AE48)*100,2)&amp;" pts.",0)</f>
        <v>0</v>
      </c>
      <c r="AN48" s="413">
        <f t="shared" ref="AN48:AN49" ca="1" si="18">+IFERROR(ROUND(($AB48-AH48)*100,2)&amp;" pts.",0)</f>
        <v>0</v>
      </c>
    </row>
    <row r="49" spans="1:40" x14ac:dyDescent="0.25">
      <c r="A49" s="6" t="s">
        <v>5</v>
      </c>
      <c r="B49" s="7"/>
      <c r="F49" s="152"/>
      <c r="H49" s="149" t="s">
        <v>379</v>
      </c>
      <c r="I49" s="479" t="e">
        <f ca="1">_xll.EVPRO($B$1,$H49,"STYLE")</f>
        <v>#NAME?</v>
      </c>
      <c r="J49" s="479" t="e">
        <f ca="1">_xll.EVPRO($B$1,$H49,"CALC")</f>
        <v>#NAME?</v>
      </c>
      <c r="K49" s="480" t="e">
        <f t="shared" ca="1" si="12"/>
        <v>#NAME?</v>
      </c>
      <c r="L49" s="170" t="e">
        <f ca="1">_xll.EVPRO($B$1,H49,"JDEID")</f>
        <v>#NAME?</v>
      </c>
      <c r="M49" s="170" t="e">
        <f ca="1">IF(AND(I49="N",J49="N"),_xll.EVPRO($B$1,H49,"PSFTID"),"")</f>
        <v>#NAME?</v>
      </c>
      <c r="N49" s="170" t="e">
        <f ca="1">IF(_xll.EVDES(H49,$B$1)="#NODATA","",_xll.EVDES(H49,$B$1))</f>
        <v>#NAME?</v>
      </c>
      <c r="O49" s="134"/>
      <c r="P49" s="134"/>
      <c r="Q49" s="134"/>
      <c r="R49" s="134"/>
      <c r="S49" s="134"/>
      <c r="T49" s="134"/>
      <c r="U49" s="134"/>
      <c r="V49" s="134"/>
      <c r="W49" s="134"/>
      <c r="X49" s="134"/>
      <c r="Y49" s="134"/>
      <c r="Z49" s="134"/>
      <c r="AA49" s="134" t="e">
        <f ca="1">IF($I49="B1","",SUM(O49:Z49))</f>
        <v>#NAME?</v>
      </c>
      <c r="AB49" s="135" t="e">
        <f ca="1">IF(AA49=0,"",IFERROR(AA49/_xll.EVGTS($B$1,1,_xll.EVPRO($B$1,$H49,"COSBASIS"),$B$3,$B$5,$B$6,$B$7,$B$9,AA$16,AA$17,AA$11),""))</f>
        <v>#NAME?</v>
      </c>
      <c r="AC49" s="137"/>
      <c r="AD49" s="134"/>
      <c r="AE49" s="135" t="str">
        <f>IF(AD49=0,"",IFERROR(AD49/_xll.EVGTS($B$1,1,_xll.EVPRO($B$1,$H49,"COSBASIS"),$B$3,$B$5,$B$6,$B$7,$B$9,AD$16,AD$17,AD$18),""))</f>
        <v/>
      </c>
      <c r="AF49" s="136" t="e">
        <f ca="1">IF(AND($AA49="",AD49=""),"",$AA49-AD49)</f>
        <v>#NAME?</v>
      </c>
      <c r="AG49" s="134"/>
      <c r="AH49" s="135" t="str">
        <f>IF(AG49=0,"",IFERROR(AG49/_xll.EVGTS($B$1,1,_xll.EVPRO($B$1,$H49,"COSBASIS"),$B$3,$B$5,$B$6,$B$7,$B$9,AG$16,AG$17,AG$18),""))</f>
        <v/>
      </c>
      <c r="AI49" s="136" t="e">
        <f t="shared" ca="1" si="13"/>
        <v>#NAME?</v>
      </c>
      <c r="AJ49" s="360">
        <f t="shared" ca="1" si="14"/>
        <v>0</v>
      </c>
      <c r="AK49" s="361">
        <f t="shared" ca="1" si="15"/>
        <v>0</v>
      </c>
      <c r="AL49" s="363">
        <f t="shared" ca="1" si="16"/>
        <v>0</v>
      </c>
      <c r="AM49" s="405">
        <f t="shared" ca="1" si="17"/>
        <v>0</v>
      </c>
      <c r="AN49" s="406">
        <f t="shared" ca="1" si="18"/>
        <v>0</v>
      </c>
    </row>
    <row r="50" spans="1:40" x14ac:dyDescent="0.25">
      <c r="A50" s="6" t="s">
        <v>6</v>
      </c>
      <c r="B50" s="7"/>
      <c r="F50" s="152"/>
      <c r="H50" s="149" t="s">
        <v>175</v>
      </c>
      <c r="I50" s="28" t="e">
        <f ca="1">_xll.EVPRO($B$1,$H50,"STYLE")</f>
        <v>#NAME?</v>
      </c>
      <c r="J50" s="28" t="e">
        <f ca="1">_xll.EVPRO($B$1,$H50,"CALC")</f>
        <v>#NAME?</v>
      </c>
      <c r="K50" s="69" t="e">
        <f ca="1">IF(AND(I50&gt;="T5"),"&gt;","")</f>
        <v>#NAME?</v>
      </c>
      <c r="L50" s="69"/>
      <c r="M50" s="69"/>
      <c r="N50" s="25" t="e">
        <f ca="1">IF(_xll.EVDES(H50,$B$1)="#NODATA","",_xll.EVDES(H50,$B$1))</f>
        <v>#NAME?</v>
      </c>
      <c r="O50" s="47"/>
      <c r="P50" s="47"/>
      <c r="Q50" s="47"/>
      <c r="R50" s="47"/>
      <c r="S50" s="47"/>
      <c r="T50" s="47"/>
      <c r="U50" s="47"/>
      <c r="V50" s="47"/>
      <c r="W50" s="47"/>
      <c r="X50" s="47"/>
      <c r="Y50" s="47"/>
      <c r="Z50" s="47"/>
      <c r="AA50" s="47" t="e">
        <f ca="1">IF($I50="B1","",SUM(O50:Z50))</f>
        <v>#NAME?</v>
      </c>
      <c r="AB50" s="48" t="str">
        <f>IF(O50=0,"",IFERROR(O50/_xll.EVGTS($B$1,1,INDEX($C$143:$C$166,MATCH($H50,$A$143:$A$166,0)),$B$3,$B$5,$B$6,$B$7,$B$9,O$16,O$17,O$18),""))</f>
        <v/>
      </c>
      <c r="AD50" s="47"/>
      <c r="AE50" s="48" t="str">
        <f>IF(AD50=0,"",IFERROR(AD50/_xll.EVGTS($B$1,1,INDEX($C$143:$C$166,MATCH($H50,$A$143:$A$166,0)),$B$3,$B$5,$B$6,$B$7,$B$9,AD$16,AD$17,AD$18),""))</f>
        <v/>
      </c>
      <c r="AF50" s="150" t="e">
        <f ca="1">IF(AND($AA50="",AD50=""),"",$AA50-AD50)</f>
        <v>#NAME?</v>
      </c>
      <c r="AG50" s="47"/>
      <c r="AH50" s="48" t="str">
        <f>IF(AG50=0,"",IFERROR(AG50/_xll.EVGTS($B$1,1,INDEX($C$143:$C$166,MATCH($H50,$A$143:$A$166,0)),$B$3,$B$5,$B$6,$B$7,$B$9,AG$16,AG$17,AG$18),""))</f>
        <v/>
      </c>
      <c r="AI50" s="150" t="e">
        <f ca="1">IF(AND($AA50="",AG50=""),"",$AA50-AG50)</f>
        <v>#NAME?</v>
      </c>
      <c r="AJ50" s="353">
        <f ca="1">IFERROR(AA50/AA$20,0)</f>
        <v>0</v>
      </c>
      <c r="AK50" s="354">
        <f ca="1">IFERROR(AD50/AD$20,0)</f>
        <v>0</v>
      </c>
      <c r="AL50" s="356">
        <f ca="1">IFERROR(AG50/AG$20,0)</f>
        <v>0</v>
      </c>
      <c r="AM50" s="390">
        <f>+IFERROR(ROUND(($AB50-AE50)*100,2)&amp;" pts.",0)</f>
        <v>0</v>
      </c>
      <c r="AN50" s="404">
        <f>+IFERROR(ROUND(($AB50-AH50)*100,2)&amp;" pts.",0)</f>
        <v>0</v>
      </c>
    </row>
    <row r="51" spans="1:40" x14ac:dyDescent="0.25">
      <c r="A51" s="6" t="s">
        <v>7</v>
      </c>
      <c r="B51" s="7" t="e">
        <f ca="1">_xll.EVRNG(A65:F68)</f>
        <v>#NAME?</v>
      </c>
      <c r="F51" s="152"/>
      <c r="H51" s="149" t="s">
        <v>292</v>
      </c>
      <c r="I51" s="28" t="e">
        <f ca="1">_xll.EVPRO($B$1,$H51,"STYLE")</f>
        <v>#NAME?</v>
      </c>
      <c r="J51" s="28" t="e">
        <f ca="1">_xll.EVPRO($B$1,$H51,"CALC")</f>
        <v>#NAME?</v>
      </c>
      <c r="K51" s="69" t="e">
        <f ca="1">IF(AND(I51&gt;="T5"),"&gt;","")</f>
        <v>#NAME?</v>
      </c>
      <c r="L51" s="69"/>
      <c r="M51" s="69"/>
      <c r="N51" s="25" t="e">
        <f ca="1">IF(_xll.EVDES(H51,$B$1)="#NODATA","",_xll.EVDES(H51,$B$1))</f>
        <v>#NAME?</v>
      </c>
      <c r="O51" s="164">
        <f>SUMIF($H$34:$H$49,"400000",O34:O49)-SUMIF($H$34:$H$49,"COS_SPARET",O34:O49)</f>
        <v>0</v>
      </c>
      <c r="P51" s="164">
        <f t="shared" ref="P51:Z51" si="19">SUMIF($H$34:$H$49,"400000",P34:P49)-SUMIF($H$34:$H$49,"COS_SPARET",P34:P49)</f>
        <v>0</v>
      </c>
      <c r="Q51" s="164">
        <f t="shared" si="19"/>
        <v>0</v>
      </c>
      <c r="R51" s="164">
        <f t="shared" si="19"/>
        <v>0</v>
      </c>
      <c r="S51" s="164">
        <f t="shared" si="19"/>
        <v>0</v>
      </c>
      <c r="T51" s="164">
        <f t="shared" si="19"/>
        <v>0</v>
      </c>
      <c r="U51" s="164">
        <f t="shared" si="19"/>
        <v>0</v>
      </c>
      <c r="V51" s="164">
        <f t="shared" si="19"/>
        <v>0</v>
      </c>
      <c r="W51" s="164">
        <f t="shared" si="19"/>
        <v>0</v>
      </c>
      <c r="X51" s="164">
        <f t="shared" si="19"/>
        <v>0</v>
      </c>
      <c r="Y51" s="164">
        <f t="shared" si="19"/>
        <v>0</v>
      </c>
      <c r="Z51" s="164">
        <f t="shared" si="19"/>
        <v>0</v>
      </c>
      <c r="AA51" s="134" t="e">
        <f ca="1">IF($I51="B1","",SUM(O51:Z51))</f>
        <v>#NAME?</v>
      </c>
      <c r="AB51" s="135" t="e">
        <f ca="1">IF(AA51=0,"",IFERROR(AA51/AA$19,""))</f>
        <v>#NAME?</v>
      </c>
      <c r="AD51" s="164">
        <f>SUMIF($H$34:$H$49,"400000",AD34:AD49)-SUMIF($H$34:$H$49,"COS_SPARET",AD34:AD49)</f>
        <v>0</v>
      </c>
      <c r="AE51" s="135" t="str">
        <f>IF(AD51=0,"",IFERROR(AD51/AD$19,""))</f>
        <v/>
      </c>
      <c r="AF51" s="165" t="e">
        <f ca="1">IF(AND($AA51="",AD51=""),"",$AA51-AD51)</f>
        <v>#NAME?</v>
      </c>
      <c r="AG51" s="164">
        <f>SUMIF($H$34:$H$49,"400000",AG34:AG49)-SUMIF($H$34:$H$49,"COS_SPARET",AG34:AG49)</f>
        <v>0</v>
      </c>
      <c r="AH51" s="135" t="str">
        <f>IF(AG51=0,"",IFERROR(AG51/AG$19,""))</f>
        <v/>
      </c>
      <c r="AI51" s="165" t="e">
        <f ca="1">IF(AND($AA51="",AG51=""),"",$AA51-AG51)</f>
        <v>#NAME?</v>
      </c>
      <c r="AJ51" s="360">
        <f ca="1">IFERROR(AA51/AA$20,0)</f>
        <v>0</v>
      </c>
      <c r="AK51" s="361">
        <f ca="1">IFERROR(AD51/AD$20,0)</f>
        <v>0</v>
      </c>
      <c r="AL51" s="363">
        <f ca="1">IFERROR(AG51/AG$20,0)</f>
        <v>0</v>
      </c>
      <c r="AM51" s="405">
        <f ca="1">+IFERROR(ROUND(($AB51-AE51)*100,2)&amp;" pts.",0)</f>
        <v>0</v>
      </c>
      <c r="AN51" s="406">
        <f ca="1">+IFERROR(ROUND(($AB51-AH51)*100,2)&amp;" pts.",0)</f>
        <v>0</v>
      </c>
    </row>
    <row r="52" spans="1:40" x14ac:dyDescent="0.25">
      <c r="A52" s="6" t="s">
        <v>47</v>
      </c>
      <c r="B52" s="7" t="e">
        <f ca="1">_xll.EVRNG($A$116:$B$137)</f>
        <v>#NAME?</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8</v>
      </c>
      <c r="B53" s="7"/>
      <c r="H53" s="1" t="s">
        <v>73</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H54" s="1" t="s">
        <v>74</v>
      </c>
      <c r="I54" s="11" t="e">
        <f ca="1">_xll.EVPRO($B$1,$H54,"STYLE")</f>
        <v>#NAME?</v>
      </c>
      <c r="J54" s="11" t="e">
        <f ca="1">_xll.EVPRO($B$1,$H54,"CALC")</f>
        <v>#NAME?</v>
      </c>
      <c r="N54" s="8" t="e">
        <f ca="1">IF(_xll.EVDES(H54,$B$1)="#NODATA","",_xll.EVDES(H54,$B$1))</f>
        <v>#NAME?</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3" t="s">
        <v>9</v>
      </c>
      <c r="B55" s="5" t="s">
        <v>10</v>
      </c>
      <c r="H55" s="15" t="s">
        <v>667</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38"/>
      <c r="P55" s="38"/>
      <c r="Q55" s="38"/>
      <c r="R55" s="38"/>
      <c r="S55" s="38"/>
      <c r="T55" s="38"/>
      <c r="U55" s="38"/>
      <c r="V55" s="38"/>
      <c r="W55" s="38"/>
      <c r="X55" s="38"/>
      <c r="Y55" s="38"/>
      <c r="Z55" s="38"/>
      <c r="AA55" s="38" t="e">
        <f ca="1">IF($I55="B1","",SUM(O55:Z55))</f>
        <v>#NAME?</v>
      </c>
      <c r="AB55" s="39" t="e">
        <f ca="1">IF(AA55=0,"",IFERROR(AA55/AA$19,""))</f>
        <v>#NAME?</v>
      </c>
      <c r="AD55" s="38"/>
      <c r="AE55" s="39" t="str">
        <f>IF(AD55=0,"",IFERROR(AD55/AD$19,""))</f>
        <v/>
      </c>
      <c r="AF55" s="132" t="e">
        <f ca="1">IF(AND($AA55="",AD55=""),"",$AA55-AD55)</f>
        <v>#NAME?</v>
      </c>
      <c r="AG55" s="38"/>
      <c r="AH55" s="39" t="str">
        <f>IF(AG55=0,"",IFERROR(AG55/AG$19,""))</f>
        <v/>
      </c>
      <c r="AI55" s="132"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11</v>
      </c>
      <c r="B56" s="7" t="s">
        <v>21</v>
      </c>
      <c r="G56" s="14"/>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38"/>
      <c r="P56" s="38"/>
      <c r="Q56" s="38"/>
      <c r="R56" s="38"/>
      <c r="S56" s="38"/>
      <c r="T56" s="38"/>
      <c r="U56" s="38"/>
      <c r="V56" s="38"/>
      <c r="W56" s="38"/>
      <c r="X56" s="38"/>
      <c r="Y56" s="38"/>
      <c r="Z56" s="38"/>
      <c r="AA56" s="38" t="e">
        <f ca="1">IF($I56="B1","",SUM(O56:Z56))</f>
        <v>#NAME?</v>
      </c>
      <c r="AB56" s="39" t="e">
        <f ca="1">IF(AA56=0,"",IFERROR(AA56/AA$19,""))</f>
        <v>#NAME?</v>
      </c>
      <c r="AD56" s="38"/>
      <c r="AE56" s="39" t="str">
        <f>IF(AD56=0,"",IFERROR(AD56/AD$19,""))</f>
        <v/>
      </c>
      <c r="AF56" s="132" t="e">
        <f ca="1">IF(AND($AA56="",AD56=""),"",$AA56-AD56)</f>
        <v>#NAME?</v>
      </c>
      <c r="AG56" s="38"/>
      <c r="AH56" s="39" t="str">
        <f>IF(AG56=0,"",IFERROR(AG56/AG$19,""))</f>
        <v/>
      </c>
      <c r="AI56" s="132"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6" t="s">
        <v>12</v>
      </c>
      <c r="B57" s="7" t="s">
        <v>22</v>
      </c>
      <c r="H57" s="15" t="s">
        <v>75</v>
      </c>
      <c r="I57" s="28" t="e">
        <f ca="1">_xll.EVPRO($B$1,$H57,"STYLE")</f>
        <v>#NAME?</v>
      </c>
      <c r="J57" s="28" t="e">
        <f ca="1">_xll.EVPRO($B$1,$H57,"CALC")</f>
        <v>#NAME?</v>
      </c>
      <c r="K57" s="69" t="e">
        <f ca="1">IF(AND(I57&gt;="T3"),"&gt;","")</f>
        <v>#NAME?</v>
      </c>
      <c r="L57" s="25"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38" t="e">
        <f ca="1">IF($I57="B1","",SUM(O57:Z57))</f>
        <v>#NAME?</v>
      </c>
      <c r="AB57" s="39" t="e">
        <f ca="1">IF(AA57=0,"",IFERROR(AA57/AA$19,""))</f>
        <v>#NAME?</v>
      </c>
      <c r="AD57" s="38"/>
      <c r="AE57" s="39" t="str">
        <f>IF(AD57=0,"",IFERROR(AD57/AD$19,""))</f>
        <v/>
      </c>
      <c r="AF57" s="132" t="e">
        <f ca="1">IF(AND($AA57="",AD57=""),"",$AA57-AD57)</f>
        <v>#NAME?</v>
      </c>
      <c r="AG57" s="38"/>
      <c r="AH57" s="39" t="str">
        <f>IF(AG57=0,"",IFERROR(AG57/AG$19,""))</f>
        <v/>
      </c>
      <c r="AI57" s="132"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hidden="1" x14ac:dyDescent="0.25">
      <c r="A58" s="6" t="s">
        <v>13</v>
      </c>
      <c r="B58" s="7" t="e">
        <f ca="1">"DEP(COS_SPARET) AND "&amp;$E$6&amp;"=Y,COS_SPARET"</f>
        <v>#NAME?</v>
      </c>
      <c r="H58" s="15" t="s">
        <v>667</v>
      </c>
      <c r="I58" s="161" t="e">
        <f ca="1">_xll.EVPRO($B$1,$H58,"STYLE")</f>
        <v>#NAME?</v>
      </c>
      <c r="J58" s="161" t="e">
        <f ca="1">_xll.EVPRO($B$1,$H58,"CALC")</f>
        <v>#NAME?</v>
      </c>
      <c r="K58" s="68" t="e">
        <f ca="1">IF(AND(I58&gt;="T3"),"&gt;","")</f>
        <v>#NAME?</v>
      </c>
      <c r="L58" s="162" t="e">
        <f ca="1">_xll.EVPRO($B$1,H58,"JDEID")</f>
        <v>#NAME?</v>
      </c>
      <c r="M58" s="162" t="e">
        <f ca="1">IF(AND(I58="N",J58="N"),_xll.EVPRO($B$1,H58,"PSFTID"),"")</f>
        <v>#NAME?</v>
      </c>
      <c r="N58" s="162" t="e">
        <f ca="1">IF(_xll.EVDES(H58,$B$1)="#NODATA","",_xll.EVDES(H58,$B$1))</f>
        <v>#NAME?</v>
      </c>
      <c r="O58" s="47"/>
      <c r="P58" s="47"/>
      <c r="Q58" s="47"/>
      <c r="R58" s="47"/>
      <c r="S58" s="47"/>
      <c r="T58" s="47"/>
      <c r="U58" s="47"/>
      <c r="V58" s="47"/>
      <c r="W58" s="47"/>
      <c r="X58" s="47"/>
      <c r="Y58" s="47"/>
      <c r="Z58" s="47"/>
      <c r="AA58" s="47" t="e">
        <f ca="1">IF($I58="B1","",SUM(O58:Z58))</f>
        <v>#NAME?</v>
      </c>
      <c r="AB58" s="48" t="e">
        <f ca="1">IF(AA58=0,"",IFERROR(AA58/AA$19,""))</f>
        <v>#NAME?</v>
      </c>
      <c r="AD58" s="47"/>
      <c r="AE58" s="48" t="str">
        <f>IF(AD58=0,"",IFERROR(AD58/AD$19,""))</f>
        <v/>
      </c>
      <c r="AF58" s="150" t="e">
        <f ca="1">IF(AND($AA58="",AD58=""),"",$AA58-AD58)</f>
        <v>#NAME?</v>
      </c>
      <c r="AG58" s="47"/>
      <c r="AH58" s="48" t="str">
        <f>IF(AG58=0,"",IFERROR(AG58/AG$19,""))</f>
        <v/>
      </c>
      <c r="AI58" s="150" t="e">
        <f ca="1">IF(AND($AA58="",AG58=""),"",$AA58-AG58)</f>
        <v>#NAME?</v>
      </c>
      <c r="AJ58" s="399">
        <f ca="1">IFERROR(AA58/AA$20,0)</f>
        <v>0</v>
      </c>
      <c r="AK58" s="400">
        <f ca="1">IFERROR(AD58/AD$20,0)</f>
        <v>0</v>
      </c>
      <c r="AL58" s="401">
        <f ca="1">IFERROR(AG58/AG$20,0)</f>
        <v>0</v>
      </c>
      <c r="AM58" s="402">
        <f ca="1">+IFERROR(ROUND(($AB58-AE58)*100,2)&amp;" pts.",0)</f>
        <v>0</v>
      </c>
      <c r="AN58" s="403">
        <f ca="1">+IFERROR(ROUND(($AB58-AH58)*100,2)&amp;" pts.",0)</f>
        <v>0</v>
      </c>
    </row>
    <row r="59" spans="1:40" hidden="1" x14ac:dyDescent="0.25">
      <c r="A59" s="6" t="s">
        <v>14</v>
      </c>
      <c r="B59" s="7"/>
      <c r="H59" s="15"/>
      <c r="I59" s="161" t="e">
        <f ca="1">_xll.EVPRO($B$1,$H59,"STYLE")</f>
        <v>#NAME?</v>
      </c>
      <c r="J59" s="161" t="e">
        <f ca="1">_xll.EVPRO($B$1,$H59,"CALC")</f>
        <v>#NAME?</v>
      </c>
      <c r="K59" s="68" t="e">
        <f ca="1">IF(AND(I59&gt;="T3"),"&gt;","")</f>
        <v>#NAME?</v>
      </c>
      <c r="L59" s="162" t="e">
        <f ca="1">_xll.EVPRO($B$1,H59,"JDEID")</f>
        <v>#NAME?</v>
      </c>
      <c r="M59" s="162" t="e">
        <f ca="1">IF(AND(I59="N",J59="N"),_xll.EVPRO($B$1,H59,"PSFTID"),"")</f>
        <v>#NAME?</v>
      </c>
      <c r="N59" s="162" t="e">
        <f ca="1">IF(_xll.EVDES(H59,$B$1)="#NODATA","",_xll.EVDES(H59,$B$1))</f>
        <v>#NAME?</v>
      </c>
      <c r="O59" s="47"/>
      <c r="P59" s="47"/>
      <c r="Q59" s="47"/>
      <c r="R59" s="47"/>
      <c r="S59" s="47"/>
      <c r="T59" s="47"/>
      <c r="U59" s="47"/>
      <c r="V59" s="47"/>
      <c r="W59" s="47"/>
      <c r="X59" s="47"/>
      <c r="Y59" s="47"/>
      <c r="Z59" s="47"/>
      <c r="AA59" s="47" t="e">
        <f ca="1">IF($I59="B1","",SUM(O59:Z59))</f>
        <v>#NAME?</v>
      </c>
      <c r="AB59" s="48" t="e">
        <f ca="1">IF(AA59=0,"",IFERROR(AA59/AA$19,""))</f>
        <v>#NAME?</v>
      </c>
      <c r="AD59" s="47"/>
      <c r="AE59" s="48" t="str">
        <f>IF(AD59=0,"",IFERROR(AD59/AD$19,""))</f>
        <v/>
      </c>
      <c r="AF59" s="150" t="e">
        <f ca="1">IF(AND($AA59="",AD59=""),"",$AA59-AD59)</f>
        <v>#NAME?</v>
      </c>
      <c r="AG59" s="47"/>
      <c r="AH59" s="48" t="str">
        <f>IF(AG59=0,"",IFERROR(AG59/AG$19,""))</f>
        <v/>
      </c>
      <c r="AI59" s="150" t="e">
        <f ca="1">IF(AND($AA59="",AG59=""),"",$AA59-AG59)</f>
        <v>#NAME?</v>
      </c>
      <c r="AJ59" s="399">
        <f ca="1">IFERROR(AA59/AA$20,0)</f>
        <v>0</v>
      </c>
      <c r="AK59" s="400">
        <f ca="1">IFERROR(AD59/AD$20,0)</f>
        <v>0</v>
      </c>
      <c r="AL59" s="401">
        <f ca="1">IFERROR(AG59/AG$20,0)</f>
        <v>0</v>
      </c>
      <c r="AM59" s="402">
        <f ca="1">+IFERROR(ROUND(($AB59-AE59)*100,2)&amp;" pts.",0)</f>
        <v>0</v>
      </c>
      <c r="AN59" s="403">
        <f ca="1">+IFERROR(ROUND(($AB59-AH59)*100,2)&amp;" pts.",0)</f>
        <v>0</v>
      </c>
    </row>
    <row r="60" spans="1:40" x14ac:dyDescent="0.25">
      <c r="A60" s="6" t="s">
        <v>15</v>
      </c>
      <c r="B60" s="7"/>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16</v>
      </c>
      <c r="B61" s="7"/>
      <c r="H61" s="1" t="s">
        <v>82</v>
      </c>
      <c r="I61" s="11" t="e">
        <f ca="1">_xll.EVPRO($B$1,$H61,"STYLE")</f>
        <v>#NAME?</v>
      </c>
      <c r="J61" s="11" t="e">
        <f ca="1">_xll.EVPRO($B$1,$H61,"CALC")</f>
        <v>#NAME?</v>
      </c>
      <c r="N61" s="40" t="e">
        <f ca="1">IF(_xll.EVDES(H61,$B$1)="#NODATA","",_xll.EVDES(H61,$B$1))</f>
        <v>#NAME?</v>
      </c>
      <c r="O61" s="43"/>
      <c r="P61" s="46"/>
      <c r="Q61" s="46"/>
      <c r="R61" s="46"/>
      <c r="S61" s="46"/>
      <c r="T61" s="46"/>
      <c r="U61" s="46"/>
      <c r="V61" s="46"/>
      <c r="W61" s="46"/>
      <c r="X61" s="46"/>
      <c r="Y61" s="46"/>
      <c r="Z61" s="46"/>
      <c r="AA61" s="46"/>
      <c r="AB61" s="44"/>
      <c r="AD61" s="43"/>
      <c r="AE61" s="46"/>
      <c r="AF61" s="44"/>
      <c r="AG61" s="43"/>
      <c r="AH61" s="46"/>
      <c r="AI61" s="44"/>
    </row>
    <row r="62" spans="1:40" hidden="1" x14ac:dyDescent="0.25">
      <c r="A62" s="6" t="s">
        <v>17</v>
      </c>
      <c r="B62" s="7"/>
      <c r="H62" s="15" t="s">
        <v>667</v>
      </c>
      <c r="I62" s="161" t="e">
        <f ca="1">_xll.EVPRO($B$1,$H62,"STYLE")</f>
        <v>#NAME?</v>
      </c>
      <c r="J62" s="161" t="e">
        <f ca="1">_xll.EVPRO($B$1,$H62,"CALC")</f>
        <v>#NAME?</v>
      </c>
      <c r="K62" s="68" t="e">
        <f ca="1">IF(AND(I62&lt;&gt;"B1",J62="Y"),"&gt;","")</f>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21" t="e">
        <f ca="1">IF($I62="B1","",SUM(O62:Z62))</f>
        <v>#NAME?</v>
      </c>
      <c r="AB62" s="17" t="e">
        <f ca="1">IF(AA62=0,"",IFERROR(AA62/AA$19,""))</f>
        <v>#NAME?</v>
      </c>
      <c r="AD62" s="21"/>
      <c r="AE62" s="17" t="str">
        <f>IF(AD62=0,"",IFERROR(AD62/AD$19,""))</f>
        <v/>
      </c>
      <c r="AF62" s="50" t="e">
        <f ca="1">IF(AND($AA62="",AD62=""),"",$AA62-AD62)</f>
        <v>#NAME?</v>
      </c>
      <c r="AG62" s="21"/>
      <c r="AH62" s="17" t="str">
        <f>IF(AG62=0,"",IFERROR(AG62/AG$19,""))</f>
        <v/>
      </c>
      <c r="AI62" s="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H63" s="15"/>
      <c r="I63" s="161" t="e">
        <f ca="1">_xll.EVPRO($B$1,$H63,"STYLE")</f>
        <v>#NAME?</v>
      </c>
      <c r="J63" s="161" t="e">
        <f ca="1">_xll.EVPRO($B$1,$H63,"CALC")</f>
        <v>#NAME?</v>
      </c>
      <c r="K63" s="68" t="e">
        <f ca="1">IF(AND(I63&lt;&gt;"B1",J63="Y"),"&gt;","")</f>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21" t="e">
        <f ca="1">IF($I63="B1","",SUM(O63:Z63))</f>
        <v>#NAME?</v>
      </c>
      <c r="AB63" s="17" t="e">
        <f ca="1">IF(AA63=0,"",IFERROR(AA63/AA$19,""))</f>
        <v>#NAME?</v>
      </c>
      <c r="AD63" s="21"/>
      <c r="AE63" s="17" t="str">
        <f>IF(AD63=0,"",IFERROR(AD63/AD$19,""))</f>
        <v/>
      </c>
      <c r="AF63" s="50" t="e">
        <f ca="1">IF(AND($AA63="",AD63=""),"",$AA63-AD63)</f>
        <v>#NAME?</v>
      </c>
      <c r="AG63" s="21"/>
      <c r="AH63" s="17" t="str">
        <f>IF(AG63=0,"",IFERROR(AG63/AG$19,""))</f>
        <v/>
      </c>
      <c r="AI63" s="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A64" s="22" t="s">
        <v>92</v>
      </c>
      <c r="B64" s="23" t="s">
        <v>93</v>
      </c>
      <c r="C64" s="23" t="s">
        <v>94</v>
      </c>
      <c r="D64" s="23" t="s">
        <v>95</v>
      </c>
      <c r="E64" s="23" t="s">
        <v>96</v>
      </c>
      <c r="F64" s="24" t="s">
        <v>97</v>
      </c>
      <c r="H64" s="15" t="s">
        <v>79</v>
      </c>
      <c r="I64" s="27" t="e">
        <f ca="1">_xll.EVPRO($B$1,$H64,"STYLE")</f>
        <v>#NAME?</v>
      </c>
      <c r="J64" s="27" t="e">
        <f ca="1">_xll.EVPRO($B$1,$H64,"CALC")</f>
        <v>#NAME?</v>
      </c>
      <c r="K64" s="26"/>
      <c r="L64" s="26"/>
      <c r="M64" s="26"/>
      <c r="N64" s="25" t="e">
        <f ca="1">IF(_xll.EVDES(H64,$B$1)="#NODATA","",_xll.EVDES(H64,$B$1))</f>
        <v>#NAME?</v>
      </c>
      <c r="O64" s="33"/>
      <c r="P64" s="33"/>
      <c r="Q64" s="33"/>
      <c r="R64" s="33"/>
      <c r="S64" s="33"/>
      <c r="T64" s="33"/>
      <c r="U64" s="33"/>
      <c r="V64" s="33"/>
      <c r="W64" s="33"/>
      <c r="X64" s="33"/>
      <c r="Y64" s="33"/>
      <c r="Z64" s="33"/>
      <c r="AA64" s="33" t="e">
        <f ca="1">IF($I64="B1","",SUM(O64:Z64))</f>
        <v>#NAME?</v>
      </c>
      <c r="AB64" s="34" t="e">
        <f ca="1">IF(AA64=0,"",IFERROR(AA64/AA$19,""))</f>
        <v>#NAME?</v>
      </c>
      <c r="AD64" s="33"/>
      <c r="AE64" s="34" t="str">
        <f>IF(AD64=0,"",IFERROR(AD64/AD$19,""))</f>
        <v/>
      </c>
      <c r="AF64" s="52" t="e">
        <f ca="1">IF(AND($AA64="",AD64=""),"",$AA64-AD64)</f>
        <v>#NAME?</v>
      </c>
      <c r="AG64" s="33"/>
      <c r="AH64" s="34" t="str">
        <f>IF(AG64=0,"",IFERROR(AG64/AG$19,""))</f>
        <v/>
      </c>
      <c r="AI64" s="52" t="e">
        <f ca="1">IF(AND($AA64="",AG64=""),"",$AA64-AG64)</f>
        <v>#NAME?</v>
      </c>
      <c r="AJ64" s="415">
        <f ca="1">IFERROR(AA64/AA$20,0)</f>
        <v>0</v>
      </c>
      <c r="AK64" s="416">
        <f ca="1">IFERROR(AD64/AD$20,0)</f>
        <v>0</v>
      </c>
      <c r="AL64" s="417">
        <f ca="1">IFERROR(AG64/AG$20,0)</f>
        <v>0</v>
      </c>
      <c r="AM64" s="418">
        <f ca="1">+IFERROR(ROUND(($AB64-AE64)*100,2)&amp;" pts.",0)</f>
        <v>0</v>
      </c>
      <c r="AN64" s="436">
        <f ca="1">+IFERROR(ROUND(($AB64-AH64)*100,2)&amp;" pts.",0)</f>
        <v>0</v>
      </c>
    </row>
    <row r="66" spans="1:40" x14ac:dyDescent="0.25">
      <c r="A66" s="1" t="s">
        <v>105</v>
      </c>
      <c r="C66" s="26" t="s">
        <v>101</v>
      </c>
      <c r="D66" s="1" t="s">
        <v>106</v>
      </c>
      <c r="F66" s="1" t="s">
        <v>98</v>
      </c>
      <c r="H66" s="15" t="s">
        <v>80</v>
      </c>
      <c r="I66" s="27" t="e">
        <f ca="1">_xll.EVPRO($B$1,$H66,"STYLE")</f>
        <v>#NAME?</v>
      </c>
      <c r="J66" s="27" t="e">
        <f ca="1">_xll.EVPRO($B$1,$H66,"CALC")</f>
        <v>#NAME?</v>
      </c>
      <c r="K66" s="25"/>
      <c r="L66" s="25"/>
      <c r="M66" s="25"/>
      <c r="N66" s="25" t="e">
        <f ca="1">IF(_xll.EVDES(H66,$B$1)="#NODATA","",_xll.EVDES(H66,$B$1))</f>
        <v>#NAME?</v>
      </c>
      <c r="O66" s="36"/>
      <c r="P66" s="36"/>
      <c r="Q66" s="36"/>
      <c r="R66" s="36"/>
      <c r="S66" s="36"/>
      <c r="T66" s="36"/>
      <c r="U66" s="36"/>
      <c r="V66" s="36"/>
      <c r="W66" s="36"/>
      <c r="X66" s="36"/>
      <c r="Y66" s="36"/>
      <c r="Z66" s="36"/>
      <c r="AA66" s="36" t="e">
        <f ca="1">IF($I66="B1","",SUM(O66:Z66))</f>
        <v>#NAME?</v>
      </c>
      <c r="AB66" s="37" t="e">
        <f ca="1">IF(AA66=0,"",IFERROR(AA66/AA$19,""))</f>
        <v>#NAME?</v>
      </c>
      <c r="AD66" s="36"/>
      <c r="AE66" s="37" t="str">
        <f>IF(AD66=0,"",IFERROR(AD66/AD$19,""))</f>
        <v/>
      </c>
      <c r="AF66" s="59" t="e">
        <f ca="1">IF(AND($AA66="",AD66=""),"",$AA66-AD66)</f>
        <v>#NAME?</v>
      </c>
      <c r="AG66" s="60"/>
      <c r="AH66" s="61" t="str">
        <f>IF(AG66=0,"",IFERROR(AG66/AG$19,""))</f>
        <v/>
      </c>
      <c r="AI66" s="59" t="e">
        <f ca="1">IF(AND($AA66="",AG66=""),"",$AA66-AG66)</f>
        <v>#NAME?</v>
      </c>
      <c r="AJ66" s="392">
        <f ca="1">IFERROR(AA66/AA$20,0)</f>
        <v>0</v>
      </c>
      <c r="AK66" s="393">
        <f ca="1">IFERROR(AD66/AD$20,0)</f>
        <v>0</v>
      </c>
      <c r="AL66" s="394">
        <f ca="1">IFERROR(AG66/AG$20,0)</f>
        <v>0</v>
      </c>
      <c r="AM66" s="395">
        <f ca="1">+IFERROR(ROUND(($AB66-AE66)*100,2)&amp;" pts.",0)</f>
        <v>0</v>
      </c>
      <c r="AN66" s="437">
        <f ca="1">+IFERROR(ROUND(($AB66-AH66)*100,2)&amp;" pts.",0)</f>
        <v>0</v>
      </c>
    </row>
    <row r="67" spans="1:40" ht="15.75" thickBot="1" x14ac:dyDescent="0.3">
      <c r="A67" s="1" t="s">
        <v>102</v>
      </c>
      <c r="C67" s="25" t="s">
        <v>101</v>
      </c>
      <c r="D67" s="1" t="s">
        <v>106</v>
      </c>
      <c r="F67" s="1" t="s">
        <v>98</v>
      </c>
      <c r="H67" s="15" t="s">
        <v>81</v>
      </c>
      <c r="I67" s="27" t="e">
        <f ca="1">_xll.EVPRO($B$1,$H67,"STYLE")</f>
        <v>#NAME?</v>
      </c>
      <c r="J67" s="27" t="e">
        <f ca="1">_xll.EVPRO($B$1,$H67,"CALC")</f>
        <v>#NAME?</v>
      </c>
      <c r="K67" s="25"/>
      <c r="L67" s="25"/>
      <c r="M67" s="25"/>
      <c r="N67" s="25" t="e">
        <f ca="1">IF(_xll.EVDES(H67,$B$1)="#NODATA","",_xll.EVDES(H67,$B$1))</f>
        <v>#NAME?</v>
      </c>
      <c r="O67" s="62"/>
      <c r="P67" s="62"/>
      <c r="Q67" s="62"/>
      <c r="R67" s="62"/>
      <c r="S67" s="62"/>
      <c r="T67" s="62"/>
      <c r="U67" s="62"/>
      <c r="V67" s="62"/>
      <c r="W67" s="62"/>
      <c r="X67" s="62"/>
      <c r="Y67" s="62"/>
      <c r="Z67" s="62"/>
      <c r="AA67" s="62" t="e">
        <f ca="1">IF($I67="B1","",SUM(O67:Z67))</f>
        <v>#NAME?</v>
      </c>
      <c r="AB67" s="63" t="e">
        <f ca="1">IF(AA67=0,"",IFERROR(AA67/AA$19,""))</f>
        <v>#NAME?</v>
      </c>
      <c r="AD67" s="62"/>
      <c r="AE67" s="63" t="str">
        <f>IF(AD67=0,"",IFERROR(AD67/AD$19,""))</f>
        <v/>
      </c>
      <c r="AF67" s="64" t="e">
        <f ca="1">IF(AND($AA67="",AD67=""),"",$AA67-AD67)</f>
        <v>#NAME?</v>
      </c>
      <c r="AG67" s="62"/>
      <c r="AH67" s="63" t="str">
        <f>IF(AG67=0,"",IFERROR(AG67/AG$19,""))</f>
        <v/>
      </c>
      <c r="AI67" s="64" t="e">
        <f ca="1">IF(AND($AA67="",AG67=""),"",$AA67-AG67)</f>
        <v>#NAME?</v>
      </c>
      <c r="AJ67" s="430">
        <f ca="1">IFERROR(AA67/AA$20,0)</f>
        <v>0</v>
      </c>
      <c r="AK67" s="431">
        <f ca="1">IFERROR(AD67/AD$20,0)</f>
        <v>0</v>
      </c>
      <c r="AL67" s="432">
        <f ca="1">IFERROR(AG67/AG$20,0)</f>
        <v>0</v>
      </c>
      <c r="AM67" s="433">
        <f ca="1">+IFERROR(ROUND(($AB67-AE67)*100,2)&amp;" pts.",0)</f>
        <v>0</v>
      </c>
      <c r="AN67" s="438">
        <f ca="1">+IFERROR(ROUND(($AB67-AH67)*100,2)&amp;" pts.",0)</f>
        <v>0</v>
      </c>
    </row>
    <row r="68" spans="1:40" ht="15.75" thickTop="1" x14ac:dyDescent="0.25">
      <c r="A68" s="1" t="s">
        <v>102</v>
      </c>
      <c r="C68" s="151" t="s">
        <v>101</v>
      </c>
      <c r="D68" s="1" t="s">
        <v>107</v>
      </c>
      <c r="F68" s="1" t="s">
        <v>99</v>
      </c>
    </row>
    <row r="69" spans="1:40" x14ac:dyDescent="0.25">
      <c r="N69" s="26" t="e">
        <f ca="1">N66&amp;" - Check"</f>
        <v>#NAME?</v>
      </c>
      <c r="O69" s="139">
        <f t="shared" ref="O69:AA69" si="20">SUMIF($H$34:$H$67,"600000",O$34:O$67)+SUMIF($H$34:$H$67,"700000",O$34:O$67)-SUMIF($H$34:$H$67,"TOTDEPTEXP",O$34:O$67)</f>
        <v>0</v>
      </c>
      <c r="P69" s="139">
        <f t="shared" si="20"/>
        <v>0</v>
      </c>
      <c r="Q69" s="139">
        <f t="shared" si="20"/>
        <v>0</v>
      </c>
      <c r="R69" s="139">
        <f t="shared" si="20"/>
        <v>0</v>
      </c>
      <c r="S69" s="139">
        <f t="shared" si="20"/>
        <v>0</v>
      </c>
      <c r="T69" s="139">
        <f t="shared" si="20"/>
        <v>0</v>
      </c>
      <c r="U69" s="139">
        <f t="shared" si="20"/>
        <v>0</v>
      </c>
      <c r="V69" s="139">
        <f t="shared" si="20"/>
        <v>0</v>
      </c>
      <c r="W69" s="139">
        <f t="shared" si="20"/>
        <v>0</v>
      </c>
      <c r="X69" s="139">
        <f t="shared" si="20"/>
        <v>0</v>
      </c>
      <c r="Y69" s="139">
        <f t="shared" si="20"/>
        <v>0</v>
      </c>
      <c r="Z69" s="139">
        <f t="shared" si="20"/>
        <v>0</v>
      </c>
      <c r="AA69" s="139" t="e">
        <f t="shared" ca="1" si="20"/>
        <v>#NAME?</v>
      </c>
      <c r="AB69" s="17"/>
      <c r="AD69" s="139">
        <f>SUMIF($H$34:$H$67,"600000",AD$34:AD$67)+SUMIF($H$34:$H$67,"700000",AD$34:AD$67)-SUMIF($H$34:$H$67,"TOTDEPTEXP",AD$34:AD$67)</f>
        <v>0</v>
      </c>
      <c r="AE69" s="17"/>
      <c r="AF69" s="21"/>
      <c r="AG69" s="139">
        <f>SUMIF($H$34:$H$67,"600000",AG$34:AG$67)+SUMIF($H$34:$H$67,"700000",AG$34:AG$67)-SUMIF($H$34:$H$67,"TOTDEPTEXP",AG$34:AG$67)</f>
        <v>0</v>
      </c>
      <c r="AH69" s="17"/>
      <c r="AI69" s="21"/>
    </row>
    <row r="70" spans="1:40" x14ac:dyDescent="0.25">
      <c r="C70" s="32"/>
      <c r="N70" s="26" t="e">
        <f ca="1">N67&amp;" - Check"</f>
        <v>#NAME?</v>
      </c>
      <c r="O70" s="139">
        <f t="shared" ref="O70:AA70" si="21">SUMIF($H$34:$H$67,"KPI_GP",O$34:O$67)-SUMIF($H$34:$H$67,"TOTDEPTEXP",O$34:O$67)-SUMIF($H$34:$H$67,"TOTDEPTPL",O$34:O$67)</f>
        <v>0</v>
      </c>
      <c r="P70" s="139">
        <f t="shared" si="21"/>
        <v>0</v>
      </c>
      <c r="Q70" s="139">
        <f t="shared" si="21"/>
        <v>0</v>
      </c>
      <c r="R70" s="139">
        <f t="shared" si="21"/>
        <v>0</v>
      </c>
      <c r="S70" s="139">
        <f t="shared" si="21"/>
        <v>0</v>
      </c>
      <c r="T70" s="139">
        <f t="shared" si="21"/>
        <v>0</v>
      </c>
      <c r="U70" s="139">
        <f t="shared" si="21"/>
        <v>0</v>
      </c>
      <c r="V70" s="139">
        <f t="shared" si="21"/>
        <v>0</v>
      </c>
      <c r="W70" s="139">
        <f t="shared" si="21"/>
        <v>0</v>
      </c>
      <c r="X70" s="139">
        <f t="shared" si="21"/>
        <v>0</v>
      </c>
      <c r="Y70" s="139">
        <f t="shared" si="21"/>
        <v>0</v>
      </c>
      <c r="Z70" s="139">
        <f t="shared" si="21"/>
        <v>0</v>
      </c>
      <c r="AA70" s="139" t="e">
        <f t="shared" ca="1" si="21"/>
        <v>#NAME?</v>
      </c>
      <c r="AB70" s="17"/>
      <c r="AD70" s="139">
        <f>SUMIF($H$34:$H$67,"KPI_GP",AD$34:AD$67)-SUMIF($H$34:$H$67,"TOTDEPTEXP",AD$34:AD$67)-SUMIF($H$34:$H$67,"TOTDEPTPL",AD$34:AD$67)</f>
        <v>0</v>
      </c>
      <c r="AE70" s="17"/>
      <c r="AF70" s="21"/>
      <c r="AG70" s="139">
        <f>SUMIF($H$34:$H$67,"KPI_GP",AG$34:AG$67)-SUMIF($H$34:$H$67,"TOTDEPTEXP",AG$34:AG$67)-SUMIF($H$34:$H$67,"TOTDEPTPL",AG$34:AG$67)</f>
        <v>0</v>
      </c>
      <c r="AH70" s="17"/>
      <c r="AI70" s="21"/>
    </row>
    <row r="71" spans="1:40" x14ac:dyDescent="0.25">
      <c r="A71" s="4" t="e">
        <f ca="1">_xll.EVDRE($B$1,A74:B81,A84:B90)</f>
        <v>#NAME?</v>
      </c>
    </row>
    <row r="72" spans="1:40" x14ac:dyDescent="0.25">
      <c r="O72" s="166"/>
      <c r="P72" s="166"/>
      <c r="Q72" s="166"/>
      <c r="R72" s="166"/>
      <c r="S72" s="166"/>
      <c r="T72" s="166"/>
      <c r="U72" s="166"/>
      <c r="V72" s="166"/>
      <c r="W72" s="166"/>
      <c r="X72" s="166"/>
      <c r="Y72" s="166"/>
      <c r="Z72" s="166"/>
      <c r="AA72" s="166"/>
      <c r="AD72" s="166"/>
      <c r="AG72" s="166"/>
    </row>
    <row r="73" spans="1:40" x14ac:dyDescent="0.25">
      <c r="A73" s="3" t="s">
        <v>0</v>
      </c>
      <c r="B73" s="5" t="s">
        <v>1</v>
      </c>
    </row>
    <row r="74" spans="1:40" x14ac:dyDescent="0.25">
      <c r="A74" s="6" t="s">
        <v>2</v>
      </c>
      <c r="B74" s="7" t="e">
        <f ca="1">_xll.EVRNG($B$2:$B$10)</f>
        <v>#NAME?</v>
      </c>
      <c r="O74" s="166"/>
      <c r="P74" s="166"/>
      <c r="Q74" s="166"/>
      <c r="R74" s="166"/>
      <c r="S74" s="166"/>
      <c r="T74" s="166"/>
      <c r="U74" s="166"/>
      <c r="V74" s="166"/>
      <c r="W74" s="166"/>
      <c r="X74" s="166"/>
      <c r="Y74" s="166"/>
      <c r="Z74" s="166"/>
      <c r="AA74" s="166"/>
      <c r="AD74" s="166"/>
      <c r="AG74" s="166"/>
    </row>
    <row r="75" spans="1:40" x14ac:dyDescent="0.25">
      <c r="A75" s="6" t="s">
        <v>3</v>
      </c>
      <c r="B75" s="7" t="e">
        <f ca="1">_xll.EVRNG($O$16:$AN$18)</f>
        <v>#NAME?</v>
      </c>
    </row>
    <row r="76" spans="1:40" x14ac:dyDescent="0.25">
      <c r="A76" s="6" t="s">
        <v>4</v>
      </c>
      <c r="B76" s="7" t="e">
        <f ca="1">_xll.EVRNG(H55:H56,H58:H59,H62:H63)</f>
        <v>#NAME?</v>
      </c>
    </row>
    <row r="77" spans="1:40" x14ac:dyDescent="0.25">
      <c r="A77" s="6" t="s">
        <v>5</v>
      </c>
      <c r="B77" s="7"/>
      <c r="H77" s="11"/>
      <c r="J77" s="1"/>
    </row>
    <row r="78" spans="1:40" x14ac:dyDescent="0.25">
      <c r="A78" s="6" t="s">
        <v>6</v>
      </c>
      <c r="B78" s="7"/>
      <c r="H78" s="11"/>
      <c r="J78" s="1"/>
    </row>
    <row r="79" spans="1:40" x14ac:dyDescent="0.25">
      <c r="A79" s="6" t="s">
        <v>7</v>
      </c>
      <c r="B79" s="7" t="e">
        <f ca="1">_xll.EVRNG(A93:F99)</f>
        <v>#NAME?</v>
      </c>
      <c r="H79" s="11"/>
      <c r="J79" s="1"/>
    </row>
    <row r="80" spans="1:40" x14ac:dyDescent="0.25">
      <c r="A80" s="6" t="s">
        <v>47</v>
      </c>
      <c r="B80" s="7" t="e">
        <f ca="1">_xll.EVRNG($A$116:$B$137)</f>
        <v>#NAME?</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row>
    <row r="102" spans="1:10" x14ac:dyDescent="0.25">
      <c r="A102" s="4" t="e">
        <f ca="1">_xll.EVDRE($B$1,A105:B112)</f>
        <v>#NAME?</v>
      </c>
      <c r="B102" s="1" t="s">
        <v>736</v>
      </c>
    </row>
    <row r="103" spans="1:10" x14ac:dyDescent="0.25">
      <c r="G103" s="14"/>
    </row>
    <row r="104" spans="1:10" x14ac:dyDescent="0.25">
      <c r="A104" s="3" t="s">
        <v>0</v>
      </c>
      <c r="B104" s="5" t="s">
        <v>1</v>
      </c>
    </row>
    <row r="105" spans="1:10" x14ac:dyDescent="0.25">
      <c r="A105" s="6" t="s">
        <v>2</v>
      </c>
      <c r="B105" s="7" t="e">
        <f ca="1">_xll.EVRNG($B$2:$B$10)</f>
        <v>#NAME?</v>
      </c>
    </row>
    <row r="106" spans="1:10" x14ac:dyDescent="0.25">
      <c r="A106" s="6" t="s">
        <v>3</v>
      </c>
      <c r="B106" s="7" t="e">
        <f ca="1">_xll.EVRNG($O$16:$AN$18)</f>
        <v>#NAME?</v>
      </c>
    </row>
    <row r="107" spans="1:10" x14ac:dyDescent="0.25">
      <c r="A107" s="6" t="s">
        <v>4</v>
      </c>
      <c r="B107" s="7" t="e">
        <f ca="1">_xll.EVRNG(H64:H67)</f>
        <v>#NAME?</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7" t="e">
        <f ca="1">_xll.EVRNG($A$116:$B$137)</f>
        <v>#NAME?</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row>
    <row r="140" spans="1:34" x14ac:dyDescent="0.25">
      <c r="I140" s="76"/>
      <c r="J140" s="1"/>
      <c r="K140" s="76"/>
      <c r="L140" s="76"/>
      <c r="M140" s="76"/>
      <c r="O140" s="76"/>
      <c r="P140" s="76"/>
      <c r="Q140" s="76"/>
      <c r="R140" s="76"/>
      <c r="S140" s="76"/>
      <c r="T140" s="76"/>
      <c r="U140" s="76"/>
      <c r="V140" s="76"/>
      <c r="W140" s="76"/>
      <c r="X140" s="76"/>
      <c r="Y140" s="76"/>
      <c r="Z140" s="76"/>
      <c r="AA140" s="76"/>
      <c r="AD140" s="76"/>
      <c r="AF140" s="76"/>
      <c r="AH140" s="76"/>
    </row>
    <row r="144" spans="1:34" x14ac:dyDescent="0.25">
      <c r="I144" s="76"/>
      <c r="J144" s="1"/>
      <c r="K144" s="76"/>
      <c r="L144" s="76"/>
      <c r="M144" s="76"/>
      <c r="O144" s="76"/>
      <c r="P144" s="76"/>
      <c r="Q144" s="76"/>
      <c r="R144" s="76"/>
      <c r="S144" s="76"/>
      <c r="T144" s="76"/>
      <c r="U144" s="76"/>
      <c r="V144" s="76"/>
      <c r="W144" s="76"/>
      <c r="X144" s="76"/>
      <c r="Y144" s="76"/>
      <c r="Z144" s="76"/>
      <c r="AA144" s="76"/>
      <c r="AD144" s="76"/>
      <c r="AF144" s="76"/>
      <c r="AH144" s="76"/>
    </row>
    <row r="154" spans="5:5" x14ac:dyDescent="0.25">
      <c r="E154" s="76"/>
    </row>
    <row r="158" spans="5:5" x14ac:dyDescent="0.25">
      <c r="E158" s="76"/>
    </row>
    <row r="188" spans="7:7" x14ac:dyDescent="0.25">
      <c r="G188" s="76"/>
    </row>
    <row r="192" spans="7:7" x14ac:dyDescent="0.25">
      <c r="G192" s="76"/>
    </row>
  </sheetData>
  <mergeCells count="2">
    <mergeCell ref="AD31:AE31"/>
    <mergeCell ref="AG31:AH31"/>
  </mergeCells>
  <dataValidations disablePrompts="1" count="2">
    <dataValidation type="list" allowBlank="1" sqref="B28 B57 B85" xr:uid="{00000000-0002-0000-4000-000000000000}">
      <formula1>"ACCOUNT,BUSINESSUNIT,CATEGORY,DATASRC,DEPARTMENT,INTCO,MEASURES,RPTCURRENCY,TIME"</formula1>
    </dataValidation>
    <dataValidation type="list" allowBlank="1" sqref="B86 B58 B29" xr:uid="{00000000-0002-0000-4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482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4827" r:id="rId7" name="FPMExcelClientSheetOptionstb1"/>
      </mc:Fallback>
    </mc:AlternateContent>
  </control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2">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366</v>
      </c>
      <c r="C6" s="1" t="s">
        <v>1535</v>
      </c>
      <c r="E6" s="49" t="s">
        <v>366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1560</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1561</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1562</v>
      </c>
      <c r="G19" s="18" t="str">
        <f>$B$6</f>
        <v>D1132</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1563</v>
      </c>
      <c r="I22" s="1"/>
      <c r="J22" s="1"/>
    </row>
    <row r="23" spans="1:40" hidden="1" outlineLevel="1" x14ac:dyDescent="0.25">
      <c r="A23" s="6" t="s">
        <v>47</v>
      </c>
      <c r="B23" s="16" t="s">
        <v>1564</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1565</v>
      </c>
    </row>
    <row r="28" spans="1:40" ht="15.75" x14ac:dyDescent="0.25">
      <c r="A28" s="6" t="s">
        <v>12</v>
      </c>
      <c r="B28" s="7" t="s">
        <v>22</v>
      </c>
      <c r="N28" s="71" t="s">
        <v>1005</v>
      </c>
    </row>
    <row r="29" spans="1:40" ht="15" customHeight="1" x14ac:dyDescent="0.25">
      <c r="A29" s="6" t="s">
        <v>13</v>
      </c>
      <c r="B29" s="7" t="str">
        <f>"DEP(420100) AND "&amp;$E$6&amp;"=Y,400000"</f>
        <v>DEP(420100) AND D1132=Y,400000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367</v>
      </c>
      <c r="I34" s="161" t="s">
        <v>1009</v>
      </c>
      <c r="J34" s="161" t="s">
        <v>1009</v>
      </c>
      <c r="K34" s="68" t="str">
        <f t="shared" ref="K34:K44" si="0">IF(AND(I34&gt;="T5"),"&gt;","")</f>
        <v/>
      </c>
      <c r="L34" s="162">
        <v>420300</v>
      </c>
      <c r="M34" s="162">
        <v>205020</v>
      </c>
      <c r="N34" s="162" t="s">
        <v>1566</v>
      </c>
      <c r="O34" s="21"/>
      <c r="P34" s="21"/>
      <c r="Q34" s="21"/>
      <c r="R34" s="21"/>
      <c r="S34" s="21"/>
      <c r="T34" s="21"/>
      <c r="U34" s="21"/>
      <c r="V34" s="21"/>
      <c r="W34" s="21"/>
      <c r="X34" s="21"/>
      <c r="Y34" s="21"/>
      <c r="Z34" s="21"/>
      <c r="AA34" s="310">
        <f t="shared" ref="AA34:AA44" si="1">IF($I34="B1","",SUM(O34:Z34))</f>
        <v>0</v>
      </c>
      <c r="AB34" s="17" t="str">
        <f t="shared" ref="AB34:AB44" si="2">IF(AA34=0,"",IFERROR(AA34/AA$19,""))</f>
        <v/>
      </c>
      <c r="AD34" s="21"/>
      <c r="AE34" s="17" t="str">
        <f t="shared" ref="AE34:AE44" si="3">IF(AD34=0,"",IFERROR(AD34/AD$19,""))</f>
        <v/>
      </c>
      <c r="AF34" s="50">
        <f t="shared" ref="AF34:AF44" si="4">IF(AND($AA34="",AD34=""),"",$AA34-AD34)</f>
        <v>0</v>
      </c>
      <c r="AG34" s="21"/>
      <c r="AH34" s="17" t="str">
        <f t="shared" ref="AH34:AH44" si="5">IF(AG34=0,"",IFERROR(AG34/AG$19,""))</f>
        <v/>
      </c>
      <c r="AI34" s="50">
        <f t="shared" ref="AI34:AI44" si="6">IF(AND($AA34="",AG34=""),"",$AA34-AG34)</f>
        <v>0</v>
      </c>
      <c r="AJ34" s="399">
        <f t="shared" ref="AJ34:AJ44" si="7">IFERROR(AA34/AA$20,0)</f>
        <v>0</v>
      </c>
      <c r="AK34" s="400">
        <f t="shared" ref="AK34:AK44" si="8">IFERROR(AD34/AD$20,0)</f>
        <v>0</v>
      </c>
      <c r="AL34" s="401">
        <f t="shared" ref="AL34:AL44" si="9">IFERROR(AG34/AG$20,0)</f>
        <v>0</v>
      </c>
      <c r="AM34" s="402">
        <f t="shared" ref="AM34:AM44" si="10">+IFERROR(ROUND(($AB34-AE34)*100,2)&amp;" pts.",0)</f>
        <v>0</v>
      </c>
      <c r="AN34" s="403">
        <f t="shared" ref="AN34:AN44" si="11">+IFERROR(ROUND(($AB34-AH34)*100,2)&amp;" pts.",0)</f>
        <v>0</v>
      </c>
    </row>
    <row r="35" spans="1:40" x14ac:dyDescent="0.25">
      <c r="A35" s="22" t="s">
        <v>92</v>
      </c>
      <c r="B35" s="23" t="s">
        <v>93</v>
      </c>
      <c r="C35" s="23" t="s">
        <v>94</v>
      </c>
      <c r="D35" s="23" t="s">
        <v>95</v>
      </c>
      <c r="E35" s="23" t="s">
        <v>96</v>
      </c>
      <c r="F35" s="24" t="s">
        <v>97</v>
      </c>
      <c r="H35" s="15" t="s">
        <v>368</v>
      </c>
      <c r="I35" s="161" t="s">
        <v>1058</v>
      </c>
      <c r="J35" s="161" t="s">
        <v>78</v>
      </c>
      <c r="K35" s="68" t="str">
        <f t="shared" si="0"/>
        <v>&gt;</v>
      </c>
      <c r="L35" s="162"/>
      <c r="M35" s="162"/>
      <c r="N35" s="162" t="s">
        <v>1567</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H36" s="15" t="s">
        <v>369</v>
      </c>
      <c r="I36" s="161" t="s">
        <v>1058</v>
      </c>
      <c r="J36" s="161" t="s">
        <v>78</v>
      </c>
      <c r="K36" s="68" t="str">
        <f t="shared" si="0"/>
        <v>&gt;</v>
      </c>
      <c r="L36" s="162"/>
      <c r="M36" s="162"/>
      <c r="N36" s="162" t="s">
        <v>1568</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370</v>
      </c>
      <c r="I37" s="161" t="s">
        <v>1058</v>
      </c>
      <c r="J37" s="161" t="s">
        <v>78</v>
      </c>
      <c r="K37" s="68" t="str">
        <f t="shared" si="0"/>
        <v>&gt;</v>
      </c>
      <c r="L37" s="162"/>
      <c r="M37" s="162"/>
      <c r="N37" s="162" t="s">
        <v>1569</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104</v>
      </c>
      <c r="C38" s="26" t="s">
        <v>101</v>
      </c>
      <c r="D38" s="1" t="s">
        <v>106</v>
      </c>
      <c r="F38" s="1" t="s">
        <v>98</v>
      </c>
      <c r="H38" s="15" t="s">
        <v>371</v>
      </c>
      <c r="I38" s="161" t="s">
        <v>1058</v>
      </c>
      <c r="J38" s="161" t="s">
        <v>78</v>
      </c>
      <c r="K38" s="68" t="str">
        <f t="shared" si="0"/>
        <v>&gt;</v>
      </c>
      <c r="L38" s="162"/>
      <c r="M38" s="162"/>
      <c r="N38" s="162" t="s">
        <v>1570</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25" t="s">
        <v>101</v>
      </c>
      <c r="D39" s="1" t="s">
        <v>106</v>
      </c>
      <c r="F39" s="1" t="s">
        <v>98</v>
      </c>
      <c r="H39" s="15" t="s">
        <v>372</v>
      </c>
      <c r="I39" s="161" t="s">
        <v>1009</v>
      </c>
      <c r="J39" s="161" t="s">
        <v>1009</v>
      </c>
      <c r="K39" s="68" t="str">
        <f t="shared" si="0"/>
        <v/>
      </c>
      <c r="L39" s="162">
        <v>420350</v>
      </c>
      <c r="M39" s="162">
        <v>205018</v>
      </c>
      <c r="N39" s="162" t="s">
        <v>1571</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1" t="s">
        <v>108</v>
      </c>
      <c r="C40" s="151" t="s">
        <v>101</v>
      </c>
      <c r="D40" s="1" t="s">
        <v>107</v>
      </c>
      <c r="F40" s="1" t="s">
        <v>99</v>
      </c>
      <c r="H40" s="15" t="s">
        <v>373</v>
      </c>
      <c r="I40" s="161" t="s">
        <v>1058</v>
      </c>
      <c r="J40" s="161" t="s">
        <v>78</v>
      </c>
      <c r="K40" s="68" t="str">
        <f t="shared" si="0"/>
        <v>&gt;</v>
      </c>
      <c r="L40" s="162"/>
      <c r="M40" s="162"/>
      <c r="N40" s="162" t="s">
        <v>1572</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374</v>
      </c>
      <c r="I41" s="161" t="s">
        <v>1058</v>
      </c>
      <c r="J41" s="161" t="s">
        <v>78</v>
      </c>
      <c r="K41" s="68" t="str">
        <f t="shared" si="0"/>
        <v>&gt;</v>
      </c>
      <c r="L41" s="162"/>
      <c r="M41" s="162"/>
      <c r="N41" s="162" t="s">
        <v>1573</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H42" s="149" t="s">
        <v>375</v>
      </c>
      <c r="I42" s="161" t="s">
        <v>1009</v>
      </c>
      <c r="J42" s="161" t="s">
        <v>1009</v>
      </c>
      <c r="K42" s="68" t="str">
        <f t="shared" si="0"/>
        <v/>
      </c>
      <c r="L42" s="162">
        <v>420700</v>
      </c>
      <c r="M42" s="162">
        <v>205035</v>
      </c>
      <c r="N42" s="162" t="s">
        <v>1215</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A43" s="4" t="s">
        <v>988</v>
      </c>
      <c r="H43" s="149" t="s">
        <v>376</v>
      </c>
      <c r="I43" s="161" t="s">
        <v>1009</v>
      </c>
      <c r="J43" s="161" t="s">
        <v>1009</v>
      </c>
      <c r="K43" s="68" t="str">
        <f t="shared" si="0"/>
        <v/>
      </c>
      <c r="L43" s="162">
        <v>420990</v>
      </c>
      <c r="M43" s="162">
        <v>200529</v>
      </c>
      <c r="N43" s="162" t="s">
        <v>1574</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409">
        <f t="shared" si="7"/>
        <v>0</v>
      </c>
      <c r="AK43" s="410">
        <f t="shared" si="8"/>
        <v>0</v>
      </c>
      <c r="AL43" s="411">
        <f t="shared" si="9"/>
        <v>0</v>
      </c>
      <c r="AM43" s="412">
        <f t="shared" si="10"/>
        <v>0</v>
      </c>
      <c r="AN43" s="413">
        <f t="shared" si="11"/>
        <v>0</v>
      </c>
    </row>
    <row r="44" spans="1:40" x14ac:dyDescent="0.25">
      <c r="H44" s="15" t="s">
        <v>280</v>
      </c>
      <c r="I44" s="479" t="s">
        <v>1012</v>
      </c>
      <c r="J44" s="479" t="s">
        <v>78</v>
      </c>
      <c r="K44" s="480" t="str">
        <f t="shared" si="0"/>
        <v/>
      </c>
      <c r="L44" s="170">
        <v>400000</v>
      </c>
      <c r="M44" s="170"/>
      <c r="N44" s="170" t="s">
        <v>1003</v>
      </c>
      <c r="O44" s="134"/>
      <c r="P44" s="134"/>
      <c r="Q44" s="134"/>
      <c r="R44" s="134"/>
      <c r="S44" s="134"/>
      <c r="T44" s="134"/>
      <c r="U44" s="134"/>
      <c r="V44" s="134"/>
      <c r="W44" s="134"/>
      <c r="X44" s="134"/>
      <c r="Y44" s="134"/>
      <c r="Z44" s="134"/>
      <c r="AA44" s="134">
        <f t="shared" si="1"/>
        <v>0</v>
      </c>
      <c r="AB44" s="135" t="str">
        <f t="shared" si="2"/>
        <v/>
      </c>
      <c r="AC44" s="137"/>
      <c r="AD44" s="134"/>
      <c r="AE44" s="135" t="str">
        <f t="shared" si="3"/>
        <v/>
      </c>
      <c r="AF44" s="136">
        <f t="shared" si="4"/>
        <v>0</v>
      </c>
      <c r="AG44" s="134"/>
      <c r="AH44" s="135" t="str">
        <f t="shared" si="5"/>
        <v/>
      </c>
      <c r="AI44" s="136">
        <f t="shared" si="6"/>
        <v>0</v>
      </c>
      <c r="AJ44" s="360">
        <f t="shared" si="7"/>
        <v>0</v>
      </c>
      <c r="AK44" s="361">
        <f t="shared" si="8"/>
        <v>0</v>
      </c>
      <c r="AL44" s="363">
        <f t="shared" si="9"/>
        <v>0</v>
      </c>
      <c r="AM44" s="405">
        <f t="shared" si="10"/>
        <v>0</v>
      </c>
      <c r="AN44" s="406">
        <f t="shared" si="11"/>
        <v>0</v>
      </c>
    </row>
    <row r="45" spans="1:40" x14ac:dyDescent="0.25">
      <c r="A45" s="3" t="s">
        <v>0</v>
      </c>
      <c r="B45" s="5" t="s">
        <v>1</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16" t="s">
        <v>1560</v>
      </c>
      <c r="H46" s="1" t="s">
        <v>281</v>
      </c>
      <c r="I46" s="11" t="s">
        <v>1011</v>
      </c>
      <c r="J46" s="11" t="s">
        <v>78</v>
      </c>
      <c r="N46" s="40" t="s">
        <v>1223</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3</v>
      </c>
      <c r="B47" s="16" t="s">
        <v>1561</v>
      </c>
      <c r="H47" s="15" t="s">
        <v>377</v>
      </c>
      <c r="I47" s="161" t="s">
        <v>1009</v>
      </c>
      <c r="J47" s="161" t="s">
        <v>1009</v>
      </c>
      <c r="K47" s="68" t="str">
        <f>IF(AND(I47&gt;="T5"),"&gt;","")</f>
        <v/>
      </c>
      <c r="L47" s="162">
        <v>520600</v>
      </c>
      <c r="M47" s="162">
        <v>300030</v>
      </c>
      <c r="N47" s="162" t="s">
        <v>1576</v>
      </c>
      <c r="O47" s="21"/>
      <c r="P47" s="21"/>
      <c r="Q47" s="21"/>
      <c r="R47" s="21"/>
      <c r="S47" s="21"/>
      <c r="T47" s="21"/>
      <c r="U47" s="21"/>
      <c r="V47" s="21"/>
      <c r="W47" s="21"/>
      <c r="X47" s="21"/>
      <c r="Y47" s="21"/>
      <c r="Z47" s="21"/>
      <c r="AA47" s="21">
        <f>IF($I47="B1","",SUM(O47:Z47))</f>
        <v>0</v>
      </c>
      <c r="AB47" s="17"/>
      <c r="AD47" s="21"/>
      <c r="AE47" s="17"/>
      <c r="AF47" s="50">
        <f>IF(AND($AA47="",AD47=""),"",$AA47-AD47)</f>
        <v>0</v>
      </c>
      <c r="AG47" s="21"/>
      <c r="AH47" s="17"/>
      <c r="AI47" s="50">
        <f>IF(AND($AA47="",AG47=""),"",$AA47-AG47)</f>
        <v>0</v>
      </c>
      <c r="AJ47" s="399">
        <f>IFERROR(AA47/AA$20,0)</f>
        <v>0</v>
      </c>
      <c r="AK47" s="400">
        <f>IFERROR(AD47/AD$20,0)</f>
        <v>0</v>
      </c>
      <c r="AL47" s="401">
        <f>IFERROR(AG47/AG$20,0)</f>
        <v>0</v>
      </c>
      <c r="AM47" s="402" t="str">
        <f>+IFERROR(ROUND(($AB47-AE47)*100,2)&amp;" pts.",0)</f>
        <v>0 pts.</v>
      </c>
      <c r="AN47" s="403" t="str">
        <f>+IFERROR(ROUND(($AB47-AH47)*100,2)&amp;" pts.",0)</f>
        <v>0 pts.</v>
      </c>
    </row>
    <row r="48" spans="1:40" x14ac:dyDescent="0.25">
      <c r="A48" s="6" t="s">
        <v>4</v>
      </c>
      <c r="B48" s="16" t="s">
        <v>1575</v>
      </c>
      <c r="H48" s="149" t="s">
        <v>378</v>
      </c>
      <c r="I48" s="161" t="s">
        <v>1009</v>
      </c>
      <c r="J48" s="161" t="s">
        <v>1009</v>
      </c>
      <c r="K48" s="68" t="str">
        <f>IF(AND(I48&gt;="T5"),"&gt;","")</f>
        <v/>
      </c>
      <c r="L48" s="162">
        <v>520650</v>
      </c>
      <c r="M48" s="162">
        <v>305023</v>
      </c>
      <c r="N48" s="162" t="s">
        <v>1577</v>
      </c>
      <c r="O48" s="30"/>
      <c r="P48" s="30"/>
      <c r="Q48" s="30"/>
      <c r="R48" s="30"/>
      <c r="S48" s="30"/>
      <c r="T48" s="30"/>
      <c r="U48" s="30"/>
      <c r="V48" s="30"/>
      <c r="W48" s="30"/>
      <c r="X48" s="30"/>
      <c r="Y48" s="30"/>
      <c r="Z48" s="30"/>
      <c r="AA48" s="30">
        <f>IF($I48="B1","",SUM(O48:Z48))</f>
        <v>0</v>
      </c>
      <c r="AB48" s="31"/>
      <c r="AD48" s="30"/>
      <c r="AE48" s="31"/>
      <c r="AF48" s="51">
        <f>IF(AND($AA48="",AD48=""),"",$AA48-AD48)</f>
        <v>0</v>
      </c>
      <c r="AG48" s="30"/>
      <c r="AH48" s="31"/>
      <c r="AI48" s="51">
        <f>IF(AND($AA48="",AG48=""),"",$AA48-AG48)</f>
        <v>0</v>
      </c>
      <c r="AJ48" s="409">
        <f>IFERROR(AA48/AA$20,0)</f>
        <v>0</v>
      </c>
      <c r="AK48" s="410">
        <f>IFERROR(AD48/AD$20,0)</f>
        <v>0</v>
      </c>
      <c r="AL48" s="411">
        <f>IFERROR(AG48/AG$20,0)</f>
        <v>0</v>
      </c>
      <c r="AM48" s="412" t="str">
        <f>+IFERROR(ROUND(($AB48-AE48)*100,2)&amp;" pts.",0)</f>
        <v>0 pts.</v>
      </c>
      <c r="AN48" s="413" t="str">
        <f>+IFERROR(ROUND(($AB48-AH48)*100,2)&amp;" pts.",0)</f>
        <v>0 pts.</v>
      </c>
    </row>
    <row r="49" spans="1:40" x14ac:dyDescent="0.25">
      <c r="A49" s="6" t="s">
        <v>5</v>
      </c>
      <c r="B49" s="7"/>
      <c r="F49" s="152"/>
      <c r="H49" s="149" t="s">
        <v>379</v>
      </c>
      <c r="I49" s="479" t="s">
        <v>1064</v>
      </c>
      <c r="J49" s="479" t="s">
        <v>78</v>
      </c>
      <c r="K49" s="480" t="str">
        <f>IF(AND(I49&gt;="T5"),"&gt;","")</f>
        <v/>
      </c>
      <c r="L49" s="170"/>
      <c r="M49" s="170"/>
      <c r="N49" s="170" t="s">
        <v>1578</v>
      </c>
      <c r="O49" s="134"/>
      <c r="P49" s="134"/>
      <c r="Q49" s="134"/>
      <c r="R49" s="134"/>
      <c r="S49" s="134"/>
      <c r="T49" s="134"/>
      <c r="U49" s="134"/>
      <c r="V49" s="134"/>
      <c r="W49" s="134"/>
      <c r="X49" s="134"/>
      <c r="Y49" s="134"/>
      <c r="Z49" s="134"/>
      <c r="AA49" s="134">
        <f>IF($I49="B1","",SUM(O49:Z49))</f>
        <v>0</v>
      </c>
      <c r="AB49" s="135"/>
      <c r="AC49" s="137"/>
      <c r="AD49" s="134"/>
      <c r="AE49" s="135"/>
      <c r="AF49" s="136">
        <f>IF(AND($AA49="",AD49=""),"",$AA49-AD49)</f>
        <v>0</v>
      </c>
      <c r="AG49" s="134"/>
      <c r="AH49" s="135"/>
      <c r="AI49" s="136">
        <f>IF(AND($AA49="",AG49=""),"",$AA49-AG49)</f>
        <v>0</v>
      </c>
      <c r="AJ49" s="360">
        <f>IFERROR(AA49/AA$20,0)</f>
        <v>0</v>
      </c>
      <c r="AK49" s="361">
        <f>IFERROR(AD49/AD$20,0)</f>
        <v>0</v>
      </c>
      <c r="AL49" s="363">
        <f>IFERROR(AG49/AG$20,0)</f>
        <v>0</v>
      </c>
      <c r="AM49" s="405" t="str">
        <f>+IFERROR(ROUND(($AB49-AE49)*100,2)&amp;" pts.",0)</f>
        <v>0 pts.</v>
      </c>
      <c r="AN49" s="406" t="str">
        <f>+IFERROR(ROUND(($AB49-AH49)*100,2)&amp;" pts.",0)</f>
        <v>0 pts.</v>
      </c>
    </row>
    <row r="50" spans="1:40" x14ac:dyDescent="0.25">
      <c r="A50" s="6" t="s">
        <v>6</v>
      </c>
      <c r="B50" s="7"/>
      <c r="F50" s="152"/>
      <c r="H50" s="149" t="s">
        <v>175</v>
      </c>
      <c r="I50" s="28" t="s">
        <v>1011</v>
      </c>
      <c r="J50" s="28" t="s">
        <v>78</v>
      </c>
      <c r="K50" s="69" t="str">
        <f>IF(AND(I50&gt;="T5"),"&gt;","")</f>
        <v/>
      </c>
      <c r="L50" s="69"/>
      <c r="M50" s="69"/>
      <c r="N50" s="25" t="s">
        <v>175</v>
      </c>
      <c r="O50" s="47"/>
      <c r="P50" s="47"/>
      <c r="Q50" s="47"/>
      <c r="R50" s="47"/>
      <c r="S50" s="47"/>
      <c r="T50" s="47"/>
      <c r="U50" s="47"/>
      <c r="V50" s="47"/>
      <c r="W50" s="47"/>
      <c r="X50" s="47"/>
      <c r="Y50" s="47"/>
      <c r="Z50" s="47"/>
      <c r="AA50" s="47" t="str">
        <f>IF($I50="B1","",SUM(O50:Z50))</f>
        <v/>
      </c>
      <c r="AB50" s="48"/>
      <c r="AD50" s="47"/>
      <c r="AE50" s="48"/>
      <c r="AF50" s="150" t="str">
        <f>IF(AND($AA50="",AD50=""),"",$AA50-AD50)</f>
        <v/>
      </c>
      <c r="AG50" s="47"/>
      <c r="AH50" s="48"/>
      <c r="AI50" s="150" t="str">
        <f>IF(AND($AA50="",AG50=""),"",$AA50-AG50)</f>
        <v/>
      </c>
      <c r="AJ50" s="353">
        <f>IFERROR(AA50/AA$20,0)</f>
        <v>0</v>
      </c>
      <c r="AK50" s="354">
        <f>IFERROR(AD50/AD$20,0)</f>
        <v>0</v>
      </c>
      <c r="AL50" s="356">
        <f>IFERROR(AG50/AG$20,0)</f>
        <v>0</v>
      </c>
      <c r="AM50" s="390" t="str">
        <f>+IFERROR(ROUND(($AB50-AE50)*100,2)&amp;" pts.",0)</f>
        <v>0 pts.</v>
      </c>
      <c r="AN50" s="404" t="str">
        <f>+IFERROR(ROUND(($AB50-AH50)*100,2)&amp;" pts.",0)</f>
        <v>0 pts.</v>
      </c>
    </row>
    <row r="51" spans="1:40" x14ac:dyDescent="0.25">
      <c r="A51" s="6" t="s">
        <v>7</v>
      </c>
      <c r="B51" s="16" t="s">
        <v>1579</v>
      </c>
      <c r="F51" s="152"/>
      <c r="H51" s="149" t="s">
        <v>292</v>
      </c>
      <c r="I51" s="28" t="s">
        <v>1012</v>
      </c>
      <c r="J51" s="28" t="s">
        <v>78</v>
      </c>
      <c r="K51" s="69" t="str">
        <f>IF(AND(I51&gt;="T5"),"&gt;","")</f>
        <v/>
      </c>
      <c r="L51" s="69"/>
      <c r="M51" s="69"/>
      <c r="N51" s="25" t="s">
        <v>1233</v>
      </c>
      <c r="O51" s="164">
        <f t="shared" ref="O51:Z51" si="12">SUMIF($H$34:$H$49,"400000",O34:O49)-SUMIF($H$34:$H$49,"COS_SPARET",O34:O49)</f>
        <v>0</v>
      </c>
      <c r="P51" s="164">
        <f t="shared" si="12"/>
        <v>0</v>
      </c>
      <c r="Q51" s="164">
        <f t="shared" si="12"/>
        <v>0</v>
      </c>
      <c r="R51" s="164">
        <f t="shared" si="12"/>
        <v>0</v>
      </c>
      <c r="S51" s="164">
        <f t="shared" si="12"/>
        <v>0</v>
      </c>
      <c r="T51" s="164">
        <f t="shared" si="12"/>
        <v>0</v>
      </c>
      <c r="U51" s="164">
        <f t="shared" si="12"/>
        <v>0</v>
      </c>
      <c r="V51" s="164">
        <f t="shared" si="12"/>
        <v>0</v>
      </c>
      <c r="W51" s="164">
        <f t="shared" si="12"/>
        <v>0</v>
      </c>
      <c r="X51" s="164">
        <f t="shared" si="12"/>
        <v>0</v>
      </c>
      <c r="Y51" s="164">
        <f t="shared" si="12"/>
        <v>0</v>
      </c>
      <c r="Z51" s="164">
        <f t="shared" si="12"/>
        <v>0</v>
      </c>
      <c r="AA51" s="134">
        <f>IF($I51="B1","",SUM(O51:Z51))</f>
        <v>0</v>
      </c>
      <c r="AB51" s="135" t="str">
        <f>IF(AA51=0,"",IFERROR(AA51/AA$19,""))</f>
        <v/>
      </c>
      <c r="AD51" s="164">
        <f>SUMIF($H$34:$H$49,"400000",AD34:AD49)-SUMIF($H$34:$H$49,"COS_SPARET",AD34:AD49)</f>
        <v>0</v>
      </c>
      <c r="AE51" s="135" t="str">
        <f>IF(AD51=0,"",IFERROR(AD51/AD$19,""))</f>
        <v/>
      </c>
      <c r="AF51" s="165">
        <f>IF(AND($AA51="",AD51=""),"",$AA51-AD51)</f>
        <v>0</v>
      </c>
      <c r="AG51" s="164">
        <f>SUMIF($H$34:$H$49,"400000",AG34:AG49)-SUMIF($H$34:$H$49,"COS_SPARET",AG34:AG49)</f>
        <v>0</v>
      </c>
      <c r="AH51" s="135" t="str">
        <f>IF(AG51=0,"",IFERROR(AG51/AG$19,""))</f>
        <v/>
      </c>
      <c r="AI51" s="165">
        <f>IF(AND($AA51="",AG51=""),"",$AA51-AG51)</f>
        <v>0</v>
      </c>
      <c r="AJ51" s="360">
        <f>IFERROR(AA51/AA$20,0)</f>
        <v>0</v>
      </c>
      <c r="AK51" s="361">
        <f>IFERROR(AD51/AD$20,0)</f>
        <v>0</v>
      </c>
      <c r="AL51" s="363">
        <f>IFERROR(AG51/AG$20,0)</f>
        <v>0</v>
      </c>
      <c r="AM51" s="405">
        <f>+IFERROR(ROUND(($AB51-AE51)*100,2)&amp;" pts.",0)</f>
        <v>0</v>
      </c>
      <c r="AN51" s="406">
        <f>+IFERROR(ROUND(($AB51-AH51)*100,2)&amp;" pts.",0)</f>
        <v>0</v>
      </c>
    </row>
    <row r="52" spans="1:40" x14ac:dyDescent="0.25">
      <c r="A52" s="6" t="s">
        <v>47</v>
      </c>
      <c r="B52" s="16" t="s">
        <v>1564</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8</v>
      </c>
      <c r="B53" s="7"/>
      <c r="H53" s="1" t="s">
        <v>73</v>
      </c>
      <c r="I53" s="11" t="s">
        <v>1011</v>
      </c>
      <c r="J53" s="11" t="s">
        <v>78</v>
      </c>
      <c r="N53" s="40" t="s">
        <v>1079</v>
      </c>
      <c r="O53" s="53"/>
      <c r="P53" s="54"/>
      <c r="Q53" s="54"/>
      <c r="R53" s="54"/>
      <c r="S53" s="54"/>
      <c r="T53" s="54"/>
      <c r="U53" s="54"/>
      <c r="V53" s="54"/>
      <c r="W53" s="54"/>
      <c r="X53" s="54"/>
      <c r="Y53" s="54"/>
      <c r="Z53" s="54"/>
      <c r="AA53" s="54"/>
      <c r="AB53" s="168"/>
      <c r="AD53" s="167"/>
      <c r="AE53" s="169"/>
      <c r="AF53" s="55"/>
      <c r="AG53" s="54"/>
      <c r="AH53" s="169"/>
      <c r="AI53" s="55"/>
    </row>
    <row r="54" spans="1:40" x14ac:dyDescent="0.25">
      <c r="H54" s="1" t="s">
        <v>74</v>
      </c>
      <c r="I54" s="11" t="s">
        <v>1011</v>
      </c>
      <c r="J54" s="11" t="s">
        <v>78</v>
      </c>
      <c r="N54" s="8" t="s">
        <v>1080</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3" t="s">
        <v>9</v>
      </c>
      <c r="B55" s="5" t="s">
        <v>10</v>
      </c>
      <c r="H55" s="15" t="s">
        <v>667</v>
      </c>
      <c r="I55" s="161"/>
      <c r="J55" s="161"/>
      <c r="K55" s="68" t="str">
        <f>IF(AND(I55&gt;="T3"),"&gt;","")</f>
        <v/>
      </c>
      <c r="L55" s="162"/>
      <c r="M55" s="162"/>
      <c r="N55" s="162"/>
      <c r="O55" s="38"/>
      <c r="P55" s="38"/>
      <c r="Q55" s="38"/>
      <c r="R55" s="38"/>
      <c r="S55" s="38"/>
      <c r="T55" s="38"/>
      <c r="U55" s="38"/>
      <c r="V55" s="38"/>
      <c r="W55" s="38"/>
      <c r="X55" s="38"/>
      <c r="Y55" s="38"/>
      <c r="Z55" s="38"/>
      <c r="AA55" s="38">
        <f>IF($I55="B1","",SUM(O55:Z55))</f>
        <v>0</v>
      </c>
      <c r="AB55" s="39" t="str">
        <f>IF(AA55=0,"",IFERROR(AA55/AA$19,""))</f>
        <v/>
      </c>
      <c r="AD55" s="38"/>
      <c r="AE55" s="39" t="str">
        <f>IF(AD55=0,"",IFERROR(AD55/AD$19,""))</f>
        <v/>
      </c>
      <c r="AF55" s="132">
        <f>IF(AND($AA55="",AD55=""),"",$AA55-AD55)</f>
        <v>0</v>
      </c>
      <c r="AG55" s="38"/>
      <c r="AH55" s="39" t="str">
        <f>IF(AG55=0,"",IFERROR(AG55/AG$19,""))</f>
        <v/>
      </c>
      <c r="AI55" s="132">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A56" s="6" t="s">
        <v>11</v>
      </c>
      <c r="B56" s="7" t="s">
        <v>21</v>
      </c>
      <c r="G56" s="14"/>
      <c r="H56" s="15"/>
      <c r="I56" s="161"/>
      <c r="J56" s="161"/>
      <c r="K56" s="68" t="str">
        <f>IF(AND(I56&gt;="T3"),"&gt;","")</f>
        <v/>
      </c>
      <c r="L56" s="162"/>
      <c r="M56" s="162"/>
      <c r="N56" s="162"/>
      <c r="O56" s="38"/>
      <c r="P56" s="38"/>
      <c r="Q56" s="38"/>
      <c r="R56" s="38"/>
      <c r="S56" s="38"/>
      <c r="T56" s="38"/>
      <c r="U56" s="38"/>
      <c r="V56" s="38"/>
      <c r="W56" s="38"/>
      <c r="X56" s="38"/>
      <c r="Y56" s="38"/>
      <c r="Z56" s="38"/>
      <c r="AA56" s="38">
        <f>IF($I56="B1","",SUM(O56:Z56))</f>
        <v>0</v>
      </c>
      <c r="AB56" s="39" t="str">
        <f>IF(AA56=0,"",IFERROR(AA56/AA$19,""))</f>
        <v/>
      </c>
      <c r="AD56" s="38"/>
      <c r="AE56" s="39" t="str">
        <f>IF(AD56=0,"",IFERROR(AD56/AD$19,""))</f>
        <v/>
      </c>
      <c r="AF56" s="132">
        <f>IF(AND($AA56="",AD56=""),"",$AA56-AD56)</f>
        <v>0</v>
      </c>
      <c r="AG56" s="38"/>
      <c r="AH56" s="39" t="str">
        <f>IF(AG56=0,"",IFERROR(AG56/AG$19,""))</f>
        <v/>
      </c>
      <c r="AI56" s="132">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6" t="s">
        <v>12</v>
      </c>
      <c r="B57" s="7" t="s">
        <v>22</v>
      </c>
      <c r="H57" s="15" t="s">
        <v>75</v>
      </c>
      <c r="I57" s="28" t="s">
        <v>1011</v>
      </c>
      <c r="J57" s="28" t="s">
        <v>78</v>
      </c>
      <c r="K57" s="69" t="str">
        <f>IF(AND(I57&gt;="T3"),"&gt;","")</f>
        <v/>
      </c>
      <c r="L57" s="25"/>
      <c r="M57" s="162"/>
      <c r="N57" s="25" t="s">
        <v>1082</v>
      </c>
      <c r="O57" s="38"/>
      <c r="P57" s="38"/>
      <c r="Q57" s="38"/>
      <c r="R57" s="38"/>
      <c r="S57" s="38"/>
      <c r="T57" s="38"/>
      <c r="U57" s="38"/>
      <c r="V57" s="38"/>
      <c r="W57" s="38"/>
      <c r="X57" s="38"/>
      <c r="Y57" s="38"/>
      <c r="Z57" s="38"/>
      <c r="AA57" s="38" t="str">
        <f>IF($I57="B1","",SUM(O57:Z57))</f>
        <v/>
      </c>
      <c r="AB57" s="39" t="str">
        <f>IF(AA57=0,"",IFERROR(AA57/AA$19,""))</f>
        <v/>
      </c>
      <c r="AD57" s="38"/>
      <c r="AE57" s="39" t="str">
        <f>IF(AD57=0,"",IFERROR(AD57/AD$19,""))</f>
        <v/>
      </c>
      <c r="AF57" s="132" t="str">
        <f>IF(AND($AA57="",AD57=""),"",$AA57-AD57)</f>
        <v/>
      </c>
      <c r="AG57" s="38"/>
      <c r="AH57" s="39" t="str">
        <f>IF(AG57=0,"",IFERROR(AG57/AG$19,""))</f>
        <v/>
      </c>
      <c r="AI57" s="132" t="str">
        <f>IF(AND($AA57="",AG57=""),"",$AA57-AG57)</f>
        <v/>
      </c>
      <c r="AJ57" s="399">
        <f>IFERROR(AA57/AA$20,0)</f>
        <v>0</v>
      </c>
      <c r="AK57" s="400">
        <f>IFERROR(AD57/AD$20,0)</f>
        <v>0</v>
      </c>
      <c r="AL57" s="401">
        <f>IFERROR(AG57/AG$20,0)</f>
        <v>0</v>
      </c>
      <c r="AM57" s="402">
        <f>+IFERROR(ROUND(($AB57-AE57)*100,2)&amp;" pts.",0)</f>
        <v>0</v>
      </c>
      <c r="AN57" s="403">
        <f>+IFERROR(ROUND(($AB57-AH57)*100,2)&amp;" pts.",0)</f>
        <v>0</v>
      </c>
    </row>
    <row r="58" spans="1:40" hidden="1" x14ac:dyDescent="0.25">
      <c r="A58" s="6" t="s">
        <v>13</v>
      </c>
      <c r="B58" s="7" t="str">
        <f>"DEP(COS_SPARET) AND "&amp;$E$6&amp;"=Y,COS_SPARET"</f>
        <v>DEP(COS_SPARET) AND D1132=Y,COS_SPARET</v>
      </c>
      <c r="H58" s="15" t="s">
        <v>667</v>
      </c>
      <c r="I58" s="161"/>
      <c r="J58" s="161"/>
      <c r="K58" s="68" t="str">
        <f>IF(AND(I58&gt;="T3"),"&gt;","")</f>
        <v/>
      </c>
      <c r="L58" s="162"/>
      <c r="M58" s="162"/>
      <c r="N58" s="162"/>
      <c r="O58" s="47"/>
      <c r="P58" s="47"/>
      <c r="Q58" s="47"/>
      <c r="R58" s="47"/>
      <c r="S58" s="47"/>
      <c r="T58" s="47"/>
      <c r="U58" s="47"/>
      <c r="V58" s="47"/>
      <c r="W58" s="47"/>
      <c r="X58" s="47"/>
      <c r="Y58" s="47"/>
      <c r="Z58" s="47"/>
      <c r="AA58" s="47">
        <f>IF($I58="B1","",SUM(O58:Z58))</f>
        <v>0</v>
      </c>
      <c r="AB58" s="48" t="str">
        <f>IF(AA58=0,"",IFERROR(AA58/AA$19,""))</f>
        <v/>
      </c>
      <c r="AD58" s="47"/>
      <c r="AE58" s="48" t="str">
        <f>IF(AD58=0,"",IFERROR(AD58/AD$19,""))</f>
        <v/>
      </c>
      <c r="AF58" s="150">
        <f>IF(AND($AA58="",AD58=""),"",$AA58-AD58)</f>
        <v>0</v>
      </c>
      <c r="AG58" s="47"/>
      <c r="AH58" s="48" t="str">
        <f>IF(AG58=0,"",IFERROR(AG58/AG$19,""))</f>
        <v/>
      </c>
      <c r="AI58" s="150">
        <f>IF(AND($AA58="",AG58=""),"",$AA58-AG58)</f>
        <v>0</v>
      </c>
      <c r="AJ58" s="399">
        <f>IFERROR(AA58/AA$20,0)</f>
        <v>0</v>
      </c>
      <c r="AK58" s="400">
        <f>IFERROR(AD58/AD$20,0)</f>
        <v>0</v>
      </c>
      <c r="AL58" s="401">
        <f>IFERROR(AG58/AG$20,0)</f>
        <v>0</v>
      </c>
      <c r="AM58" s="402">
        <f>+IFERROR(ROUND(($AB58-AE58)*100,2)&amp;" pts.",0)</f>
        <v>0</v>
      </c>
      <c r="AN58" s="403">
        <f>+IFERROR(ROUND(($AB58-AH58)*100,2)&amp;" pts.",0)</f>
        <v>0</v>
      </c>
    </row>
    <row r="59" spans="1:40" hidden="1" x14ac:dyDescent="0.25">
      <c r="A59" s="6" t="s">
        <v>14</v>
      </c>
      <c r="B59" s="7"/>
      <c r="H59" s="15"/>
      <c r="I59" s="161"/>
      <c r="J59" s="161"/>
      <c r="K59" s="68" t="str">
        <f>IF(AND(I59&gt;="T3"),"&gt;","")</f>
        <v/>
      </c>
      <c r="L59" s="162"/>
      <c r="M59" s="162"/>
      <c r="N59" s="162"/>
      <c r="O59" s="47"/>
      <c r="P59" s="47"/>
      <c r="Q59" s="47"/>
      <c r="R59" s="47"/>
      <c r="S59" s="47"/>
      <c r="T59" s="47"/>
      <c r="U59" s="47"/>
      <c r="V59" s="47"/>
      <c r="W59" s="47"/>
      <c r="X59" s="47"/>
      <c r="Y59" s="47"/>
      <c r="Z59" s="47"/>
      <c r="AA59" s="47">
        <f>IF($I59="B1","",SUM(O59:Z59))</f>
        <v>0</v>
      </c>
      <c r="AB59" s="48" t="str">
        <f>IF(AA59=0,"",IFERROR(AA59/AA$19,""))</f>
        <v/>
      </c>
      <c r="AD59" s="47"/>
      <c r="AE59" s="48" t="str">
        <f>IF(AD59=0,"",IFERROR(AD59/AD$19,""))</f>
        <v/>
      </c>
      <c r="AF59" s="150">
        <f>IF(AND($AA59="",AD59=""),"",$AA59-AD59)</f>
        <v>0</v>
      </c>
      <c r="AG59" s="47"/>
      <c r="AH59" s="48" t="str">
        <f>IF(AG59=0,"",IFERROR(AG59/AG$19,""))</f>
        <v/>
      </c>
      <c r="AI59" s="150">
        <f>IF(AND($AA59="",AG59=""),"",$AA59-AG59)</f>
        <v>0</v>
      </c>
      <c r="AJ59" s="399">
        <f>IFERROR(AA59/AA$20,0)</f>
        <v>0</v>
      </c>
      <c r="AK59" s="400">
        <f>IFERROR(AD59/AD$20,0)</f>
        <v>0</v>
      </c>
      <c r="AL59" s="401">
        <f>IFERROR(AG59/AG$20,0)</f>
        <v>0</v>
      </c>
      <c r="AM59" s="402">
        <f>+IFERROR(ROUND(($AB59-AE59)*100,2)&amp;" pts.",0)</f>
        <v>0</v>
      </c>
      <c r="AN59" s="403">
        <f>+IFERROR(ROUND(($AB59-AH59)*100,2)&amp;" pts.",0)</f>
        <v>0</v>
      </c>
    </row>
    <row r="60" spans="1:40" x14ac:dyDescent="0.25">
      <c r="A60" s="6" t="s">
        <v>15</v>
      </c>
      <c r="B60" s="7"/>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16</v>
      </c>
      <c r="B61" s="7"/>
      <c r="H61" s="1" t="s">
        <v>82</v>
      </c>
      <c r="I61" s="11" t="s">
        <v>1011</v>
      </c>
      <c r="J61" s="11" t="s">
        <v>78</v>
      </c>
      <c r="N61" s="40" t="s">
        <v>1092</v>
      </c>
      <c r="O61" s="43"/>
      <c r="P61" s="46"/>
      <c r="Q61" s="46"/>
      <c r="R61" s="46"/>
      <c r="S61" s="46"/>
      <c r="T61" s="46"/>
      <c r="U61" s="46"/>
      <c r="V61" s="46"/>
      <c r="W61" s="46"/>
      <c r="X61" s="46"/>
      <c r="Y61" s="46"/>
      <c r="Z61" s="46"/>
      <c r="AA61" s="46"/>
      <c r="AB61" s="44"/>
      <c r="AD61" s="43"/>
      <c r="AE61" s="46"/>
      <c r="AF61" s="44"/>
      <c r="AG61" s="43"/>
      <c r="AH61" s="46"/>
      <c r="AI61" s="44"/>
    </row>
    <row r="62" spans="1:40" hidden="1" x14ac:dyDescent="0.25">
      <c r="A62" s="6" t="s">
        <v>17</v>
      </c>
      <c r="B62" s="7"/>
      <c r="H62" s="15" t="s">
        <v>667</v>
      </c>
      <c r="I62" s="161"/>
      <c r="J62" s="161"/>
      <c r="K62" s="68" t="str">
        <f>IF(AND(I62&lt;&gt;"B1",J62="Y"),"&gt;","")</f>
        <v/>
      </c>
      <c r="L62" s="162"/>
      <c r="M62" s="162"/>
      <c r="N62" s="162"/>
      <c r="O62" s="21"/>
      <c r="P62" s="21"/>
      <c r="Q62" s="21"/>
      <c r="R62" s="21"/>
      <c r="S62" s="21"/>
      <c r="T62" s="21"/>
      <c r="U62" s="21"/>
      <c r="V62" s="21"/>
      <c r="W62" s="21"/>
      <c r="X62" s="21"/>
      <c r="Y62" s="21"/>
      <c r="Z62" s="21"/>
      <c r="AA62" s="21">
        <f>IF($I62="B1","",SUM(O62:Z62))</f>
        <v>0</v>
      </c>
      <c r="AB62" s="17" t="str">
        <f>IF(AA62=0,"",IFERROR(AA62/AA$19,""))</f>
        <v/>
      </c>
      <c r="AD62" s="21"/>
      <c r="AE62" s="17" t="str">
        <f>IF(AD62=0,"",IFERROR(AD62/AD$19,""))</f>
        <v/>
      </c>
      <c r="AF62" s="50">
        <f>IF(AND($AA62="",AD62=""),"",$AA62-AD62)</f>
        <v>0</v>
      </c>
      <c r="AG62" s="21"/>
      <c r="AH62" s="17" t="str">
        <f>IF(AG62=0,"",IFERROR(AG62/AG$19,""))</f>
        <v/>
      </c>
      <c r="AI62" s="50">
        <f>IF(AND($AA62="",AG62=""),"",$AA62-AG62)</f>
        <v>0</v>
      </c>
      <c r="AJ62" s="399">
        <f>IFERROR(AA62/AA$20,0)</f>
        <v>0</v>
      </c>
      <c r="AK62" s="400">
        <f>IFERROR(AD62/AD$20,0)</f>
        <v>0</v>
      </c>
      <c r="AL62" s="401">
        <f>IFERROR(AG62/AG$20,0)</f>
        <v>0</v>
      </c>
      <c r="AM62" s="402">
        <f>+IFERROR(ROUND(($AB62-AE62)*100,2)&amp;" pts.",0)</f>
        <v>0</v>
      </c>
      <c r="AN62" s="403">
        <f>+IFERROR(ROUND(($AB62-AH62)*100,2)&amp;" pts.",0)</f>
        <v>0</v>
      </c>
    </row>
    <row r="63" spans="1:40" hidden="1" x14ac:dyDescent="0.25">
      <c r="H63" s="15"/>
      <c r="I63" s="161"/>
      <c r="J63" s="161"/>
      <c r="K63" s="68" t="str">
        <f>IF(AND(I63&lt;&gt;"B1",J63="Y"),"&gt;","")</f>
        <v/>
      </c>
      <c r="L63" s="162"/>
      <c r="M63" s="162"/>
      <c r="N63" s="162"/>
      <c r="O63" s="21"/>
      <c r="P63" s="21"/>
      <c r="Q63" s="21"/>
      <c r="R63" s="21"/>
      <c r="S63" s="21"/>
      <c r="T63" s="21"/>
      <c r="U63" s="21"/>
      <c r="V63" s="21"/>
      <c r="W63" s="21"/>
      <c r="X63" s="21"/>
      <c r="Y63" s="21"/>
      <c r="Z63" s="21"/>
      <c r="AA63" s="21">
        <f>IF($I63="B1","",SUM(O63:Z63))</f>
        <v>0</v>
      </c>
      <c r="AB63" s="17" t="str">
        <f>IF(AA63=0,"",IFERROR(AA63/AA$19,""))</f>
        <v/>
      </c>
      <c r="AD63" s="21"/>
      <c r="AE63" s="17" t="str">
        <f>IF(AD63=0,"",IFERROR(AD63/AD$19,""))</f>
        <v/>
      </c>
      <c r="AF63" s="50">
        <f>IF(AND($AA63="",AD63=""),"",$AA63-AD63)</f>
        <v>0</v>
      </c>
      <c r="AG63" s="21"/>
      <c r="AH63" s="17" t="str">
        <f>IF(AG63=0,"",IFERROR(AG63/AG$19,""))</f>
        <v/>
      </c>
      <c r="AI63" s="50">
        <f>IF(AND($AA63="",AG63=""),"",$AA63-AG63)</f>
        <v>0</v>
      </c>
      <c r="AJ63" s="399">
        <f>IFERROR(AA63/AA$20,0)</f>
        <v>0</v>
      </c>
      <c r="AK63" s="400">
        <f>IFERROR(AD63/AD$20,0)</f>
        <v>0</v>
      </c>
      <c r="AL63" s="401">
        <f>IFERROR(AG63/AG$20,0)</f>
        <v>0</v>
      </c>
      <c r="AM63" s="402">
        <f>+IFERROR(ROUND(($AB63-AE63)*100,2)&amp;" pts.",0)</f>
        <v>0</v>
      </c>
      <c r="AN63" s="403">
        <f>+IFERROR(ROUND(($AB63-AH63)*100,2)&amp;" pts.",0)</f>
        <v>0</v>
      </c>
    </row>
    <row r="64" spans="1:40" x14ac:dyDescent="0.25">
      <c r="A64" s="22" t="s">
        <v>92</v>
      </c>
      <c r="B64" s="23" t="s">
        <v>93</v>
      </c>
      <c r="C64" s="23" t="s">
        <v>94</v>
      </c>
      <c r="D64" s="23" t="s">
        <v>95</v>
      </c>
      <c r="E64" s="23" t="s">
        <v>96</v>
      </c>
      <c r="F64" s="24" t="s">
        <v>97</v>
      </c>
      <c r="H64" s="15" t="s">
        <v>79</v>
      </c>
      <c r="I64" s="27" t="s">
        <v>1012</v>
      </c>
      <c r="J64" s="27" t="s">
        <v>78</v>
      </c>
      <c r="K64" s="26"/>
      <c r="L64" s="26"/>
      <c r="M64" s="26"/>
      <c r="N64" s="25" t="s">
        <v>1116</v>
      </c>
      <c r="O64" s="33"/>
      <c r="P64" s="33"/>
      <c r="Q64" s="33"/>
      <c r="R64" s="33"/>
      <c r="S64" s="33"/>
      <c r="T64" s="33"/>
      <c r="U64" s="33"/>
      <c r="V64" s="33"/>
      <c r="W64" s="33"/>
      <c r="X64" s="33"/>
      <c r="Y64" s="33"/>
      <c r="Z64" s="33"/>
      <c r="AA64" s="33">
        <f>IF($I64="B1","",SUM(O64:Z64))</f>
        <v>0</v>
      </c>
      <c r="AB64" s="34" t="str">
        <f>IF(AA64=0,"",IFERROR(AA64/AA$19,""))</f>
        <v/>
      </c>
      <c r="AD64" s="33"/>
      <c r="AE64" s="34" t="str">
        <f>IF(AD64=0,"",IFERROR(AD64/AD$19,""))</f>
        <v/>
      </c>
      <c r="AF64" s="52">
        <f>IF(AND($AA64="",AD64=""),"",$AA64-AD64)</f>
        <v>0</v>
      </c>
      <c r="AG64" s="33"/>
      <c r="AH64" s="34" t="str">
        <f>IF(AG64=0,"",IFERROR(AG64/AG$19,""))</f>
        <v/>
      </c>
      <c r="AI64" s="52">
        <f>IF(AND($AA64="",AG64=""),"",$AA64-AG64)</f>
        <v>0</v>
      </c>
      <c r="AJ64" s="415">
        <f>IFERROR(AA64/AA$20,0)</f>
        <v>0</v>
      </c>
      <c r="AK64" s="416">
        <f>IFERROR(AD64/AD$20,0)</f>
        <v>0</v>
      </c>
      <c r="AL64" s="417">
        <f>IFERROR(AG64/AG$20,0)</f>
        <v>0</v>
      </c>
      <c r="AM64" s="418">
        <f>+IFERROR(ROUND(($AB64-AE64)*100,2)&amp;" pts.",0)</f>
        <v>0</v>
      </c>
      <c r="AN64" s="436">
        <f>+IFERROR(ROUND(($AB64-AH64)*100,2)&amp;" pts.",0)</f>
        <v>0</v>
      </c>
    </row>
    <row r="66" spans="1:40" x14ac:dyDescent="0.25">
      <c r="A66" s="1" t="s">
        <v>105</v>
      </c>
      <c r="C66" s="26" t="s">
        <v>101</v>
      </c>
      <c r="D66" s="1" t="s">
        <v>106</v>
      </c>
      <c r="F66" s="1" t="s">
        <v>98</v>
      </c>
      <c r="H66" s="15" t="s">
        <v>80</v>
      </c>
      <c r="I66" s="27" t="s">
        <v>1012</v>
      </c>
      <c r="J66" s="27" t="s">
        <v>78</v>
      </c>
      <c r="K66" s="25"/>
      <c r="L66" s="25"/>
      <c r="M66" s="25"/>
      <c r="N66" s="25" t="s">
        <v>1117</v>
      </c>
      <c r="O66" s="36"/>
      <c r="P66" s="36"/>
      <c r="Q66" s="36"/>
      <c r="R66" s="36"/>
      <c r="S66" s="36"/>
      <c r="T66" s="36"/>
      <c r="U66" s="36"/>
      <c r="V66" s="36"/>
      <c r="W66" s="36"/>
      <c r="X66" s="36"/>
      <c r="Y66" s="36"/>
      <c r="Z66" s="36"/>
      <c r="AA66" s="36">
        <f>IF($I66="B1","",SUM(O66:Z66))</f>
        <v>0</v>
      </c>
      <c r="AB66" s="37" t="str">
        <f>IF(AA66=0,"",IFERROR(AA66/AA$19,""))</f>
        <v/>
      </c>
      <c r="AD66" s="36"/>
      <c r="AE66" s="37" t="str">
        <f>IF(AD66=0,"",IFERROR(AD66/AD$19,""))</f>
        <v/>
      </c>
      <c r="AF66" s="59">
        <f>IF(AND($AA66="",AD66=""),"",$AA66-AD66)</f>
        <v>0</v>
      </c>
      <c r="AG66" s="60"/>
      <c r="AH66" s="61" t="str">
        <f>IF(AG66=0,"",IFERROR(AG66/AG$19,""))</f>
        <v/>
      </c>
      <c r="AI66" s="59">
        <f>IF(AND($AA66="",AG66=""),"",$AA66-AG66)</f>
        <v>0</v>
      </c>
      <c r="AJ66" s="392">
        <f>IFERROR(AA66/AA$20,0)</f>
        <v>0</v>
      </c>
      <c r="AK66" s="393">
        <f>IFERROR(AD66/AD$20,0)</f>
        <v>0</v>
      </c>
      <c r="AL66" s="394">
        <f>IFERROR(AG66/AG$20,0)</f>
        <v>0</v>
      </c>
      <c r="AM66" s="395">
        <f>+IFERROR(ROUND(($AB66-AE66)*100,2)&amp;" pts.",0)</f>
        <v>0</v>
      </c>
      <c r="AN66" s="437">
        <f>+IFERROR(ROUND(($AB66-AH66)*100,2)&amp;" pts.",0)</f>
        <v>0</v>
      </c>
    </row>
    <row r="67" spans="1:40" ht="15.75" thickBot="1" x14ac:dyDescent="0.3">
      <c r="A67" s="1" t="s">
        <v>102</v>
      </c>
      <c r="C67" s="25" t="s">
        <v>101</v>
      </c>
      <c r="D67" s="1" t="s">
        <v>106</v>
      </c>
      <c r="F67" s="1" t="s">
        <v>98</v>
      </c>
      <c r="H67" s="15" t="s">
        <v>81</v>
      </c>
      <c r="I67" s="27" t="s">
        <v>1012</v>
      </c>
      <c r="J67" s="27" t="s">
        <v>78</v>
      </c>
      <c r="K67" s="25"/>
      <c r="L67" s="25"/>
      <c r="M67" s="25"/>
      <c r="N67" s="25" t="s">
        <v>1118</v>
      </c>
      <c r="O67" s="62"/>
      <c r="P67" s="62"/>
      <c r="Q67" s="62"/>
      <c r="R67" s="62"/>
      <c r="S67" s="62"/>
      <c r="T67" s="62"/>
      <c r="U67" s="62"/>
      <c r="V67" s="62"/>
      <c r="W67" s="62"/>
      <c r="X67" s="62"/>
      <c r="Y67" s="62"/>
      <c r="Z67" s="62"/>
      <c r="AA67" s="62">
        <f>IF($I67="B1","",SUM(O67:Z67))</f>
        <v>0</v>
      </c>
      <c r="AB67" s="63" t="str">
        <f>IF(AA67=0,"",IFERROR(AA67/AA$19,""))</f>
        <v/>
      </c>
      <c r="AD67" s="62"/>
      <c r="AE67" s="63" t="str">
        <f>IF(AD67=0,"",IFERROR(AD67/AD$19,""))</f>
        <v/>
      </c>
      <c r="AF67" s="64">
        <f>IF(AND($AA67="",AD67=""),"",$AA67-AD67)</f>
        <v>0</v>
      </c>
      <c r="AG67" s="62"/>
      <c r="AH67" s="63" t="str">
        <f>IF(AG67=0,"",IFERROR(AG67/AG$19,""))</f>
        <v/>
      </c>
      <c r="AI67" s="64">
        <f>IF(AND($AA67="",AG67=""),"",$AA67-AG67)</f>
        <v>0</v>
      </c>
      <c r="AJ67" s="430">
        <f>IFERROR(AA67/AA$20,0)</f>
        <v>0</v>
      </c>
      <c r="AK67" s="431">
        <f>IFERROR(AD67/AD$20,0)</f>
        <v>0</v>
      </c>
      <c r="AL67" s="432">
        <f>IFERROR(AG67/AG$20,0)</f>
        <v>0</v>
      </c>
      <c r="AM67" s="433">
        <f>+IFERROR(ROUND(($AB67-AE67)*100,2)&amp;" pts.",0)</f>
        <v>0</v>
      </c>
      <c r="AN67" s="438">
        <f>+IFERROR(ROUND(($AB67-AH67)*100,2)&amp;" pts.",0)</f>
        <v>0</v>
      </c>
    </row>
    <row r="68" spans="1:40" ht="15.75" thickTop="1" x14ac:dyDescent="0.25">
      <c r="A68" s="1" t="s">
        <v>102</v>
      </c>
      <c r="C68" s="151" t="s">
        <v>101</v>
      </c>
      <c r="D68" s="1" t="s">
        <v>107</v>
      </c>
      <c r="F68" s="1" t="s">
        <v>99</v>
      </c>
    </row>
    <row r="69" spans="1:40" x14ac:dyDescent="0.25">
      <c r="N69" s="26" t="str">
        <f>N66&amp;" - Check"</f>
        <v>Total Expenses - Check</v>
      </c>
      <c r="O69" s="139">
        <f t="shared" ref="O69:AA69" si="13">SUMIF($H$34:$H$67,"600000",O$34:O$67)+SUMIF($H$34:$H$67,"700000",O$34:O$67)-SUMIF($H$34:$H$67,"TOTDEPTEXP",O$34:O$67)</f>
        <v>0</v>
      </c>
      <c r="P69" s="139">
        <f t="shared" si="13"/>
        <v>0</v>
      </c>
      <c r="Q69" s="139">
        <f t="shared" si="13"/>
        <v>0</v>
      </c>
      <c r="R69" s="139">
        <f t="shared" si="13"/>
        <v>0</v>
      </c>
      <c r="S69" s="139">
        <f t="shared" si="13"/>
        <v>0</v>
      </c>
      <c r="T69" s="139">
        <f t="shared" si="13"/>
        <v>0</v>
      </c>
      <c r="U69" s="139">
        <f t="shared" si="13"/>
        <v>0</v>
      </c>
      <c r="V69" s="139">
        <f t="shared" si="13"/>
        <v>0</v>
      </c>
      <c r="W69" s="139">
        <f t="shared" si="13"/>
        <v>0</v>
      </c>
      <c r="X69" s="139">
        <f t="shared" si="13"/>
        <v>0</v>
      </c>
      <c r="Y69" s="139">
        <f t="shared" si="13"/>
        <v>0</v>
      </c>
      <c r="Z69" s="139">
        <f t="shared" si="13"/>
        <v>0</v>
      </c>
      <c r="AA69" s="139">
        <f t="shared" si="13"/>
        <v>0</v>
      </c>
      <c r="AB69" s="17"/>
      <c r="AD69" s="139">
        <f>SUMIF($H$34:$H$67,"600000",AD$34:AD$67)+SUMIF($H$34:$H$67,"700000",AD$34:AD$67)-SUMIF($H$34:$H$67,"TOTDEPTEXP",AD$34:AD$67)</f>
        <v>0</v>
      </c>
      <c r="AE69" s="17"/>
      <c r="AF69" s="21"/>
      <c r="AG69" s="139">
        <f>SUMIF($H$34:$H$67,"600000",AG$34:AG$67)+SUMIF($H$34:$H$67,"700000",AG$34:AG$67)-SUMIF($H$34:$H$67,"TOTDEPTEXP",AG$34:AG$67)</f>
        <v>0</v>
      </c>
      <c r="AH69" s="17"/>
      <c r="AI69" s="21"/>
    </row>
    <row r="70" spans="1:40" x14ac:dyDescent="0.25">
      <c r="C70" s="32"/>
      <c r="N70" s="26" t="str">
        <f>N67&amp;" - Check"</f>
        <v>Department Profit (Loss) - Check</v>
      </c>
      <c r="O70" s="139">
        <f t="shared" ref="O70:AA70" si="14">SUMIF($H$34:$H$67,"KPI_GP",O$34:O$67)-SUMIF($H$34:$H$67,"TOTDEPTEXP",O$34:O$67)-SUMIF($H$34:$H$67,"TOTDEPTPL",O$34:O$67)</f>
        <v>0</v>
      </c>
      <c r="P70" s="139">
        <f t="shared" si="14"/>
        <v>0</v>
      </c>
      <c r="Q70" s="139">
        <f t="shared" si="14"/>
        <v>0</v>
      </c>
      <c r="R70" s="139">
        <f t="shared" si="14"/>
        <v>0</v>
      </c>
      <c r="S70" s="139">
        <f t="shared" si="14"/>
        <v>0</v>
      </c>
      <c r="T70" s="139">
        <f t="shared" si="14"/>
        <v>0</v>
      </c>
      <c r="U70" s="139">
        <f t="shared" si="14"/>
        <v>0</v>
      </c>
      <c r="V70" s="139">
        <f t="shared" si="14"/>
        <v>0</v>
      </c>
      <c r="W70" s="139">
        <f t="shared" si="14"/>
        <v>0</v>
      </c>
      <c r="X70" s="139">
        <f t="shared" si="14"/>
        <v>0</v>
      </c>
      <c r="Y70" s="139">
        <f t="shared" si="14"/>
        <v>0</v>
      </c>
      <c r="Z70" s="139">
        <f t="shared" si="14"/>
        <v>0</v>
      </c>
      <c r="AA70" s="139">
        <f t="shared" si="14"/>
        <v>0</v>
      </c>
      <c r="AB70" s="17"/>
      <c r="AD70" s="139">
        <f>SUMIF($H$34:$H$67,"KPI_GP",AD$34:AD$67)-SUMIF($H$34:$H$67,"TOTDEPTEXP",AD$34:AD$67)-SUMIF($H$34:$H$67,"TOTDEPTPL",AD$34:AD$67)</f>
        <v>0</v>
      </c>
      <c r="AE70" s="17"/>
      <c r="AF70" s="21"/>
      <c r="AG70" s="139">
        <f>SUMIF($H$34:$H$67,"KPI_GP",AG$34:AG$67)-SUMIF($H$34:$H$67,"TOTDEPTEXP",AG$34:AG$67)-SUMIF($H$34:$H$67,"TOTDEPTPL",AG$34:AG$67)</f>
        <v>0</v>
      </c>
      <c r="AH70" s="17"/>
      <c r="AI70" s="21"/>
    </row>
    <row r="71" spans="1:40" x14ac:dyDescent="0.25">
      <c r="A71" s="4" t="s">
        <v>988</v>
      </c>
    </row>
    <row r="72" spans="1:40" x14ac:dyDescent="0.25">
      <c r="O72" s="166"/>
      <c r="P72" s="166"/>
      <c r="Q72" s="166"/>
      <c r="R72" s="166"/>
      <c r="S72" s="166"/>
      <c r="T72" s="166"/>
      <c r="U72" s="166"/>
      <c r="V72" s="166"/>
      <c r="W72" s="166"/>
      <c r="X72" s="166"/>
      <c r="Y72" s="166"/>
      <c r="Z72" s="166"/>
      <c r="AA72" s="166"/>
      <c r="AD72" s="166"/>
      <c r="AG72" s="166"/>
    </row>
    <row r="73" spans="1:40" x14ac:dyDescent="0.25">
      <c r="A73" s="3" t="s">
        <v>0</v>
      </c>
      <c r="B73" s="5" t="s">
        <v>1</v>
      </c>
    </row>
    <row r="74" spans="1:40" x14ac:dyDescent="0.25">
      <c r="A74" s="6" t="s">
        <v>2</v>
      </c>
      <c r="B74" s="16" t="s">
        <v>1560</v>
      </c>
      <c r="O74" s="166"/>
      <c r="P74" s="166"/>
      <c r="Q74" s="166"/>
      <c r="R74" s="166"/>
      <c r="S74" s="166"/>
      <c r="T74" s="166"/>
      <c r="U74" s="166"/>
      <c r="V74" s="166"/>
      <c r="W74" s="166"/>
      <c r="X74" s="166"/>
      <c r="Y74" s="166"/>
      <c r="Z74" s="166"/>
      <c r="AA74" s="166"/>
      <c r="AD74" s="166"/>
      <c r="AG74" s="166"/>
    </row>
    <row r="75" spans="1:40" x14ac:dyDescent="0.25">
      <c r="A75" s="6" t="s">
        <v>3</v>
      </c>
      <c r="B75" s="16" t="s">
        <v>1561</v>
      </c>
    </row>
    <row r="76" spans="1:40" x14ac:dyDescent="0.25">
      <c r="A76" s="6" t="s">
        <v>4</v>
      </c>
      <c r="B76" s="16" t="s">
        <v>1580</v>
      </c>
    </row>
    <row r="77" spans="1:40" x14ac:dyDescent="0.25">
      <c r="A77" s="6" t="s">
        <v>5</v>
      </c>
      <c r="B77" s="7"/>
      <c r="H77" s="11"/>
      <c r="J77" s="1"/>
    </row>
    <row r="78" spans="1:40" x14ac:dyDescent="0.25">
      <c r="A78" s="6" t="s">
        <v>6</v>
      </c>
      <c r="B78" s="7"/>
      <c r="H78" s="11"/>
      <c r="J78" s="1"/>
    </row>
    <row r="79" spans="1:40" x14ac:dyDescent="0.25">
      <c r="A79" s="6" t="s">
        <v>7</v>
      </c>
      <c r="B79" s="16" t="s">
        <v>1581</v>
      </c>
      <c r="H79" s="11"/>
      <c r="J79" s="1"/>
    </row>
    <row r="80" spans="1:40" x14ac:dyDescent="0.25">
      <c r="A80" s="6" t="s">
        <v>47</v>
      </c>
      <c r="B80" s="16" t="s">
        <v>1564</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row>
    <row r="102" spans="1:10" x14ac:dyDescent="0.25">
      <c r="A102" s="4" t="s">
        <v>988</v>
      </c>
      <c r="B102" s="1" t="s">
        <v>736</v>
      </c>
    </row>
    <row r="103" spans="1:10" x14ac:dyDescent="0.25">
      <c r="G103" s="14"/>
    </row>
    <row r="104" spans="1:10" x14ac:dyDescent="0.25">
      <c r="A104" s="3" t="s">
        <v>0</v>
      </c>
      <c r="B104" s="5" t="s">
        <v>1</v>
      </c>
    </row>
    <row r="105" spans="1:10" x14ac:dyDescent="0.25">
      <c r="A105" s="6" t="s">
        <v>2</v>
      </c>
      <c r="B105" s="16" t="s">
        <v>1560</v>
      </c>
    </row>
    <row r="106" spans="1:10" x14ac:dyDescent="0.25">
      <c r="A106" s="6" t="s">
        <v>3</v>
      </c>
      <c r="B106" s="16" t="s">
        <v>1561</v>
      </c>
    </row>
    <row r="107" spans="1:10" x14ac:dyDescent="0.25">
      <c r="A107" s="6" t="s">
        <v>4</v>
      </c>
      <c r="B107" s="16" t="s">
        <v>1582</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16" t="s">
        <v>1564</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row>
    <row r="140" spans="1:34" x14ac:dyDescent="0.25">
      <c r="I140" s="76"/>
      <c r="J140" s="1"/>
      <c r="K140" s="76"/>
      <c r="L140" s="76"/>
      <c r="M140" s="76"/>
      <c r="O140" s="76"/>
      <c r="P140" s="76"/>
      <c r="Q140" s="76"/>
      <c r="R140" s="76"/>
      <c r="S140" s="76"/>
      <c r="T140" s="76"/>
      <c r="U140" s="76"/>
      <c r="V140" s="76"/>
      <c r="W140" s="76"/>
      <c r="X140" s="76"/>
      <c r="Y140" s="76"/>
      <c r="Z140" s="76"/>
      <c r="AA140" s="76"/>
      <c r="AD140" s="76"/>
      <c r="AF140" s="76"/>
      <c r="AH140" s="76"/>
    </row>
    <row r="144" spans="1:34" x14ac:dyDescent="0.25">
      <c r="I144" s="76"/>
      <c r="J144" s="1"/>
      <c r="K144" s="76"/>
      <c r="L144" s="76"/>
      <c r="M144" s="76"/>
      <c r="O144" s="76"/>
      <c r="P144" s="76"/>
      <c r="Q144" s="76"/>
      <c r="R144" s="76"/>
      <c r="S144" s="76"/>
      <c r="T144" s="76"/>
      <c r="U144" s="76"/>
      <c r="V144" s="76"/>
      <c r="W144" s="76"/>
      <c r="X144" s="76"/>
      <c r="Y144" s="76"/>
      <c r="Z144" s="76"/>
      <c r="AA144" s="76"/>
      <c r="AD144" s="76"/>
      <c r="AF144" s="76"/>
      <c r="AH144" s="76"/>
    </row>
    <row r="154" spans="5:5" x14ac:dyDescent="0.25">
      <c r="E154" s="76"/>
    </row>
    <row r="158" spans="5:5" x14ac:dyDescent="0.25">
      <c r="E158" s="76"/>
    </row>
    <row r="188" spans="7:7" x14ac:dyDescent="0.25">
      <c r="G188" s="76"/>
    </row>
    <row r="192" spans="7:7" x14ac:dyDescent="0.25">
      <c r="G192" s="76"/>
    </row>
  </sheetData>
  <mergeCells count="2">
    <mergeCell ref="AD31:AE31"/>
    <mergeCell ref="AG31:AH31"/>
  </mergeCells>
  <dataValidations count="2">
    <dataValidation type="list" allowBlank="1" sqref="B86 B58 B29" xr:uid="{00000000-0002-0000-4100-000000000000}">
      <formula1>"SELF,ALL,BAS,DEP,BASMEMBERS,MEMBERS,NOEXPAND,GDEP"</formula1>
    </dataValidation>
    <dataValidation type="list" allowBlank="1" sqref="B28 B57 B85" xr:uid="{00000000-0002-0000-4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352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3526" r:id="rId5" name="FPMExcelClientSheetOptionstb1"/>
      </mc:Fallback>
    </mc:AlternateContent>
  </controls>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380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_xll.EVRNG(H34:H38)</f>
        <v>#NAME?</v>
      </c>
      <c r="G19" s="18" t="str">
        <f>$B$6</f>
        <v>D1133</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"DEP(430000)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381</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ca="1">IF($I34="B1","",SUM(O34:Z34))</f>
        <v>#NAME?</v>
      </c>
      <c r="AB34" s="17" t="e">
        <f ca="1">IF(AA34=0,"",IFERROR(AA34/AA$19,""))</f>
        <v>#NAME?</v>
      </c>
      <c r="AD34" s="21"/>
      <c r="AE34" s="17" t="str">
        <f>IF(AD34=0,"",IFERROR(AD34/AD$19,""))</f>
        <v/>
      </c>
      <c r="AF34" s="50" t="e">
        <f ca="1">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382</v>
      </c>
      <c r="I35" s="161" t="e">
        <f ca="1">_xll.EVPRO($B$1,$H35,"STYLE")</f>
        <v>#NAME?</v>
      </c>
      <c r="J35" s="161" t="e">
        <f ca="1">_xll.EVPRO($B$1,$H35,"CALC")</f>
        <v>#NAME?</v>
      </c>
      <c r="K35" s="68" t="e">
        <f t="shared" ref="K35:K38" ca="1" si="0">IF(AND(I35&gt;="T5"),"&gt;","")</f>
        <v>#NAME?</v>
      </c>
      <c r="L35" s="162" t="e">
        <f ca="1">_xll.EVPRO($B$1,H35,"JDEID")</f>
        <v>#NAME?</v>
      </c>
      <c r="M35" s="162" t="e">
        <f ca="1">IF(AND(I35="N",J35="N"),_xll.EVPRO($B$1,H35,"PSFTID"),"")</f>
        <v>#NAME?</v>
      </c>
      <c r="N35" s="162" t="e">
        <f ca="1">IF(_xll.EVDES(H35,$B$1)="#NODATA","",_xll.EVDES(H35,$B$1))</f>
        <v>#NAME?</v>
      </c>
      <c r="O35" s="21"/>
      <c r="P35" s="21"/>
      <c r="Q35" s="21">
        <v>0</v>
      </c>
      <c r="R35" s="21"/>
      <c r="S35" s="21">
        <v>0</v>
      </c>
      <c r="T35" s="21"/>
      <c r="U35" s="21"/>
      <c r="V35" s="21"/>
      <c r="W35" s="21"/>
      <c r="X35" s="21"/>
      <c r="Y35" s="21"/>
      <c r="Z35" s="21"/>
      <c r="AA35" s="310" t="e">
        <f ca="1">IF($I35="B1","",SUM(O35:Z35))</f>
        <v>#NAME?</v>
      </c>
      <c r="AB35" s="17" t="e">
        <f ca="1">IF(AA35=0,"",IFERROR(AA35/AA$19,""))</f>
        <v>#NAME?</v>
      </c>
      <c r="AD35" s="21"/>
      <c r="AE35" s="17" t="str">
        <f>IF(AD35=0,"",IFERROR(AD35/AD$19,""))</f>
        <v/>
      </c>
      <c r="AF35" s="50" t="e">
        <f ca="1">IF(AND($AA35="",AD35=""),"",$AA35-AD35)</f>
        <v>#NAME?</v>
      </c>
      <c r="AG35" s="21"/>
      <c r="AH35" s="17" t="str">
        <f t="shared" ref="AH35:AH38" si="1">IF(AG35=0,"",IFERROR(AG35/AG$19,""))</f>
        <v/>
      </c>
      <c r="AI35" s="50" t="e">
        <f t="shared" ref="AI35:AI38" ca="1" si="2">IF(AND($AA35="",AG35=""),"",$AA35-AG35)</f>
        <v>#NAME?</v>
      </c>
      <c r="AJ35" s="399">
        <f t="shared" ref="AJ35:AJ38" ca="1" si="3">IFERROR(AA35/AA$20,0)</f>
        <v>0</v>
      </c>
      <c r="AK35" s="400">
        <f t="shared" ref="AK35:AK38" ca="1" si="4">IFERROR(AD35/AD$20,0)</f>
        <v>0</v>
      </c>
      <c r="AL35" s="401">
        <f t="shared" ref="AL35:AL38" ca="1" si="5">IFERROR(AG35/AG$20,0)</f>
        <v>0</v>
      </c>
      <c r="AM35" s="402">
        <f t="shared" ref="AM35:AM38" ca="1" si="6">+IFERROR(ROUND(($AB35-AE35)*100,2)&amp;" pts.",0)</f>
        <v>0</v>
      </c>
      <c r="AN35" s="403">
        <f t="shared" ref="AN35:AN38" ca="1" si="7">+IFERROR(ROUND(($AB35-AH35)*100,2)&amp;" pts.",0)</f>
        <v>0</v>
      </c>
    </row>
    <row r="36" spans="1:40" x14ac:dyDescent="0.25">
      <c r="H36" s="15" t="s">
        <v>383</v>
      </c>
      <c r="I36" s="161" t="e">
        <f ca="1">_xll.EVPRO($B$1,$H36,"STYLE")</f>
        <v>#NAME?</v>
      </c>
      <c r="J36" s="161" t="e">
        <f ca="1">_xll.EVPRO($B$1,$H36,"CALC")</f>
        <v>#NAME?</v>
      </c>
      <c r="K36" s="68" t="e">
        <f t="shared" ca="1" si="0"/>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ca="1">IF($I36="B1","",SUM(O36:Z36))</f>
        <v>#NAME?</v>
      </c>
      <c r="AB36" s="17" t="e">
        <f ca="1">IF(AA36=0,"",IFERROR(AA36/AA$19,""))</f>
        <v>#NAME?</v>
      </c>
      <c r="AD36" s="21"/>
      <c r="AE36" s="17" t="str">
        <f>IF(AD36=0,"",IFERROR(AD36/AD$19,""))</f>
        <v/>
      </c>
      <c r="AF36" s="50" t="e">
        <f ca="1">IF(AND($AA36="",AD36=""),"",$AA36-AD36)</f>
        <v>#NAME?</v>
      </c>
      <c r="AG36" s="21"/>
      <c r="AH36" s="17" t="str">
        <f t="shared" si="1"/>
        <v/>
      </c>
      <c r="AI36" s="50" t="e">
        <f t="shared" ca="1" si="2"/>
        <v>#NAME?</v>
      </c>
      <c r="AJ36" s="399">
        <f t="shared" ca="1" si="3"/>
        <v>0</v>
      </c>
      <c r="AK36" s="400">
        <f t="shared" ca="1" si="4"/>
        <v>0</v>
      </c>
      <c r="AL36" s="401">
        <f t="shared" ca="1" si="5"/>
        <v>0</v>
      </c>
      <c r="AM36" s="402">
        <f t="shared" ca="1" si="6"/>
        <v>0</v>
      </c>
      <c r="AN36" s="403">
        <f t="shared" ca="1" si="7"/>
        <v>0</v>
      </c>
    </row>
    <row r="37" spans="1:40" x14ac:dyDescent="0.25">
      <c r="A37" s="1" t="s">
        <v>105</v>
      </c>
      <c r="C37" s="26" t="s">
        <v>101</v>
      </c>
      <c r="D37" s="1" t="s">
        <v>106</v>
      </c>
      <c r="F37" s="1" t="s">
        <v>98</v>
      </c>
      <c r="H37" s="15" t="s">
        <v>384</v>
      </c>
      <c r="I37" s="161" t="e">
        <f ca="1">_xll.EVPRO($B$1,$H37,"STYLE")</f>
        <v>#NAME?</v>
      </c>
      <c r="J37" s="161" t="e">
        <f ca="1">_xll.EVPRO($B$1,$H37,"CALC")</f>
        <v>#NAME?</v>
      </c>
      <c r="K37" s="68" t="e">
        <f t="shared" ca="1" si="0"/>
        <v>#NAME?</v>
      </c>
      <c r="L37" s="162" t="e">
        <f ca="1">_xll.EVPRO($B$1,H37,"JDEID")</f>
        <v>#NAME?</v>
      </c>
      <c r="M37" s="162" t="e">
        <f ca="1">IF(AND(I37="N",J37="N"),_xll.EVPRO($B$1,H37,"PSFTID"),"")</f>
        <v>#NAME?</v>
      </c>
      <c r="N37" s="162" t="e">
        <f ca="1">IF(_xll.EVDES(H37,$B$1)="#NODATA","",_xll.EVDES(H37,$B$1))</f>
        <v>#NAME?</v>
      </c>
      <c r="O37" s="30"/>
      <c r="P37" s="30"/>
      <c r="Q37" s="30"/>
      <c r="R37" s="30"/>
      <c r="S37" s="30"/>
      <c r="T37" s="30"/>
      <c r="U37" s="30"/>
      <c r="V37" s="30"/>
      <c r="W37" s="30"/>
      <c r="X37" s="30"/>
      <c r="Y37" s="30"/>
      <c r="Z37" s="30"/>
      <c r="AA37" s="324" t="e">
        <f ca="1">IF($I37="B1","",SUM(O37:Z37))</f>
        <v>#NAME?</v>
      </c>
      <c r="AB37" s="31" t="e">
        <f ca="1">IF(AA37=0,"",IFERROR(AA37/AA$19,""))</f>
        <v>#NAME?</v>
      </c>
      <c r="AD37" s="30"/>
      <c r="AE37" s="31" t="str">
        <f>IF(AD37=0,"",IFERROR(AD37/AD$19,""))</f>
        <v/>
      </c>
      <c r="AF37" s="51" t="e">
        <f ca="1">IF(AND($AA37="",AD37=""),"",$AA37-AD37)</f>
        <v>#NAME?</v>
      </c>
      <c r="AG37" s="30"/>
      <c r="AH37" s="31" t="str">
        <f t="shared" si="1"/>
        <v/>
      </c>
      <c r="AI37" s="51" t="e">
        <f t="shared" ca="1" si="2"/>
        <v>#NAME?</v>
      </c>
      <c r="AJ37" s="409">
        <f t="shared" ca="1" si="3"/>
        <v>0</v>
      </c>
      <c r="AK37" s="410">
        <f t="shared" ca="1" si="4"/>
        <v>0</v>
      </c>
      <c r="AL37" s="411">
        <f t="shared" ca="1" si="5"/>
        <v>0</v>
      </c>
      <c r="AM37" s="412">
        <f t="shared" ca="1" si="6"/>
        <v>0</v>
      </c>
      <c r="AN37" s="413">
        <f t="shared" ca="1" si="7"/>
        <v>0</v>
      </c>
    </row>
    <row r="38" spans="1:40" x14ac:dyDescent="0.25">
      <c r="A38" s="1" t="s">
        <v>104</v>
      </c>
      <c r="C38" s="26" t="s">
        <v>101</v>
      </c>
      <c r="D38" s="1" t="s">
        <v>106</v>
      </c>
      <c r="F38" s="1" t="s">
        <v>98</v>
      </c>
      <c r="H38" s="15" t="s">
        <v>280</v>
      </c>
      <c r="I38" s="479" t="e">
        <f ca="1">_xll.EVPRO($B$1,$H38,"STYLE")</f>
        <v>#NAME?</v>
      </c>
      <c r="J38" s="479" t="e">
        <f ca="1">_xll.EVPRO($B$1,$H38,"CALC")</f>
        <v>#NAME?</v>
      </c>
      <c r="K38" s="480" t="e">
        <f t="shared" ca="1" si="0"/>
        <v>#NAME?</v>
      </c>
      <c r="L38" s="170" t="e">
        <f ca="1">_xll.EVPRO($B$1,H38,"JDEID")</f>
        <v>#NAME?</v>
      </c>
      <c r="M38" s="170" t="e">
        <f ca="1">IF(AND(I38="N",J38="N"),_xll.EVPRO($B$1,H38,"PSFTID"),"")</f>
        <v>#NAME?</v>
      </c>
      <c r="N38" s="170" t="e">
        <f ca="1">IF(_xll.EVDES(H38,$B$1)="#NODATA","",_xll.EVDES(H38,$B$1))</f>
        <v>#NAME?</v>
      </c>
      <c r="O38" s="134"/>
      <c r="P38" s="134"/>
      <c r="Q38" s="134">
        <v>0</v>
      </c>
      <c r="R38" s="134"/>
      <c r="S38" s="134">
        <v>0</v>
      </c>
      <c r="T38" s="134"/>
      <c r="U38" s="134"/>
      <c r="V38" s="134"/>
      <c r="W38" s="134"/>
      <c r="X38" s="134"/>
      <c r="Y38" s="134"/>
      <c r="Z38" s="134"/>
      <c r="AA38" s="134" t="e">
        <f ca="1">IF($I38="B1","",SUM(O38:Z38))</f>
        <v>#NAME?</v>
      </c>
      <c r="AB38" s="135" t="e">
        <f ca="1">IF(AA38=0,"",IFERROR(AA38/AA$19,""))</f>
        <v>#NAME?</v>
      </c>
      <c r="AC38" s="137"/>
      <c r="AD38" s="134"/>
      <c r="AE38" s="135" t="str">
        <f>IF(AD38=0,"",IFERROR(AD38/AD$19,""))</f>
        <v/>
      </c>
      <c r="AF38" s="136" t="e">
        <f ca="1">IF(AND($AA38="",AD38=""),"",$AA38-AD38)</f>
        <v>#NAME?</v>
      </c>
      <c r="AG38" s="134"/>
      <c r="AH38" s="135" t="str">
        <f t="shared" si="1"/>
        <v/>
      </c>
      <c r="AI38" s="136" t="e">
        <f t="shared" ca="1" si="2"/>
        <v>#NAME?</v>
      </c>
      <c r="AJ38" s="360">
        <f t="shared" ca="1" si="3"/>
        <v>0</v>
      </c>
      <c r="AK38" s="361">
        <f t="shared" ca="1" si="4"/>
        <v>0</v>
      </c>
      <c r="AL38" s="363">
        <f t="shared" ca="1" si="5"/>
        <v>0</v>
      </c>
      <c r="AM38" s="405">
        <f t="shared" ca="1" si="6"/>
        <v>0</v>
      </c>
      <c r="AN38" s="406">
        <f t="shared" ca="1" si="7"/>
        <v>0</v>
      </c>
    </row>
    <row r="39" spans="1:40" x14ac:dyDescent="0.25">
      <c r="A39" s="1" t="s">
        <v>108</v>
      </c>
      <c r="C39" s="25" t="s">
        <v>101</v>
      </c>
      <c r="D39" s="1" t="s">
        <v>106</v>
      </c>
      <c r="F39" s="1" t="s">
        <v>98</v>
      </c>
      <c r="O39" s="53"/>
      <c r="P39" s="54"/>
      <c r="Q39" s="54"/>
      <c r="R39" s="54"/>
      <c r="S39" s="54"/>
      <c r="T39" s="54"/>
      <c r="U39" s="54"/>
      <c r="V39" s="54"/>
      <c r="W39" s="54"/>
      <c r="X39" s="54"/>
      <c r="Y39" s="54"/>
      <c r="Z39" s="54"/>
      <c r="AA39" s="54"/>
      <c r="AB39" s="55"/>
      <c r="AD39" s="53"/>
      <c r="AE39" s="54"/>
      <c r="AF39" s="55"/>
      <c r="AG39" s="53"/>
      <c r="AH39" s="54"/>
      <c r="AI39" s="55"/>
    </row>
    <row r="40" spans="1:40" x14ac:dyDescent="0.25">
      <c r="A40" s="1" t="s">
        <v>108</v>
      </c>
      <c r="C40" s="151" t="s">
        <v>101</v>
      </c>
      <c r="D40" s="1" t="s">
        <v>107</v>
      </c>
      <c r="F40" s="1" t="s">
        <v>99</v>
      </c>
      <c r="H40" s="1" t="s">
        <v>281</v>
      </c>
      <c r="I40" s="11" t="e">
        <f ca="1">_xll.EVPRO($B$1,$H40,"STYLE")</f>
        <v>#NAME?</v>
      </c>
      <c r="J40" s="11" t="e">
        <f ca="1">_xll.EVPRO($B$1,$H40,"CALC")</f>
        <v>#NAME?</v>
      </c>
      <c r="N40" s="40" t="e">
        <f ca="1">IF(_xll.EVDES(H40,$B$1)="#NODATA","",_xll.EVDES(H40,$B$1))</f>
        <v>#NAME?</v>
      </c>
      <c r="O40" s="53"/>
      <c r="P40" s="54"/>
      <c r="Q40" s="54"/>
      <c r="R40" s="54"/>
      <c r="S40" s="54"/>
      <c r="T40" s="54"/>
      <c r="U40" s="54"/>
      <c r="V40" s="54"/>
      <c r="W40" s="54"/>
      <c r="X40" s="54"/>
      <c r="Y40" s="54"/>
      <c r="Z40" s="54"/>
      <c r="AA40" s="54"/>
      <c r="AB40" s="55"/>
      <c r="AD40" s="53"/>
      <c r="AE40" s="54"/>
      <c r="AF40" s="55"/>
      <c r="AG40" s="53"/>
      <c r="AH40" s="54"/>
      <c r="AI40" s="55"/>
    </row>
    <row r="41" spans="1:40" x14ac:dyDescent="0.25">
      <c r="H41" s="15" t="s">
        <v>385</v>
      </c>
      <c r="I41" s="161" t="e">
        <f ca="1">_xll.EVPRO($B$1,$H41,"STYLE")</f>
        <v>#NAME?</v>
      </c>
      <c r="J41" s="161" t="e">
        <f ca="1">_xll.EVPRO($B$1,$H41,"CALC")</f>
        <v>#NAME?</v>
      </c>
      <c r="K41" s="68" t="e">
        <f ca="1">IF(AND(I41&gt;="T5"),"&gt;","")</f>
        <v>#NAME?</v>
      </c>
      <c r="L41" s="162" t="e">
        <f ca="1">_xll.EVPRO($B$1,H41,"JDEID")</f>
        <v>#NAME?</v>
      </c>
      <c r="M41" s="162" t="e">
        <f ca="1">IF(AND(I41="N",J41="N"),_xll.EVPRO($B$1,H41,"PSFTID"),"")</f>
        <v>#NAME?</v>
      </c>
      <c r="N41" s="162" t="e">
        <f ca="1">IF(_xll.EVDES(H41,$B$1)="#NODATA","",_xll.EVDES(H41,$B$1))</f>
        <v>#NAME?</v>
      </c>
      <c r="O41" s="30"/>
      <c r="P41" s="30"/>
      <c r="Q41" s="30"/>
      <c r="R41" s="30"/>
      <c r="S41" s="30"/>
      <c r="T41" s="30"/>
      <c r="U41" s="30"/>
      <c r="V41" s="30"/>
      <c r="W41" s="30"/>
      <c r="X41" s="30"/>
      <c r="Y41" s="30"/>
      <c r="Z41" s="30"/>
      <c r="AA41" s="30" t="e">
        <f ca="1">IF($I41="B1","",SUM(O41:Z41))</f>
        <v>#NAME?</v>
      </c>
      <c r="AB41" s="31" t="e">
        <f ca="1">IF(AA41=0,"",IFERROR(AA41/_xll.EVGTS($B$1,1,_xll.EVPRO($B$1,$H41,"COSBASIS"),$B$3,$B$5,$B$6,$B$7,$B$9,AA$16,AA$17,AA$11),""))</f>
        <v>#NAME?</v>
      </c>
      <c r="AD41" s="30"/>
      <c r="AE41" s="31" t="str">
        <f>IF(AD41=0,"",IFERROR(AD41/_xll.EVGTS($B$1,1,_xll.EVPRO($B$1,$H41,"COSBASIS"),$B$3,$B$5,$B$6,$B$7,$B$9,AD$16,AD$17,AD$18),""))</f>
        <v/>
      </c>
      <c r="AF41" s="51" t="e">
        <f ca="1">IF(AND($AA41="",AD41=""),"",$AA41-AD41)</f>
        <v>#NAME?</v>
      </c>
      <c r="AG41" s="30"/>
      <c r="AH41" s="31" t="str">
        <f>IF(AG41=0,"",IFERROR(AG41/_xll.EVGTS($B$1,1,_xll.EVPRO($B$1,$H41,"COSBASIS"),$B$3,$B$5,$B$6,$B$7,$B$9,AG$16,AG$17,AG$18),""))</f>
        <v/>
      </c>
      <c r="AI41" s="51" t="e">
        <f ca="1">IF(AND($AA41="",AG41=""),"",$AA41-AG41)</f>
        <v>#NAME?</v>
      </c>
      <c r="AJ41" s="409">
        <f ca="1">IFERROR(AA41/AA$20,0)</f>
        <v>0</v>
      </c>
      <c r="AK41" s="410">
        <f ca="1">IFERROR(AD41/AD$20,0)</f>
        <v>0</v>
      </c>
      <c r="AL41" s="411">
        <f ca="1">IFERROR(AG41/AG$20,0)</f>
        <v>0</v>
      </c>
      <c r="AM41" s="412">
        <f ca="1">+IFERROR(ROUND(($AB41-AE41)*100,2)&amp;" pts.",0)</f>
        <v>0</v>
      </c>
      <c r="AN41" s="413">
        <f ca="1">+IFERROR(ROUND(($AB41-AH41)*100,2)&amp;" pts.",0)</f>
        <v>0</v>
      </c>
    </row>
    <row r="42" spans="1:40" x14ac:dyDescent="0.25">
      <c r="H42" s="15" t="s">
        <v>289</v>
      </c>
      <c r="I42" s="479" t="e">
        <f ca="1">_xll.EVPRO($B$1,$H42,"STYLE")</f>
        <v>#NAME?</v>
      </c>
      <c r="J42" s="479" t="e">
        <f ca="1">_xll.EVPRO($B$1,$H42,"CALC")</f>
        <v>#NAME?</v>
      </c>
      <c r="K42" s="480" t="e">
        <f ca="1">IF(AND(I42&gt;="T5"),"&gt;","")</f>
        <v>#NAME?</v>
      </c>
      <c r="L42" s="170" t="e">
        <f ca="1">_xll.EVPRO($B$1,H42,"JDEID")</f>
        <v>#NAME?</v>
      </c>
      <c r="M42" s="170" t="e">
        <f ca="1">IF(AND(I42="N",J42="N"),_xll.EVPRO($B$1,H42,"PSFTID"),"")</f>
        <v>#NAME?</v>
      </c>
      <c r="N42" s="170" t="e">
        <f ca="1">IF(_xll.EVDES(H42,$B$1)="#NODATA","",_xll.EVDES(H42,$B$1))</f>
        <v>#NAME?</v>
      </c>
      <c r="O42" s="134"/>
      <c r="P42" s="134"/>
      <c r="Q42" s="134"/>
      <c r="R42" s="134"/>
      <c r="S42" s="134"/>
      <c r="T42" s="134"/>
      <c r="U42" s="134"/>
      <c r="V42" s="134"/>
      <c r="W42" s="134"/>
      <c r="X42" s="134"/>
      <c r="Y42" s="134"/>
      <c r="Z42" s="134"/>
      <c r="AA42" s="134" t="e">
        <f ca="1">IF($I42="B1","",SUM(O42:Z42))</f>
        <v>#NAME?</v>
      </c>
      <c r="AB42" s="135" t="e">
        <f ca="1">IF(AA42=0,"",IFERROR(AA42/_xll.EVGTS($B$1,1,_xll.EVPRO($B$1,$H42,"COSBASIS"),$B$3,$B$5,$B$6,$B$7,$B$9,AA$16,AA$17,AA$11),""))</f>
        <v>#NAME?</v>
      </c>
      <c r="AC42" s="137"/>
      <c r="AD42" s="134"/>
      <c r="AE42" s="135" t="str">
        <f>IF(AD42=0,"",IFERROR(AD42/_xll.EVGTS($B$1,1,_xll.EVPRO($B$1,$H42,"COSBASIS"),$B$3,$B$5,$B$6,$B$7,$B$9,AD$16,AD$17,AD$18),""))</f>
        <v/>
      </c>
      <c r="AF42" s="136" t="e">
        <f ca="1">IF(AND($AA42="",AD42=""),"",$AA42-AD42)</f>
        <v>#NAME?</v>
      </c>
      <c r="AG42" s="134"/>
      <c r="AH42" s="135" t="str">
        <f>IF(AG42=0,"",IFERROR(AG42/_xll.EVGTS($B$1,1,_xll.EVPRO($B$1,$H42,"COSBASIS"),$B$3,$B$5,$B$6,$B$7,$B$9,AG$16,AG$17,AG$18),""))</f>
        <v/>
      </c>
      <c r="AI42" s="136" t="e">
        <f ca="1">IF(AND($AA42="",AG42=""),"",$AA42-AG42)</f>
        <v>#NAME?</v>
      </c>
      <c r="AJ42" s="360">
        <f ca="1">IFERROR(AA42/AA$20,0)</f>
        <v>0</v>
      </c>
      <c r="AK42" s="361">
        <f ca="1">IFERROR(AD42/AD$20,0)</f>
        <v>0</v>
      </c>
      <c r="AL42" s="363">
        <f ca="1">IFERROR(AG42/AG$20,0)</f>
        <v>0</v>
      </c>
      <c r="AM42" s="405">
        <f ca="1">+IFERROR(ROUND(($AB42-AE42)*100,2)&amp;" pts.",0)</f>
        <v>0</v>
      </c>
      <c r="AN42" s="406">
        <f ca="1">+IFERROR(ROUND(($AB42-AH42)*100,2)&amp;" pts.",0)</f>
        <v>0</v>
      </c>
    </row>
    <row r="43" spans="1:40" x14ac:dyDescent="0.25">
      <c r="A43" s="4" t="e">
        <f ca="1">_xll.EVDRE($B$1,A46:B53,A56:B62)</f>
        <v>#NAME?</v>
      </c>
      <c r="H43" s="149" t="s">
        <v>175</v>
      </c>
      <c r="I43" s="28" t="e">
        <f ca="1">_xll.EVPRO($B$1,$H43,"STYLE")</f>
        <v>#NAME?</v>
      </c>
      <c r="J43" s="28" t="e">
        <f ca="1">_xll.EVPRO($B$1,$H43,"CALC")</f>
        <v>#NAME?</v>
      </c>
      <c r="K43" s="69" t="e">
        <f ca="1">IF(AND(I43&gt;="T5"),"&gt;","")</f>
        <v>#NAME?</v>
      </c>
      <c r="L43" s="69"/>
      <c r="M43" s="69"/>
      <c r="N43" s="25" t="e">
        <f ca="1">IF(_xll.EVDES(H43,$B$1)="#NODATA","",_xll.EVDES(H43,$B$1))</f>
        <v>#NAME?</v>
      </c>
      <c r="O43" s="47"/>
      <c r="P43" s="47"/>
      <c r="Q43" s="47"/>
      <c r="R43" s="47"/>
      <c r="S43" s="47"/>
      <c r="T43" s="47"/>
      <c r="U43" s="47"/>
      <c r="V43" s="47"/>
      <c r="W43" s="47"/>
      <c r="X43" s="47"/>
      <c r="Y43" s="47"/>
      <c r="Z43" s="47"/>
      <c r="AA43" s="47"/>
      <c r="AB43" s="48"/>
      <c r="AD43" s="47"/>
      <c r="AE43" s="48" t="str">
        <f>IF(AD43=0,"",IFERROR(AD43/_xll.EVGTS($B$1,1,INDEX($C$143:$C$166,MATCH($H43,$A$143:$A$166,0)),$B$3,$B$5,$B$6,$B$7,$B$9,AD$16,AD$17,AD$18),""))</f>
        <v/>
      </c>
      <c r="AF43" s="150" t="str">
        <f>IF(AND($AA43="",AD43=""),"",$AA43-AD43)</f>
        <v/>
      </c>
      <c r="AG43" s="47"/>
      <c r="AH43" s="48" t="str">
        <f>IF(AG43=0,"",IFERROR(AG43/_xll.EVGTS($B$1,1,INDEX($C$143:$C$166,MATCH($H43,$A$143:$A$166,0)),$B$3,$B$5,$B$6,$B$7,$B$9,AG$16,AG$17,AG$18),""))</f>
        <v/>
      </c>
      <c r="AI43" s="150" t="str">
        <f>IF(AND($AA43="",AG43=""),"",$AA43-AG43)</f>
        <v/>
      </c>
      <c r="AJ43" s="420">
        <f ca="1">IFERROR(AA43/AA$20,0)</f>
        <v>0</v>
      </c>
      <c r="AK43" s="421">
        <f ca="1">IFERROR(AD43/AD$20,0)</f>
        <v>0</v>
      </c>
      <c r="AL43" s="422">
        <f ca="1">IFERROR(AG43/AG$20,0)</f>
        <v>0</v>
      </c>
      <c r="AM43" s="423">
        <f>+IFERROR(ROUND(($AB43-AE43)*100,2)&amp;" pts.",0)</f>
        <v>0</v>
      </c>
      <c r="AN43" s="424">
        <f>+IFERROR(ROUND(($AB43-AH43)*100,2)&amp;" pts.",0)</f>
        <v>0</v>
      </c>
    </row>
    <row r="44" spans="1:40" x14ac:dyDescent="0.25">
      <c r="H44" s="149" t="s">
        <v>292</v>
      </c>
      <c r="I44" s="28" t="e">
        <f ca="1">_xll.EVPRO($B$1,$H44,"STYLE")</f>
        <v>#NAME?</v>
      </c>
      <c r="J44" s="28" t="e">
        <f ca="1">_xll.EVPRO($B$1,$H44,"CALC")</f>
        <v>#NAME?</v>
      </c>
      <c r="K44" s="69" t="e">
        <f ca="1">IF(AND(I44&gt;="T5"),"&gt;","")</f>
        <v>#NAME?</v>
      </c>
      <c r="L44" s="69"/>
      <c r="M44" s="69"/>
      <c r="N44" s="25" t="e">
        <f ca="1">IF(_xll.EVDES(H44,$B$1)="#NODATA","",_xll.EVDES(H44,$B$1))</f>
        <v>#NAME?</v>
      </c>
      <c r="O44" s="164">
        <f>SUMIF($H$34:$H$42,"400000",O34:O42)-SUMIF($H$34:$H$42,"500001",O34:O42)</f>
        <v>0</v>
      </c>
      <c r="P44" s="164">
        <f t="shared" ref="P44:Z44" si="8">SUMIF($H$34:$H$42,"400000",P34:P42)-SUMIF($H$34:$H$42,"500001",P34:P42)</f>
        <v>0</v>
      </c>
      <c r="Q44" s="164">
        <f t="shared" si="8"/>
        <v>0</v>
      </c>
      <c r="R44" s="164">
        <f t="shared" si="8"/>
        <v>0</v>
      </c>
      <c r="S44" s="164">
        <f t="shared" si="8"/>
        <v>0</v>
      </c>
      <c r="T44" s="164">
        <f t="shared" si="8"/>
        <v>0</v>
      </c>
      <c r="U44" s="164">
        <f t="shared" si="8"/>
        <v>0</v>
      </c>
      <c r="V44" s="164">
        <f t="shared" si="8"/>
        <v>0</v>
      </c>
      <c r="W44" s="164">
        <f t="shared" si="8"/>
        <v>0</v>
      </c>
      <c r="X44" s="164">
        <f t="shared" si="8"/>
        <v>0</v>
      </c>
      <c r="Y44" s="164">
        <f t="shared" si="8"/>
        <v>0</v>
      </c>
      <c r="Z44" s="164">
        <f t="shared" si="8"/>
        <v>0</v>
      </c>
      <c r="AA44" s="134" t="e">
        <f ca="1">IF($I44="B1","",SUM(O44:Z44))</f>
        <v>#NAME?</v>
      </c>
      <c r="AB44" s="135" t="e">
        <f ca="1">IF(AA44=0,"",IFERROR(AA44/AA$19,""))</f>
        <v>#NAME?</v>
      </c>
      <c r="AD44" s="164">
        <f>SUMIF($H$34:$H$42,"400000",AD34:AD42)-SUMIF($H$34:$H$42,"500001",AD34:AD42)</f>
        <v>0</v>
      </c>
      <c r="AE44" s="135" t="str">
        <f>IF(AD44=0,"",IFERROR(AD44/AD$19,""))</f>
        <v/>
      </c>
      <c r="AF44" s="165" t="e">
        <f ca="1">IF(AND($AA44="",AD44=""),"",$AA44-AD44)</f>
        <v>#NAME?</v>
      </c>
      <c r="AG44" s="164">
        <f>SUMIF($H$34:$H$42,"400000",AG34:AG42)-SUMIF($H$34:$H$42,"500001",AG34:AG42)</f>
        <v>0</v>
      </c>
      <c r="AH44" s="135" t="str">
        <f>IF(AG44=0,"",IFERROR(AG44/AG$19,""))</f>
        <v/>
      </c>
      <c r="AI44" s="165" t="e">
        <f ca="1">IF(AND($AA44="",AG44=""),"",$AA44-AG44)</f>
        <v>#NAME?</v>
      </c>
      <c r="AJ44" s="392">
        <f ca="1">IFERROR(AA44/AA$20,0)</f>
        <v>0</v>
      </c>
      <c r="AK44" s="393">
        <f ca="1">IFERROR(AD44/AD$20,0)</f>
        <v>0</v>
      </c>
      <c r="AL44" s="394">
        <f ca="1">IFERROR(AG44/AG$20,0)</f>
        <v>0</v>
      </c>
      <c r="AM44" s="395">
        <f ca="1">+IFERROR(ROUND(($AB44-AE44)*100,2)&amp;" pts.",0)</f>
        <v>0</v>
      </c>
      <c r="AN44" s="437">
        <f ca="1">+IFERROR(ROUND(($AB44-AH44)*100,2)&amp;" pts.",0)</f>
        <v>0</v>
      </c>
    </row>
    <row r="45" spans="1:40" x14ac:dyDescent="0.25">
      <c r="A45" s="3" t="s">
        <v>0</v>
      </c>
      <c r="B45" s="5" t="s">
        <v>1</v>
      </c>
      <c r="O45" s="163"/>
      <c r="P45" s="287"/>
      <c r="Q45" s="287"/>
      <c r="R45" s="287"/>
      <c r="S45" s="287"/>
      <c r="T45" s="287"/>
      <c r="U45" s="287"/>
      <c r="V45" s="287"/>
      <c r="W45" s="287"/>
      <c r="X45" s="287"/>
      <c r="Y45" s="287"/>
      <c r="Z45" s="287"/>
      <c r="AA45" s="287"/>
      <c r="AB45" s="55"/>
      <c r="AD45" s="53"/>
      <c r="AE45" s="54"/>
      <c r="AF45" s="55"/>
      <c r="AG45" s="54"/>
      <c r="AH45" s="54"/>
      <c r="AI45" s="55"/>
    </row>
    <row r="46" spans="1:40" x14ac:dyDescent="0.25">
      <c r="A46" s="6" t="s">
        <v>2</v>
      </c>
      <c r="B46" s="7" t="e">
        <f ca="1">_xll.EVRNG($B$2:$B$10)</f>
        <v>#NAME?</v>
      </c>
      <c r="H46" s="1" t="s">
        <v>73</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168"/>
      <c r="AD46" s="167"/>
      <c r="AE46" s="169"/>
      <c r="AF46" s="55"/>
      <c r="AG46" s="54"/>
      <c r="AH46" s="169"/>
      <c r="AI46" s="55"/>
    </row>
    <row r="47" spans="1:40" x14ac:dyDescent="0.25">
      <c r="A47" s="6" t="s">
        <v>3</v>
      </c>
      <c r="B47" s="7" t="e">
        <f ca="1">_xll.EVRNG($O$16:$AN$18)</f>
        <v>#NAME?</v>
      </c>
      <c r="H47" s="1" t="s">
        <v>74</v>
      </c>
      <c r="I47" s="11" t="e">
        <f ca="1">_xll.EVPRO($B$1,$H47,"STYLE")</f>
        <v>#NAME?</v>
      </c>
      <c r="J47" s="11" t="e">
        <f ca="1">_xll.EVPRO($B$1,$H47,"CALC")</f>
        <v>#NAME?</v>
      </c>
      <c r="N47" s="8" t="e">
        <f ca="1">IF(_xll.EVDES(H47,$B$1)="#NODATA","",_xll.EVDES(H47,$B$1))</f>
        <v>#NAME?</v>
      </c>
      <c r="O47" s="43"/>
      <c r="P47" s="46"/>
      <c r="Q47" s="46"/>
      <c r="R47" s="46"/>
      <c r="S47" s="46"/>
      <c r="T47" s="46"/>
      <c r="U47" s="46"/>
      <c r="V47" s="46"/>
      <c r="W47" s="46"/>
      <c r="X47" s="46"/>
      <c r="Y47" s="46"/>
      <c r="Z47" s="46"/>
      <c r="AA47" s="46"/>
      <c r="AB47" s="44"/>
      <c r="AD47" s="43"/>
      <c r="AE47" s="46"/>
      <c r="AF47" s="44"/>
      <c r="AG47" s="46"/>
      <c r="AH47" s="46"/>
      <c r="AI47" s="44"/>
    </row>
    <row r="48" spans="1:40" hidden="1" x14ac:dyDescent="0.25">
      <c r="A48" s="6" t="s">
        <v>4</v>
      </c>
      <c r="B48" s="7" t="e">
        <f ca="1">_xll.EVRNG(H41:H42)</f>
        <v>#NAME?</v>
      </c>
      <c r="H48" s="15" t="s">
        <v>667</v>
      </c>
      <c r="I48" s="161" t="e">
        <f ca="1">_xll.EVPRO($B$1,$H48,"STYLE")</f>
        <v>#NAME?</v>
      </c>
      <c r="J48" s="161" t="e">
        <f ca="1">_xll.EVPRO($B$1,$H48,"CALC")</f>
        <v>#NAME?</v>
      </c>
      <c r="K48" s="68" t="e">
        <f ca="1">IF(AND(I48&gt;="T3"),"&gt;","")</f>
        <v>#NAME?</v>
      </c>
      <c r="L48" s="162" t="e">
        <f ca="1">_xll.EVPRO($B$1,H48,"JDEID")</f>
        <v>#NAME?</v>
      </c>
      <c r="M48" s="162" t="e">
        <f ca="1">IF(AND(I48="N",J48="N"),_xll.EVPRO($B$1,H48,"PSFTID"),"")</f>
        <v>#NAME?</v>
      </c>
      <c r="N48" s="162" t="e">
        <f ca="1">IF(_xll.EVDES(H48,$B$1)="#NODATA","",_xll.EVDES(H48,$B$1))</f>
        <v>#NAME?</v>
      </c>
      <c r="O48" s="47"/>
      <c r="P48" s="47"/>
      <c r="Q48" s="47"/>
      <c r="R48" s="47"/>
      <c r="S48" s="47"/>
      <c r="T48" s="47"/>
      <c r="U48" s="47"/>
      <c r="V48" s="47"/>
      <c r="W48" s="47"/>
      <c r="X48" s="47"/>
      <c r="Y48" s="47"/>
      <c r="Z48" s="47"/>
      <c r="AA48" s="324" t="e">
        <f ca="1">IF($I48="B1","",SUM(O48:Z48))</f>
        <v>#NAME?</v>
      </c>
      <c r="AB48" s="48" t="e">
        <f ca="1">IF(AA48=0,"",IFERROR(AA48/AA$19,""))</f>
        <v>#NAME?</v>
      </c>
      <c r="AD48" s="47"/>
      <c r="AE48" s="48" t="str">
        <f>IF(AD48=0,"",IFERROR(AD48/AD$19,""))</f>
        <v/>
      </c>
      <c r="AF48" s="150" t="e">
        <f ca="1">IF(AND($AA48="",AD48=""),"",$AA48-AD48)</f>
        <v>#NAME?</v>
      </c>
      <c r="AG48" s="47"/>
      <c r="AH48" s="48" t="str">
        <f>IF(AG48=0,"",IFERROR(AG48/AG$19,""))</f>
        <v/>
      </c>
      <c r="AI48" s="150" t="e">
        <f ca="1">IF(AND($AA48="",AG48=""),"",$AA48-AG48)</f>
        <v>#NAME?</v>
      </c>
      <c r="AJ48" s="399">
        <f ca="1">IFERROR(AA48/AA$20,0)</f>
        <v>0</v>
      </c>
      <c r="AK48" s="400">
        <f ca="1">IFERROR(AD48/AD$20,0)</f>
        <v>0</v>
      </c>
      <c r="AL48" s="401">
        <f ca="1">IFERROR(AG48/AG$20,0)</f>
        <v>0</v>
      </c>
      <c r="AM48" s="402">
        <f ca="1">+IFERROR(ROUND(($AB48-AE48)*100,2)&amp;" pts.",0)</f>
        <v>0</v>
      </c>
      <c r="AN48" s="403">
        <f ca="1">+IFERROR(ROUND(($AB48-AH48)*100,2)&amp;" pts.",0)</f>
        <v>0</v>
      </c>
    </row>
    <row r="49" spans="1:40" hidden="1" x14ac:dyDescent="0.25">
      <c r="A49" s="6" t="s">
        <v>5</v>
      </c>
      <c r="B49" s="7"/>
      <c r="F49" s="152"/>
      <c r="H49" s="15"/>
      <c r="I49" s="161" t="e">
        <f ca="1">_xll.EVPRO($B$1,$H49,"STYLE")</f>
        <v>#NAME?</v>
      </c>
      <c r="J49" s="161" t="e">
        <f ca="1">_xll.EVPRO($B$1,$H49,"CALC")</f>
        <v>#NAME?</v>
      </c>
      <c r="K49" s="68" t="e">
        <f ca="1">IF(AND(I49&gt;="T3"),"&gt;","")</f>
        <v>#NAME?</v>
      </c>
      <c r="L49" s="162" t="e">
        <f ca="1">_xll.EVPRO($B$1,H49,"JDEID")</f>
        <v>#NAME?</v>
      </c>
      <c r="M49" s="162" t="e">
        <f ca="1">IF(AND(I49="N",J49="N"),_xll.EVPRO($B$1,H49,"PSFTID"),"")</f>
        <v>#NAME?</v>
      </c>
      <c r="N49" s="162" t="e">
        <f ca="1">IF(_xll.EVDES(H49,$B$1)="#NODATA","",_xll.EVDES(H49,$B$1))</f>
        <v>#NAME?</v>
      </c>
      <c r="O49" s="47"/>
      <c r="P49" s="47"/>
      <c r="Q49" s="47"/>
      <c r="R49" s="47"/>
      <c r="S49" s="47"/>
      <c r="T49" s="47"/>
      <c r="U49" s="47"/>
      <c r="V49" s="47"/>
      <c r="W49" s="47"/>
      <c r="X49" s="47"/>
      <c r="Y49" s="47"/>
      <c r="Z49" s="47"/>
      <c r="AA49" s="324" t="e">
        <f ca="1">IF($I49="B1","",SUM(O49:Z49))</f>
        <v>#NAME?</v>
      </c>
      <c r="AB49" s="48" t="e">
        <f ca="1">IF(AA49=0,"",IFERROR(AA49/AA$19,""))</f>
        <v>#NAME?</v>
      </c>
      <c r="AD49" s="47"/>
      <c r="AE49" s="48" t="str">
        <f>IF(AD49=0,"",IFERROR(AD49/AD$19,""))</f>
        <v/>
      </c>
      <c r="AF49" s="150" t="e">
        <f ca="1">IF(AND($AA49="",AD49=""),"",$AA49-AD49)</f>
        <v>#NAME?</v>
      </c>
      <c r="AG49" s="47"/>
      <c r="AH49" s="48" t="str">
        <f>IF(AG49=0,"",IFERROR(AG49/AG$19,""))</f>
        <v/>
      </c>
      <c r="AI49" s="150" t="e">
        <f ca="1">IF(AND($AA49="",AG49=""),"",$AA49-AG49)</f>
        <v>#NAME?</v>
      </c>
      <c r="AJ49" s="399">
        <f ca="1">IFERROR(AA49/AA$20,0)</f>
        <v>0</v>
      </c>
      <c r="AK49" s="400">
        <f ca="1">IFERROR(AD49/AD$20,0)</f>
        <v>0</v>
      </c>
      <c r="AL49" s="401">
        <f ca="1">IFERROR(AG49/AG$20,0)</f>
        <v>0</v>
      </c>
      <c r="AM49" s="402">
        <f ca="1">+IFERROR(ROUND(($AB49-AE49)*100,2)&amp;" pts.",0)</f>
        <v>0</v>
      </c>
      <c r="AN49" s="403">
        <f ca="1">+IFERROR(ROUND(($AB49-AH49)*100,2)&amp;" pts.",0)</f>
        <v>0</v>
      </c>
    </row>
    <row r="50" spans="1:40" x14ac:dyDescent="0.25">
      <c r="A50" s="6" t="s">
        <v>6</v>
      </c>
      <c r="B50" s="7"/>
      <c r="F50" s="152"/>
      <c r="H50" s="15" t="s">
        <v>75</v>
      </c>
      <c r="I50" s="28" t="e">
        <f ca="1">_xll.EVPRO($B$1,$H50,"STYLE")</f>
        <v>#NAME?</v>
      </c>
      <c r="J50" s="28" t="e">
        <f ca="1">_xll.EVPRO($B$1,$H50,"CALC")</f>
        <v>#NAME?</v>
      </c>
      <c r="K50" s="69" t="e">
        <f ca="1">IF(AND(I50&gt;="T3"),"&gt;","")</f>
        <v>#NAME?</v>
      </c>
      <c r="L50" s="25" t="e">
        <f ca="1">_xll.EVPRO($B$1,H50,"JDEID")</f>
        <v>#NAME?</v>
      </c>
      <c r="M50" s="162" t="e">
        <f ca="1">IF(AND(I50="N",J50="N"),_xll.EVPRO($B$1,H50,"PSFTID"),"")</f>
        <v>#NAME?</v>
      </c>
      <c r="N50" s="25" t="e">
        <f ca="1">IF(_xll.EVDES(H50,$B$1)="#NODATA","",_xll.EVDES(H50,$B$1))</f>
        <v>#NAME?</v>
      </c>
      <c r="O50" s="38"/>
      <c r="P50" s="38"/>
      <c r="Q50" s="38"/>
      <c r="R50" s="38"/>
      <c r="S50" s="38"/>
      <c r="T50" s="38"/>
      <c r="U50" s="38"/>
      <c r="V50" s="38"/>
      <c r="W50" s="38"/>
      <c r="X50" s="38"/>
      <c r="Y50" s="38"/>
      <c r="Z50" s="38"/>
      <c r="AA50" s="310" t="e">
        <f ca="1">IF($I50="B1","",SUM(O50:Z50))</f>
        <v>#NAME?</v>
      </c>
      <c r="AB50" s="39" t="e">
        <f ca="1">IF(AA50=0,"",IFERROR(AA50/AA$19,""))</f>
        <v>#NAME?</v>
      </c>
      <c r="AD50" s="38"/>
      <c r="AE50" s="39" t="str">
        <f>IF(AD50=0,"",IFERROR(AD50/AD$19,""))</f>
        <v/>
      </c>
      <c r="AF50" s="132" t="e">
        <f ca="1">IF(AND($AA50="",AD50=""),"",$AA50-AD50)</f>
        <v>#NAME?</v>
      </c>
      <c r="AG50" s="38"/>
      <c r="AH50" s="39" t="str">
        <f>IF(AG50=0,"",IFERROR(AG50/AG$19,""))</f>
        <v/>
      </c>
      <c r="AI50" s="132"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hidden="1" x14ac:dyDescent="0.25">
      <c r="A51" s="6" t="s">
        <v>7</v>
      </c>
      <c r="B51" s="7" t="e">
        <f ca="1">_xll.EVRNG(A65:F68)</f>
        <v>#NAME?</v>
      </c>
      <c r="F51" s="152"/>
      <c r="H51" s="15" t="s">
        <v>667</v>
      </c>
      <c r="I51" s="161" t="e">
        <f ca="1">_xll.EVPRO($B$1,$H51,"STYLE")</f>
        <v>#NAME?</v>
      </c>
      <c r="J51" s="161" t="e">
        <f ca="1">_xll.EVPRO($B$1,$H51,"CALC")</f>
        <v>#NAME?</v>
      </c>
      <c r="K51" s="68" t="e">
        <f ca="1">IF(AND(I51&gt;="T3"),"&gt;","")</f>
        <v>#NAME?</v>
      </c>
      <c r="L51" s="162" t="e">
        <f ca="1">_xll.EVPRO($B$1,H51,"JDEID")</f>
        <v>#NAME?</v>
      </c>
      <c r="M51" s="162" t="e">
        <f ca="1">IF(AND(I51="N",J51="N"),_xll.EVPRO($B$1,H51,"PSFTID"),"")</f>
        <v>#NAME?</v>
      </c>
      <c r="N51" s="162" t="e">
        <f ca="1">IF(_xll.EVDES(H51,$B$1)="#NODATA","",_xll.EVDES(H51,$B$1))</f>
        <v>#NAME?</v>
      </c>
      <c r="O51" s="47"/>
      <c r="P51" s="47"/>
      <c r="Q51" s="47"/>
      <c r="R51" s="47"/>
      <c r="S51" s="47"/>
      <c r="T51" s="47"/>
      <c r="U51" s="47"/>
      <c r="V51" s="47"/>
      <c r="W51" s="47"/>
      <c r="X51" s="47"/>
      <c r="Y51" s="47"/>
      <c r="Z51" s="47"/>
      <c r="AA51" s="324" t="e">
        <f ca="1">IF($I51="B1","",SUM(O51:Z51))</f>
        <v>#NAME?</v>
      </c>
      <c r="AB51" s="48" t="e">
        <f ca="1">IF(AA51=0,"",IFERROR(AA51/AA$19,""))</f>
        <v>#NAME?</v>
      </c>
      <c r="AD51" s="47"/>
      <c r="AE51" s="48" t="str">
        <f>IF(AD51=0,"",IFERROR(AD51/AD$19,""))</f>
        <v/>
      </c>
      <c r="AF51" s="150" t="e">
        <f ca="1">IF(AND($AA51="",AD51=""),"",$AA51-AD51)</f>
        <v>#NAME?</v>
      </c>
      <c r="AG51" s="47"/>
      <c r="AH51" s="48" t="str">
        <f>IF(AG51=0,"",IFERROR(AG51/AG$19,""))</f>
        <v/>
      </c>
      <c r="AI51" s="150" t="e">
        <f ca="1">IF(AND($AA51="",AG51=""),"",$AA51-AG51)</f>
        <v>#NAME?</v>
      </c>
      <c r="AJ51" s="409">
        <f ca="1">IFERROR(AA51/AA$20,0)</f>
        <v>0</v>
      </c>
      <c r="AK51" s="410">
        <f ca="1">IFERROR(AD51/AD$20,0)</f>
        <v>0</v>
      </c>
      <c r="AL51" s="411">
        <f ca="1">IFERROR(AG51/AG$20,0)</f>
        <v>0</v>
      </c>
      <c r="AM51" s="412">
        <f ca="1">+IFERROR(ROUND(($AB51-AE51)*100,2)&amp;" pts.",0)</f>
        <v>0</v>
      </c>
      <c r="AN51" s="413">
        <f ca="1">+IFERROR(ROUND(($AB51-AH51)*100,2)&amp;" pts.",0)</f>
        <v>0</v>
      </c>
    </row>
    <row r="52" spans="1:40" hidden="1" x14ac:dyDescent="0.25">
      <c r="A52" s="6" t="s">
        <v>47</v>
      </c>
      <c r="B52" s="7" t="e">
        <f ca="1">_xll.EVRNG($A$116:$B$137)</f>
        <v>#NAME?</v>
      </c>
      <c r="H52" s="15"/>
      <c r="I52" s="161" t="e">
        <f ca="1">_xll.EVPRO($B$1,$H52,"STYLE")</f>
        <v>#NAME?</v>
      </c>
      <c r="J52" s="161" t="e">
        <f ca="1">_xll.EVPRO($B$1,$H52,"CALC")</f>
        <v>#NAME?</v>
      </c>
      <c r="K52" s="68" t="e">
        <f ca="1">IF(AND(I52&gt;="T3"),"&gt;","")</f>
        <v>#NAME?</v>
      </c>
      <c r="L52" s="162" t="e">
        <f ca="1">_xll.EVPRO($B$1,H52,"JDEID")</f>
        <v>#NAME?</v>
      </c>
      <c r="M52" s="162" t="e">
        <f ca="1">IF(AND(I52="N",J52="N"),_xll.EVPRO($B$1,H52,"PSFTID"),"")</f>
        <v>#NAME?</v>
      </c>
      <c r="N52" s="162" t="e">
        <f ca="1">IF(_xll.EVDES(H52,$B$1)="#NODATA","",_xll.EVDES(H52,$B$1))</f>
        <v>#NAME?</v>
      </c>
      <c r="O52" s="47"/>
      <c r="P52" s="47"/>
      <c r="Q52" s="47"/>
      <c r="R52" s="47"/>
      <c r="S52" s="47"/>
      <c r="T52" s="47"/>
      <c r="U52" s="47"/>
      <c r="V52" s="47"/>
      <c r="W52" s="47"/>
      <c r="X52" s="47"/>
      <c r="Y52" s="47"/>
      <c r="Z52" s="47"/>
      <c r="AA52" s="324" t="e">
        <f ca="1">IF($I52="B1","",SUM(O52:Z52))</f>
        <v>#NAME?</v>
      </c>
      <c r="AB52" s="48" t="e">
        <f ca="1">IF(AA52=0,"",IFERROR(AA52/AA$19,""))</f>
        <v>#NAME?</v>
      </c>
      <c r="AD52" s="47"/>
      <c r="AE52" s="48" t="str">
        <f>IF(AD52=0,"",IFERROR(AD52/AD$19,""))</f>
        <v/>
      </c>
      <c r="AF52" s="150" t="e">
        <f ca="1">IF(AND($AA52="",AD52=""),"",$AA52-AD52)</f>
        <v>#NAME?</v>
      </c>
      <c r="AG52" s="47"/>
      <c r="AH52" s="48" t="str">
        <f>IF(AG52=0,"",IFERROR(AG52/AG$19,""))</f>
        <v/>
      </c>
      <c r="AI52" s="150" t="e">
        <f ca="1">IF(AND($AA52="",AG52=""),"",$AA52-AG52)</f>
        <v>#NAME?</v>
      </c>
      <c r="AJ52" s="409">
        <f ca="1">IFERROR(AA52/AA$20,0)</f>
        <v>0</v>
      </c>
      <c r="AK52" s="410">
        <f ca="1">IFERROR(AD52/AD$20,0)</f>
        <v>0</v>
      </c>
      <c r="AL52" s="411">
        <f ca="1">IFERROR(AG52/AG$20,0)</f>
        <v>0</v>
      </c>
      <c r="AM52" s="412">
        <f ca="1">+IFERROR(ROUND(($AB52-AE52)*100,2)&amp;" pts.",0)</f>
        <v>0</v>
      </c>
      <c r="AN52" s="413">
        <f ca="1">+IFERROR(ROUND(($AB52-AH52)*100,2)&amp;" pts.",0)</f>
        <v>0</v>
      </c>
    </row>
    <row r="53" spans="1:40" x14ac:dyDescent="0.25">
      <c r="A53" s="6" t="s">
        <v>8</v>
      </c>
      <c r="B53" s="7"/>
      <c r="O53" s="41"/>
      <c r="P53" s="45"/>
      <c r="Q53" s="45"/>
      <c r="R53" s="45"/>
      <c r="S53" s="45"/>
      <c r="T53" s="45"/>
      <c r="U53" s="45"/>
      <c r="V53" s="45"/>
      <c r="W53" s="45"/>
      <c r="X53" s="45"/>
      <c r="Y53" s="45"/>
      <c r="Z53" s="45"/>
      <c r="AA53" s="45"/>
      <c r="AB53" s="42"/>
      <c r="AD53" s="41"/>
      <c r="AE53" s="45"/>
      <c r="AF53" s="42"/>
      <c r="AG53" s="41"/>
      <c r="AH53" s="45"/>
      <c r="AI53" s="42"/>
    </row>
    <row r="54" spans="1:40" x14ac:dyDescent="0.25">
      <c r="H54" s="1" t="s">
        <v>82</v>
      </c>
      <c r="I54" s="11" t="e">
        <f ca="1">_xll.EVPRO($B$1,$H54,"STYLE")</f>
        <v>#NAME?</v>
      </c>
      <c r="J54" s="11" t="e">
        <f ca="1">_xll.EVPRO($B$1,$H54,"CALC")</f>
        <v>#NAME?</v>
      </c>
      <c r="N54" s="40" t="e">
        <f ca="1">IF(_xll.EVDES(H54,$B$1)="#NODATA","",_xll.EVDES(H54,$B$1))</f>
        <v>#NAME?</v>
      </c>
      <c r="O54" s="43"/>
      <c r="P54" s="46"/>
      <c r="Q54" s="46"/>
      <c r="R54" s="46"/>
      <c r="S54" s="46"/>
      <c r="T54" s="46"/>
      <c r="U54" s="46"/>
      <c r="V54" s="46"/>
      <c r="W54" s="46"/>
      <c r="X54" s="46"/>
      <c r="Y54" s="46"/>
      <c r="Z54" s="46"/>
      <c r="AA54" s="46"/>
      <c r="AB54" s="44"/>
      <c r="AD54" s="43"/>
      <c r="AE54" s="46"/>
      <c r="AF54" s="44"/>
      <c r="AG54" s="43"/>
      <c r="AH54" s="46"/>
      <c r="AI54" s="44"/>
    </row>
    <row r="55" spans="1:40" hidden="1" x14ac:dyDescent="0.25">
      <c r="A55" s="3" t="s">
        <v>9</v>
      </c>
      <c r="B55" s="5" t="s">
        <v>10</v>
      </c>
      <c r="H55" s="15" t="s">
        <v>667</v>
      </c>
      <c r="I55" s="161" t="e">
        <f ca="1">_xll.EVPRO($B$1,$H55,"STYLE")</f>
        <v>#NAME?</v>
      </c>
      <c r="J55" s="161" t="e">
        <f ca="1">_xll.EVPRO($B$1,$H55,"CALC")</f>
        <v>#NAME?</v>
      </c>
      <c r="K55" s="68" t="e">
        <f ca="1">IF(AND(I55&lt;&gt;"B1",J55="Y"),"&gt;","")</f>
        <v>#NAME?</v>
      </c>
      <c r="L55" s="162" t="e">
        <f ca="1">_xll.EVPRO($B$1,H55,"JDEID")</f>
        <v>#NAME?</v>
      </c>
      <c r="M55" s="162" t="e">
        <f ca="1">IF(AND(I55="N",J55="N"),_xll.EVPRO($B$1,H55,"PSFTID"),"")</f>
        <v>#NAME?</v>
      </c>
      <c r="N55" s="162" t="e">
        <f ca="1">IF(_xll.EVDES(H55,$B$1)="#NODATA","",_xll.EVDES(H55,$B$1))</f>
        <v>#NAME?</v>
      </c>
      <c r="O55" s="30"/>
      <c r="P55" s="30"/>
      <c r="Q55" s="30"/>
      <c r="R55" s="30"/>
      <c r="S55" s="30"/>
      <c r="T55" s="30"/>
      <c r="U55" s="30"/>
      <c r="V55" s="30"/>
      <c r="W55" s="30"/>
      <c r="X55" s="30"/>
      <c r="Y55" s="30"/>
      <c r="Z55" s="30"/>
      <c r="AA55" s="324" t="e">
        <f ca="1">IF($I55="B1","",SUM(O55:Z55))</f>
        <v>#NAME?</v>
      </c>
      <c r="AB55" s="31" t="e">
        <f ca="1">IF(AA55=0,"",IFERROR(AA55/AA$19,""))</f>
        <v>#NAME?</v>
      </c>
      <c r="AD55" s="30"/>
      <c r="AE55" s="31" t="str">
        <f>IF(AD55=0,"",IFERROR(AD55/AD$19,""))</f>
        <v/>
      </c>
      <c r="AF55" s="51" t="e">
        <f ca="1">IF(AND($AA55="",AD55=""),"",$AA55-AD55)</f>
        <v>#NAME?</v>
      </c>
      <c r="AG55" s="30"/>
      <c r="AH55" s="31" t="str">
        <f>IF(AG55=0,"",IFERROR(AG55/AG$19,""))</f>
        <v/>
      </c>
      <c r="AI55" s="51"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11</v>
      </c>
      <c r="B56" s="7" t="s">
        <v>21</v>
      </c>
      <c r="G56" s="14"/>
      <c r="H56" s="15"/>
      <c r="I56" s="161" t="e">
        <f ca="1">_xll.EVPRO($B$1,$H56,"STYLE")</f>
        <v>#NAME?</v>
      </c>
      <c r="J56" s="161" t="e">
        <f ca="1">_xll.EVPRO($B$1,$H56,"CALC")</f>
        <v>#NAME?</v>
      </c>
      <c r="K56" s="68" t="e">
        <f ca="1">IF(AND(I56&lt;&gt;"B1",J56="Y"),"&gt;","")</f>
        <v>#NAME?</v>
      </c>
      <c r="L56" s="162" t="e">
        <f ca="1">_xll.EVPRO($B$1,H56,"JDEID")</f>
        <v>#NAME?</v>
      </c>
      <c r="M56" s="162" t="e">
        <f ca="1">IF(AND(I56="N",J56="N"),_xll.EVPRO($B$1,H56,"PSFTID"),"")</f>
        <v>#NAME?</v>
      </c>
      <c r="N56" s="162" t="e">
        <f ca="1">IF(_xll.EVDES(H56,$B$1)="#NODATA","",_xll.EVDES(H56,$B$1))</f>
        <v>#NAME?</v>
      </c>
      <c r="O56" s="30"/>
      <c r="P56" s="30"/>
      <c r="Q56" s="30"/>
      <c r="R56" s="30"/>
      <c r="S56" s="30"/>
      <c r="T56" s="30"/>
      <c r="U56" s="30"/>
      <c r="V56" s="30"/>
      <c r="W56" s="30"/>
      <c r="X56" s="30"/>
      <c r="Y56" s="30"/>
      <c r="Z56" s="30"/>
      <c r="AA56" s="324" t="e">
        <f ca="1">IF($I56="B1","",SUM(O56:Z56))</f>
        <v>#NAME?</v>
      </c>
      <c r="AB56" s="31" t="e">
        <f ca="1">IF(AA56=0,"",IFERROR(AA56/AA$19,""))</f>
        <v>#NAME?</v>
      </c>
      <c r="AD56" s="30"/>
      <c r="AE56" s="31" t="str">
        <f>IF(AD56=0,"",IFERROR(AD56/AD$19,""))</f>
        <v/>
      </c>
      <c r="AF56" s="51" t="e">
        <f ca="1">IF(AND($AA56="",AD56=""),"",$AA56-AD56)</f>
        <v>#NAME?</v>
      </c>
      <c r="AG56" s="30"/>
      <c r="AH56" s="31" t="str">
        <f>IF(AG56=0,"",IFERROR(AG56/AG$19,""))</f>
        <v/>
      </c>
      <c r="AI56" s="51"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6" t="s">
        <v>12</v>
      </c>
      <c r="B57" s="7" t="s">
        <v>22</v>
      </c>
      <c r="H57" s="15" t="s">
        <v>79</v>
      </c>
      <c r="I57" s="27" t="e">
        <f ca="1">_xll.EVPRO($B$1,$H57,"STYLE")</f>
        <v>#NAME?</v>
      </c>
      <c r="J57" s="27" t="e">
        <f ca="1">_xll.EVPRO($B$1,$H57,"CALC")</f>
        <v>#NAME?</v>
      </c>
      <c r="K57" s="26"/>
      <c r="L57" s="26"/>
      <c r="M57" s="26"/>
      <c r="N57" s="25" t="e">
        <f ca="1">IF(_xll.EVDES(H57,$B$1)="#NODATA","",_xll.EVDES(H57,$B$1))</f>
        <v>#NAME?</v>
      </c>
      <c r="O57" s="33"/>
      <c r="P57" s="33"/>
      <c r="Q57" s="33"/>
      <c r="R57" s="33"/>
      <c r="S57" s="33"/>
      <c r="T57" s="33"/>
      <c r="U57" s="33"/>
      <c r="V57" s="33"/>
      <c r="W57" s="33"/>
      <c r="X57" s="33"/>
      <c r="Y57" s="33"/>
      <c r="Z57" s="33"/>
      <c r="AA57" s="33" t="e">
        <f ca="1">IF($I57="B1","",SUM(O57:Z57))</f>
        <v>#NAME?</v>
      </c>
      <c r="AB57" s="34" t="e">
        <f ca="1">IF(AA57=0,"",IFERROR(AA57/AA$19,""))</f>
        <v>#NAME?</v>
      </c>
      <c r="AD57" s="33"/>
      <c r="AE57" s="34" t="str">
        <f>IF(AD57=0,"",IFERROR(AD57/AD$19,""))</f>
        <v/>
      </c>
      <c r="AF57" s="52" t="e">
        <f ca="1">IF(AND($AA57="",AD57=""),"",$AA57-AD57)</f>
        <v>#NAME?</v>
      </c>
      <c r="AG57" s="33"/>
      <c r="AH57" s="34" t="str">
        <f>IF(AG57=0,"",IFERROR(AG57/AG$19,""))</f>
        <v/>
      </c>
      <c r="AI57" s="52" t="e">
        <f ca="1">IF(AND($AA57="",AG57=""),"",$AA57-AG57)</f>
        <v>#NAME?</v>
      </c>
      <c r="AJ57" s="415">
        <f ca="1">IFERROR(AA57/AA$20,0)</f>
        <v>0</v>
      </c>
      <c r="AK57" s="416">
        <f ca="1">IFERROR(AD57/AD$20,0)</f>
        <v>0</v>
      </c>
      <c r="AL57" s="417">
        <f ca="1">IFERROR(AG57/AG$20,0)</f>
        <v>0</v>
      </c>
      <c r="AM57" s="418">
        <f ca="1">+IFERROR(ROUND(($AB57-AE57)*100,2)&amp;" pts.",0)</f>
        <v>0</v>
      </c>
      <c r="AN57" s="436">
        <f ca="1">+IFERROR(ROUND(($AB57-AH57)*100,2)&amp;" pts.",0)</f>
        <v>0</v>
      </c>
    </row>
    <row r="58" spans="1:40" x14ac:dyDescent="0.25">
      <c r="A58" s="6" t="s">
        <v>13</v>
      </c>
      <c r="B58" s="7" t="e">
        <f ca="1">"DEP(500001) AND "&amp;$E$6&amp;"=Y,500001"</f>
        <v>#NAME?</v>
      </c>
    </row>
    <row r="59" spans="1:40" x14ac:dyDescent="0.25">
      <c r="A59" s="6" t="s">
        <v>14</v>
      </c>
      <c r="B59" s="7"/>
      <c r="H59" s="15" t="s">
        <v>80</v>
      </c>
      <c r="I59" s="27" t="e">
        <f ca="1">_xll.EVPRO($B$1,$H59,"STYLE")</f>
        <v>#NAME?</v>
      </c>
      <c r="J59" s="27" t="e">
        <f ca="1">_xll.EVPRO($B$1,$H59,"CALC")</f>
        <v>#NAME?</v>
      </c>
      <c r="K59" s="25"/>
      <c r="L59" s="25"/>
      <c r="M59" s="25"/>
      <c r="N59" s="25" t="e">
        <f ca="1">IF(_xll.EVDES(H59,$B$1)="#NODATA","",_xll.EVDES(H59,$B$1))</f>
        <v>#NAME?</v>
      </c>
      <c r="O59" s="36"/>
      <c r="P59" s="36"/>
      <c r="Q59" s="36"/>
      <c r="R59" s="36"/>
      <c r="S59" s="36"/>
      <c r="T59" s="36"/>
      <c r="U59" s="36"/>
      <c r="V59" s="36"/>
      <c r="W59" s="36"/>
      <c r="X59" s="36"/>
      <c r="Y59" s="36"/>
      <c r="Z59" s="36"/>
      <c r="AA59" s="36" t="e">
        <f ca="1">IF($I59="B1","",SUM(O59:Z59))</f>
        <v>#NAME?</v>
      </c>
      <c r="AB59" s="37" t="e">
        <f ca="1">IF(AA59=0,"",IFERROR(AA59/AA$19,""))</f>
        <v>#NAME?</v>
      </c>
      <c r="AD59" s="36"/>
      <c r="AE59" s="37" t="str">
        <f>IF(AD59=0,"",IFERROR(AD59/AD$19,""))</f>
        <v/>
      </c>
      <c r="AF59" s="59" t="e">
        <f ca="1">IF(AND($AA59="",AD59=""),"",$AA59-AD59)</f>
        <v>#NAME?</v>
      </c>
      <c r="AG59" s="60"/>
      <c r="AH59" s="61" t="str">
        <f>IF(AG59=0,"",IFERROR(AG59/AG$19,""))</f>
        <v/>
      </c>
      <c r="AI59" s="59" t="e">
        <f ca="1">IF(AND($AA59="",AG59=""),"",$AA59-AG59)</f>
        <v>#NAME?</v>
      </c>
      <c r="AJ59" s="392">
        <f ca="1">IFERROR(AA59/AA$20,0)</f>
        <v>0</v>
      </c>
      <c r="AK59" s="393">
        <f ca="1">IFERROR(AD59/AD$20,0)</f>
        <v>0</v>
      </c>
      <c r="AL59" s="394">
        <f ca="1">IFERROR(AG59/AG$20,0)</f>
        <v>0</v>
      </c>
      <c r="AM59" s="395">
        <f ca="1">+IFERROR(ROUND(($AB59-AE59)*100,2)&amp;" pts.",0)</f>
        <v>0</v>
      </c>
      <c r="AN59" s="437">
        <f ca="1">+IFERROR(ROUND(($AB59-AH59)*100,2)&amp;" pts.",0)</f>
        <v>0</v>
      </c>
    </row>
    <row r="60" spans="1:40" ht="15.75" thickBot="1" x14ac:dyDescent="0.3">
      <c r="A60" s="6" t="s">
        <v>15</v>
      </c>
      <c r="B60" s="7"/>
      <c r="H60" s="15" t="s">
        <v>81</v>
      </c>
      <c r="I60" s="27" t="e">
        <f ca="1">_xll.EVPRO($B$1,$H60,"STYLE")</f>
        <v>#NAME?</v>
      </c>
      <c r="J60" s="27" t="e">
        <f ca="1">_xll.EVPRO($B$1,$H60,"CALC")</f>
        <v>#NAME?</v>
      </c>
      <c r="K60" s="25"/>
      <c r="L60" s="25"/>
      <c r="M60" s="25"/>
      <c r="N60" s="25" t="e">
        <f ca="1">IF(_xll.EVDES(H60,$B$1)="#NODATA","",_xll.EVDES(H60,$B$1))</f>
        <v>#NAME?</v>
      </c>
      <c r="O60" s="62"/>
      <c r="P60" s="62"/>
      <c r="Q60" s="62">
        <v>0</v>
      </c>
      <c r="R60" s="62"/>
      <c r="S60" s="62">
        <v>0</v>
      </c>
      <c r="T60" s="62"/>
      <c r="U60" s="62"/>
      <c r="V60" s="62"/>
      <c r="W60" s="62"/>
      <c r="X60" s="62"/>
      <c r="Y60" s="62"/>
      <c r="Z60" s="62"/>
      <c r="AA60" s="62" t="e">
        <f ca="1">IF($I60="B1","",SUM(O60:Z60))</f>
        <v>#NAME?</v>
      </c>
      <c r="AB60" s="63" t="e">
        <f ca="1">IF(AA60=0,"",IFERROR(AA60/AA$19,""))</f>
        <v>#NAME?</v>
      </c>
      <c r="AD60" s="62"/>
      <c r="AE60" s="63" t="str">
        <f>IF(AD60=0,"",IFERROR(AD60/AD$19,""))</f>
        <v/>
      </c>
      <c r="AF60" s="64" t="e">
        <f ca="1">IF(AND($AA60="",AD60=""),"",$AA60-AD60)</f>
        <v>#NAME?</v>
      </c>
      <c r="AG60" s="62"/>
      <c r="AH60" s="63" t="str">
        <f>IF(AG60=0,"",IFERROR(AG60/AG$19,""))</f>
        <v/>
      </c>
      <c r="AI60" s="64" t="e">
        <f ca="1">IF(AND($AA60="",AG60=""),"",$AA60-AG60)</f>
        <v>#NAME?</v>
      </c>
      <c r="AJ60" s="430">
        <f ca="1">IFERROR(AA60/AA$20,0)</f>
        <v>0</v>
      </c>
      <c r="AK60" s="431">
        <f ca="1">IFERROR(AD60/AD$20,0)</f>
        <v>0</v>
      </c>
      <c r="AL60" s="432">
        <f ca="1">IFERROR(AG60/AG$20,0)</f>
        <v>0</v>
      </c>
      <c r="AM60" s="433">
        <f ca="1">+IFERROR(ROUND(($AB60-AE60)*100,2)&amp;" pts.",0)</f>
        <v>0</v>
      </c>
      <c r="AN60" s="438">
        <f ca="1">+IFERROR(ROUND(($AB60-AH60)*100,2)&amp;" pts.",0)</f>
        <v>0</v>
      </c>
    </row>
    <row r="61" spans="1:40" ht="15.75" thickTop="1" x14ac:dyDescent="0.25">
      <c r="A61" s="6" t="s">
        <v>16</v>
      </c>
      <c r="B61" s="7"/>
    </row>
    <row r="62" spans="1:40" x14ac:dyDescent="0.25">
      <c r="A62" s="6" t="s">
        <v>17</v>
      </c>
      <c r="B62" s="7"/>
      <c r="N62" s="26" t="e">
        <f ca="1">N59&amp;" - Check"</f>
        <v>#NAME?</v>
      </c>
      <c r="O62" s="139">
        <f t="shared" ref="O62:AA62" si="9">SUMIF($H$34:$H$60,"600000",O$34:O$60)+SUMIF($H$34:$H$60,"700000",O$34:O$60)-SUMIF($H$34:$H$60,"TOTDEPTEXP",O$34:O$60)</f>
        <v>0</v>
      </c>
      <c r="P62" s="139">
        <f t="shared" si="9"/>
        <v>0</v>
      </c>
      <c r="Q62" s="139">
        <f t="shared" si="9"/>
        <v>0</v>
      </c>
      <c r="R62" s="139">
        <f t="shared" si="9"/>
        <v>0</v>
      </c>
      <c r="S62" s="139">
        <f t="shared" si="9"/>
        <v>0</v>
      </c>
      <c r="T62" s="139">
        <f t="shared" si="9"/>
        <v>0</v>
      </c>
      <c r="U62" s="139">
        <f t="shared" si="9"/>
        <v>0</v>
      </c>
      <c r="V62" s="139">
        <f t="shared" si="9"/>
        <v>0</v>
      </c>
      <c r="W62" s="139">
        <f t="shared" si="9"/>
        <v>0</v>
      </c>
      <c r="X62" s="139">
        <f t="shared" si="9"/>
        <v>0</v>
      </c>
      <c r="Y62" s="139">
        <f t="shared" si="9"/>
        <v>0</v>
      </c>
      <c r="Z62" s="139">
        <f t="shared" si="9"/>
        <v>0</v>
      </c>
      <c r="AA62" s="139" t="e">
        <f t="shared" ca="1" si="9"/>
        <v>#NAME?</v>
      </c>
      <c r="AB62" s="17"/>
      <c r="AD62" s="139">
        <f>SUMIF($H$34:$H$60,"600000",AD$34:AD$60)+SUMIF($H$34:$H$60,"700000",AD$34:AD$60)-SUMIF($H$34:$H$60,"TOTDEPTEXP",AD$34:AD$60)</f>
        <v>0</v>
      </c>
      <c r="AE62" s="17"/>
      <c r="AF62" s="21"/>
      <c r="AG62" s="139">
        <f>SUMIF($H$34:$H$60,"600000",AG$34:AG$60)+SUMIF($H$34:$H$60,"700000",AG$34:AG$60)-SUMIF($H$34:$H$60,"TOTDEPTEXP",AG$34:AG$60)</f>
        <v>0</v>
      </c>
      <c r="AH62" s="17"/>
      <c r="AI62" s="21"/>
    </row>
    <row r="63" spans="1:40" x14ac:dyDescent="0.25">
      <c r="N63" s="26" t="e">
        <f ca="1">N60&amp;" - Check"</f>
        <v>#NAME?</v>
      </c>
      <c r="O63" s="139">
        <f t="shared" ref="O63:AA63" si="10">SUMIF($H$34:$H$60,"KPI_GP",O$34:O$60)-SUMIF($H$34:$H$60,"TOTDEPTEXP",O$34:O$60)-SUMIF($H$34:$H$60,"TOTDEPTPL",O$34:O$60)</f>
        <v>0</v>
      </c>
      <c r="P63" s="139">
        <f t="shared" si="10"/>
        <v>0</v>
      </c>
      <c r="Q63" s="139">
        <f t="shared" si="10"/>
        <v>0</v>
      </c>
      <c r="R63" s="139">
        <f t="shared" si="10"/>
        <v>0</v>
      </c>
      <c r="S63" s="139">
        <f t="shared" si="10"/>
        <v>0</v>
      </c>
      <c r="T63" s="139">
        <f t="shared" si="10"/>
        <v>0</v>
      </c>
      <c r="U63" s="139">
        <f t="shared" si="10"/>
        <v>0</v>
      </c>
      <c r="V63" s="139">
        <f t="shared" si="10"/>
        <v>0</v>
      </c>
      <c r="W63" s="139">
        <f t="shared" si="10"/>
        <v>0</v>
      </c>
      <c r="X63" s="139">
        <f t="shared" si="10"/>
        <v>0</v>
      </c>
      <c r="Y63" s="139">
        <f t="shared" si="10"/>
        <v>0</v>
      </c>
      <c r="Z63" s="139">
        <f t="shared" si="10"/>
        <v>0</v>
      </c>
      <c r="AA63" s="139" t="e">
        <f t="shared" ca="1" si="10"/>
        <v>#NAME?</v>
      </c>
      <c r="AB63" s="17"/>
      <c r="AD63" s="139">
        <f>SUMIF($H$34:$H$60,"KPI_GP",AD$34:AD$60)-SUMIF($H$34:$H$60,"TOTDEPTEXP",AD$34:AD$60)-SUMIF($H$34:$H$60,"TOTDEPTPL",AD$34:AD$60)</f>
        <v>0</v>
      </c>
      <c r="AE63" s="17"/>
      <c r="AF63" s="21"/>
      <c r="AG63" s="139">
        <f>SUMIF($H$34:$H$60,"KPI_GP",AG$34:AG$60)-SUMIF($H$34:$H$60,"TOTDEPTEXP",AG$34:AG$60)-SUMIF($H$34:$H$60,"TOTDEPTPL",AG$34:AG$60)</f>
        <v>0</v>
      </c>
      <c r="AH63" s="17"/>
      <c r="AI63" s="21"/>
    </row>
    <row r="64" spans="1:40" x14ac:dyDescent="0.25">
      <c r="A64" s="22" t="s">
        <v>92</v>
      </c>
      <c r="B64" s="23" t="s">
        <v>93</v>
      </c>
      <c r="C64" s="23" t="s">
        <v>94</v>
      </c>
      <c r="D64" s="23" t="s">
        <v>95</v>
      </c>
      <c r="E64" s="23" t="s">
        <v>96</v>
      </c>
      <c r="F64" s="24" t="s">
        <v>97</v>
      </c>
    </row>
    <row r="65" spans="1:33" x14ac:dyDescent="0.25">
      <c r="O65" s="166"/>
      <c r="P65" s="166"/>
      <c r="Q65" s="166"/>
      <c r="R65" s="166"/>
      <c r="S65" s="166"/>
      <c r="T65" s="166"/>
      <c r="U65" s="166"/>
      <c r="V65" s="166"/>
      <c r="W65" s="166"/>
      <c r="X65" s="166"/>
      <c r="Y65" s="166"/>
      <c r="Z65" s="166"/>
      <c r="AA65" s="166"/>
      <c r="AD65" s="166"/>
      <c r="AG65" s="166"/>
    </row>
    <row r="66" spans="1:33" x14ac:dyDescent="0.25">
      <c r="A66" s="1" t="s">
        <v>105</v>
      </c>
      <c r="C66" s="26" t="s">
        <v>101</v>
      </c>
      <c r="D66" s="1" t="s">
        <v>106</v>
      </c>
      <c r="F66" s="1" t="s">
        <v>98</v>
      </c>
    </row>
    <row r="67" spans="1:33" x14ac:dyDescent="0.25">
      <c r="A67" s="1" t="s">
        <v>108</v>
      </c>
      <c r="C67" s="25" t="s">
        <v>101</v>
      </c>
      <c r="D67" s="1" t="s">
        <v>106</v>
      </c>
      <c r="F67" s="1" t="s">
        <v>98</v>
      </c>
      <c r="O67" s="166"/>
      <c r="P67" s="166"/>
      <c r="Q67" s="166"/>
      <c r="R67" s="166"/>
      <c r="S67" s="166"/>
      <c r="T67" s="166"/>
      <c r="U67" s="166"/>
      <c r="V67" s="166"/>
      <c r="W67" s="166"/>
      <c r="X67" s="166"/>
      <c r="Y67" s="166"/>
      <c r="Z67" s="166"/>
      <c r="AA67" s="166"/>
      <c r="AD67" s="166"/>
      <c r="AG67" s="166"/>
    </row>
    <row r="68" spans="1:33" x14ac:dyDescent="0.25">
      <c r="A68" s="1" t="s">
        <v>108</v>
      </c>
      <c r="C68" s="151" t="s">
        <v>101</v>
      </c>
      <c r="D68" s="1" t="s">
        <v>107</v>
      </c>
      <c r="F68" s="1" t="s">
        <v>99</v>
      </c>
    </row>
    <row r="70" spans="1:33" x14ac:dyDescent="0.25">
      <c r="C70" s="32"/>
      <c r="H70" s="11"/>
      <c r="J70" s="1"/>
    </row>
    <row r="71" spans="1:33" x14ac:dyDescent="0.25">
      <c r="A71" s="4" t="e">
        <f ca="1">_xll.EVDRE($B$1,A74:B81,A84:B90)</f>
        <v>#NAME?</v>
      </c>
      <c r="H71" s="11"/>
      <c r="J71" s="1"/>
    </row>
    <row r="72" spans="1:33" x14ac:dyDescent="0.25">
      <c r="H72" s="11"/>
      <c r="J72" s="1"/>
    </row>
    <row r="73" spans="1:33" x14ac:dyDescent="0.25">
      <c r="A73" s="3" t="s">
        <v>0</v>
      </c>
      <c r="B73" s="5" t="s">
        <v>1</v>
      </c>
      <c r="H73" s="11"/>
      <c r="J73" s="1"/>
    </row>
    <row r="74" spans="1:33" x14ac:dyDescent="0.25">
      <c r="A74" s="6" t="s">
        <v>2</v>
      </c>
      <c r="B74" s="7" t="e">
        <f ca="1">_xll.EVRNG($B$2:$B$10)</f>
        <v>#NAME?</v>
      </c>
      <c r="H74" s="11"/>
      <c r="J74" s="1"/>
    </row>
    <row r="75" spans="1:33" x14ac:dyDescent="0.25">
      <c r="A75" s="6" t="s">
        <v>3</v>
      </c>
      <c r="B75" s="7" t="e">
        <f ca="1">_xll.EVRNG($O$16:$AN$18)</f>
        <v>#NAME?</v>
      </c>
      <c r="H75" s="11"/>
      <c r="J75" s="1"/>
    </row>
    <row r="76" spans="1:33" x14ac:dyDescent="0.25">
      <c r="A76" s="6" t="s">
        <v>4</v>
      </c>
      <c r="B76" s="7" t="e">
        <f ca="1">_xll.EVRNG(H48:H49,H51:H52,H55:H56)</f>
        <v>#NAME?</v>
      </c>
      <c r="H76" s="11"/>
      <c r="J76" s="1"/>
    </row>
    <row r="77" spans="1:33" x14ac:dyDescent="0.25">
      <c r="A77" s="6" t="s">
        <v>5</v>
      </c>
      <c r="B77" s="7"/>
      <c r="H77" s="11"/>
      <c r="J77" s="1"/>
    </row>
    <row r="78" spans="1:33" x14ac:dyDescent="0.25">
      <c r="A78" s="6" t="s">
        <v>6</v>
      </c>
      <c r="B78" s="7"/>
      <c r="H78" s="11"/>
      <c r="J78" s="1"/>
    </row>
    <row r="79" spans="1:33" x14ac:dyDescent="0.25">
      <c r="A79" s="6" t="s">
        <v>7</v>
      </c>
      <c r="B79" s="7" t="e">
        <f ca="1">_xll.EVRNG(A93:F99)</f>
        <v>#NAME?</v>
      </c>
      <c r="H79" s="11"/>
      <c r="J79" s="1"/>
    </row>
    <row r="80" spans="1:33" x14ac:dyDescent="0.25">
      <c r="A80" s="6" t="s">
        <v>47</v>
      </c>
      <c r="B80" s="7" t="e">
        <f ca="1">_xll.EVRNG($A$116:$B$137)</f>
        <v>#NAME?</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row>
    <row r="94" spans="1:10" x14ac:dyDescent="0.25">
      <c r="A94" s="1" t="s">
        <v>108</v>
      </c>
      <c r="C94" s="26" t="s">
        <v>101</v>
      </c>
      <c r="D94" s="1" t="s">
        <v>106</v>
      </c>
      <c r="F94" s="1" t="s">
        <v>98</v>
      </c>
    </row>
    <row r="95" spans="1:10" x14ac:dyDescent="0.25">
      <c r="A95" s="1" t="s">
        <v>100</v>
      </c>
      <c r="C95" s="8" t="s">
        <v>101</v>
      </c>
      <c r="D95" s="1" t="s">
        <v>106</v>
      </c>
      <c r="F95" s="1" t="s">
        <v>98</v>
      </c>
    </row>
    <row r="96" spans="1:10" x14ac:dyDescent="0.25">
      <c r="A96" s="1" t="s">
        <v>109</v>
      </c>
      <c r="C96" s="25" t="s">
        <v>101</v>
      </c>
      <c r="D96" s="1" t="s">
        <v>106</v>
      </c>
      <c r="F96" s="1" t="s">
        <v>98</v>
      </c>
    </row>
    <row r="97" spans="1:6" x14ac:dyDescent="0.25">
      <c r="A97" s="1" t="s">
        <v>109</v>
      </c>
      <c r="C97" s="151" t="s">
        <v>101</v>
      </c>
      <c r="D97" s="1" t="s">
        <v>107</v>
      </c>
      <c r="F97" s="1" t="s">
        <v>99</v>
      </c>
    </row>
    <row r="98" spans="1:6" x14ac:dyDescent="0.25">
      <c r="A98" s="1" t="s">
        <v>110</v>
      </c>
      <c r="C98" s="25" t="s">
        <v>101</v>
      </c>
      <c r="D98" s="1" t="s">
        <v>106</v>
      </c>
      <c r="F98" s="1" t="s">
        <v>98</v>
      </c>
    </row>
    <row r="99" spans="1:6" x14ac:dyDescent="0.25">
      <c r="A99" s="1" t="s">
        <v>110</v>
      </c>
      <c r="C99" s="29" t="s">
        <v>101</v>
      </c>
      <c r="D99" s="1" t="s">
        <v>107</v>
      </c>
      <c r="F99" s="1" t="s">
        <v>99</v>
      </c>
    </row>
    <row r="100" spans="1:6" x14ac:dyDescent="0.25">
      <c r="C100" s="32"/>
    </row>
    <row r="102" spans="1:6" x14ac:dyDescent="0.25">
      <c r="A102" s="4" t="e">
        <f ca="1">_xll.EVDRE($B$1,A105:B112)</f>
        <v>#NAME?</v>
      </c>
      <c r="B102" s="1" t="s">
        <v>736</v>
      </c>
    </row>
    <row r="104" spans="1:6" x14ac:dyDescent="0.25">
      <c r="A104" s="3" t="s">
        <v>0</v>
      </c>
      <c r="B104" s="5" t="s">
        <v>1</v>
      </c>
    </row>
    <row r="105" spans="1:6" x14ac:dyDescent="0.25">
      <c r="A105" s="6" t="s">
        <v>2</v>
      </c>
      <c r="B105" s="7" t="e">
        <f ca="1">_xll.EVRNG($B$2:$B$10)</f>
        <v>#NAME?</v>
      </c>
    </row>
    <row r="106" spans="1:6" x14ac:dyDescent="0.25">
      <c r="A106" s="6" t="s">
        <v>3</v>
      </c>
      <c r="B106" s="7" t="e">
        <f ca="1">_xll.EVRNG($O$16:$AN$18)</f>
        <v>#NAME?</v>
      </c>
    </row>
    <row r="107" spans="1:6" x14ac:dyDescent="0.25">
      <c r="A107" s="6" t="s">
        <v>4</v>
      </c>
      <c r="B107" s="7" t="e">
        <f ca="1">_xll.EVRNG(H57:H60)</f>
        <v>#NAME?</v>
      </c>
    </row>
    <row r="108" spans="1:6" x14ac:dyDescent="0.25">
      <c r="A108" s="6" t="s">
        <v>5</v>
      </c>
      <c r="B108" s="7"/>
    </row>
    <row r="109" spans="1:6" x14ac:dyDescent="0.25">
      <c r="A109" s="6" t="s">
        <v>6</v>
      </c>
      <c r="B109" s="7"/>
    </row>
    <row r="110" spans="1:6" x14ac:dyDescent="0.25">
      <c r="A110" s="6" t="s">
        <v>7</v>
      </c>
      <c r="B110" s="7"/>
    </row>
    <row r="111" spans="1:6" x14ac:dyDescent="0.25">
      <c r="A111" s="6" t="s">
        <v>47</v>
      </c>
      <c r="B111" s="7" t="e">
        <f ca="1">_xll.EVRNG($A$116:$B$137)</f>
        <v>#NAME?</v>
      </c>
    </row>
    <row r="112" spans="1:6"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c r="I133" s="76"/>
      <c r="J133" s="1"/>
      <c r="K133" s="76"/>
      <c r="L133" s="76"/>
      <c r="M133" s="76"/>
      <c r="O133" s="76"/>
      <c r="P133" s="76"/>
      <c r="Q133" s="76"/>
      <c r="R133" s="76"/>
      <c r="S133" s="76"/>
      <c r="T133" s="76"/>
      <c r="U133" s="76"/>
      <c r="V133" s="76"/>
      <c r="W133" s="76"/>
      <c r="X133" s="76"/>
      <c r="Y133" s="76"/>
      <c r="Z133" s="76"/>
      <c r="AA133" s="76"/>
      <c r="AD133" s="76"/>
      <c r="AF133" s="76"/>
      <c r="AH133" s="76"/>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54" spans="5:5" x14ac:dyDescent="0.25">
      <c r="E154" s="76"/>
    </row>
    <row r="158" spans="5:5" x14ac:dyDescent="0.25">
      <c r="E158" s="76"/>
    </row>
    <row r="165" spans="7:7" x14ac:dyDescent="0.25">
      <c r="G165" s="76"/>
    </row>
    <row r="169" spans="7:7" x14ac:dyDescent="0.25">
      <c r="G169" s="76"/>
    </row>
  </sheetData>
  <mergeCells count="2">
    <mergeCell ref="AD31:AE31"/>
    <mergeCell ref="AG31:AH31"/>
  </mergeCells>
  <dataValidations disablePrompts="1" count="2">
    <dataValidation type="list" allowBlank="1" sqref="B57 B85 B28" xr:uid="{00000000-0002-0000-4200-000000000000}">
      <formula1>"ACCOUNT,BUSINESSUNIT,CATEGORY,DATASRC,DEPARTMENT,INTCO,MEASURES,RPTCURRENCY,TIME"</formula1>
    </dataValidation>
    <dataValidation type="list" allowBlank="1" sqref="B58 B29 B86" xr:uid="{00000000-0002-0000-4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687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6872" r:id="rId7" name="FPMExcelClientSheetOptionstb1"/>
      </mc:Fallback>
    </mc:AlternateContent>
  </controls>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3">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380</v>
      </c>
      <c r="C6" s="1" t="s">
        <v>1536</v>
      </c>
      <c r="E6" s="49" t="s">
        <v>380</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1583</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1584</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1585</v>
      </c>
      <c r="G19" s="18" t="str">
        <f>$B$6</f>
        <v>D1133</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1586</v>
      </c>
      <c r="I22" s="1"/>
      <c r="J22" s="1"/>
    </row>
    <row r="23" spans="1:40" hidden="1" outlineLevel="1" x14ac:dyDescent="0.25">
      <c r="A23" s="6" t="s">
        <v>47</v>
      </c>
      <c r="B23" s="16" t="s">
        <v>1587</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1588</v>
      </c>
    </row>
    <row r="28" spans="1:40" ht="15.75" x14ac:dyDescent="0.25">
      <c r="A28" s="6" t="s">
        <v>12</v>
      </c>
      <c r="B28" s="7" t="s">
        <v>22</v>
      </c>
      <c r="N28" s="71" t="s">
        <v>1005</v>
      </c>
    </row>
    <row r="29" spans="1:40" ht="15" customHeight="1" x14ac:dyDescent="0.25">
      <c r="A29" s="6" t="s">
        <v>13</v>
      </c>
      <c r="B29" s="7" t="str">
        <f>"DEP(430000) AND "&amp;$E$6&amp;"=Y,400000"</f>
        <v>DEP(430000) AND D1133=Y,400000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381</v>
      </c>
      <c r="I34" s="161" t="s">
        <v>1009</v>
      </c>
      <c r="J34" s="161" t="s">
        <v>1009</v>
      </c>
      <c r="K34" s="68" t="str">
        <f>IF(AND(I34&gt;="T5"),"&gt;","")</f>
        <v/>
      </c>
      <c r="L34" s="162">
        <v>430100</v>
      </c>
      <c r="M34" s="162">
        <v>206012</v>
      </c>
      <c r="N34" s="162" t="s">
        <v>1589</v>
      </c>
      <c r="O34" s="21"/>
      <c r="P34" s="21"/>
      <c r="Q34" s="21"/>
      <c r="R34" s="21"/>
      <c r="S34" s="21"/>
      <c r="T34" s="21"/>
      <c r="U34" s="21"/>
      <c r="V34" s="21"/>
      <c r="W34" s="21"/>
      <c r="X34" s="21"/>
      <c r="Y34" s="21"/>
      <c r="Z34" s="21"/>
      <c r="AA34" s="310">
        <f>IF($I34="B1","",SUM(O34:Z34))</f>
        <v>0</v>
      </c>
      <c r="AB34" s="17" t="str">
        <f>IF(AA34=0,"",IFERROR(AA34/AA$19,""))</f>
        <v/>
      </c>
      <c r="AD34" s="21"/>
      <c r="AE34" s="17" t="str">
        <f>IF(AD34=0,"",IFERROR(AD34/AD$19,""))</f>
        <v/>
      </c>
      <c r="AF34" s="50">
        <f>IF(AND($AA34="",AD34=""),"",$AA34-AD34)</f>
        <v>0</v>
      </c>
      <c r="AG34" s="21"/>
      <c r="AH34" s="17" t="str">
        <f>IF(AG34=0,"",IFERROR(AG34/AG$19,""))</f>
        <v/>
      </c>
      <c r="AI34" s="50">
        <f>IF(AND($AA34="",AG34=""),"",$AA34-AG34)</f>
        <v>0</v>
      </c>
      <c r="AJ34" s="399">
        <f>IFERROR(AA34/AA$20,0)</f>
        <v>0</v>
      </c>
      <c r="AK34" s="400">
        <f>IFERROR(AD34/AD$20,0)</f>
        <v>0</v>
      </c>
      <c r="AL34" s="401">
        <f>IFERROR(AG34/AG$20,0)</f>
        <v>0</v>
      </c>
      <c r="AM34" s="402">
        <f>+IFERROR(ROUND(($AB34-AE34)*100,2)&amp;" pts.",0)</f>
        <v>0</v>
      </c>
      <c r="AN34" s="403">
        <f>+IFERROR(ROUND(($AB34-AH34)*100,2)&amp;" pts.",0)</f>
        <v>0</v>
      </c>
    </row>
    <row r="35" spans="1:40" x14ac:dyDescent="0.25">
      <c r="A35" s="22" t="s">
        <v>92</v>
      </c>
      <c r="B35" s="23" t="s">
        <v>93</v>
      </c>
      <c r="C35" s="23" t="s">
        <v>94</v>
      </c>
      <c r="D35" s="23" t="s">
        <v>95</v>
      </c>
      <c r="E35" s="23" t="s">
        <v>96</v>
      </c>
      <c r="F35" s="24" t="s">
        <v>97</v>
      </c>
      <c r="H35" s="15" t="s">
        <v>382</v>
      </c>
      <c r="I35" s="161" t="s">
        <v>1058</v>
      </c>
      <c r="J35" s="161" t="s">
        <v>78</v>
      </c>
      <c r="K35" s="68" t="str">
        <f>IF(AND(I35&gt;="T5"),"&gt;","")</f>
        <v>&gt;</v>
      </c>
      <c r="L35" s="162"/>
      <c r="M35" s="162"/>
      <c r="N35" s="162" t="s">
        <v>1590</v>
      </c>
      <c r="O35" s="21"/>
      <c r="P35" s="21"/>
      <c r="Q35" s="21">
        <v>0</v>
      </c>
      <c r="R35" s="21"/>
      <c r="S35" s="21">
        <v>0</v>
      </c>
      <c r="T35" s="21"/>
      <c r="U35" s="21"/>
      <c r="V35" s="21"/>
      <c r="W35" s="21"/>
      <c r="X35" s="21"/>
      <c r="Y35" s="21"/>
      <c r="Z35" s="21"/>
      <c r="AA35" s="310">
        <f>IF($I35="B1","",SUM(O35:Z35))</f>
        <v>0</v>
      </c>
      <c r="AB35" s="17" t="str">
        <f>IF(AA35=0,"",IFERROR(AA35/AA$19,""))</f>
        <v/>
      </c>
      <c r="AD35" s="21"/>
      <c r="AE35" s="17" t="str">
        <f>IF(AD35=0,"",IFERROR(AD35/AD$19,""))</f>
        <v/>
      </c>
      <c r="AF35" s="50">
        <f>IF(AND($AA35="",AD35=""),"",$AA35-AD35)</f>
        <v>0</v>
      </c>
      <c r="AG35" s="21"/>
      <c r="AH35" s="17" t="str">
        <f>IF(AG35=0,"",IFERROR(AG35/AG$19,""))</f>
        <v/>
      </c>
      <c r="AI35" s="50">
        <f>IF(AND($AA35="",AG35=""),"",$AA35-AG35)</f>
        <v>0</v>
      </c>
      <c r="AJ35" s="399">
        <f>IFERROR(AA35/AA$20,0)</f>
        <v>0</v>
      </c>
      <c r="AK35" s="400">
        <f>IFERROR(AD35/AD$20,0)</f>
        <v>0</v>
      </c>
      <c r="AL35" s="401">
        <f>IFERROR(AG35/AG$20,0)</f>
        <v>0</v>
      </c>
      <c r="AM35" s="402">
        <f>+IFERROR(ROUND(($AB35-AE35)*100,2)&amp;" pts.",0)</f>
        <v>0</v>
      </c>
      <c r="AN35" s="403">
        <f>+IFERROR(ROUND(($AB35-AH35)*100,2)&amp;" pts.",0)</f>
        <v>0</v>
      </c>
    </row>
    <row r="36" spans="1:40" x14ac:dyDescent="0.25">
      <c r="H36" s="15" t="s">
        <v>383</v>
      </c>
      <c r="I36" s="161" t="s">
        <v>1009</v>
      </c>
      <c r="J36" s="161" t="s">
        <v>1009</v>
      </c>
      <c r="K36" s="68" t="str">
        <f>IF(AND(I36&gt;="T5"),"&gt;","")</f>
        <v/>
      </c>
      <c r="L36" s="162">
        <v>430300</v>
      </c>
      <c r="M36" s="162">
        <v>206098</v>
      </c>
      <c r="N36" s="162" t="s">
        <v>1215</v>
      </c>
      <c r="O36" s="21"/>
      <c r="P36" s="21"/>
      <c r="Q36" s="21"/>
      <c r="R36" s="21"/>
      <c r="S36" s="21"/>
      <c r="T36" s="21"/>
      <c r="U36" s="21"/>
      <c r="V36" s="21"/>
      <c r="W36" s="21"/>
      <c r="X36" s="21"/>
      <c r="Y36" s="21"/>
      <c r="Z36" s="21"/>
      <c r="AA36" s="310">
        <f>IF($I36="B1","",SUM(O36:Z36))</f>
        <v>0</v>
      </c>
      <c r="AB36" s="17" t="str">
        <f>IF(AA36=0,"",IFERROR(AA36/AA$19,""))</f>
        <v/>
      </c>
      <c r="AD36" s="21"/>
      <c r="AE36" s="17" t="str">
        <f>IF(AD36=0,"",IFERROR(AD36/AD$19,""))</f>
        <v/>
      </c>
      <c r="AF36" s="50">
        <f>IF(AND($AA36="",AD36=""),"",$AA36-AD36)</f>
        <v>0</v>
      </c>
      <c r="AG36" s="21"/>
      <c r="AH36" s="17" t="str">
        <f>IF(AG36=0,"",IFERROR(AG36/AG$19,""))</f>
        <v/>
      </c>
      <c r="AI36" s="50">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105</v>
      </c>
      <c r="C37" s="26" t="s">
        <v>101</v>
      </c>
      <c r="D37" s="1" t="s">
        <v>106</v>
      </c>
      <c r="F37" s="1" t="s">
        <v>98</v>
      </c>
      <c r="H37" s="15" t="s">
        <v>384</v>
      </c>
      <c r="I37" s="161" t="s">
        <v>1009</v>
      </c>
      <c r="J37" s="161" t="s">
        <v>1009</v>
      </c>
      <c r="K37" s="68" t="str">
        <f>IF(AND(I37&gt;="T5"),"&gt;","")</f>
        <v/>
      </c>
      <c r="L37" s="162">
        <v>430990</v>
      </c>
      <c r="M37" s="162">
        <v>206022</v>
      </c>
      <c r="N37" s="162" t="s">
        <v>1591</v>
      </c>
      <c r="O37" s="30"/>
      <c r="P37" s="30"/>
      <c r="Q37" s="30"/>
      <c r="R37" s="30"/>
      <c r="S37" s="30"/>
      <c r="T37" s="30"/>
      <c r="U37" s="30"/>
      <c r="V37" s="30"/>
      <c r="W37" s="30"/>
      <c r="X37" s="30"/>
      <c r="Y37" s="30"/>
      <c r="Z37" s="30"/>
      <c r="AA37" s="324">
        <f>IF($I37="B1","",SUM(O37:Z37))</f>
        <v>0</v>
      </c>
      <c r="AB37" s="31" t="str">
        <f>IF(AA37=0,"",IFERROR(AA37/AA$19,""))</f>
        <v/>
      </c>
      <c r="AD37" s="30"/>
      <c r="AE37" s="31" t="str">
        <f>IF(AD37=0,"",IFERROR(AD37/AD$19,""))</f>
        <v/>
      </c>
      <c r="AF37" s="51">
        <f>IF(AND($AA37="",AD37=""),"",$AA37-AD37)</f>
        <v>0</v>
      </c>
      <c r="AG37" s="30"/>
      <c r="AH37" s="31" t="str">
        <f>IF(AG37=0,"",IFERROR(AG37/AG$19,""))</f>
        <v/>
      </c>
      <c r="AI37" s="51">
        <f>IF(AND($AA37="",AG37=""),"",$AA37-AG37)</f>
        <v>0</v>
      </c>
      <c r="AJ37" s="409">
        <f>IFERROR(AA37/AA$20,0)</f>
        <v>0</v>
      </c>
      <c r="AK37" s="410">
        <f>IFERROR(AD37/AD$20,0)</f>
        <v>0</v>
      </c>
      <c r="AL37" s="411">
        <f>IFERROR(AG37/AG$20,0)</f>
        <v>0</v>
      </c>
      <c r="AM37" s="412">
        <f>+IFERROR(ROUND(($AB37-AE37)*100,2)&amp;" pts.",0)</f>
        <v>0</v>
      </c>
      <c r="AN37" s="413">
        <f>+IFERROR(ROUND(($AB37-AH37)*100,2)&amp;" pts.",0)</f>
        <v>0</v>
      </c>
    </row>
    <row r="38" spans="1:40" x14ac:dyDescent="0.25">
      <c r="A38" s="1" t="s">
        <v>104</v>
      </c>
      <c r="C38" s="26" t="s">
        <v>101</v>
      </c>
      <c r="D38" s="1" t="s">
        <v>106</v>
      </c>
      <c r="F38" s="1" t="s">
        <v>98</v>
      </c>
      <c r="H38" s="15" t="s">
        <v>280</v>
      </c>
      <c r="I38" s="479" t="s">
        <v>1012</v>
      </c>
      <c r="J38" s="479" t="s">
        <v>78</v>
      </c>
      <c r="K38" s="480" t="str">
        <f>IF(AND(I38&gt;="T5"),"&gt;","")</f>
        <v/>
      </c>
      <c r="L38" s="170">
        <v>400000</v>
      </c>
      <c r="M38" s="170"/>
      <c r="N38" s="170" t="s">
        <v>1003</v>
      </c>
      <c r="O38" s="134"/>
      <c r="P38" s="134"/>
      <c r="Q38" s="134">
        <v>0</v>
      </c>
      <c r="R38" s="134"/>
      <c r="S38" s="134">
        <v>0</v>
      </c>
      <c r="T38" s="134"/>
      <c r="U38" s="134"/>
      <c r="V38" s="134"/>
      <c r="W38" s="134"/>
      <c r="X38" s="134"/>
      <c r="Y38" s="134"/>
      <c r="Z38" s="134"/>
      <c r="AA38" s="134">
        <f>IF($I38="B1","",SUM(O38:Z38))</f>
        <v>0</v>
      </c>
      <c r="AB38" s="135" t="str">
        <f>IF(AA38=0,"",IFERROR(AA38/AA$19,""))</f>
        <v/>
      </c>
      <c r="AC38" s="137"/>
      <c r="AD38" s="134"/>
      <c r="AE38" s="135" t="str">
        <f>IF(AD38=0,"",IFERROR(AD38/AD$19,""))</f>
        <v/>
      </c>
      <c r="AF38" s="136">
        <f>IF(AND($AA38="",AD38=""),"",$AA38-AD38)</f>
        <v>0</v>
      </c>
      <c r="AG38" s="134"/>
      <c r="AH38" s="135" t="str">
        <f>IF(AG38=0,"",IFERROR(AG38/AG$19,""))</f>
        <v/>
      </c>
      <c r="AI38" s="136">
        <f>IF(AND($AA38="",AG38=""),"",$AA38-AG38)</f>
        <v>0</v>
      </c>
      <c r="AJ38" s="360">
        <f>IFERROR(AA38/AA$20,0)</f>
        <v>0</v>
      </c>
      <c r="AK38" s="361">
        <f>IFERROR(AD38/AD$20,0)</f>
        <v>0</v>
      </c>
      <c r="AL38" s="363">
        <f>IFERROR(AG38/AG$20,0)</f>
        <v>0</v>
      </c>
      <c r="AM38" s="405">
        <f>+IFERROR(ROUND(($AB38-AE38)*100,2)&amp;" pts.",0)</f>
        <v>0</v>
      </c>
      <c r="AN38" s="406">
        <f>+IFERROR(ROUND(($AB38-AH38)*100,2)&amp;" pts.",0)</f>
        <v>0</v>
      </c>
    </row>
    <row r="39" spans="1:40" x14ac:dyDescent="0.25">
      <c r="A39" s="1" t="s">
        <v>108</v>
      </c>
      <c r="C39" s="25" t="s">
        <v>101</v>
      </c>
      <c r="D39" s="1" t="s">
        <v>106</v>
      </c>
      <c r="F39" s="1" t="s">
        <v>98</v>
      </c>
      <c r="O39" s="53"/>
      <c r="P39" s="54"/>
      <c r="Q39" s="54"/>
      <c r="R39" s="54"/>
      <c r="S39" s="54"/>
      <c r="T39" s="54"/>
      <c r="U39" s="54"/>
      <c r="V39" s="54"/>
      <c r="W39" s="54"/>
      <c r="X39" s="54"/>
      <c r="Y39" s="54"/>
      <c r="Z39" s="54"/>
      <c r="AA39" s="54"/>
      <c r="AB39" s="55"/>
      <c r="AD39" s="53"/>
      <c r="AE39" s="54"/>
      <c r="AF39" s="55"/>
      <c r="AG39" s="53"/>
      <c r="AH39" s="54"/>
      <c r="AI39" s="55"/>
    </row>
    <row r="40" spans="1:40" x14ac:dyDescent="0.25">
      <c r="A40" s="1" t="s">
        <v>108</v>
      </c>
      <c r="C40" s="151" t="s">
        <v>101</v>
      </c>
      <c r="D40" s="1" t="s">
        <v>107</v>
      </c>
      <c r="F40" s="1" t="s">
        <v>99</v>
      </c>
      <c r="H40" s="1" t="s">
        <v>281</v>
      </c>
      <c r="I40" s="11" t="s">
        <v>1011</v>
      </c>
      <c r="J40" s="11" t="s">
        <v>78</v>
      </c>
      <c r="N40" s="40" t="s">
        <v>1223</v>
      </c>
      <c r="O40" s="53"/>
      <c r="P40" s="54"/>
      <c r="Q40" s="54"/>
      <c r="R40" s="54"/>
      <c r="S40" s="54"/>
      <c r="T40" s="54"/>
      <c r="U40" s="54"/>
      <c r="V40" s="54"/>
      <c r="W40" s="54"/>
      <c r="X40" s="54"/>
      <c r="Y40" s="54"/>
      <c r="Z40" s="54"/>
      <c r="AA40" s="54"/>
      <c r="AB40" s="55"/>
      <c r="AD40" s="53"/>
      <c r="AE40" s="54"/>
      <c r="AF40" s="55"/>
      <c r="AG40" s="53"/>
      <c r="AH40" s="54"/>
      <c r="AI40" s="55"/>
    </row>
    <row r="41" spans="1:40" x14ac:dyDescent="0.25">
      <c r="H41" s="15" t="s">
        <v>385</v>
      </c>
      <c r="I41" s="161" t="s">
        <v>1009</v>
      </c>
      <c r="J41" s="161" t="s">
        <v>1009</v>
      </c>
      <c r="K41" s="68" t="str">
        <f>IF(AND(I41&gt;="T5"),"&gt;","")</f>
        <v/>
      </c>
      <c r="L41" s="162">
        <v>530100</v>
      </c>
      <c r="M41" s="162">
        <v>306010</v>
      </c>
      <c r="N41" s="162" t="s">
        <v>1592</v>
      </c>
      <c r="O41" s="30"/>
      <c r="P41" s="30"/>
      <c r="Q41" s="30"/>
      <c r="R41" s="30"/>
      <c r="S41" s="30"/>
      <c r="T41" s="30"/>
      <c r="U41" s="30"/>
      <c r="V41" s="30"/>
      <c r="W41" s="30"/>
      <c r="X41" s="30"/>
      <c r="Y41" s="30"/>
      <c r="Z41" s="30"/>
      <c r="AA41" s="30">
        <f>IF($I41="B1","",SUM(O41:Z41))</f>
        <v>0</v>
      </c>
      <c r="AB41" s="31"/>
      <c r="AD41" s="30"/>
      <c r="AE41" s="31"/>
      <c r="AF41" s="51">
        <f>IF(AND($AA41="",AD41=""),"",$AA41-AD41)</f>
        <v>0</v>
      </c>
      <c r="AG41" s="30"/>
      <c r="AH41" s="31"/>
      <c r="AI41" s="51">
        <f>IF(AND($AA41="",AG41=""),"",$AA41-AG41)</f>
        <v>0</v>
      </c>
      <c r="AJ41" s="409">
        <f>IFERROR(AA41/AA$20,0)</f>
        <v>0</v>
      </c>
      <c r="AK41" s="410">
        <f>IFERROR(AD41/AD$20,0)</f>
        <v>0</v>
      </c>
      <c r="AL41" s="411">
        <f>IFERROR(AG41/AG$20,0)</f>
        <v>0</v>
      </c>
      <c r="AM41" s="412" t="str">
        <f>+IFERROR(ROUND(($AB41-AE41)*100,2)&amp;" pts.",0)</f>
        <v>0 pts.</v>
      </c>
      <c r="AN41" s="413" t="str">
        <f>+IFERROR(ROUND(($AB41-AH41)*100,2)&amp;" pts.",0)</f>
        <v>0 pts.</v>
      </c>
    </row>
    <row r="42" spans="1:40" x14ac:dyDescent="0.25">
      <c r="H42" s="15" t="s">
        <v>289</v>
      </c>
      <c r="I42" s="479" t="s">
        <v>1012</v>
      </c>
      <c r="J42" s="479" t="s">
        <v>78</v>
      </c>
      <c r="K42" s="480" t="str">
        <f>IF(AND(I42&gt;="T5"),"&gt;","")</f>
        <v/>
      </c>
      <c r="L42" s="170">
        <v>500001</v>
      </c>
      <c r="M42" s="170"/>
      <c r="N42" s="170" t="s">
        <v>1232</v>
      </c>
      <c r="O42" s="134"/>
      <c r="P42" s="134"/>
      <c r="Q42" s="134"/>
      <c r="R42" s="134"/>
      <c r="S42" s="134"/>
      <c r="T42" s="134"/>
      <c r="U42" s="134"/>
      <c r="V42" s="134"/>
      <c r="W42" s="134"/>
      <c r="X42" s="134"/>
      <c r="Y42" s="134"/>
      <c r="Z42" s="134"/>
      <c r="AA42" s="134">
        <f>IF($I42="B1","",SUM(O42:Z42))</f>
        <v>0</v>
      </c>
      <c r="AB42" s="135"/>
      <c r="AC42" s="137"/>
      <c r="AD42" s="134"/>
      <c r="AE42" s="135"/>
      <c r="AF42" s="136">
        <f>IF(AND($AA42="",AD42=""),"",$AA42-AD42)</f>
        <v>0</v>
      </c>
      <c r="AG42" s="134"/>
      <c r="AH42" s="135"/>
      <c r="AI42" s="136">
        <f>IF(AND($AA42="",AG42=""),"",$AA42-AG42)</f>
        <v>0</v>
      </c>
      <c r="AJ42" s="360">
        <f>IFERROR(AA42/AA$20,0)</f>
        <v>0</v>
      </c>
      <c r="AK42" s="361">
        <f>IFERROR(AD42/AD$20,0)</f>
        <v>0</v>
      </c>
      <c r="AL42" s="363">
        <f>IFERROR(AG42/AG$20,0)</f>
        <v>0</v>
      </c>
      <c r="AM42" s="405" t="str">
        <f>+IFERROR(ROUND(($AB42-AE42)*100,2)&amp;" pts.",0)</f>
        <v>0 pts.</v>
      </c>
      <c r="AN42" s="406" t="str">
        <f>+IFERROR(ROUND(($AB42-AH42)*100,2)&amp;" pts.",0)</f>
        <v>0 pts.</v>
      </c>
    </row>
    <row r="43" spans="1:40" x14ac:dyDescent="0.25">
      <c r="A43" s="4" t="s">
        <v>988</v>
      </c>
      <c r="H43" s="149" t="s">
        <v>175</v>
      </c>
      <c r="I43" s="28" t="s">
        <v>1011</v>
      </c>
      <c r="J43" s="28" t="s">
        <v>78</v>
      </c>
      <c r="K43" s="69" t="str">
        <f>IF(AND(I43&gt;="T5"),"&gt;","")</f>
        <v/>
      </c>
      <c r="L43" s="69"/>
      <c r="M43" s="69"/>
      <c r="N43" s="25" t="s">
        <v>175</v>
      </c>
      <c r="O43" s="47"/>
      <c r="P43" s="47"/>
      <c r="Q43" s="47"/>
      <c r="R43" s="47"/>
      <c r="S43" s="47"/>
      <c r="T43" s="47"/>
      <c r="U43" s="47"/>
      <c r="V43" s="47"/>
      <c r="W43" s="47"/>
      <c r="X43" s="47"/>
      <c r="Y43" s="47"/>
      <c r="Z43" s="47"/>
      <c r="AA43" s="47"/>
      <c r="AB43" s="48"/>
      <c r="AD43" s="47"/>
      <c r="AE43" s="48"/>
      <c r="AF43" s="150" t="str">
        <f>IF(AND($AA43="",AD43=""),"",$AA43-AD43)</f>
        <v/>
      </c>
      <c r="AG43" s="47"/>
      <c r="AH43" s="48"/>
      <c r="AI43" s="150" t="str">
        <f>IF(AND($AA43="",AG43=""),"",$AA43-AG43)</f>
        <v/>
      </c>
      <c r="AJ43" s="420">
        <f>IFERROR(AA43/AA$20,0)</f>
        <v>0</v>
      </c>
      <c r="AK43" s="421">
        <f>IFERROR(AD43/AD$20,0)</f>
        <v>0</v>
      </c>
      <c r="AL43" s="422">
        <f>IFERROR(AG43/AG$20,0)</f>
        <v>0</v>
      </c>
      <c r="AM43" s="423" t="str">
        <f>+IFERROR(ROUND(($AB43-AE43)*100,2)&amp;" pts.",0)</f>
        <v>0 pts.</v>
      </c>
      <c r="AN43" s="424" t="str">
        <f>+IFERROR(ROUND(($AB43-AH43)*100,2)&amp;" pts.",0)</f>
        <v>0 pts.</v>
      </c>
    </row>
    <row r="44" spans="1:40" x14ac:dyDescent="0.25">
      <c r="H44" s="149" t="s">
        <v>292</v>
      </c>
      <c r="I44" s="28" t="s">
        <v>1012</v>
      </c>
      <c r="J44" s="28" t="s">
        <v>78</v>
      </c>
      <c r="K44" s="69" t="str">
        <f>IF(AND(I44&gt;="T5"),"&gt;","")</f>
        <v/>
      </c>
      <c r="L44" s="69"/>
      <c r="M44" s="69"/>
      <c r="N44" s="25" t="s">
        <v>1233</v>
      </c>
      <c r="O44" s="164">
        <f t="shared" ref="O44:Z44" si="0">SUMIF($H$34:$H$42,"400000",O34:O42)-SUMIF($H$34:$H$42,"500001",O34:O42)</f>
        <v>0</v>
      </c>
      <c r="P44" s="164">
        <f t="shared" si="0"/>
        <v>0</v>
      </c>
      <c r="Q44" s="164">
        <f t="shared" si="0"/>
        <v>0</v>
      </c>
      <c r="R44" s="164">
        <f t="shared" si="0"/>
        <v>0</v>
      </c>
      <c r="S44" s="164">
        <f t="shared" si="0"/>
        <v>0</v>
      </c>
      <c r="T44" s="164">
        <f t="shared" si="0"/>
        <v>0</v>
      </c>
      <c r="U44" s="164">
        <f t="shared" si="0"/>
        <v>0</v>
      </c>
      <c r="V44" s="164">
        <f t="shared" si="0"/>
        <v>0</v>
      </c>
      <c r="W44" s="164">
        <f t="shared" si="0"/>
        <v>0</v>
      </c>
      <c r="X44" s="164">
        <f t="shared" si="0"/>
        <v>0</v>
      </c>
      <c r="Y44" s="164">
        <f t="shared" si="0"/>
        <v>0</v>
      </c>
      <c r="Z44" s="164">
        <f t="shared" si="0"/>
        <v>0</v>
      </c>
      <c r="AA44" s="134">
        <f>IF($I44="B1","",SUM(O44:Z44))</f>
        <v>0</v>
      </c>
      <c r="AB44" s="135" t="str">
        <f>IF(AA44=0,"",IFERROR(AA44/AA$19,""))</f>
        <v/>
      </c>
      <c r="AD44" s="164">
        <f>SUMIF($H$34:$H$42,"400000",AD34:AD42)-SUMIF($H$34:$H$42,"500001",AD34:AD42)</f>
        <v>0</v>
      </c>
      <c r="AE44" s="135" t="str">
        <f>IF(AD44=0,"",IFERROR(AD44/AD$19,""))</f>
        <v/>
      </c>
      <c r="AF44" s="165">
        <f>IF(AND($AA44="",AD44=""),"",$AA44-AD44)</f>
        <v>0</v>
      </c>
      <c r="AG44" s="164">
        <f>SUMIF($H$34:$H$42,"400000",AG34:AG42)-SUMIF($H$34:$H$42,"500001",AG34:AG42)</f>
        <v>0</v>
      </c>
      <c r="AH44" s="135" t="str">
        <f>IF(AG44=0,"",IFERROR(AG44/AG$19,""))</f>
        <v/>
      </c>
      <c r="AI44" s="165">
        <f>IF(AND($AA44="",AG44=""),"",$AA44-AG44)</f>
        <v>0</v>
      </c>
      <c r="AJ44" s="392">
        <f>IFERROR(AA44/AA$20,0)</f>
        <v>0</v>
      </c>
      <c r="AK44" s="393">
        <f>IFERROR(AD44/AD$20,0)</f>
        <v>0</v>
      </c>
      <c r="AL44" s="394">
        <f>IFERROR(AG44/AG$20,0)</f>
        <v>0</v>
      </c>
      <c r="AM44" s="395">
        <f>+IFERROR(ROUND(($AB44-AE44)*100,2)&amp;" pts.",0)</f>
        <v>0</v>
      </c>
      <c r="AN44" s="437">
        <f>+IFERROR(ROUND(($AB44-AH44)*100,2)&amp;" pts.",0)</f>
        <v>0</v>
      </c>
    </row>
    <row r="45" spans="1:40" x14ac:dyDescent="0.25">
      <c r="A45" s="3" t="s">
        <v>0</v>
      </c>
      <c r="B45" s="5" t="s">
        <v>1</v>
      </c>
      <c r="O45" s="163"/>
      <c r="P45" s="287"/>
      <c r="Q45" s="287"/>
      <c r="R45" s="287"/>
      <c r="S45" s="287"/>
      <c r="T45" s="287"/>
      <c r="U45" s="287"/>
      <c r="V45" s="287"/>
      <c r="W45" s="287"/>
      <c r="X45" s="287"/>
      <c r="Y45" s="287"/>
      <c r="Z45" s="287"/>
      <c r="AA45" s="287"/>
      <c r="AB45" s="55"/>
      <c r="AD45" s="53"/>
      <c r="AE45" s="54"/>
      <c r="AF45" s="55"/>
      <c r="AG45" s="54"/>
      <c r="AH45" s="54"/>
      <c r="AI45" s="55"/>
    </row>
    <row r="46" spans="1:40" x14ac:dyDescent="0.25">
      <c r="A46" s="6" t="s">
        <v>2</v>
      </c>
      <c r="B46" s="16" t="s">
        <v>1583</v>
      </c>
      <c r="H46" s="1" t="s">
        <v>73</v>
      </c>
      <c r="I46" s="11" t="s">
        <v>1011</v>
      </c>
      <c r="J46" s="11" t="s">
        <v>78</v>
      </c>
      <c r="N46" s="40" t="s">
        <v>1079</v>
      </c>
      <c r="O46" s="53"/>
      <c r="P46" s="54"/>
      <c r="Q46" s="54"/>
      <c r="R46" s="54"/>
      <c r="S46" s="54"/>
      <c r="T46" s="54"/>
      <c r="U46" s="54"/>
      <c r="V46" s="54"/>
      <c r="W46" s="54"/>
      <c r="X46" s="54"/>
      <c r="Y46" s="54"/>
      <c r="Z46" s="54"/>
      <c r="AA46" s="54"/>
      <c r="AB46" s="168"/>
      <c r="AD46" s="167"/>
      <c r="AE46" s="169"/>
      <c r="AF46" s="55"/>
      <c r="AG46" s="54"/>
      <c r="AH46" s="169"/>
      <c r="AI46" s="55"/>
    </row>
    <row r="47" spans="1:40" x14ac:dyDescent="0.25">
      <c r="A47" s="6" t="s">
        <v>3</v>
      </c>
      <c r="B47" s="16" t="s">
        <v>1584</v>
      </c>
      <c r="H47" s="1" t="s">
        <v>74</v>
      </c>
      <c r="I47" s="11" t="s">
        <v>1011</v>
      </c>
      <c r="J47" s="11" t="s">
        <v>78</v>
      </c>
      <c r="N47" s="8" t="s">
        <v>1080</v>
      </c>
      <c r="O47" s="43"/>
      <c r="P47" s="46"/>
      <c r="Q47" s="46"/>
      <c r="R47" s="46"/>
      <c r="S47" s="46"/>
      <c r="T47" s="46"/>
      <c r="U47" s="46"/>
      <c r="V47" s="46"/>
      <c r="W47" s="46"/>
      <c r="X47" s="46"/>
      <c r="Y47" s="46"/>
      <c r="Z47" s="46"/>
      <c r="AA47" s="46"/>
      <c r="AB47" s="44"/>
      <c r="AD47" s="43"/>
      <c r="AE47" s="46"/>
      <c r="AF47" s="44"/>
      <c r="AG47" s="46"/>
      <c r="AH47" s="46"/>
      <c r="AI47" s="44"/>
    </row>
    <row r="48" spans="1:40" hidden="1" x14ac:dyDescent="0.25">
      <c r="A48" s="6" t="s">
        <v>4</v>
      </c>
      <c r="B48" s="16" t="s">
        <v>1593</v>
      </c>
      <c r="H48" s="15" t="s">
        <v>667</v>
      </c>
      <c r="I48" s="161"/>
      <c r="J48" s="161"/>
      <c r="K48" s="68" t="str">
        <f>IF(AND(I48&gt;="T3"),"&gt;","")</f>
        <v/>
      </c>
      <c r="L48" s="162"/>
      <c r="M48" s="162"/>
      <c r="N48" s="162"/>
      <c r="O48" s="47"/>
      <c r="P48" s="47"/>
      <c r="Q48" s="47"/>
      <c r="R48" s="47"/>
      <c r="S48" s="47"/>
      <c r="T48" s="47"/>
      <c r="U48" s="47"/>
      <c r="V48" s="47"/>
      <c r="W48" s="47"/>
      <c r="X48" s="47"/>
      <c r="Y48" s="47"/>
      <c r="Z48" s="47"/>
      <c r="AA48" s="324">
        <f>IF($I48="B1","",SUM(O48:Z48))</f>
        <v>0</v>
      </c>
      <c r="AB48" s="48" t="str">
        <f>IF(AA48=0,"",IFERROR(AA48/AA$19,""))</f>
        <v/>
      </c>
      <c r="AD48" s="47"/>
      <c r="AE48" s="48" t="str">
        <f>IF(AD48=0,"",IFERROR(AD48/AD$19,""))</f>
        <v/>
      </c>
      <c r="AF48" s="150">
        <f>IF(AND($AA48="",AD48=""),"",$AA48-AD48)</f>
        <v>0</v>
      </c>
      <c r="AG48" s="47"/>
      <c r="AH48" s="48" t="str">
        <f>IF(AG48=0,"",IFERROR(AG48/AG$19,""))</f>
        <v/>
      </c>
      <c r="AI48" s="150">
        <f>IF(AND($AA48="",AG48=""),"",$AA48-AG48)</f>
        <v>0</v>
      </c>
      <c r="AJ48" s="399">
        <f>IFERROR(AA48/AA$20,0)</f>
        <v>0</v>
      </c>
      <c r="AK48" s="400">
        <f>IFERROR(AD48/AD$20,0)</f>
        <v>0</v>
      </c>
      <c r="AL48" s="401">
        <f>IFERROR(AG48/AG$20,0)</f>
        <v>0</v>
      </c>
      <c r="AM48" s="402">
        <f>+IFERROR(ROUND(($AB48-AE48)*100,2)&amp;" pts.",0)</f>
        <v>0</v>
      </c>
      <c r="AN48" s="403">
        <f>+IFERROR(ROUND(($AB48-AH48)*100,2)&amp;" pts.",0)</f>
        <v>0</v>
      </c>
    </row>
    <row r="49" spans="1:40" hidden="1" x14ac:dyDescent="0.25">
      <c r="A49" s="6" t="s">
        <v>5</v>
      </c>
      <c r="B49" s="7"/>
      <c r="F49" s="152"/>
      <c r="H49" s="15"/>
      <c r="I49" s="161"/>
      <c r="J49" s="161"/>
      <c r="K49" s="68" t="str">
        <f>IF(AND(I49&gt;="T3"),"&gt;","")</f>
        <v/>
      </c>
      <c r="L49" s="162"/>
      <c r="M49" s="162"/>
      <c r="N49" s="162"/>
      <c r="O49" s="47"/>
      <c r="P49" s="47"/>
      <c r="Q49" s="47"/>
      <c r="R49" s="47"/>
      <c r="S49" s="47"/>
      <c r="T49" s="47"/>
      <c r="U49" s="47"/>
      <c r="V49" s="47"/>
      <c r="W49" s="47"/>
      <c r="X49" s="47"/>
      <c r="Y49" s="47"/>
      <c r="Z49" s="47"/>
      <c r="AA49" s="324">
        <f>IF($I49="B1","",SUM(O49:Z49))</f>
        <v>0</v>
      </c>
      <c r="AB49" s="48" t="str">
        <f>IF(AA49=0,"",IFERROR(AA49/AA$19,""))</f>
        <v/>
      </c>
      <c r="AD49" s="47"/>
      <c r="AE49" s="48" t="str">
        <f>IF(AD49=0,"",IFERROR(AD49/AD$19,""))</f>
        <v/>
      </c>
      <c r="AF49" s="150">
        <f>IF(AND($AA49="",AD49=""),"",$AA49-AD49)</f>
        <v>0</v>
      </c>
      <c r="AG49" s="47"/>
      <c r="AH49" s="48" t="str">
        <f>IF(AG49=0,"",IFERROR(AG49/AG$19,""))</f>
        <v/>
      </c>
      <c r="AI49" s="150">
        <f>IF(AND($AA49="",AG49=""),"",$AA49-AG49)</f>
        <v>0</v>
      </c>
      <c r="AJ49" s="399">
        <f>IFERROR(AA49/AA$20,0)</f>
        <v>0</v>
      </c>
      <c r="AK49" s="400">
        <f>IFERROR(AD49/AD$20,0)</f>
        <v>0</v>
      </c>
      <c r="AL49" s="401">
        <f>IFERROR(AG49/AG$20,0)</f>
        <v>0</v>
      </c>
      <c r="AM49" s="402">
        <f>+IFERROR(ROUND(($AB49-AE49)*100,2)&amp;" pts.",0)</f>
        <v>0</v>
      </c>
      <c r="AN49" s="403">
        <f>+IFERROR(ROUND(($AB49-AH49)*100,2)&amp;" pts.",0)</f>
        <v>0</v>
      </c>
    </row>
    <row r="50" spans="1:40" x14ac:dyDescent="0.25">
      <c r="A50" s="6" t="s">
        <v>6</v>
      </c>
      <c r="B50" s="7"/>
      <c r="F50" s="152"/>
      <c r="H50" s="15" t="s">
        <v>75</v>
      </c>
      <c r="I50" s="28" t="s">
        <v>1011</v>
      </c>
      <c r="J50" s="28" t="s">
        <v>78</v>
      </c>
      <c r="K50" s="69" t="str">
        <f>IF(AND(I50&gt;="T3"),"&gt;","")</f>
        <v/>
      </c>
      <c r="L50" s="25"/>
      <c r="M50" s="162"/>
      <c r="N50" s="25" t="s">
        <v>1082</v>
      </c>
      <c r="O50" s="38"/>
      <c r="P50" s="38"/>
      <c r="Q50" s="38"/>
      <c r="R50" s="38"/>
      <c r="S50" s="38"/>
      <c r="T50" s="38"/>
      <c r="U50" s="38"/>
      <c r="V50" s="38"/>
      <c r="W50" s="38"/>
      <c r="X50" s="38"/>
      <c r="Y50" s="38"/>
      <c r="Z50" s="38"/>
      <c r="AA50" s="310" t="str">
        <f>IF($I50="B1","",SUM(O50:Z50))</f>
        <v/>
      </c>
      <c r="AB50" s="39" t="str">
        <f>IF(AA50=0,"",IFERROR(AA50/AA$19,""))</f>
        <v/>
      </c>
      <c r="AD50" s="38"/>
      <c r="AE50" s="39" t="str">
        <f>IF(AD50=0,"",IFERROR(AD50/AD$19,""))</f>
        <v/>
      </c>
      <c r="AF50" s="132" t="str">
        <f>IF(AND($AA50="",AD50=""),"",$AA50-AD50)</f>
        <v/>
      </c>
      <c r="AG50" s="38"/>
      <c r="AH50" s="39" t="str">
        <f>IF(AG50=0,"",IFERROR(AG50/AG$19,""))</f>
        <v/>
      </c>
      <c r="AI50" s="132" t="str">
        <f>IF(AND($AA50="",AG50=""),"",$AA50-AG50)</f>
        <v/>
      </c>
      <c r="AJ50" s="399">
        <f>IFERROR(AA50/AA$20,0)</f>
        <v>0</v>
      </c>
      <c r="AK50" s="400">
        <f>IFERROR(AD50/AD$20,0)</f>
        <v>0</v>
      </c>
      <c r="AL50" s="401">
        <f>IFERROR(AG50/AG$20,0)</f>
        <v>0</v>
      </c>
      <c r="AM50" s="402">
        <f>+IFERROR(ROUND(($AB50-AE50)*100,2)&amp;" pts.",0)</f>
        <v>0</v>
      </c>
      <c r="AN50" s="403">
        <f>+IFERROR(ROUND(($AB50-AH50)*100,2)&amp;" pts.",0)</f>
        <v>0</v>
      </c>
    </row>
    <row r="51" spans="1:40" hidden="1" x14ac:dyDescent="0.25">
      <c r="A51" s="6" t="s">
        <v>7</v>
      </c>
      <c r="B51" s="16" t="s">
        <v>1594</v>
      </c>
      <c r="F51" s="152"/>
      <c r="H51" s="15" t="s">
        <v>667</v>
      </c>
      <c r="I51" s="161"/>
      <c r="J51" s="161"/>
      <c r="K51" s="68" t="str">
        <f>IF(AND(I51&gt;="T3"),"&gt;","")</f>
        <v/>
      </c>
      <c r="L51" s="162"/>
      <c r="M51" s="162"/>
      <c r="N51" s="162"/>
      <c r="O51" s="47"/>
      <c r="P51" s="47"/>
      <c r="Q51" s="47"/>
      <c r="R51" s="47"/>
      <c r="S51" s="47"/>
      <c r="T51" s="47"/>
      <c r="U51" s="47"/>
      <c r="V51" s="47"/>
      <c r="W51" s="47"/>
      <c r="X51" s="47"/>
      <c r="Y51" s="47"/>
      <c r="Z51" s="47"/>
      <c r="AA51" s="324">
        <f>IF($I51="B1","",SUM(O51:Z51))</f>
        <v>0</v>
      </c>
      <c r="AB51" s="48" t="str">
        <f>IF(AA51=0,"",IFERROR(AA51/AA$19,""))</f>
        <v/>
      </c>
      <c r="AD51" s="47"/>
      <c r="AE51" s="48" t="str">
        <f>IF(AD51=0,"",IFERROR(AD51/AD$19,""))</f>
        <v/>
      </c>
      <c r="AF51" s="150">
        <f>IF(AND($AA51="",AD51=""),"",$AA51-AD51)</f>
        <v>0</v>
      </c>
      <c r="AG51" s="47"/>
      <c r="AH51" s="48" t="str">
        <f>IF(AG51=0,"",IFERROR(AG51/AG$19,""))</f>
        <v/>
      </c>
      <c r="AI51" s="150">
        <f>IF(AND($AA51="",AG51=""),"",$AA51-AG51)</f>
        <v>0</v>
      </c>
      <c r="AJ51" s="409">
        <f>IFERROR(AA51/AA$20,0)</f>
        <v>0</v>
      </c>
      <c r="AK51" s="410">
        <f>IFERROR(AD51/AD$20,0)</f>
        <v>0</v>
      </c>
      <c r="AL51" s="411">
        <f>IFERROR(AG51/AG$20,0)</f>
        <v>0</v>
      </c>
      <c r="AM51" s="412">
        <f>+IFERROR(ROUND(($AB51-AE51)*100,2)&amp;" pts.",0)</f>
        <v>0</v>
      </c>
      <c r="AN51" s="413">
        <f>+IFERROR(ROUND(($AB51-AH51)*100,2)&amp;" pts.",0)</f>
        <v>0</v>
      </c>
    </row>
    <row r="52" spans="1:40" hidden="1" x14ac:dyDescent="0.25">
      <c r="A52" s="6" t="s">
        <v>47</v>
      </c>
      <c r="B52" s="16" t="s">
        <v>1587</v>
      </c>
      <c r="H52" s="15"/>
      <c r="I52" s="161"/>
      <c r="J52" s="161"/>
      <c r="K52" s="68" t="str">
        <f>IF(AND(I52&gt;="T3"),"&gt;","")</f>
        <v/>
      </c>
      <c r="L52" s="162"/>
      <c r="M52" s="162"/>
      <c r="N52" s="162"/>
      <c r="O52" s="47"/>
      <c r="P52" s="47"/>
      <c r="Q52" s="47"/>
      <c r="R52" s="47"/>
      <c r="S52" s="47"/>
      <c r="T52" s="47"/>
      <c r="U52" s="47"/>
      <c r="V52" s="47"/>
      <c r="W52" s="47"/>
      <c r="X52" s="47"/>
      <c r="Y52" s="47"/>
      <c r="Z52" s="47"/>
      <c r="AA52" s="324">
        <f>IF($I52="B1","",SUM(O52:Z52))</f>
        <v>0</v>
      </c>
      <c r="AB52" s="48" t="str">
        <f>IF(AA52=0,"",IFERROR(AA52/AA$19,""))</f>
        <v/>
      </c>
      <c r="AD52" s="47"/>
      <c r="AE52" s="48" t="str">
        <f>IF(AD52=0,"",IFERROR(AD52/AD$19,""))</f>
        <v/>
      </c>
      <c r="AF52" s="150">
        <f>IF(AND($AA52="",AD52=""),"",$AA52-AD52)</f>
        <v>0</v>
      </c>
      <c r="AG52" s="47"/>
      <c r="AH52" s="48" t="str">
        <f>IF(AG52=0,"",IFERROR(AG52/AG$19,""))</f>
        <v/>
      </c>
      <c r="AI52" s="150">
        <f>IF(AND($AA52="",AG52=""),"",$AA52-AG52)</f>
        <v>0</v>
      </c>
      <c r="AJ52" s="409">
        <f>IFERROR(AA52/AA$20,0)</f>
        <v>0</v>
      </c>
      <c r="AK52" s="410">
        <f>IFERROR(AD52/AD$20,0)</f>
        <v>0</v>
      </c>
      <c r="AL52" s="411">
        <f>IFERROR(AG52/AG$20,0)</f>
        <v>0</v>
      </c>
      <c r="AM52" s="412">
        <f>+IFERROR(ROUND(($AB52-AE52)*100,2)&amp;" pts.",0)</f>
        <v>0</v>
      </c>
      <c r="AN52" s="413">
        <f>+IFERROR(ROUND(($AB52-AH52)*100,2)&amp;" pts.",0)</f>
        <v>0</v>
      </c>
    </row>
    <row r="53" spans="1:40" x14ac:dyDescent="0.25">
      <c r="A53" s="6" t="s">
        <v>8</v>
      </c>
      <c r="B53" s="7"/>
      <c r="O53" s="41"/>
      <c r="P53" s="45"/>
      <c r="Q53" s="45"/>
      <c r="R53" s="45"/>
      <c r="S53" s="45"/>
      <c r="T53" s="45"/>
      <c r="U53" s="45"/>
      <c r="V53" s="45"/>
      <c r="W53" s="45"/>
      <c r="X53" s="45"/>
      <c r="Y53" s="45"/>
      <c r="Z53" s="45"/>
      <c r="AA53" s="45"/>
      <c r="AB53" s="42"/>
      <c r="AD53" s="41"/>
      <c r="AE53" s="45"/>
      <c r="AF53" s="42"/>
      <c r="AG53" s="41"/>
      <c r="AH53" s="45"/>
      <c r="AI53" s="42"/>
    </row>
    <row r="54" spans="1:40" x14ac:dyDescent="0.25">
      <c r="H54" s="1" t="s">
        <v>82</v>
      </c>
      <c r="I54" s="11" t="s">
        <v>1011</v>
      </c>
      <c r="J54" s="11" t="s">
        <v>78</v>
      </c>
      <c r="N54" s="40" t="s">
        <v>1092</v>
      </c>
      <c r="O54" s="43"/>
      <c r="P54" s="46"/>
      <c r="Q54" s="46"/>
      <c r="R54" s="46"/>
      <c r="S54" s="46"/>
      <c r="T54" s="46"/>
      <c r="U54" s="46"/>
      <c r="V54" s="46"/>
      <c r="W54" s="46"/>
      <c r="X54" s="46"/>
      <c r="Y54" s="46"/>
      <c r="Z54" s="46"/>
      <c r="AA54" s="46"/>
      <c r="AB54" s="44"/>
      <c r="AD54" s="43"/>
      <c r="AE54" s="46"/>
      <c r="AF54" s="44"/>
      <c r="AG54" s="43"/>
      <c r="AH54" s="46"/>
      <c r="AI54" s="44"/>
    </row>
    <row r="55" spans="1:40" hidden="1" x14ac:dyDescent="0.25">
      <c r="A55" s="3" t="s">
        <v>9</v>
      </c>
      <c r="B55" s="5" t="s">
        <v>10</v>
      </c>
      <c r="H55" s="15" t="s">
        <v>667</v>
      </c>
      <c r="I55" s="161"/>
      <c r="J55" s="161"/>
      <c r="K55" s="68" t="str">
        <f>IF(AND(I55&lt;&gt;"B1",J55="Y"),"&gt;","")</f>
        <v/>
      </c>
      <c r="L55" s="162"/>
      <c r="M55" s="162"/>
      <c r="N55" s="162"/>
      <c r="O55" s="30"/>
      <c r="P55" s="30"/>
      <c r="Q55" s="30"/>
      <c r="R55" s="30"/>
      <c r="S55" s="30"/>
      <c r="T55" s="30"/>
      <c r="U55" s="30"/>
      <c r="V55" s="30"/>
      <c r="W55" s="30"/>
      <c r="X55" s="30"/>
      <c r="Y55" s="30"/>
      <c r="Z55" s="30"/>
      <c r="AA55" s="324">
        <f>IF($I55="B1","",SUM(O55:Z55))</f>
        <v>0</v>
      </c>
      <c r="AB55" s="31" t="str">
        <f>IF(AA55=0,"",IFERROR(AA55/AA$19,""))</f>
        <v/>
      </c>
      <c r="AD55" s="30"/>
      <c r="AE55" s="31" t="str">
        <f>IF(AD55=0,"",IFERROR(AD55/AD$19,""))</f>
        <v/>
      </c>
      <c r="AF55" s="51">
        <f>IF(AND($AA55="",AD55=""),"",$AA55-AD55)</f>
        <v>0</v>
      </c>
      <c r="AG55" s="30"/>
      <c r="AH55" s="31" t="str">
        <f>IF(AG55=0,"",IFERROR(AG55/AG$19,""))</f>
        <v/>
      </c>
      <c r="AI55" s="51">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A56" s="6" t="s">
        <v>11</v>
      </c>
      <c r="B56" s="7" t="s">
        <v>21</v>
      </c>
      <c r="G56" s="14"/>
      <c r="H56" s="15"/>
      <c r="I56" s="161"/>
      <c r="J56" s="161"/>
      <c r="K56" s="68" t="str">
        <f>IF(AND(I56&lt;&gt;"B1",J56="Y"),"&gt;","")</f>
        <v/>
      </c>
      <c r="L56" s="162"/>
      <c r="M56" s="162"/>
      <c r="N56" s="162"/>
      <c r="O56" s="30"/>
      <c r="P56" s="30"/>
      <c r="Q56" s="30"/>
      <c r="R56" s="30"/>
      <c r="S56" s="30"/>
      <c r="T56" s="30"/>
      <c r="U56" s="30"/>
      <c r="V56" s="30"/>
      <c r="W56" s="30"/>
      <c r="X56" s="30"/>
      <c r="Y56" s="30"/>
      <c r="Z56" s="30"/>
      <c r="AA56" s="324">
        <f>IF($I56="B1","",SUM(O56:Z56))</f>
        <v>0</v>
      </c>
      <c r="AB56" s="31" t="str">
        <f>IF(AA56=0,"",IFERROR(AA56/AA$19,""))</f>
        <v/>
      </c>
      <c r="AD56" s="30"/>
      <c r="AE56" s="31" t="str">
        <f>IF(AD56=0,"",IFERROR(AD56/AD$19,""))</f>
        <v/>
      </c>
      <c r="AF56" s="51">
        <f>IF(AND($AA56="",AD56=""),"",$AA56-AD56)</f>
        <v>0</v>
      </c>
      <c r="AG56" s="30"/>
      <c r="AH56" s="31" t="str">
        <f>IF(AG56=0,"",IFERROR(AG56/AG$19,""))</f>
        <v/>
      </c>
      <c r="AI56" s="51">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6" t="s">
        <v>12</v>
      </c>
      <c r="B57" s="7" t="s">
        <v>22</v>
      </c>
      <c r="H57" s="15" t="s">
        <v>79</v>
      </c>
      <c r="I57" s="27" t="s">
        <v>1012</v>
      </c>
      <c r="J57" s="27" t="s">
        <v>78</v>
      </c>
      <c r="K57" s="26"/>
      <c r="L57" s="26"/>
      <c r="M57" s="26"/>
      <c r="N57" s="25" t="s">
        <v>1116</v>
      </c>
      <c r="O57" s="33"/>
      <c r="P57" s="33"/>
      <c r="Q57" s="33"/>
      <c r="R57" s="33"/>
      <c r="S57" s="33"/>
      <c r="T57" s="33"/>
      <c r="U57" s="33"/>
      <c r="V57" s="33"/>
      <c r="W57" s="33"/>
      <c r="X57" s="33"/>
      <c r="Y57" s="33"/>
      <c r="Z57" s="33"/>
      <c r="AA57" s="33">
        <f>IF($I57="B1","",SUM(O57:Z57))</f>
        <v>0</v>
      </c>
      <c r="AB57" s="34" t="str">
        <f>IF(AA57=0,"",IFERROR(AA57/AA$19,""))</f>
        <v/>
      </c>
      <c r="AD57" s="33"/>
      <c r="AE57" s="34" t="str">
        <f>IF(AD57=0,"",IFERROR(AD57/AD$19,""))</f>
        <v/>
      </c>
      <c r="AF57" s="52">
        <f>IF(AND($AA57="",AD57=""),"",$AA57-AD57)</f>
        <v>0</v>
      </c>
      <c r="AG57" s="33"/>
      <c r="AH57" s="34" t="str">
        <f>IF(AG57=0,"",IFERROR(AG57/AG$19,""))</f>
        <v/>
      </c>
      <c r="AI57" s="52">
        <f>IF(AND($AA57="",AG57=""),"",$AA57-AG57)</f>
        <v>0</v>
      </c>
      <c r="AJ57" s="415">
        <f>IFERROR(AA57/AA$20,0)</f>
        <v>0</v>
      </c>
      <c r="AK57" s="416">
        <f>IFERROR(AD57/AD$20,0)</f>
        <v>0</v>
      </c>
      <c r="AL57" s="417">
        <f>IFERROR(AG57/AG$20,0)</f>
        <v>0</v>
      </c>
      <c r="AM57" s="418">
        <f>+IFERROR(ROUND(($AB57-AE57)*100,2)&amp;" pts.",0)</f>
        <v>0</v>
      </c>
      <c r="AN57" s="436">
        <f>+IFERROR(ROUND(($AB57-AH57)*100,2)&amp;" pts.",0)</f>
        <v>0</v>
      </c>
    </row>
    <row r="58" spans="1:40" x14ac:dyDescent="0.25">
      <c r="A58" s="6" t="s">
        <v>13</v>
      </c>
      <c r="B58" s="7" t="str">
        <f>"DEP(500001) AND "&amp;$E$6&amp;"=Y,500001"</f>
        <v>DEP(500001) AND D1133=Y,500001</v>
      </c>
    </row>
    <row r="59" spans="1:40" x14ac:dyDescent="0.25">
      <c r="A59" s="6" t="s">
        <v>14</v>
      </c>
      <c r="B59" s="7"/>
      <c r="H59" s="15" t="s">
        <v>80</v>
      </c>
      <c r="I59" s="27" t="s">
        <v>1012</v>
      </c>
      <c r="J59" s="27" t="s">
        <v>78</v>
      </c>
      <c r="K59" s="25"/>
      <c r="L59" s="25"/>
      <c r="M59" s="25"/>
      <c r="N59" s="25" t="s">
        <v>1117</v>
      </c>
      <c r="O59" s="36"/>
      <c r="P59" s="36"/>
      <c r="Q59" s="36"/>
      <c r="R59" s="36"/>
      <c r="S59" s="36"/>
      <c r="T59" s="36"/>
      <c r="U59" s="36"/>
      <c r="V59" s="36"/>
      <c r="W59" s="36"/>
      <c r="X59" s="36"/>
      <c r="Y59" s="36"/>
      <c r="Z59" s="36"/>
      <c r="AA59" s="36">
        <f>IF($I59="B1","",SUM(O59:Z59))</f>
        <v>0</v>
      </c>
      <c r="AB59" s="37" t="str">
        <f>IF(AA59=0,"",IFERROR(AA59/AA$19,""))</f>
        <v/>
      </c>
      <c r="AD59" s="36"/>
      <c r="AE59" s="37" t="str">
        <f>IF(AD59=0,"",IFERROR(AD59/AD$19,""))</f>
        <v/>
      </c>
      <c r="AF59" s="59">
        <f>IF(AND($AA59="",AD59=""),"",$AA59-AD59)</f>
        <v>0</v>
      </c>
      <c r="AG59" s="60"/>
      <c r="AH59" s="61" t="str">
        <f>IF(AG59=0,"",IFERROR(AG59/AG$19,""))</f>
        <v/>
      </c>
      <c r="AI59" s="59">
        <f>IF(AND($AA59="",AG59=""),"",$AA59-AG59)</f>
        <v>0</v>
      </c>
      <c r="AJ59" s="392">
        <f>IFERROR(AA59/AA$20,0)</f>
        <v>0</v>
      </c>
      <c r="AK59" s="393">
        <f>IFERROR(AD59/AD$20,0)</f>
        <v>0</v>
      </c>
      <c r="AL59" s="394">
        <f>IFERROR(AG59/AG$20,0)</f>
        <v>0</v>
      </c>
      <c r="AM59" s="395">
        <f>+IFERROR(ROUND(($AB59-AE59)*100,2)&amp;" pts.",0)</f>
        <v>0</v>
      </c>
      <c r="AN59" s="437">
        <f>+IFERROR(ROUND(($AB59-AH59)*100,2)&amp;" pts.",0)</f>
        <v>0</v>
      </c>
    </row>
    <row r="60" spans="1:40" ht="15.75" thickBot="1" x14ac:dyDescent="0.3">
      <c r="A60" s="6" t="s">
        <v>15</v>
      </c>
      <c r="B60" s="7"/>
      <c r="H60" s="15" t="s">
        <v>81</v>
      </c>
      <c r="I60" s="27" t="s">
        <v>1012</v>
      </c>
      <c r="J60" s="27" t="s">
        <v>78</v>
      </c>
      <c r="K60" s="25"/>
      <c r="L60" s="25"/>
      <c r="M60" s="25"/>
      <c r="N60" s="25" t="s">
        <v>1118</v>
      </c>
      <c r="O60" s="62"/>
      <c r="P60" s="62"/>
      <c r="Q60" s="62">
        <v>0</v>
      </c>
      <c r="R60" s="62"/>
      <c r="S60" s="62">
        <v>0</v>
      </c>
      <c r="T60" s="62"/>
      <c r="U60" s="62"/>
      <c r="V60" s="62"/>
      <c r="W60" s="62"/>
      <c r="X60" s="62"/>
      <c r="Y60" s="62"/>
      <c r="Z60" s="62"/>
      <c r="AA60" s="62">
        <f>IF($I60="B1","",SUM(O60:Z60))</f>
        <v>0</v>
      </c>
      <c r="AB60" s="63" t="str">
        <f>IF(AA60=0,"",IFERROR(AA60/AA$19,""))</f>
        <v/>
      </c>
      <c r="AD60" s="62"/>
      <c r="AE60" s="63" t="str">
        <f>IF(AD60=0,"",IFERROR(AD60/AD$19,""))</f>
        <v/>
      </c>
      <c r="AF60" s="64">
        <f>IF(AND($AA60="",AD60=""),"",$AA60-AD60)</f>
        <v>0</v>
      </c>
      <c r="AG60" s="62"/>
      <c r="AH60" s="63" t="str">
        <f>IF(AG60=0,"",IFERROR(AG60/AG$19,""))</f>
        <v/>
      </c>
      <c r="AI60" s="64">
        <f>IF(AND($AA60="",AG60=""),"",$AA60-AG60)</f>
        <v>0</v>
      </c>
      <c r="AJ60" s="430">
        <f>IFERROR(AA60/AA$20,0)</f>
        <v>0</v>
      </c>
      <c r="AK60" s="431">
        <f>IFERROR(AD60/AD$20,0)</f>
        <v>0</v>
      </c>
      <c r="AL60" s="432">
        <f>IFERROR(AG60/AG$20,0)</f>
        <v>0</v>
      </c>
      <c r="AM60" s="433">
        <f>+IFERROR(ROUND(($AB60-AE60)*100,2)&amp;" pts.",0)</f>
        <v>0</v>
      </c>
      <c r="AN60" s="438">
        <f>+IFERROR(ROUND(($AB60-AH60)*100,2)&amp;" pts.",0)</f>
        <v>0</v>
      </c>
    </row>
    <row r="61" spans="1:40" ht="15.75" thickTop="1" x14ac:dyDescent="0.25">
      <c r="A61" s="6" t="s">
        <v>16</v>
      </c>
      <c r="B61" s="7"/>
    </row>
    <row r="62" spans="1:40" x14ac:dyDescent="0.25">
      <c r="A62" s="6" t="s">
        <v>17</v>
      </c>
      <c r="B62" s="7"/>
      <c r="N62" s="26" t="str">
        <f>N59&amp;" - Check"</f>
        <v>Total Expenses - Check</v>
      </c>
      <c r="O62" s="139">
        <f t="shared" ref="O62:AA62" si="1">SUMIF($H$34:$H$60,"600000",O$34:O$60)+SUMIF($H$34:$H$60,"700000",O$34:O$60)-SUMIF($H$34:$H$60,"TOTDEPTEXP",O$34:O$60)</f>
        <v>0</v>
      </c>
      <c r="P62" s="139">
        <f t="shared" si="1"/>
        <v>0</v>
      </c>
      <c r="Q62" s="139">
        <f t="shared" si="1"/>
        <v>0</v>
      </c>
      <c r="R62" s="139">
        <f t="shared" si="1"/>
        <v>0</v>
      </c>
      <c r="S62" s="139">
        <f t="shared" si="1"/>
        <v>0</v>
      </c>
      <c r="T62" s="139">
        <f t="shared" si="1"/>
        <v>0</v>
      </c>
      <c r="U62" s="139">
        <f t="shared" si="1"/>
        <v>0</v>
      </c>
      <c r="V62" s="139">
        <f t="shared" si="1"/>
        <v>0</v>
      </c>
      <c r="W62" s="139">
        <f t="shared" si="1"/>
        <v>0</v>
      </c>
      <c r="X62" s="139">
        <f t="shared" si="1"/>
        <v>0</v>
      </c>
      <c r="Y62" s="139">
        <f t="shared" si="1"/>
        <v>0</v>
      </c>
      <c r="Z62" s="139">
        <f t="shared" si="1"/>
        <v>0</v>
      </c>
      <c r="AA62" s="139">
        <f t="shared" si="1"/>
        <v>0</v>
      </c>
      <c r="AB62" s="17"/>
      <c r="AD62" s="139">
        <f>SUMIF($H$34:$H$60,"600000",AD$34:AD$60)+SUMIF($H$34:$H$60,"700000",AD$34:AD$60)-SUMIF($H$34:$H$60,"TOTDEPTEXP",AD$34:AD$60)</f>
        <v>0</v>
      </c>
      <c r="AE62" s="17"/>
      <c r="AF62" s="21"/>
      <c r="AG62" s="139">
        <f>SUMIF($H$34:$H$60,"600000",AG$34:AG$60)+SUMIF($H$34:$H$60,"700000",AG$34:AG$60)-SUMIF($H$34:$H$60,"TOTDEPTEXP",AG$34:AG$60)</f>
        <v>0</v>
      </c>
      <c r="AH62" s="17"/>
      <c r="AI62" s="21"/>
    </row>
    <row r="63" spans="1:40" x14ac:dyDescent="0.25">
      <c r="N63" s="26" t="str">
        <f>N60&amp;" - Check"</f>
        <v>Department Profit (Loss) - Check</v>
      </c>
      <c r="O63" s="139">
        <f t="shared" ref="O63:AA63" si="2">SUMIF($H$34:$H$60,"KPI_GP",O$34:O$60)-SUMIF($H$34:$H$60,"TOTDEPTEXP",O$34:O$60)-SUMIF($H$34:$H$60,"TOTDEPTPL",O$34:O$60)</f>
        <v>0</v>
      </c>
      <c r="P63" s="139">
        <f t="shared" si="2"/>
        <v>0</v>
      </c>
      <c r="Q63" s="139">
        <f t="shared" si="2"/>
        <v>0</v>
      </c>
      <c r="R63" s="139">
        <f t="shared" si="2"/>
        <v>0</v>
      </c>
      <c r="S63" s="139">
        <f t="shared" si="2"/>
        <v>0</v>
      </c>
      <c r="T63" s="139">
        <f t="shared" si="2"/>
        <v>0</v>
      </c>
      <c r="U63" s="139">
        <f t="shared" si="2"/>
        <v>0</v>
      </c>
      <c r="V63" s="139">
        <f t="shared" si="2"/>
        <v>0</v>
      </c>
      <c r="W63" s="139">
        <f t="shared" si="2"/>
        <v>0</v>
      </c>
      <c r="X63" s="139">
        <f t="shared" si="2"/>
        <v>0</v>
      </c>
      <c r="Y63" s="139">
        <f t="shared" si="2"/>
        <v>0</v>
      </c>
      <c r="Z63" s="139">
        <f t="shared" si="2"/>
        <v>0</v>
      </c>
      <c r="AA63" s="139">
        <f t="shared" si="2"/>
        <v>0</v>
      </c>
      <c r="AB63" s="17"/>
      <c r="AD63" s="139">
        <f>SUMIF($H$34:$H$60,"KPI_GP",AD$34:AD$60)-SUMIF($H$34:$H$60,"TOTDEPTEXP",AD$34:AD$60)-SUMIF($H$34:$H$60,"TOTDEPTPL",AD$34:AD$60)</f>
        <v>0</v>
      </c>
      <c r="AE63" s="17"/>
      <c r="AF63" s="21"/>
      <c r="AG63" s="139">
        <f>SUMIF($H$34:$H$60,"KPI_GP",AG$34:AG$60)-SUMIF($H$34:$H$60,"TOTDEPTEXP",AG$34:AG$60)-SUMIF($H$34:$H$60,"TOTDEPTPL",AG$34:AG$60)</f>
        <v>0</v>
      </c>
      <c r="AH63" s="17"/>
      <c r="AI63" s="21"/>
    </row>
    <row r="64" spans="1:40" x14ac:dyDescent="0.25">
      <c r="A64" s="22" t="s">
        <v>92</v>
      </c>
      <c r="B64" s="23" t="s">
        <v>93</v>
      </c>
      <c r="C64" s="23" t="s">
        <v>94</v>
      </c>
      <c r="D64" s="23" t="s">
        <v>95</v>
      </c>
      <c r="E64" s="23" t="s">
        <v>96</v>
      </c>
      <c r="F64" s="24" t="s">
        <v>97</v>
      </c>
    </row>
    <row r="65" spans="1:33" x14ac:dyDescent="0.25">
      <c r="O65" s="166"/>
      <c r="P65" s="166"/>
      <c r="Q65" s="166"/>
      <c r="R65" s="166"/>
      <c r="S65" s="166"/>
      <c r="T65" s="166"/>
      <c r="U65" s="166"/>
      <c r="V65" s="166"/>
      <c r="W65" s="166"/>
      <c r="X65" s="166"/>
      <c r="Y65" s="166"/>
      <c r="Z65" s="166"/>
      <c r="AA65" s="166"/>
      <c r="AD65" s="166"/>
      <c r="AG65" s="166"/>
    </row>
    <row r="66" spans="1:33" x14ac:dyDescent="0.25">
      <c r="A66" s="1" t="s">
        <v>105</v>
      </c>
      <c r="C66" s="26" t="s">
        <v>101</v>
      </c>
      <c r="D66" s="1" t="s">
        <v>106</v>
      </c>
      <c r="F66" s="1" t="s">
        <v>98</v>
      </c>
    </row>
    <row r="67" spans="1:33" x14ac:dyDescent="0.25">
      <c r="A67" s="1" t="s">
        <v>108</v>
      </c>
      <c r="C67" s="25" t="s">
        <v>101</v>
      </c>
      <c r="D67" s="1" t="s">
        <v>106</v>
      </c>
      <c r="F67" s="1" t="s">
        <v>98</v>
      </c>
      <c r="O67" s="166"/>
      <c r="P67" s="166"/>
      <c r="Q67" s="166"/>
      <c r="R67" s="166"/>
      <c r="S67" s="166"/>
      <c r="T67" s="166"/>
      <c r="U67" s="166"/>
      <c r="V67" s="166"/>
      <c r="W67" s="166"/>
      <c r="X67" s="166"/>
      <c r="Y67" s="166"/>
      <c r="Z67" s="166"/>
      <c r="AA67" s="166"/>
      <c r="AD67" s="166"/>
      <c r="AG67" s="166"/>
    </row>
    <row r="68" spans="1:33" x14ac:dyDescent="0.25">
      <c r="A68" s="1" t="s">
        <v>108</v>
      </c>
      <c r="C68" s="151" t="s">
        <v>101</v>
      </c>
      <c r="D68" s="1" t="s">
        <v>107</v>
      </c>
      <c r="F68" s="1" t="s">
        <v>99</v>
      </c>
    </row>
    <row r="70" spans="1:33" x14ac:dyDescent="0.25">
      <c r="C70" s="32"/>
      <c r="H70" s="11"/>
      <c r="J70" s="1"/>
    </row>
    <row r="71" spans="1:33" x14ac:dyDescent="0.25">
      <c r="A71" s="4" t="s">
        <v>988</v>
      </c>
      <c r="H71" s="11"/>
      <c r="J71" s="1"/>
    </row>
    <row r="72" spans="1:33" x14ac:dyDescent="0.25">
      <c r="H72" s="11"/>
      <c r="J72" s="1"/>
    </row>
    <row r="73" spans="1:33" x14ac:dyDescent="0.25">
      <c r="A73" s="3" t="s">
        <v>0</v>
      </c>
      <c r="B73" s="5" t="s">
        <v>1</v>
      </c>
      <c r="H73" s="11"/>
      <c r="J73" s="1"/>
    </row>
    <row r="74" spans="1:33" x14ac:dyDescent="0.25">
      <c r="A74" s="6" t="s">
        <v>2</v>
      </c>
      <c r="B74" s="16" t="s">
        <v>1583</v>
      </c>
      <c r="H74" s="11"/>
      <c r="J74" s="1"/>
    </row>
    <row r="75" spans="1:33" x14ac:dyDescent="0.25">
      <c r="A75" s="6" t="s">
        <v>3</v>
      </c>
      <c r="B75" s="16" t="s">
        <v>1584</v>
      </c>
      <c r="H75" s="11"/>
      <c r="J75" s="1"/>
    </row>
    <row r="76" spans="1:33" x14ac:dyDescent="0.25">
      <c r="A76" s="6" t="s">
        <v>4</v>
      </c>
      <c r="B76" s="16" t="s">
        <v>1595</v>
      </c>
      <c r="H76" s="11"/>
      <c r="J76" s="1"/>
    </row>
    <row r="77" spans="1:33" x14ac:dyDescent="0.25">
      <c r="A77" s="6" t="s">
        <v>5</v>
      </c>
      <c r="B77" s="7"/>
      <c r="H77" s="11"/>
      <c r="J77" s="1"/>
    </row>
    <row r="78" spans="1:33" x14ac:dyDescent="0.25">
      <c r="A78" s="6" t="s">
        <v>6</v>
      </c>
      <c r="B78" s="7"/>
      <c r="H78" s="11"/>
      <c r="J78" s="1"/>
    </row>
    <row r="79" spans="1:33" x14ac:dyDescent="0.25">
      <c r="A79" s="6" t="s">
        <v>7</v>
      </c>
      <c r="B79" s="16" t="s">
        <v>1596</v>
      </c>
      <c r="H79" s="11"/>
      <c r="J79" s="1"/>
    </row>
    <row r="80" spans="1:33" x14ac:dyDescent="0.25">
      <c r="A80" s="6" t="s">
        <v>47</v>
      </c>
      <c r="B80" s="16" t="s">
        <v>1587</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row>
    <row r="94" spans="1:10" x14ac:dyDescent="0.25">
      <c r="A94" s="1" t="s">
        <v>108</v>
      </c>
      <c r="C94" s="26" t="s">
        <v>101</v>
      </c>
      <c r="D94" s="1" t="s">
        <v>106</v>
      </c>
      <c r="F94" s="1" t="s">
        <v>98</v>
      </c>
    </row>
    <row r="95" spans="1:10" x14ac:dyDescent="0.25">
      <c r="A95" s="1" t="s">
        <v>100</v>
      </c>
      <c r="C95" s="8" t="s">
        <v>101</v>
      </c>
      <c r="D95" s="1" t="s">
        <v>106</v>
      </c>
      <c r="F95" s="1" t="s">
        <v>98</v>
      </c>
    </row>
    <row r="96" spans="1:10" x14ac:dyDescent="0.25">
      <c r="A96" s="1" t="s">
        <v>109</v>
      </c>
      <c r="C96" s="25" t="s">
        <v>101</v>
      </c>
      <c r="D96" s="1" t="s">
        <v>106</v>
      </c>
      <c r="F96" s="1" t="s">
        <v>98</v>
      </c>
    </row>
    <row r="97" spans="1:6" x14ac:dyDescent="0.25">
      <c r="A97" s="1" t="s">
        <v>109</v>
      </c>
      <c r="C97" s="151" t="s">
        <v>101</v>
      </c>
      <c r="D97" s="1" t="s">
        <v>107</v>
      </c>
      <c r="F97" s="1" t="s">
        <v>99</v>
      </c>
    </row>
    <row r="98" spans="1:6" x14ac:dyDescent="0.25">
      <c r="A98" s="1" t="s">
        <v>110</v>
      </c>
      <c r="C98" s="25" t="s">
        <v>101</v>
      </c>
      <c r="D98" s="1" t="s">
        <v>106</v>
      </c>
      <c r="F98" s="1" t="s">
        <v>98</v>
      </c>
    </row>
    <row r="99" spans="1:6" x14ac:dyDescent="0.25">
      <c r="A99" s="1" t="s">
        <v>110</v>
      </c>
      <c r="C99" s="29" t="s">
        <v>101</v>
      </c>
      <c r="D99" s="1" t="s">
        <v>107</v>
      </c>
      <c r="F99" s="1" t="s">
        <v>99</v>
      </c>
    </row>
    <row r="100" spans="1:6" x14ac:dyDescent="0.25">
      <c r="C100" s="32"/>
    </row>
    <row r="102" spans="1:6" x14ac:dyDescent="0.25">
      <c r="A102" s="4" t="s">
        <v>988</v>
      </c>
      <c r="B102" s="1" t="s">
        <v>736</v>
      </c>
    </row>
    <row r="104" spans="1:6" x14ac:dyDescent="0.25">
      <c r="A104" s="3" t="s">
        <v>0</v>
      </c>
      <c r="B104" s="5" t="s">
        <v>1</v>
      </c>
    </row>
    <row r="105" spans="1:6" x14ac:dyDescent="0.25">
      <c r="A105" s="6" t="s">
        <v>2</v>
      </c>
      <c r="B105" s="16" t="s">
        <v>1583</v>
      </c>
    </row>
    <row r="106" spans="1:6" x14ac:dyDescent="0.25">
      <c r="A106" s="6" t="s">
        <v>3</v>
      </c>
      <c r="B106" s="16" t="s">
        <v>1584</v>
      </c>
    </row>
    <row r="107" spans="1:6" x14ac:dyDescent="0.25">
      <c r="A107" s="6" t="s">
        <v>4</v>
      </c>
      <c r="B107" s="16" t="s">
        <v>1597</v>
      </c>
    </row>
    <row r="108" spans="1:6" x14ac:dyDescent="0.25">
      <c r="A108" s="6" t="s">
        <v>5</v>
      </c>
      <c r="B108" s="7"/>
    </row>
    <row r="109" spans="1:6" x14ac:dyDescent="0.25">
      <c r="A109" s="6" t="s">
        <v>6</v>
      </c>
      <c r="B109" s="7"/>
    </row>
    <row r="110" spans="1:6" x14ac:dyDescent="0.25">
      <c r="A110" s="6" t="s">
        <v>7</v>
      </c>
      <c r="B110" s="7"/>
    </row>
    <row r="111" spans="1:6" x14ac:dyDescent="0.25">
      <c r="A111" s="6" t="s">
        <v>47</v>
      </c>
      <c r="B111" s="16" t="s">
        <v>1587</v>
      </c>
    </row>
    <row r="112" spans="1:6"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c r="I133" s="76"/>
      <c r="J133" s="1"/>
      <c r="K133" s="76"/>
      <c r="L133" s="76"/>
      <c r="M133" s="76"/>
      <c r="O133" s="76"/>
      <c r="P133" s="76"/>
      <c r="Q133" s="76"/>
      <c r="R133" s="76"/>
      <c r="S133" s="76"/>
      <c r="T133" s="76"/>
      <c r="U133" s="76"/>
      <c r="V133" s="76"/>
      <c r="W133" s="76"/>
      <c r="X133" s="76"/>
      <c r="Y133" s="76"/>
      <c r="Z133" s="76"/>
      <c r="AA133" s="76"/>
      <c r="AD133" s="76"/>
      <c r="AF133" s="76"/>
      <c r="AH133" s="76"/>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54" spans="5:5" x14ac:dyDescent="0.25">
      <c r="E154" s="76"/>
    </row>
    <row r="158" spans="5:5" x14ac:dyDescent="0.25">
      <c r="E158" s="76"/>
    </row>
    <row r="165" spans="7:7" x14ac:dyDescent="0.25">
      <c r="G165" s="76"/>
    </row>
    <row r="169" spans="7:7" x14ac:dyDescent="0.25">
      <c r="G169" s="76"/>
    </row>
  </sheetData>
  <mergeCells count="2">
    <mergeCell ref="AD31:AE31"/>
    <mergeCell ref="AG31:AH31"/>
  </mergeCells>
  <dataValidations count="2">
    <dataValidation type="list" allowBlank="1" sqref="B58 B29 B86" xr:uid="{00000000-0002-0000-4300-000000000000}">
      <formula1>"SELF,ALL,BAS,DEP,BASMEMBERS,MEMBERS,NOEXPAND,GDEP"</formula1>
    </dataValidation>
    <dataValidation type="list" allowBlank="1" sqref="B57 B85 B28" xr:uid="{00000000-0002-0000-4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4550"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4550" r:id="rId5" name="FPMExcelClientSheetOptionstb1"/>
      </mc:Fallback>
    </mc:AlternateContent>
  </controls>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386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_xll.EVRNG(H34:H44)</f>
        <v>#NAME?</v>
      </c>
      <c r="G19" s="18" t="str">
        <f>$B$6</f>
        <v>D1136</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_xll.EVRNG(A36:F39)</f>
        <v>#NAME?</v>
      </c>
      <c r="I22" s="1"/>
      <c r="J22" s="1"/>
    </row>
    <row r="23" spans="1:40" hidden="1" outlineLevel="1" x14ac:dyDescent="0.25">
      <c r="A23" s="6" t="s">
        <v>47</v>
      </c>
      <c r="B23" s="7" t="e">
        <f ca="1">_xll.EVRNG($A$115:$B$136)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"DEP(440000)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4" ca="1" si="0">IF($I34="B1","",SUM(O34:Z34))</f>
        <v>#NAME?</v>
      </c>
      <c r="AB34" s="17" t="e">
        <f t="shared" ref="AB34:AB44" ca="1" si="1">IF(AA34=0,"",IFERROR(AA34/AA$19,""))</f>
        <v>#NAME?</v>
      </c>
      <c r="AD34" s="21"/>
      <c r="AE34" s="17" t="str">
        <f t="shared" ref="AE34:AE44" si="2">IF(AD34=0,"",IFERROR(AD34/AD$19,""))</f>
        <v/>
      </c>
      <c r="AF34" s="50" t="e">
        <f t="shared" ref="AF34:AF44"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388</v>
      </c>
      <c r="I35" s="161" t="e">
        <f ca="1">_xll.EVPRO($B$1,$H35,"STYLE")</f>
        <v>#NAME?</v>
      </c>
      <c r="J35" s="161" t="e">
        <f ca="1">_xll.EVPRO($B$1,$H35,"CALC")</f>
        <v>#NAME?</v>
      </c>
      <c r="K35" s="68" t="e">
        <f t="shared" ref="K35:K44"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v>19.28</v>
      </c>
      <c r="Z35" s="21"/>
      <c r="AA35" s="310" t="e">
        <f t="shared" ca="1" si="0"/>
        <v>#NAME?</v>
      </c>
      <c r="AB35" s="17" t="e">
        <f t="shared" ca="1" si="1"/>
        <v>#NAME?</v>
      </c>
      <c r="AD35" s="21"/>
      <c r="AE35" s="17" t="str">
        <f t="shared" si="2"/>
        <v/>
      </c>
      <c r="AF35" s="50" t="e">
        <f t="shared" ca="1" si="3"/>
        <v>#NAME?</v>
      </c>
      <c r="AG35" s="21"/>
      <c r="AH35" s="17" t="str">
        <f t="shared" ref="AH35:AH44" si="5">IF(AG35=0,"",IFERROR(AG35/AG$19,""))</f>
        <v/>
      </c>
      <c r="AI35" s="50" t="e">
        <f t="shared" ref="AI35:AI44" ca="1" si="6">IF(AND($AA35="",AG35=""),"",$AA35-AG35)</f>
        <v>#NAME?</v>
      </c>
      <c r="AJ35" s="399">
        <f t="shared" ref="AJ35:AJ44" ca="1" si="7">IFERROR(AA35/AA$20,0)</f>
        <v>0</v>
      </c>
      <c r="AK35" s="400">
        <f t="shared" ref="AK35:AK44" ca="1" si="8">IFERROR(AD35/AD$20,0)</f>
        <v>0</v>
      </c>
      <c r="AL35" s="401">
        <f t="shared" ref="AL35:AL44" ca="1" si="9">IFERROR(AG35/AG$20,0)</f>
        <v>0</v>
      </c>
      <c r="AM35" s="402">
        <f t="shared" ref="AM35:AM44" ca="1" si="10">+IFERROR(ROUND(($AB35-AE35)*100,2)&amp;" pts.",0)</f>
        <v>0</v>
      </c>
      <c r="AN35" s="403">
        <f t="shared" ref="AN35:AN44" ca="1" si="11">+IFERROR(ROUND(($AB35-AH35)*100,2)&amp;" pts.",0)</f>
        <v>0</v>
      </c>
    </row>
    <row r="36" spans="1:40" x14ac:dyDescent="0.25">
      <c r="H36" s="15" t="s">
        <v>389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390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108</v>
      </c>
      <c r="C38" s="25" t="s">
        <v>101</v>
      </c>
      <c r="D38" s="1" t="s">
        <v>106</v>
      </c>
      <c r="F38" s="1" t="s">
        <v>98</v>
      </c>
      <c r="H38" s="15" t="s">
        <v>391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151" t="s">
        <v>101</v>
      </c>
      <c r="D39" s="1" t="s">
        <v>107</v>
      </c>
      <c r="F39" s="1" t="s">
        <v>99</v>
      </c>
      <c r="H39" s="15" t="s">
        <v>392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H40" s="15" t="s">
        <v>393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394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4" t="e">
        <f ca="1">_xll.EVDRE($B$1,A45:B52,A55:B61)</f>
        <v>#NAME?</v>
      </c>
      <c r="H42" s="15" t="s">
        <v>395</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H43" s="15" t="s">
        <v>396</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409">
        <f t="shared" ca="1" si="7"/>
        <v>0</v>
      </c>
      <c r="AK43" s="410">
        <f t="shared" ca="1" si="8"/>
        <v>0</v>
      </c>
      <c r="AL43" s="411">
        <f t="shared" ca="1" si="9"/>
        <v>0</v>
      </c>
      <c r="AM43" s="412">
        <f t="shared" ca="1" si="10"/>
        <v>0</v>
      </c>
      <c r="AN43" s="413">
        <f t="shared" ca="1" si="11"/>
        <v>0</v>
      </c>
    </row>
    <row r="44" spans="1:40" x14ac:dyDescent="0.25">
      <c r="A44" s="3" t="s">
        <v>0</v>
      </c>
      <c r="B44" s="5" t="s">
        <v>1</v>
      </c>
      <c r="H44" s="15" t="s">
        <v>280</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134"/>
      <c r="P44" s="134"/>
      <c r="Q44" s="134"/>
      <c r="R44" s="134"/>
      <c r="S44" s="134"/>
      <c r="T44" s="134"/>
      <c r="U44" s="134"/>
      <c r="V44" s="134"/>
      <c r="W44" s="134"/>
      <c r="X44" s="134"/>
      <c r="Y44" s="134">
        <v>19.28</v>
      </c>
      <c r="Z44" s="134"/>
      <c r="AA44" s="134" t="e">
        <f t="shared" ca="1" si="0"/>
        <v>#NAME?</v>
      </c>
      <c r="AB44" s="135" t="e">
        <f t="shared" ca="1" si="1"/>
        <v>#NAME?</v>
      </c>
      <c r="AC44" s="137"/>
      <c r="AD44" s="134"/>
      <c r="AE44" s="135" t="str">
        <f t="shared" si="2"/>
        <v/>
      </c>
      <c r="AF44" s="136" t="e">
        <f t="shared" ca="1" si="3"/>
        <v>#NAME?</v>
      </c>
      <c r="AG44" s="134"/>
      <c r="AH44" s="135" t="str">
        <f t="shared" si="5"/>
        <v/>
      </c>
      <c r="AI44" s="136" t="e">
        <f t="shared" ca="1" si="6"/>
        <v>#NAME?</v>
      </c>
      <c r="AJ44" s="360">
        <f t="shared" ca="1" si="7"/>
        <v>0</v>
      </c>
      <c r="AK44" s="361">
        <f t="shared" ca="1" si="8"/>
        <v>0</v>
      </c>
      <c r="AL44" s="363">
        <f t="shared" ca="1" si="9"/>
        <v>0</v>
      </c>
      <c r="AM44" s="405">
        <f t="shared" ca="1" si="10"/>
        <v>0</v>
      </c>
      <c r="AN44" s="406">
        <f t="shared" ca="1" si="11"/>
        <v>0</v>
      </c>
    </row>
    <row r="45" spans="1:40" x14ac:dyDescent="0.25">
      <c r="A45" s="6" t="s">
        <v>2</v>
      </c>
      <c r="B45" s="7" t="e">
        <f ca="1">_xll.EVRNG($B$2:$B$10)</f>
        <v>#NAME?</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3</v>
      </c>
      <c r="B46" s="7" t="e">
        <f ca="1">_xll.EVRNG($O$16:$AN$18)</f>
        <v>#NAME?</v>
      </c>
      <c r="H46" s="1" t="s">
        <v>281</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4</v>
      </c>
      <c r="B47" s="7" t="e">
        <f ca="1">_xll.EVRNG(H47:H56)</f>
        <v>#NAME?</v>
      </c>
      <c r="H47" s="15" t="s">
        <v>397</v>
      </c>
      <c r="I47" s="161" t="e">
        <f ca="1">_xll.EVPRO($B$1,$H47,"STYLE")</f>
        <v>#NAME?</v>
      </c>
      <c r="J47" s="161" t="e">
        <f ca="1">_xll.EVPRO($B$1,$H47,"CALC")</f>
        <v>#NAME?</v>
      </c>
      <c r="K47" s="68" t="e">
        <f ca="1">IF(AND(I47&gt;="T5"),"&gt;","")</f>
        <v>#NAME?</v>
      </c>
      <c r="L47" s="162" t="e">
        <f ca="1">_xll.EVPRO($B$1,H47,"JDEID")</f>
        <v>#NAME?</v>
      </c>
      <c r="M47" s="162" t="e">
        <f ca="1">IF(AND(I47="N",J47="N"),_xll.EVPRO($B$1,H47,"PSFTID"),"")</f>
        <v>#NAME?</v>
      </c>
      <c r="N47" s="162" t="e">
        <f ca="1">IF(_xll.EVDES(H47,$B$1)="#NODATA","",_xll.EVDES(H47,$B$1))</f>
        <v>#NAME?</v>
      </c>
      <c r="O47" s="30"/>
      <c r="P47" s="30"/>
      <c r="Q47" s="30"/>
      <c r="R47" s="30"/>
      <c r="S47" s="30"/>
      <c r="T47" s="30"/>
      <c r="U47" s="30"/>
      <c r="V47" s="30"/>
      <c r="W47" s="30"/>
      <c r="X47" s="30"/>
      <c r="Y47" s="30"/>
      <c r="Z47" s="30"/>
      <c r="AA47" s="30" t="e">
        <f t="shared" ref="AA47:AA56" ca="1" si="12">IF($I47="B1","",SUM(O47:Z47))</f>
        <v>#NAME?</v>
      </c>
      <c r="AB47" s="31" t="e">
        <f ca="1">IF(AA47=0,"",IFERROR(AA47/_xll.EVGTS($B$1,1,_xll.EVPRO($B$1,$H47,"COSBASIS"),$B$3,$B$5,$B$6,$B$7,$B$9,AA$16,AA$17,AA$11),""))</f>
        <v>#NAME?</v>
      </c>
      <c r="AD47" s="30"/>
      <c r="AE47" s="31" t="str">
        <f>IF(AD47=0,"",IFERROR(AD47/_xll.EVGTS($B$1,1,_xll.EVPRO($B$1,$H47,"COSBASIS"),$B$3,$B$5,$B$6,$B$7,$B$9,AD$16,AD$17,AD$18),""))</f>
        <v/>
      </c>
      <c r="AF47" s="51" t="e">
        <f t="shared" ref="AF47:AF56" ca="1" si="13">IF(AND($AA47="",AD47=""),"",$AA47-AD47)</f>
        <v>#NAME?</v>
      </c>
      <c r="AG47" s="30"/>
      <c r="AH47" s="31" t="str">
        <f>IF(AG47=0,"",IFERROR(AG47/_xll.EVGTS($B$1,1,_xll.EVPRO($B$1,$H47,"COSBASIS"),$B$3,$B$5,$B$6,$B$7,$B$9,AG$16,AG$17,AG$18),""))</f>
        <v/>
      </c>
      <c r="AI47" s="51"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5</v>
      </c>
      <c r="B48" s="7"/>
      <c r="F48" s="152"/>
      <c r="H48" s="15" t="s">
        <v>398</v>
      </c>
      <c r="I48" s="161" t="e">
        <f ca="1">_xll.EVPRO($B$1,$H48,"STYLE")</f>
        <v>#NAME?</v>
      </c>
      <c r="J48" s="161" t="e">
        <f ca="1">_xll.EVPRO($B$1,$H48,"CALC")</f>
        <v>#NAME?</v>
      </c>
      <c r="K48" s="68" t="e">
        <f t="shared" ref="K48:K56" ca="1" si="14">IF(AND(I48&gt;="T5"),"&gt;","")</f>
        <v>#NAME?</v>
      </c>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t="e">
        <f t="shared" ca="1" si="12"/>
        <v>#NAME?</v>
      </c>
      <c r="AB48" s="31" t="e">
        <f ca="1">IF(AA48=0,"",IFERROR(AA48/_xll.EVGTS($B$1,1,_xll.EVPRO($B$1,$H48,"COSBASIS"),$B$3,$B$5,$B$6,$B$7,$B$9,AA$16,AA$17,AA$11),""))</f>
        <v>#NAME?</v>
      </c>
      <c r="AD48" s="30"/>
      <c r="AE48" s="31" t="str">
        <f>IF(AD48=0,"",IFERROR(AD48/_xll.EVGTS($B$1,1,_xll.EVPRO($B$1,$H48,"COSBASIS"),$B$3,$B$5,$B$6,$B$7,$B$9,AD$16,AD$17,AD$18),""))</f>
        <v/>
      </c>
      <c r="AF48" s="51" t="e">
        <f t="shared" ca="1" si="13"/>
        <v>#NAME?</v>
      </c>
      <c r="AG48" s="30"/>
      <c r="AH48" s="31" t="str">
        <f>IF(AG48=0,"",IFERROR(AG48/_xll.EVGTS($B$1,1,_xll.EVPRO($B$1,$H48,"COSBASIS"),$B$3,$B$5,$B$6,$B$7,$B$9,AG$16,AG$17,AG$18),""))</f>
        <v/>
      </c>
      <c r="AI48" s="51" t="e">
        <f t="shared" ref="AI48:AI56" ca="1" si="15">IF(AND($AA48="",AG48=""),"",$AA48-AG48)</f>
        <v>#NAME?</v>
      </c>
      <c r="AJ48" s="399">
        <f t="shared" ref="AJ48:AJ56" ca="1" si="16">IFERROR(AA48/AA$20,0)</f>
        <v>0</v>
      </c>
      <c r="AK48" s="400">
        <f t="shared" ref="AK48:AK56" ca="1" si="17">IFERROR(AD48/AD$20,0)</f>
        <v>0</v>
      </c>
      <c r="AL48" s="401">
        <f t="shared" ref="AL48:AL56" ca="1" si="18">IFERROR(AG48/AG$20,0)</f>
        <v>0</v>
      </c>
      <c r="AM48" s="402">
        <f t="shared" ref="AM48:AM56" ca="1" si="19">+IFERROR(ROUND(($AB48-AE48)*100,2)&amp;" pts.",0)</f>
        <v>0</v>
      </c>
      <c r="AN48" s="403">
        <f t="shared" ref="AN48:AN56" ca="1" si="20">+IFERROR(ROUND(($AB48-AH48)*100,2)&amp;" pts.",0)</f>
        <v>0</v>
      </c>
    </row>
    <row r="49" spans="1:40" x14ac:dyDescent="0.25">
      <c r="A49" s="6" t="s">
        <v>6</v>
      </c>
      <c r="B49" s="7"/>
      <c r="F49" s="152"/>
      <c r="H49" s="15" t="s">
        <v>399</v>
      </c>
      <c r="I49" s="161" t="e">
        <f ca="1">_xll.EVPRO($B$1,$H49,"STYLE")</f>
        <v>#NAME?</v>
      </c>
      <c r="J49" s="161" t="e">
        <f ca="1">_xll.EVPRO($B$1,$H49,"CALC")</f>
        <v>#NAME?</v>
      </c>
      <c r="K49" s="68" t="e">
        <f t="shared" ca="1" si="14"/>
        <v>#NAME?</v>
      </c>
      <c r="L49" s="162" t="e">
        <f ca="1">_xll.EVPRO($B$1,H49,"JDEID")</f>
        <v>#NAME?</v>
      </c>
      <c r="M49" s="162" t="e">
        <f ca="1">IF(AND(I49="N",J49="N"),_xll.EVPRO($B$1,H49,"PSFTID"),"")</f>
        <v>#NAME?</v>
      </c>
      <c r="N49" s="162" t="e">
        <f ca="1">IF(_xll.EVDES(H49,$B$1)="#NODATA","",_xll.EVDES(H49,$B$1))</f>
        <v>#NAME?</v>
      </c>
      <c r="O49" s="30"/>
      <c r="P49" s="30"/>
      <c r="Q49" s="30"/>
      <c r="R49" s="30"/>
      <c r="S49" s="30"/>
      <c r="T49" s="30"/>
      <c r="U49" s="30"/>
      <c r="V49" s="30"/>
      <c r="W49" s="30"/>
      <c r="X49" s="30"/>
      <c r="Y49" s="30"/>
      <c r="Z49" s="30"/>
      <c r="AA49" s="30" t="e">
        <f t="shared" ca="1" si="12"/>
        <v>#NAME?</v>
      </c>
      <c r="AB49" s="31" t="e">
        <f ca="1">IF(AA49=0,"",IFERROR(AA49/_xll.EVGTS($B$1,1,_xll.EVPRO($B$1,$H49,"COSBASIS"),$B$3,$B$5,$B$6,$B$7,$B$9,AA$16,AA$17,AA$11),""))</f>
        <v>#NAME?</v>
      </c>
      <c r="AD49" s="30"/>
      <c r="AE49" s="31" t="str">
        <f>IF(AD49=0,"",IFERROR(AD49/_xll.EVGTS($B$1,1,_xll.EVPRO($B$1,$H49,"COSBASIS"),$B$3,$B$5,$B$6,$B$7,$B$9,AD$16,AD$17,AD$18),""))</f>
        <v/>
      </c>
      <c r="AF49" s="51" t="e">
        <f t="shared" ca="1" si="13"/>
        <v>#NAME?</v>
      </c>
      <c r="AG49" s="30"/>
      <c r="AH49" s="31" t="str">
        <f>IF(AG49=0,"",IFERROR(AG49/_xll.EVGTS($B$1,1,_xll.EVPRO($B$1,$H49,"COSBASIS"),$B$3,$B$5,$B$6,$B$7,$B$9,AG$16,AG$17,AG$18),""))</f>
        <v/>
      </c>
      <c r="AI49" s="51" t="e">
        <f t="shared" ca="1" si="15"/>
        <v>#NAME?</v>
      </c>
      <c r="AJ49" s="399">
        <f t="shared" ca="1" si="16"/>
        <v>0</v>
      </c>
      <c r="AK49" s="400">
        <f t="shared" ca="1" si="17"/>
        <v>0</v>
      </c>
      <c r="AL49" s="401">
        <f t="shared" ca="1" si="18"/>
        <v>0</v>
      </c>
      <c r="AM49" s="402">
        <f t="shared" ca="1" si="19"/>
        <v>0</v>
      </c>
      <c r="AN49" s="403">
        <f t="shared" ca="1" si="20"/>
        <v>0</v>
      </c>
    </row>
    <row r="50" spans="1:40" x14ac:dyDescent="0.25">
      <c r="A50" s="6" t="s">
        <v>7</v>
      </c>
      <c r="B50" s="7" t="e">
        <f ca="1">_xll.EVRNG(A64:F67)</f>
        <v>#NAME?</v>
      </c>
      <c r="F50" s="152"/>
      <c r="H50" s="15" t="s">
        <v>400</v>
      </c>
      <c r="I50" s="161" t="e">
        <f ca="1">_xll.EVPRO($B$1,$H50,"STYLE")</f>
        <v>#NAME?</v>
      </c>
      <c r="J50" s="161" t="e">
        <f ca="1">_xll.EVPRO($B$1,$H50,"CALC")</f>
        <v>#NAME?</v>
      </c>
      <c r="K50" s="68" t="e">
        <f t="shared" ca="1" si="14"/>
        <v>#NAME?</v>
      </c>
      <c r="L50" s="162" t="e">
        <f ca="1">_xll.EVPRO($B$1,H50,"JDEID")</f>
        <v>#NAME?</v>
      </c>
      <c r="M50" s="162" t="e">
        <f ca="1">IF(AND(I50="N",J50="N"),_xll.EVPRO($B$1,H50,"PSFTID"),"")</f>
        <v>#NAME?</v>
      </c>
      <c r="N50" s="162" t="e">
        <f ca="1">IF(_xll.EVDES(H50,$B$1)="#NODATA","",_xll.EVDES(H50,$B$1))</f>
        <v>#NAME?</v>
      </c>
      <c r="O50" s="30"/>
      <c r="P50" s="30"/>
      <c r="Q50" s="30"/>
      <c r="R50" s="30"/>
      <c r="S50" s="30"/>
      <c r="T50" s="30"/>
      <c r="U50" s="30"/>
      <c r="V50" s="30"/>
      <c r="W50" s="30"/>
      <c r="X50" s="30"/>
      <c r="Y50" s="30"/>
      <c r="Z50" s="30"/>
      <c r="AA50" s="30" t="e">
        <f t="shared" ca="1" si="12"/>
        <v>#NAME?</v>
      </c>
      <c r="AB50" s="31" t="e">
        <f ca="1">IF(AA50=0,"",IFERROR(AA50/_xll.EVGTS($B$1,1,_xll.EVPRO($B$1,$H50,"COSBASIS"),$B$3,$B$5,$B$6,$B$7,$B$9,AA$16,AA$17,AA$11),""))</f>
        <v>#NAME?</v>
      </c>
      <c r="AD50" s="30"/>
      <c r="AE50" s="31" t="str">
        <f>IF(AD50=0,"",IFERROR(AD50/_xll.EVGTS($B$1,1,_xll.EVPRO($B$1,$H50,"COSBASIS"),$B$3,$B$5,$B$6,$B$7,$B$9,AD$16,AD$17,AD$18),""))</f>
        <v/>
      </c>
      <c r="AF50" s="51" t="e">
        <f t="shared" ca="1" si="13"/>
        <v>#NAME?</v>
      </c>
      <c r="AG50" s="30"/>
      <c r="AH50" s="31" t="str">
        <f>IF(AG50=0,"",IFERROR(AG50/_xll.EVGTS($B$1,1,_xll.EVPRO($B$1,$H50,"COSBASIS"),$B$3,$B$5,$B$6,$B$7,$B$9,AG$16,AG$17,AG$18),""))</f>
        <v/>
      </c>
      <c r="AI50" s="51" t="e">
        <f t="shared" ca="1" si="15"/>
        <v>#NAME?</v>
      </c>
      <c r="AJ50" s="399">
        <f t="shared" ca="1" si="16"/>
        <v>0</v>
      </c>
      <c r="AK50" s="400">
        <f t="shared" ca="1" si="17"/>
        <v>0</v>
      </c>
      <c r="AL50" s="401">
        <f t="shared" ca="1" si="18"/>
        <v>0</v>
      </c>
      <c r="AM50" s="402">
        <f t="shared" ca="1" si="19"/>
        <v>0</v>
      </c>
      <c r="AN50" s="403">
        <f t="shared" ca="1" si="20"/>
        <v>0</v>
      </c>
    </row>
    <row r="51" spans="1:40" x14ac:dyDescent="0.25">
      <c r="A51" s="6" t="s">
        <v>47</v>
      </c>
      <c r="B51" s="7" t="e">
        <f ca="1">_xll.EVRNG($A$115:$B$136)</f>
        <v>#NAME?</v>
      </c>
      <c r="H51" s="15" t="s">
        <v>401</v>
      </c>
      <c r="I51" s="161" t="e">
        <f ca="1">_xll.EVPRO($B$1,$H51,"STYLE")</f>
        <v>#NAME?</v>
      </c>
      <c r="J51" s="161" t="e">
        <f ca="1">_xll.EVPRO($B$1,$H51,"CALC")</f>
        <v>#NAME?</v>
      </c>
      <c r="K51" s="68" t="e">
        <f t="shared" ca="1" si="14"/>
        <v>#NAME?</v>
      </c>
      <c r="L51" s="162" t="e">
        <f ca="1">_xll.EVPRO($B$1,H51,"JDEID")</f>
        <v>#NAME?</v>
      </c>
      <c r="M51" s="162" t="e">
        <f ca="1">IF(AND(I51="N",J51="N"),_xll.EVPRO($B$1,H51,"PSFTID"),"")</f>
        <v>#NAME?</v>
      </c>
      <c r="N51" s="162" t="e">
        <f ca="1">IF(_xll.EVDES(H51,$B$1)="#NODATA","",_xll.EVDES(H51,$B$1))</f>
        <v>#NAME?</v>
      </c>
      <c r="O51" s="30"/>
      <c r="P51" s="30"/>
      <c r="Q51" s="30"/>
      <c r="R51" s="30"/>
      <c r="S51" s="30"/>
      <c r="T51" s="30"/>
      <c r="U51" s="30"/>
      <c r="V51" s="30"/>
      <c r="W51" s="30"/>
      <c r="X51" s="30"/>
      <c r="Y51" s="30"/>
      <c r="Z51" s="30"/>
      <c r="AA51" s="30" t="e">
        <f t="shared" ca="1" si="12"/>
        <v>#NAME?</v>
      </c>
      <c r="AB51" s="31" t="e">
        <f ca="1">IF(AA51=0,"",IFERROR(AA51/_xll.EVGTS($B$1,1,_xll.EVPRO($B$1,$H51,"COSBASIS"),$B$3,$B$5,$B$6,$B$7,$B$9,AA$16,AA$17,AA$11),""))</f>
        <v>#NAME?</v>
      </c>
      <c r="AD51" s="30"/>
      <c r="AE51" s="31" t="str">
        <f>IF(AD51=0,"",IFERROR(AD51/_xll.EVGTS($B$1,1,_xll.EVPRO($B$1,$H51,"COSBASIS"),$B$3,$B$5,$B$6,$B$7,$B$9,AD$16,AD$17,AD$18),""))</f>
        <v/>
      </c>
      <c r="AF51" s="51" t="e">
        <f t="shared" ca="1" si="13"/>
        <v>#NAME?</v>
      </c>
      <c r="AG51" s="30"/>
      <c r="AH51" s="31" t="str">
        <f>IF(AG51=0,"",IFERROR(AG51/_xll.EVGTS($B$1,1,_xll.EVPRO($B$1,$H51,"COSBASIS"),$B$3,$B$5,$B$6,$B$7,$B$9,AG$16,AG$17,AG$18),""))</f>
        <v/>
      </c>
      <c r="AI51" s="51" t="e">
        <f t="shared" ca="1" si="15"/>
        <v>#NAME?</v>
      </c>
      <c r="AJ51" s="399">
        <f t="shared" ca="1" si="16"/>
        <v>0</v>
      </c>
      <c r="AK51" s="400">
        <f t="shared" ca="1" si="17"/>
        <v>0</v>
      </c>
      <c r="AL51" s="401">
        <f t="shared" ca="1" si="18"/>
        <v>0</v>
      </c>
      <c r="AM51" s="402">
        <f t="shared" ca="1" si="19"/>
        <v>0</v>
      </c>
      <c r="AN51" s="403">
        <f t="shared" ca="1" si="20"/>
        <v>0</v>
      </c>
    </row>
    <row r="52" spans="1:40" x14ac:dyDescent="0.25">
      <c r="A52" s="6" t="s">
        <v>8</v>
      </c>
      <c r="B52" s="7"/>
      <c r="H52" s="15" t="s">
        <v>402</v>
      </c>
      <c r="I52" s="161" t="e">
        <f ca="1">_xll.EVPRO($B$1,$H52,"STYLE")</f>
        <v>#NAME?</v>
      </c>
      <c r="J52" s="161" t="e">
        <f ca="1">_xll.EVPRO($B$1,$H52,"CALC")</f>
        <v>#NAME?</v>
      </c>
      <c r="K52" s="68" t="e">
        <f t="shared" ca="1" si="14"/>
        <v>#NAME?</v>
      </c>
      <c r="L52" s="162" t="e">
        <f ca="1">_xll.EVPRO($B$1,H52,"JDEID")</f>
        <v>#NAME?</v>
      </c>
      <c r="M52" s="162" t="e">
        <f ca="1">IF(AND(I52="N",J52="N"),_xll.EVPRO($B$1,H52,"PSFTID"),"")</f>
        <v>#NAME?</v>
      </c>
      <c r="N52" s="162" t="e">
        <f ca="1">IF(_xll.EVDES(H52,$B$1)="#NODATA","",_xll.EVDES(H52,$B$1))</f>
        <v>#NAME?</v>
      </c>
      <c r="O52" s="30"/>
      <c r="P52" s="30"/>
      <c r="Q52" s="30"/>
      <c r="R52" s="30"/>
      <c r="S52" s="30"/>
      <c r="T52" s="30"/>
      <c r="U52" s="30"/>
      <c r="V52" s="30"/>
      <c r="W52" s="30"/>
      <c r="X52" s="30"/>
      <c r="Y52" s="30"/>
      <c r="Z52" s="30"/>
      <c r="AA52" s="30" t="e">
        <f t="shared" ca="1" si="12"/>
        <v>#NAME?</v>
      </c>
      <c r="AB52" s="31" t="e">
        <f ca="1">IF(AA52=0,"",IFERROR(AA52/_xll.EVGTS($B$1,1,_xll.EVPRO($B$1,$H52,"COSBASIS"),$B$3,$B$5,$B$6,$B$7,$B$9,AA$16,AA$17,AA$11),""))</f>
        <v>#NAME?</v>
      </c>
      <c r="AD52" s="30"/>
      <c r="AE52" s="31" t="str">
        <f>IF(AD52=0,"",IFERROR(AD52/_xll.EVGTS($B$1,1,_xll.EVPRO($B$1,$H52,"COSBASIS"),$B$3,$B$5,$B$6,$B$7,$B$9,AD$16,AD$17,AD$18),""))</f>
        <v/>
      </c>
      <c r="AF52" s="51" t="e">
        <f t="shared" ca="1" si="13"/>
        <v>#NAME?</v>
      </c>
      <c r="AG52" s="30"/>
      <c r="AH52" s="31" t="str">
        <f>IF(AG52=0,"",IFERROR(AG52/_xll.EVGTS($B$1,1,_xll.EVPRO($B$1,$H52,"COSBASIS"),$B$3,$B$5,$B$6,$B$7,$B$9,AG$16,AG$17,AG$18),""))</f>
        <v/>
      </c>
      <c r="AI52" s="51" t="e">
        <f t="shared" ca="1" si="15"/>
        <v>#NAME?</v>
      </c>
      <c r="AJ52" s="399">
        <f t="shared" ca="1" si="16"/>
        <v>0</v>
      </c>
      <c r="AK52" s="400">
        <f t="shared" ca="1" si="17"/>
        <v>0</v>
      </c>
      <c r="AL52" s="401">
        <f t="shared" ca="1" si="18"/>
        <v>0</v>
      </c>
      <c r="AM52" s="402">
        <f t="shared" ca="1" si="19"/>
        <v>0</v>
      </c>
      <c r="AN52" s="403">
        <f t="shared" ca="1" si="20"/>
        <v>0</v>
      </c>
    </row>
    <row r="53" spans="1:40" x14ac:dyDescent="0.25">
      <c r="H53" s="15" t="s">
        <v>403</v>
      </c>
      <c r="I53" s="161" t="e">
        <f ca="1">_xll.EVPRO($B$1,$H53,"STYLE")</f>
        <v>#NAME?</v>
      </c>
      <c r="J53" s="161" t="e">
        <f ca="1">_xll.EVPRO($B$1,$H53,"CALC")</f>
        <v>#NAME?</v>
      </c>
      <c r="K53" s="68" t="e">
        <f t="shared" ca="1" si="14"/>
        <v>#NAME?</v>
      </c>
      <c r="L53" s="162" t="e">
        <f ca="1">_xll.EVPRO($B$1,H53,"JDEID")</f>
        <v>#NAME?</v>
      </c>
      <c r="M53" s="162" t="e">
        <f ca="1">IF(AND(I53="N",J53="N"),_xll.EVPRO($B$1,H53,"PSFTID"),"")</f>
        <v>#NAME?</v>
      </c>
      <c r="N53" s="162" t="e">
        <f ca="1">IF(_xll.EVDES(H53,$B$1)="#NODATA","",_xll.EVDES(H53,$B$1))</f>
        <v>#NAME?</v>
      </c>
      <c r="O53" s="30"/>
      <c r="P53" s="30"/>
      <c r="Q53" s="30"/>
      <c r="R53" s="30"/>
      <c r="S53" s="30"/>
      <c r="T53" s="30"/>
      <c r="U53" s="30"/>
      <c r="V53" s="30"/>
      <c r="W53" s="30"/>
      <c r="X53" s="30"/>
      <c r="Y53" s="30"/>
      <c r="Z53" s="30"/>
      <c r="AA53" s="30" t="e">
        <f t="shared" ca="1" si="12"/>
        <v>#NAME?</v>
      </c>
      <c r="AB53" s="31" t="e">
        <f ca="1">IF(AA53=0,"",IFERROR(AA53/_xll.EVGTS($B$1,1,_xll.EVPRO($B$1,$H53,"COSBASIS"),$B$3,$B$5,$B$6,$B$7,$B$9,AA$16,AA$17,AA$11),""))</f>
        <v>#NAME?</v>
      </c>
      <c r="AD53" s="30"/>
      <c r="AE53" s="31" t="str">
        <f>IF(AD53=0,"",IFERROR(AD53/_xll.EVGTS($B$1,1,_xll.EVPRO($B$1,$H53,"COSBASIS"),$B$3,$B$5,$B$6,$B$7,$B$9,AD$16,AD$17,AD$18),""))</f>
        <v/>
      </c>
      <c r="AF53" s="51" t="e">
        <f t="shared" ca="1" si="13"/>
        <v>#NAME?</v>
      </c>
      <c r="AG53" s="30"/>
      <c r="AH53" s="31" t="str">
        <f>IF(AG53=0,"",IFERROR(AG53/_xll.EVGTS($B$1,1,_xll.EVPRO($B$1,$H53,"COSBASIS"),$B$3,$B$5,$B$6,$B$7,$B$9,AG$16,AG$17,AG$18),""))</f>
        <v/>
      </c>
      <c r="AI53" s="51" t="e">
        <f t="shared" ca="1" si="15"/>
        <v>#NAME?</v>
      </c>
      <c r="AJ53" s="399">
        <f t="shared" ca="1" si="16"/>
        <v>0</v>
      </c>
      <c r="AK53" s="400">
        <f t="shared" ca="1" si="17"/>
        <v>0</v>
      </c>
      <c r="AL53" s="401">
        <f t="shared" ca="1" si="18"/>
        <v>0</v>
      </c>
      <c r="AM53" s="402">
        <f t="shared" ca="1" si="19"/>
        <v>0</v>
      </c>
      <c r="AN53" s="403">
        <f t="shared" ca="1" si="20"/>
        <v>0</v>
      </c>
    </row>
    <row r="54" spans="1:40" x14ac:dyDescent="0.25">
      <c r="A54" s="3" t="s">
        <v>9</v>
      </c>
      <c r="B54" s="5" t="s">
        <v>10</v>
      </c>
      <c r="H54" s="15" t="s">
        <v>404</v>
      </c>
      <c r="I54" s="161" t="e">
        <f ca="1">_xll.EVPRO($B$1,$H54,"STYLE")</f>
        <v>#NAME?</v>
      </c>
      <c r="J54" s="161" t="e">
        <f ca="1">_xll.EVPRO($B$1,$H54,"CALC")</f>
        <v>#NAME?</v>
      </c>
      <c r="K54" s="68" t="e">
        <f t="shared" ca="1" si="14"/>
        <v>#NAME?</v>
      </c>
      <c r="L54" s="162" t="e">
        <f ca="1">_xll.EVPRO($B$1,H54,"JDEID")</f>
        <v>#NAME?</v>
      </c>
      <c r="M54" s="162" t="e">
        <f ca="1">IF(AND(I54="N",J54="N"),_xll.EVPRO($B$1,H54,"PSFTID"),"")</f>
        <v>#NAME?</v>
      </c>
      <c r="N54" s="162" t="e">
        <f ca="1">IF(_xll.EVDES(H54,$B$1)="#NODATA","",_xll.EVDES(H54,$B$1))</f>
        <v>#NAME?</v>
      </c>
      <c r="O54" s="30"/>
      <c r="P54" s="30"/>
      <c r="Q54" s="30"/>
      <c r="R54" s="30"/>
      <c r="S54" s="30"/>
      <c r="T54" s="30"/>
      <c r="U54" s="30"/>
      <c r="V54" s="30"/>
      <c r="W54" s="30"/>
      <c r="X54" s="30"/>
      <c r="Y54" s="30"/>
      <c r="Z54" s="30"/>
      <c r="AA54" s="30" t="e">
        <f t="shared" ca="1" si="12"/>
        <v>#NAME?</v>
      </c>
      <c r="AB54" s="31" t="e">
        <f ca="1">IF(AA54=0,"",IFERROR(AA54/_xll.EVGTS($B$1,1,_xll.EVPRO($B$1,$H54,"COSBASIS"),$B$3,$B$5,$B$6,$B$7,$B$9,AA$16,AA$17,AA$11),""))</f>
        <v>#NAME?</v>
      </c>
      <c r="AD54" s="30"/>
      <c r="AE54" s="31" t="str">
        <f>IF(AD54=0,"",IFERROR(AD54/_xll.EVGTS($B$1,1,_xll.EVPRO($B$1,$H54,"COSBASIS"),$B$3,$B$5,$B$6,$B$7,$B$9,AD$16,AD$17,AD$18),""))</f>
        <v/>
      </c>
      <c r="AF54" s="51" t="e">
        <f t="shared" ca="1" si="13"/>
        <v>#NAME?</v>
      </c>
      <c r="AG54" s="30"/>
      <c r="AH54" s="31" t="str">
        <f>IF(AG54=0,"",IFERROR(AG54/_xll.EVGTS($B$1,1,_xll.EVPRO($B$1,$H54,"COSBASIS"),$B$3,$B$5,$B$6,$B$7,$B$9,AG$16,AG$17,AG$18),""))</f>
        <v/>
      </c>
      <c r="AI54" s="51" t="e">
        <f t="shared" ca="1" si="15"/>
        <v>#NAME?</v>
      </c>
      <c r="AJ54" s="399">
        <f t="shared" ca="1" si="16"/>
        <v>0</v>
      </c>
      <c r="AK54" s="400">
        <f t="shared" ca="1" si="17"/>
        <v>0</v>
      </c>
      <c r="AL54" s="401">
        <f t="shared" ca="1" si="18"/>
        <v>0</v>
      </c>
      <c r="AM54" s="402">
        <f t="shared" ca="1" si="19"/>
        <v>0</v>
      </c>
      <c r="AN54" s="403">
        <f t="shared" ca="1" si="20"/>
        <v>0</v>
      </c>
    </row>
    <row r="55" spans="1:40" x14ac:dyDescent="0.25">
      <c r="A55" s="6" t="s">
        <v>11</v>
      </c>
      <c r="B55" s="7" t="s">
        <v>21</v>
      </c>
      <c r="H55" s="15" t="s">
        <v>405</v>
      </c>
      <c r="I55" s="161" t="e">
        <f ca="1">_xll.EVPRO($B$1,$H55,"STYLE")</f>
        <v>#NAME?</v>
      </c>
      <c r="J55" s="161" t="e">
        <f ca="1">_xll.EVPRO($B$1,$H55,"CALC")</f>
        <v>#NAME?</v>
      </c>
      <c r="K55" s="68" t="e">
        <f t="shared" ca="1" si="14"/>
        <v>#NAME?</v>
      </c>
      <c r="L55" s="162" t="e">
        <f ca="1">_xll.EVPRO($B$1,H55,"JDEID")</f>
        <v>#NAME?</v>
      </c>
      <c r="M55" s="162" t="e">
        <f ca="1">IF(AND(I55="N",J55="N"),_xll.EVPRO($B$1,H55,"PSFTID"),"")</f>
        <v>#NAME?</v>
      </c>
      <c r="N55" s="162" t="e">
        <f ca="1">IF(_xll.EVDES(H55,$B$1)="#NODATA","",_xll.EVDES(H55,$B$1))</f>
        <v>#NAME?</v>
      </c>
      <c r="O55" s="30"/>
      <c r="P55" s="30"/>
      <c r="Q55" s="30"/>
      <c r="R55" s="30"/>
      <c r="S55" s="30"/>
      <c r="T55" s="30"/>
      <c r="U55" s="30"/>
      <c r="V55" s="30"/>
      <c r="W55" s="30"/>
      <c r="X55" s="30"/>
      <c r="Y55" s="30"/>
      <c r="Z55" s="30"/>
      <c r="AA55" s="30" t="e">
        <f t="shared" ca="1" si="12"/>
        <v>#NAME?</v>
      </c>
      <c r="AB55" s="31" t="e">
        <f ca="1">IF(AA55=0,"",IFERROR(AA55/_xll.EVGTS($B$1,1,_xll.EVPRO($B$1,$H55,"COSBASIS"),$B$3,$B$5,$B$6,$B$7,$B$9,AA$16,AA$17,AA$11),""))</f>
        <v>#NAME?</v>
      </c>
      <c r="AD55" s="30"/>
      <c r="AE55" s="31" t="str">
        <f>IF(AD55=0,"",IFERROR(AD55/_xll.EVGTS($B$1,1,_xll.EVPRO($B$1,$H55,"COSBASIS"),$B$3,$B$5,$B$6,$B$7,$B$9,AD$16,AD$17,AD$18),""))</f>
        <v/>
      </c>
      <c r="AF55" s="51" t="e">
        <f t="shared" ca="1" si="13"/>
        <v>#NAME?</v>
      </c>
      <c r="AG55" s="30"/>
      <c r="AH55" s="31" t="str">
        <f>IF(AG55=0,"",IFERROR(AG55/_xll.EVGTS($B$1,1,_xll.EVPRO($B$1,$H55,"COSBASIS"),$B$3,$B$5,$B$6,$B$7,$B$9,AG$16,AG$17,AG$18),""))</f>
        <v/>
      </c>
      <c r="AI55" s="51" t="e">
        <f t="shared" ca="1" si="15"/>
        <v>#NAME?</v>
      </c>
      <c r="AJ55" s="409">
        <f t="shared" ca="1" si="16"/>
        <v>0</v>
      </c>
      <c r="AK55" s="410">
        <f t="shared" ca="1" si="17"/>
        <v>0</v>
      </c>
      <c r="AL55" s="411">
        <f t="shared" ca="1" si="18"/>
        <v>0</v>
      </c>
      <c r="AM55" s="412">
        <f t="shared" ca="1" si="19"/>
        <v>0</v>
      </c>
      <c r="AN55" s="413">
        <f t="shared" ca="1" si="20"/>
        <v>0</v>
      </c>
    </row>
    <row r="56" spans="1:40" x14ac:dyDescent="0.25">
      <c r="A56" s="6" t="s">
        <v>12</v>
      </c>
      <c r="B56" s="7" t="s">
        <v>22</v>
      </c>
      <c r="G56" s="14"/>
      <c r="H56" s="15" t="s">
        <v>289</v>
      </c>
      <c r="I56" s="479" t="e">
        <f ca="1">_xll.EVPRO($B$1,$H56,"STYLE")</f>
        <v>#NAME?</v>
      </c>
      <c r="J56" s="479" t="e">
        <f ca="1">_xll.EVPRO($B$1,$H56,"CALC")</f>
        <v>#NAME?</v>
      </c>
      <c r="K56" s="480" t="e">
        <f t="shared" ca="1" si="14"/>
        <v>#NAME?</v>
      </c>
      <c r="L56" s="170" t="e">
        <f ca="1">_xll.EVPRO($B$1,H56,"JDEID")</f>
        <v>#NAME?</v>
      </c>
      <c r="M56" s="170" t="e">
        <f ca="1">IF(AND(I56="N",J56="N"),_xll.EVPRO($B$1,H56,"PSFTID"),"")</f>
        <v>#NAME?</v>
      </c>
      <c r="N56" s="170" t="e">
        <f ca="1">IF(_xll.EVDES(H56,$B$1)="#NODATA","",_xll.EVDES(H56,$B$1))</f>
        <v>#NAME?</v>
      </c>
      <c r="O56" s="134"/>
      <c r="P56" s="134"/>
      <c r="Q56" s="134"/>
      <c r="R56" s="134"/>
      <c r="S56" s="134"/>
      <c r="T56" s="134"/>
      <c r="U56" s="134"/>
      <c r="V56" s="134"/>
      <c r="W56" s="134"/>
      <c r="X56" s="134"/>
      <c r="Y56" s="134"/>
      <c r="Z56" s="134"/>
      <c r="AA56" s="134" t="e">
        <f t="shared" ca="1" si="12"/>
        <v>#NAME?</v>
      </c>
      <c r="AB56" s="135" t="e">
        <f ca="1">IF(AA56=0,"",IFERROR(AA56/_xll.EVGTS($B$1,1,_xll.EVPRO($B$1,$H56,"COSBASIS"),$B$3,$B$5,$B$6,$B$7,$B$9,AA$16,AA$17,AA$11),""))</f>
        <v>#NAME?</v>
      </c>
      <c r="AC56" s="137"/>
      <c r="AD56" s="134"/>
      <c r="AE56" s="135" t="str">
        <f>IF(AD56=0,"",IFERROR(AD56/_xll.EVGTS($B$1,1,_xll.EVPRO($B$1,$H56,"COSBASIS"),$B$3,$B$5,$B$6,$B$7,$B$9,AD$16,AD$17,AD$18),""))</f>
        <v/>
      </c>
      <c r="AF56" s="136" t="e">
        <f t="shared" ca="1" si="13"/>
        <v>#NAME?</v>
      </c>
      <c r="AG56" s="134"/>
      <c r="AH56" s="135" t="str">
        <f>IF(AG56=0,"",IFERROR(AG56/_xll.EVGTS($B$1,1,_xll.EVPRO($B$1,$H56,"COSBASIS"),$B$3,$B$5,$B$6,$B$7,$B$9,AG$16,AG$17,AG$18),""))</f>
        <v/>
      </c>
      <c r="AI56" s="136" t="e">
        <f t="shared" ca="1" si="15"/>
        <v>#NAME?</v>
      </c>
      <c r="AJ56" s="360">
        <f t="shared" ca="1" si="16"/>
        <v>0</v>
      </c>
      <c r="AK56" s="361">
        <f t="shared" ca="1" si="17"/>
        <v>0</v>
      </c>
      <c r="AL56" s="363">
        <f t="shared" ca="1" si="18"/>
        <v>0</v>
      </c>
      <c r="AM56" s="405">
        <f t="shared" ca="1" si="19"/>
        <v>0</v>
      </c>
      <c r="AN56" s="406">
        <f t="shared" ca="1" si="20"/>
        <v>0</v>
      </c>
    </row>
    <row r="57" spans="1:40" x14ac:dyDescent="0.25">
      <c r="A57" s="6" t="s">
        <v>13</v>
      </c>
      <c r="B57" s="7" t="e">
        <f ca="1">"DEP(540000) AND "&amp;$E$6&amp;"=Y,500001"</f>
        <v>#NAME?</v>
      </c>
      <c r="H57" s="149" t="s">
        <v>175</v>
      </c>
      <c r="I57" s="28" t="e">
        <f ca="1">_xll.EVPRO($B$1,$H57,"STYLE")</f>
        <v>#NAME?</v>
      </c>
      <c r="J57" s="28" t="e">
        <f ca="1">_xll.EVPRO($B$1,$H57,"CALC")</f>
        <v>#NAME?</v>
      </c>
      <c r="K57" s="69" t="e">
        <f ca="1">IF(AND(I57&gt;="T5"),"&gt;","")</f>
        <v>#NAME?</v>
      </c>
      <c r="L57" s="69"/>
      <c r="M57" s="69"/>
      <c r="N57" s="25" t="e">
        <f ca="1">IF(_xll.EVDES(H57,$B$1)="#NODATA","",_xll.EVDES(H57,$B$1))</f>
        <v>#NAME?</v>
      </c>
      <c r="O57" s="47"/>
      <c r="P57" s="47"/>
      <c r="Q57" s="47"/>
      <c r="R57" s="47"/>
      <c r="S57" s="47"/>
      <c r="T57" s="47"/>
      <c r="U57" s="47"/>
      <c r="V57" s="47"/>
      <c r="W57" s="47"/>
      <c r="X57" s="47"/>
      <c r="Y57" s="47"/>
      <c r="Z57" s="47"/>
      <c r="AA57" s="47"/>
      <c r="AB57" s="48" t="str">
        <f>IF(O57=0,"",IFERROR(O57/_xll.EVGTS($B$1,1,INDEX($C$142:$C$165,MATCH($H57,$A$142:$A$165,0)),$B$3,$B$5,$B$6,$B$7,$B$9,O$16,O$17,O$18),""))</f>
        <v/>
      </c>
      <c r="AD57" s="47"/>
      <c r="AE57" s="48" t="str">
        <f>IF(AD57=0,"",IFERROR(AD57/_xll.EVGTS($B$1,1,INDEX($C$142:$C$165,MATCH($H57,$A$142:$A$165,0)),$B$3,$B$5,$B$6,$B$7,$B$9,AD$16,AD$17,AD$18),""))</f>
        <v/>
      </c>
      <c r="AF57" s="150" t="str">
        <f t="shared" ref="AF57:AF58" si="21">IF(AND($AA57="",AD57=""),"",$AA57-AD57)</f>
        <v/>
      </c>
      <c r="AG57" s="47"/>
      <c r="AH57" s="48" t="str">
        <f>IF(AG57=0,"",IFERROR(AG57/_xll.EVGTS($B$1,1,INDEX($C$142:$C$165,MATCH($H57,$A$142:$A$165,0)),$B$3,$B$5,$B$6,$B$7,$B$9,AG$16,AG$17,AG$18),""))</f>
        <v/>
      </c>
      <c r="AI57" s="150" t="str">
        <f>IF(AND($AA57="",AG57=""),"",$AA57-AG57)</f>
        <v/>
      </c>
    </row>
    <row r="58" spans="1:40" x14ac:dyDescent="0.25">
      <c r="A58" s="6" t="s">
        <v>14</v>
      </c>
      <c r="B58" s="7"/>
      <c r="H58" s="149" t="s">
        <v>292</v>
      </c>
      <c r="I58" s="28" t="e">
        <f ca="1">_xll.EVPRO($B$1,$H58,"STYLE")</f>
        <v>#NAME?</v>
      </c>
      <c r="J58" s="28" t="e">
        <f ca="1">_xll.EVPRO($B$1,$H58,"CALC")</f>
        <v>#NAME?</v>
      </c>
      <c r="K58" s="69" t="e">
        <f ca="1">IF(AND(I58&gt;="T5"),"&gt;","")</f>
        <v>#NAME?</v>
      </c>
      <c r="L58" s="69"/>
      <c r="M58" s="69"/>
      <c r="N58" s="25" t="e">
        <f ca="1">IF(_xll.EVDES(H58,$B$1)="#NODATA","",_xll.EVDES(H58,$B$1))</f>
        <v>#NAME?</v>
      </c>
      <c r="O58" s="164">
        <f>SUMIF($H$34:$H$56,"400000",O34:O56)-SUMIF($H$34:$H$56,"500001",O34:O56)</f>
        <v>0</v>
      </c>
      <c r="P58" s="164">
        <f t="shared" ref="P58:Z58" si="22">SUMIF($H$34:$H$56,"400000",P34:P56)-SUMIF($H$34:$H$56,"500001",P34:P56)</f>
        <v>0</v>
      </c>
      <c r="Q58" s="164">
        <f t="shared" si="22"/>
        <v>0</v>
      </c>
      <c r="R58" s="164">
        <f t="shared" si="22"/>
        <v>0</v>
      </c>
      <c r="S58" s="164">
        <f t="shared" si="22"/>
        <v>0</v>
      </c>
      <c r="T58" s="164">
        <f t="shared" si="22"/>
        <v>0</v>
      </c>
      <c r="U58" s="164">
        <f t="shared" si="22"/>
        <v>0</v>
      </c>
      <c r="V58" s="164">
        <f t="shared" si="22"/>
        <v>0</v>
      </c>
      <c r="W58" s="164">
        <f t="shared" si="22"/>
        <v>0</v>
      </c>
      <c r="X58" s="164">
        <f t="shared" si="22"/>
        <v>0</v>
      </c>
      <c r="Y58" s="164">
        <f t="shared" si="22"/>
        <v>19.28</v>
      </c>
      <c r="Z58" s="164">
        <f t="shared" si="22"/>
        <v>0</v>
      </c>
      <c r="AA58" s="134" t="e">
        <f ca="1">IF($I58="B1","",SUM(O58:Z58))</f>
        <v>#NAME?</v>
      </c>
      <c r="AB58" s="135" t="e">
        <f ca="1">IF(AA58=0,"",IFERROR(AA58/AA$19,""))</f>
        <v>#NAME?</v>
      </c>
      <c r="AD58" s="164">
        <f>SUMIF($H$34:$H$56,"400000",AD34:AD56)-SUMIF($H$34:$H$56,"500001",AD34:AD56)</f>
        <v>0</v>
      </c>
      <c r="AE58" s="135" t="str">
        <f>IF(AD58=0,"",IFERROR(AD58/AD$19,""))</f>
        <v/>
      </c>
      <c r="AF58" s="165" t="e">
        <f t="shared" ca="1" si="21"/>
        <v>#NAME?</v>
      </c>
      <c r="AG58" s="164">
        <f>SUMIF($H$34:$H$56,"400000",AG34:AG56)-SUMIF($H$34:$H$56,"500001",AG34:AG56)</f>
        <v>0</v>
      </c>
      <c r="AH58" s="135" t="str">
        <f>IF(AG58=0,"",IFERROR(AG58/AG$19,""))</f>
        <v/>
      </c>
      <c r="AI58" s="165" t="e">
        <f ca="1">IF(AND($AA58="",AG58=""),"",$AA58-AG58)</f>
        <v>#NAME?</v>
      </c>
      <c r="AJ58" s="392">
        <f ca="1">IFERROR(AA58/AA$20,0)</f>
        <v>0</v>
      </c>
      <c r="AK58" s="393">
        <f ca="1">IFERROR(AD58/AD$20,0)</f>
        <v>0</v>
      </c>
      <c r="AL58" s="394">
        <f ca="1">IFERROR(AG58/AG$20,0)</f>
        <v>0</v>
      </c>
      <c r="AM58" s="395">
        <f ca="1">+IFERROR(ROUND(($AB58-AE58)*100,2)&amp;" pts.",0)</f>
        <v>0</v>
      </c>
      <c r="AN58" s="437">
        <f ca="1">+IFERROR(ROUND(($AB58-AH58)*100,2)&amp;" pts.",0)</f>
        <v>0</v>
      </c>
    </row>
    <row r="59" spans="1:40" x14ac:dyDescent="0.25">
      <c r="A59" s="6" t="s">
        <v>15</v>
      </c>
      <c r="B59" s="7"/>
      <c r="O59" s="163"/>
      <c r="P59" s="287"/>
      <c r="Q59" s="287"/>
      <c r="R59" s="287"/>
      <c r="S59" s="287"/>
      <c r="T59" s="287"/>
      <c r="U59" s="287"/>
      <c r="V59" s="287"/>
      <c r="W59" s="287"/>
      <c r="X59" s="287"/>
      <c r="Y59" s="287"/>
      <c r="Z59" s="287"/>
      <c r="AA59" s="287"/>
      <c r="AB59" s="55"/>
      <c r="AD59" s="163"/>
      <c r="AE59" s="54"/>
      <c r="AF59" s="55"/>
      <c r="AG59" s="54"/>
      <c r="AH59" s="54"/>
      <c r="AI59" s="55"/>
    </row>
    <row r="60" spans="1:40" x14ac:dyDescent="0.25">
      <c r="A60" s="6" t="s">
        <v>16</v>
      </c>
      <c r="B60" s="7"/>
      <c r="H60" s="1" t="s">
        <v>73</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168"/>
      <c r="AD60" s="167"/>
      <c r="AE60" s="169"/>
      <c r="AF60" s="55"/>
      <c r="AG60" s="54"/>
      <c r="AH60" s="169"/>
      <c r="AI60" s="55"/>
    </row>
    <row r="61" spans="1:40" x14ac:dyDescent="0.25">
      <c r="A61" s="6" t="s">
        <v>17</v>
      </c>
      <c r="B61" s="7"/>
      <c r="H61" s="1" t="s">
        <v>74</v>
      </c>
      <c r="I61" s="11" t="e">
        <f ca="1">_xll.EVPRO($B$1,$H61,"STYLE")</f>
        <v>#NAME?</v>
      </c>
      <c r="J61" s="11" t="e">
        <f ca="1">_xll.EVPRO($B$1,$H61,"CALC")</f>
        <v>#NAME?</v>
      </c>
      <c r="N61" s="8" t="e">
        <f ca="1">IF(_xll.EVDES(H61,$B$1)="#NODATA","",_xll.EVDES(H61,$B$1))</f>
        <v>#NAME?</v>
      </c>
      <c r="O61" s="43"/>
      <c r="P61" s="46"/>
      <c r="Q61" s="46"/>
      <c r="R61" s="46"/>
      <c r="S61" s="46"/>
      <c r="T61" s="46"/>
      <c r="U61" s="46"/>
      <c r="V61" s="46"/>
      <c r="W61" s="46"/>
      <c r="X61" s="46"/>
      <c r="Y61" s="46"/>
      <c r="Z61" s="46"/>
      <c r="AA61" s="46"/>
      <c r="AB61" s="44"/>
      <c r="AD61" s="43"/>
      <c r="AE61" s="46"/>
      <c r="AF61" s="44"/>
      <c r="AG61" s="46"/>
      <c r="AH61" s="46"/>
      <c r="AI61" s="44"/>
    </row>
    <row r="62" spans="1:40" hidden="1" x14ac:dyDescent="0.25">
      <c r="H62" s="15" t="s">
        <v>667</v>
      </c>
      <c r="I62" s="161" t="e">
        <f ca="1">_xll.EVPRO($B$1,$H62,"STYLE")</f>
        <v>#NAME?</v>
      </c>
      <c r="J62" s="161" t="e">
        <f ca="1">_xll.EVPRO($B$1,$H62,"CALC")</f>
        <v>#NAME?</v>
      </c>
      <c r="K62" s="68" t="e">
        <f ca="1">IF(AND(I62&gt;="T3"),"&gt;","")</f>
        <v>#NAME?</v>
      </c>
      <c r="L62" s="162" t="e">
        <f ca="1">_xll.EVPRO($B$1,H62,"JDEID")</f>
        <v>#NAME?</v>
      </c>
      <c r="M62" s="162" t="e">
        <f ca="1">IF(AND(I62="N",J62="N"),_xll.EVPRO($B$1,H62,"PSFTID"),"")</f>
        <v>#NAME?</v>
      </c>
      <c r="N62" s="162" t="e">
        <f ca="1">IF(_xll.EVDES(H62,$B$1)="#NODATA","",_xll.EVDES(H62,$B$1))</f>
        <v>#NAME?</v>
      </c>
      <c r="O62" s="47"/>
      <c r="P62" s="47"/>
      <c r="Q62" s="47"/>
      <c r="R62" s="47"/>
      <c r="S62" s="47"/>
      <c r="T62" s="47"/>
      <c r="U62" s="47"/>
      <c r="V62" s="47"/>
      <c r="W62" s="47"/>
      <c r="X62" s="47"/>
      <c r="Y62" s="47"/>
      <c r="Z62" s="47"/>
      <c r="AA62" s="47" t="e">
        <f ca="1">IF($I62="B1","",SUM(O62:Z62))</f>
        <v>#NAME?</v>
      </c>
      <c r="AB62" s="48" t="e">
        <f ca="1">IF(AA62=0,"",IFERROR(AA62/AA$19,""))</f>
        <v>#NAME?</v>
      </c>
      <c r="AD62" s="47"/>
      <c r="AE62" s="48" t="str">
        <f>IF(AD62=0,"",IFERROR(AD62/AD$19,""))</f>
        <v/>
      </c>
      <c r="AF62" s="150" t="e">
        <f ca="1">IF(AND($AA62="",AD62=""),"",$AA62-AD62)</f>
        <v>#NAME?</v>
      </c>
      <c r="AG62" s="47"/>
      <c r="AH62" s="48" t="str">
        <f>IF(AG62=0,"",IFERROR(AG62/AG$19,""))</f>
        <v/>
      </c>
      <c r="AI62" s="1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A63" s="22" t="s">
        <v>92</v>
      </c>
      <c r="B63" s="23" t="s">
        <v>93</v>
      </c>
      <c r="C63" s="23" t="s">
        <v>94</v>
      </c>
      <c r="D63" s="23" t="s">
        <v>95</v>
      </c>
      <c r="E63" s="23" t="s">
        <v>96</v>
      </c>
      <c r="F63" s="24" t="s">
        <v>97</v>
      </c>
      <c r="H63" s="15"/>
      <c r="I63" s="161" t="e">
        <f ca="1">_xll.EVPRO($B$1,$H63,"STYLE")</f>
        <v>#NAME?</v>
      </c>
      <c r="J63" s="161" t="e">
        <f ca="1">_xll.EVPRO($B$1,$H63,"CALC")</f>
        <v>#NAME?</v>
      </c>
      <c r="K63" s="68" t="e">
        <f ca="1">IF(AND(I63&gt;="T3"),"&gt;","")</f>
        <v>#NAME?</v>
      </c>
      <c r="L63" s="162" t="e">
        <f ca="1">_xll.EVPRO($B$1,H63,"JDEID")</f>
        <v>#NAME?</v>
      </c>
      <c r="M63" s="162" t="e">
        <f ca="1">IF(AND(I63="N",J63="N"),_xll.EVPRO($B$1,H63,"PSFTID"),"")</f>
        <v>#NAME?</v>
      </c>
      <c r="N63" s="162" t="e">
        <f ca="1">IF(_xll.EVDES(H63,$B$1)="#NODATA","",_xll.EVDES(H63,$B$1))</f>
        <v>#NAME?</v>
      </c>
      <c r="O63" s="47"/>
      <c r="P63" s="47"/>
      <c r="Q63" s="47"/>
      <c r="R63" s="47"/>
      <c r="S63" s="47"/>
      <c r="T63" s="47"/>
      <c r="U63" s="47"/>
      <c r="V63" s="47"/>
      <c r="W63" s="47"/>
      <c r="X63" s="47"/>
      <c r="Y63" s="47"/>
      <c r="Z63" s="47"/>
      <c r="AA63" s="47" t="e">
        <f ca="1">IF($I63="B1","",SUM(O63:Z63))</f>
        <v>#NAME?</v>
      </c>
      <c r="AB63" s="48" t="e">
        <f ca="1">IF(AA63=0,"",IFERROR(AA63/AA$19,""))</f>
        <v>#NAME?</v>
      </c>
      <c r="AD63" s="47"/>
      <c r="AE63" s="48" t="str">
        <f>IF(AD63=0,"",IFERROR(AD63/AD$19,""))</f>
        <v/>
      </c>
      <c r="AF63" s="150" t="e">
        <f ca="1">IF(AND($AA63="",AD63=""),"",$AA63-AD63)</f>
        <v>#NAME?</v>
      </c>
      <c r="AG63" s="47"/>
      <c r="AH63" s="48" t="str">
        <f>IF(AG63=0,"",IFERROR(AG63/AG$19,""))</f>
        <v/>
      </c>
      <c r="AI63" s="1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H64" s="15" t="s">
        <v>75</v>
      </c>
      <c r="I64" s="28" t="e">
        <f ca="1">_xll.EVPRO($B$1,$H64,"STYLE")</f>
        <v>#NAME?</v>
      </c>
      <c r="J64" s="28" t="e">
        <f ca="1">_xll.EVPRO($B$1,$H64,"CALC")</f>
        <v>#NAME?</v>
      </c>
      <c r="K64" s="69" t="e">
        <f ca="1">IF(AND(I64&gt;="T3"),"&gt;","")</f>
        <v>#NAME?</v>
      </c>
      <c r="L64" s="25" t="e">
        <f ca="1">_xll.EVPRO($B$1,H64,"JDEID")</f>
        <v>#NAME?</v>
      </c>
      <c r="M64" s="162" t="e">
        <f ca="1">IF(AND(I64="N",J64="N"),_xll.EVPRO($B$1,H64,"PSFTID"),"")</f>
        <v>#NAME?</v>
      </c>
      <c r="N64" s="25" t="e">
        <f ca="1">IF(_xll.EVDES(H64,$B$1)="#NODATA","",_xll.EVDES(H64,$B$1))</f>
        <v>#NAME?</v>
      </c>
      <c r="O64" s="38"/>
      <c r="P64" s="38"/>
      <c r="Q64" s="38"/>
      <c r="R64" s="38"/>
      <c r="S64" s="38"/>
      <c r="T64" s="38"/>
      <c r="U64" s="38"/>
      <c r="V64" s="38"/>
      <c r="W64" s="38"/>
      <c r="X64" s="38"/>
      <c r="Y64" s="38"/>
      <c r="Z64" s="38"/>
      <c r="AA64" s="38" t="e">
        <f ca="1">IF($I64="B1","",SUM(O64:Z64))</f>
        <v>#NAME?</v>
      </c>
      <c r="AB64" s="39" t="e">
        <f ca="1">IF(AA64=0,"",IFERROR(AA64/AA$19,""))</f>
        <v>#NAME?</v>
      </c>
      <c r="AD64" s="38"/>
      <c r="AE64" s="39" t="str">
        <f>IF(AD64=0,"",IFERROR(AD64/AD$19,""))</f>
        <v/>
      </c>
      <c r="AF64" s="132" t="e">
        <f ca="1">IF(AND($AA64="",AD64=""),"",$AA64-AD64)</f>
        <v>#NAME?</v>
      </c>
      <c r="AG64" s="38"/>
      <c r="AH64" s="39" t="str">
        <f>IF(AG64=0,"",IFERROR(AG64/AG$19,""))</f>
        <v/>
      </c>
      <c r="AI64" s="132" t="e">
        <f ca="1">IF(AND($AA64="",AG64=""),"",$AA64-AG64)</f>
        <v>#NAME?</v>
      </c>
      <c r="AJ64" s="399">
        <f ca="1">IFERROR(AA64/AA$20,0)</f>
        <v>0</v>
      </c>
      <c r="AK64" s="400">
        <f ca="1">IFERROR(AD64/AD$20,0)</f>
        <v>0</v>
      </c>
      <c r="AL64" s="401">
        <f ca="1">IFERROR(AG64/AG$20,0)</f>
        <v>0</v>
      </c>
      <c r="AM64" s="402">
        <f ca="1">+IFERROR(ROUND(($AB64-AE64)*100,2)&amp;" pts.",0)</f>
        <v>0</v>
      </c>
      <c r="AN64" s="403">
        <f ca="1">+IFERROR(ROUND(($AB64-AH64)*100,2)&amp;" pts.",0)</f>
        <v>0</v>
      </c>
    </row>
    <row r="65" spans="1:40" hidden="1" x14ac:dyDescent="0.25">
      <c r="A65" s="1" t="s">
        <v>105</v>
      </c>
      <c r="C65" s="26" t="s">
        <v>101</v>
      </c>
      <c r="D65" s="1" t="s">
        <v>106</v>
      </c>
      <c r="F65" s="1" t="s">
        <v>98</v>
      </c>
      <c r="H65" s="15" t="s">
        <v>667</v>
      </c>
      <c r="I65" s="161" t="e">
        <f ca="1">_xll.EVPRO($B$1,$H65,"STYLE")</f>
        <v>#NAME?</v>
      </c>
      <c r="J65" s="161" t="e">
        <f ca="1">_xll.EVPRO($B$1,$H65,"CALC")</f>
        <v>#NAME?</v>
      </c>
      <c r="K65" s="68" t="e">
        <f ca="1">IF(AND(I65&gt;="T3"),"&gt;","")</f>
        <v>#NAME?</v>
      </c>
      <c r="L65" s="162" t="e">
        <f ca="1">_xll.EVPRO($B$1,H65,"JDEID")</f>
        <v>#NAME?</v>
      </c>
      <c r="M65" s="162" t="e">
        <f ca="1">IF(AND(I65="N",J65="N"),_xll.EVPRO($B$1,H65,"PSFTID"),"")</f>
        <v>#NAME?</v>
      </c>
      <c r="N65" s="162" t="e">
        <f ca="1">IF(_xll.EVDES(H65,$B$1)="#NODATA","",_xll.EVDES(H65,$B$1))</f>
        <v>#NAME?</v>
      </c>
      <c r="O65" s="47"/>
      <c r="P65" s="47"/>
      <c r="Q65" s="47"/>
      <c r="R65" s="47"/>
      <c r="S65" s="47"/>
      <c r="T65" s="47"/>
      <c r="U65" s="47"/>
      <c r="V65" s="47"/>
      <c r="W65" s="47"/>
      <c r="X65" s="47"/>
      <c r="Y65" s="47"/>
      <c r="Z65" s="47"/>
      <c r="AA65" s="47" t="e">
        <f ca="1">IF($I65="B1","",SUM(O65:Z65))</f>
        <v>#NAME?</v>
      </c>
      <c r="AB65" s="48" t="e">
        <f ca="1">IF(AA65=0,"",IFERROR(AA65/AA$19,""))</f>
        <v>#NAME?</v>
      </c>
      <c r="AD65" s="47"/>
      <c r="AE65" s="48" t="str">
        <f>IF(AD65=0,"",IFERROR(AD65/AD$19,""))</f>
        <v/>
      </c>
      <c r="AF65" s="150" t="e">
        <f ca="1">IF(AND($AA65="",AD65=""),"",$AA65-AD65)</f>
        <v>#NAME?</v>
      </c>
      <c r="AG65" s="47"/>
      <c r="AH65" s="48" t="str">
        <f>IF(AG65=0,"",IFERROR(AG65/AG$19,""))</f>
        <v/>
      </c>
      <c r="AI65" s="150" t="e">
        <f ca="1">IF(AND($AA65="",AG65=""),"",$AA65-AG65)</f>
        <v>#NAME?</v>
      </c>
      <c r="AJ65" s="409">
        <f ca="1">IFERROR(AA65/AA$20,0)</f>
        <v>0</v>
      </c>
      <c r="AK65" s="410">
        <f ca="1">IFERROR(AD65/AD$20,0)</f>
        <v>0</v>
      </c>
      <c r="AL65" s="411">
        <f ca="1">IFERROR(AG65/AG$20,0)</f>
        <v>0</v>
      </c>
      <c r="AM65" s="412">
        <f ca="1">+IFERROR(ROUND(($AB65-AE65)*100,2)&amp;" pts.",0)</f>
        <v>0</v>
      </c>
      <c r="AN65" s="413">
        <f ca="1">+IFERROR(ROUND(($AB65-AH65)*100,2)&amp;" pts.",0)</f>
        <v>0</v>
      </c>
    </row>
    <row r="66" spans="1:40" hidden="1" x14ac:dyDescent="0.25">
      <c r="A66" s="1" t="s">
        <v>108</v>
      </c>
      <c r="C66" s="25" t="s">
        <v>101</v>
      </c>
      <c r="D66" s="1" t="s">
        <v>106</v>
      </c>
      <c r="F66" s="1" t="s">
        <v>98</v>
      </c>
      <c r="H66" s="15"/>
      <c r="I66" s="161" t="e">
        <f ca="1">_xll.EVPRO($B$1,$H66,"STYLE")</f>
        <v>#NAME?</v>
      </c>
      <c r="J66" s="161" t="e">
        <f ca="1">_xll.EVPRO($B$1,$H66,"CALC")</f>
        <v>#NAME?</v>
      </c>
      <c r="K66" s="68" t="e">
        <f ca="1">IF(AND(I66&gt;="T3"),"&gt;","")</f>
        <v>#NAME?</v>
      </c>
      <c r="L66" s="162" t="e">
        <f ca="1">_xll.EVPRO($B$1,H66,"JDEID")</f>
        <v>#NAME?</v>
      </c>
      <c r="M66" s="162" t="e">
        <f ca="1">IF(AND(I66="N",J66="N"),_xll.EVPRO($B$1,H66,"PSFTID"),"")</f>
        <v>#NAME?</v>
      </c>
      <c r="N66" s="162" t="e">
        <f ca="1">IF(_xll.EVDES(H66,$B$1)="#NODATA","",_xll.EVDES(H66,$B$1))</f>
        <v>#NAME?</v>
      </c>
      <c r="O66" s="47"/>
      <c r="P66" s="47"/>
      <c r="Q66" s="47"/>
      <c r="R66" s="47"/>
      <c r="S66" s="47"/>
      <c r="T66" s="47"/>
      <c r="U66" s="47"/>
      <c r="V66" s="47"/>
      <c r="W66" s="47"/>
      <c r="X66" s="47"/>
      <c r="Y66" s="47"/>
      <c r="Z66" s="47"/>
      <c r="AA66" s="47" t="e">
        <f ca="1">IF($I66="B1","",SUM(O66:Z66))</f>
        <v>#NAME?</v>
      </c>
      <c r="AB66" s="48" t="e">
        <f ca="1">IF(AA66=0,"",IFERROR(AA66/AA$19,""))</f>
        <v>#NAME?</v>
      </c>
      <c r="AD66" s="47"/>
      <c r="AE66" s="48" t="str">
        <f>IF(AD66=0,"",IFERROR(AD66/AD$19,""))</f>
        <v/>
      </c>
      <c r="AF66" s="150" t="e">
        <f ca="1">IF(AND($AA66="",AD66=""),"",$AA66-AD66)</f>
        <v>#NAME?</v>
      </c>
      <c r="AG66" s="47"/>
      <c r="AH66" s="48" t="str">
        <f>IF(AG66=0,"",IFERROR(AG66/AG$19,""))</f>
        <v/>
      </c>
      <c r="AI66" s="150" t="e">
        <f ca="1">IF(AND($AA66="",AG66=""),"",$AA66-AG66)</f>
        <v>#NAME?</v>
      </c>
      <c r="AJ66" s="409">
        <f ca="1">IFERROR(AA66/AA$20,0)</f>
        <v>0</v>
      </c>
      <c r="AK66" s="410">
        <f ca="1">IFERROR(AD66/AD$20,0)</f>
        <v>0</v>
      </c>
      <c r="AL66" s="411">
        <f ca="1">IFERROR(AG66/AG$20,0)</f>
        <v>0</v>
      </c>
      <c r="AM66" s="412">
        <f ca="1">+IFERROR(ROUND(($AB66-AE66)*100,2)&amp;" pts.",0)</f>
        <v>0</v>
      </c>
      <c r="AN66" s="413">
        <f ca="1">+IFERROR(ROUND(($AB66-AH66)*100,2)&amp;" pts.",0)</f>
        <v>0</v>
      </c>
    </row>
    <row r="67" spans="1:40" x14ac:dyDescent="0.25">
      <c r="A67" s="1" t="s">
        <v>108</v>
      </c>
      <c r="C67" s="151" t="s">
        <v>101</v>
      </c>
      <c r="D67" s="1" t="s">
        <v>107</v>
      </c>
      <c r="F67" s="1" t="s">
        <v>99</v>
      </c>
      <c r="O67" s="41"/>
      <c r="P67" s="45"/>
      <c r="Q67" s="45"/>
      <c r="R67" s="45"/>
      <c r="S67" s="45"/>
      <c r="T67" s="45"/>
      <c r="U67" s="45"/>
      <c r="V67" s="45"/>
      <c r="W67" s="45"/>
      <c r="X67" s="45"/>
      <c r="Y67" s="45"/>
      <c r="Z67" s="45"/>
      <c r="AA67" s="45"/>
      <c r="AB67" s="42"/>
      <c r="AD67" s="41"/>
      <c r="AE67" s="45"/>
      <c r="AF67" s="42"/>
      <c r="AG67" s="41"/>
      <c r="AH67" s="45"/>
      <c r="AI67" s="42"/>
    </row>
    <row r="68" spans="1:40" x14ac:dyDescent="0.25">
      <c r="H68" s="1" t="s">
        <v>82</v>
      </c>
      <c r="I68" s="11" t="e">
        <f ca="1">_xll.EVPRO($B$1,$H68,"STYLE")</f>
        <v>#NAME?</v>
      </c>
      <c r="J68" s="11" t="e">
        <f ca="1">_xll.EVPRO($B$1,$H68,"CALC")</f>
        <v>#NAME?</v>
      </c>
      <c r="N68" s="40" t="e">
        <f ca="1">IF(_xll.EVDES(H68,$B$1)="#NODATA","",_xll.EVDES(H68,$B$1))</f>
        <v>#NAME?</v>
      </c>
      <c r="O68" s="43"/>
      <c r="P68" s="46"/>
      <c r="Q68" s="46"/>
      <c r="R68" s="46"/>
      <c r="S68" s="46"/>
      <c r="T68" s="46"/>
      <c r="U68" s="46"/>
      <c r="V68" s="46"/>
      <c r="W68" s="46"/>
      <c r="X68" s="46"/>
      <c r="Y68" s="46"/>
      <c r="Z68" s="46"/>
      <c r="AA68" s="46"/>
      <c r="AB68" s="44"/>
      <c r="AD68" s="43"/>
      <c r="AE68" s="46"/>
      <c r="AF68" s="44"/>
      <c r="AG68" s="43"/>
      <c r="AH68" s="46"/>
      <c r="AI68" s="44"/>
    </row>
    <row r="69" spans="1:40" hidden="1" x14ac:dyDescent="0.25">
      <c r="C69" s="32"/>
      <c r="H69" s="15" t="s">
        <v>667</v>
      </c>
      <c r="I69" s="161" t="e">
        <f ca="1">_xll.EVPRO($B$1,$H69,"STYLE")</f>
        <v>#NAME?</v>
      </c>
      <c r="J69" s="161" t="e">
        <f ca="1">_xll.EVPRO($B$1,$H69,"CALC")</f>
        <v>#NAME?</v>
      </c>
      <c r="K69" s="68" t="e">
        <f ca="1">IF(AND(I69&lt;&gt;"B1",J69="Y"),"&gt;","")</f>
        <v>#NAME?</v>
      </c>
      <c r="L69" s="162" t="e">
        <f ca="1">_xll.EVPRO($B$1,H69,"JDEID")</f>
        <v>#NAME?</v>
      </c>
      <c r="M69" s="162" t="e">
        <f ca="1">IF(AND(I69="N",J69="N"),_xll.EVPRO($B$1,H69,"PSFTID"),"")</f>
        <v>#NAME?</v>
      </c>
      <c r="N69" s="162" t="e">
        <f ca="1">IF(_xll.EVDES(H69,$B$1)="#NODATA","",_xll.EVDES(H69,$B$1))</f>
        <v>#NAME?</v>
      </c>
      <c r="O69" s="21"/>
      <c r="P69" s="21"/>
      <c r="Q69" s="21"/>
      <c r="R69" s="21"/>
      <c r="S69" s="21"/>
      <c r="T69" s="21"/>
      <c r="U69" s="21"/>
      <c r="V69" s="21"/>
      <c r="W69" s="21"/>
      <c r="X69" s="21"/>
      <c r="Y69" s="21"/>
      <c r="Z69" s="21"/>
      <c r="AA69" s="21" t="e">
        <f ca="1">IF($I69="B1","",SUM(O69:Z69))</f>
        <v>#NAME?</v>
      </c>
      <c r="AB69" s="17" t="e">
        <f ca="1">IF(AA69=0,"",IFERROR(AA69/AA$19,""))</f>
        <v>#NAME?</v>
      </c>
      <c r="AD69" s="21"/>
      <c r="AE69" s="17" t="str">
        <f>IF(AD69=0,"",IFERROR(AD69/AD$19,""))</f>
        <v/>
      </c>
      <c r="AF69" s="50" t="e">
        <f ca="1">IF(AND($AA69="",AD69=""),"",$AA69-AD69)</f>
        <v>#NAME?</v>
      </c>
      <c r="AG69" s="21"/>
      <c r="AH69" s="17" t="str">
        <f>IF(AG69=0,"",IFERROR(AG69/AG$19,""))</f>
        <v/>
      </c>
      <c r="AI69" s="50" t="e">
        <f ca="1">IF(AND($AA69="",AG69=""),"",$AA69-AG69)</f>
        <v>#NAME?</v>
      </c>
      <c r="AJ69" s="399">
        <f ca="1">IFERROR(AA69/AA$20,0)</f>
        <v>0</v>
      </c>
      <c r="AK69" s="400">
        <f ca="1">IFERROR(AD69/AD$20,0)</f>
        <v>0</v>
      </c>
      <c r="AL69" s="401">
        <f ca="1">IFERROR(AG69/AG$20,0)</f>
        <v>0</v>
      </c>
      <c r="AM69" s="402">
        <f ca="1">+IFERROR(ROUND(($AB69-AE69)*100,2)&amp;" pts.",0)</f>
        <v>0</v>
      </c>
      <c r="AN69" s="403">
        <f ca="1">+IFERROR(ROUND(($AB69-AH69)*100,2)&amp;" pts.",0)</f>
        <v>0</v>
      </c>
    </row>
    <row r="70" spans="1:40" hidden="1" x14ac:dyDescent="0.25">
      <c r="A70" s="4" t="e">
        <f ca="1">_xll.EVDRE($B$1,A73:B80,A83:B89)</f>
        <v>#NAME?</v>
      </c>
      <c r="H70" s="15"/>
      <c r="I70" s="161" t="e">
        <f ca="1">_xll.EVPRO($B$1,$H70,"STYLE")</f>
        <v>#NAME?</v>
      </c>
      <c r="J70" s="161" t="e">
        <f ca="1">_xll.EVPRO($B$1,$H70,"CALC")</f>
        <v>#NAME?</v>
      </c>
      <c r="K70" s="68" t="e">
        <f ca="1">IF(AND(I70&lt;&gt;"B1",J70="Y"),"&gt;","")</f>
        <v>#NAME?</v>
      </c>
      <c r="L70" s="162" t="e">
        <f ca="1">_xll.EVPRO($B$1,H70,"JDEID")</f>
        <v>#NAME?</v>
      </c>
      <c r="M70" s="162" t="e">
        <f ca="1">IF(AND(I70="N",J70="N"),_xll.EVPRO($B$1,H70,"PSFTID"),"")</f>
        <v>#NAME?</v>
      </c>
      <c r="N70" s="162" t="e">
        <f ca="1">IF(_xll.EVDES(H70,$B$1)="#NODATA","",_xll.EVDES(H70,$B$1))</f>
        <v>#NAME?</v>
      </c>
      <c r="O70" s="21"/>
      <c r="P70" s="21"/>
      <c r="Q70" s="21"/>
      <c r="R70" s="21"/>
      <c r="S70" s="21"/>
      <c r="T70" s="21"/>
      <c r="U70" s="21"/>
      <c r="V70" s="21"/>
      <c r="W70" s="21"/>
      <c r="X70" s="21"/>
      <c r="Y70" s="21"/>
      <c r="Z70" s="21"/>
      <c r="AA70" s="21" t="e">
        <f ca="1">IF($I70="B1","",SUM(O70:Z70))</f>
        <v>#NAME?</v>
      </c>
      <c r="AB70" s="17" t="e">
        <f ca="1">IF(AA70=0,"",IFERROR(AA70/AA$19,""))</f>
        <v>#NAME?</v>
      </c>
      <c r="AD70" s="21"/>
      <c r="AE70" s="17" t="str">
        <f>IF(AD70=0,"",IFERROR(AD70/AD$19,""))</f>
        <v/>
      </c>
      <c r="AF70" s="50" t="e">
        <f ca="1">IF(AND($AA70="",AD70=""),"",$AA70-AD70)</f>
        <v>#NAME?</v>
      </c>
      <c r="AG70" s="21"/>
      <c r="AH70" s="17" t="str">
        <f>IF(AG70=0,"",IFERROR(AG70/AG$19,""))</f>
        <v/>
      </c>
      <c r="AI70" s="50" t="e">
        <f ca="1">IF(AND($AA70="",AG70=""),"",$AA70-AG70)</f>
        <v>#NAME?</v>
      </c>
      <c r="AJ70" s="399">
        <f ca="1">IFERROR(AA70/AA$20,0)</f>
        <v>0</v>
      </c>
      <c r="AK70" s="400">
        <f ca="1">IFERROR(AD70/AD$20,0)</f>
        <v>0</v>
      </c>
      <c r="AL70" s="401">
        <f ca="1">IFERROR(AG70/AG$20,0)</f>
        <v>0</v>
      </c>
      <c r="AM70" s="402">
        <f ca="1">+IFERROR(ROUND(($AB70-AE70)*100,2)&amp;" pts.",0)</f>
        <v>0</v>
      </c>
      <c r="AN70" s="403">
        <f ca="1">+IFERROR(ROUND(($AB70-AH70)*100,2)&amp;" pts.",0)</f>
        <v>0</v>
      </c>
    </row>
    <row r="71" spans="1:40" x14ac:dyDescent="0.25">
      <c r="H71" s="15" t="s">
        <v>79</v>
      </c>
      <c r="I71" s="27" t="e">
        <f ca="1">_xll.EVPRO($B$1,$H71,"STYLE")</f>
        <v>#NAME?</v>
      </c>
      <c r="J71" s="27" t="e">
        <f ca="1">_xll.EVPRO($B$1,$H71,"CALC")</f>
        <v>#NAME?</v>
      </c>
      <c r="K71" s="26"/>
      <c r="L71" s="26"/>
      <c r="M71" s="26"/>
      <c r="N71" s="25" t="e">
        <f ca="1">IF(_xll.EVDES(H71,$B$1)="#NODATA","",_xll.EVDES(H71,$B$1))</f>
        <v>#NAME?</v>
      </c>
      <c r="O71" s="33"/>
      <c r="P71" s="33"/>
      <c r="Q71" s="33"/>
      <c r="R71" s="33"/>
      <c r="S71" s="33"/>
      <c r="T71" s="33"/>
      <c r="U71" s="33"/>
      <c r="V71" s="33"/>
      <c r="W71" s="33"/>
      <c r="X71" s="33"/>
      <c r="Y71" s="33"/>
      <c r="Z71" s="33"/>
      <c r="AA71" s="33" t="e">
        <f ca="1">IF($I71="B1","",SUM(O71:Z71))</f>
        <v>#NAME?</v>
      </c>
      <c r="AB71" s="34" t="e">
        <f ca="1">IF(AA71=0,"",IFERROR(AA71/AA$19,""))</f>
        <v>#NAME?</v>
      </c>
      <c r="AD71" s="33"/>
      <c r="AE71" s="34" t="str">
        <f>IF(AD71=0,"",IFERROR(AD71/AD$19,""))</f>
        <v/>
      </c>
      <c r="AF71" s="52" t="e">
        <f ca="1">IF(AND($AA71="",AD71=""),"",$AA71-AD71)</f>
        <v>#NAME?</v>
      </c>
      <c r="AG71" s="33"/>
      <c r="AH71" s="34" t="str">
        <f>IF(AG71=0,"",IFERROR(AG71/AG$19,""))</f>
        <v/>
      </c>
      <c r="AI71" s="52" t="e">
        <f ca="1">IF(AND($AA71="",AG71=""),"",$AA71-AG71)</f>
        <v>#NAME?</v>
      </c>
      <c r="AJ71" s="415">
        <f ca="1">IFERROR(AA71/AA$20,0)</f>
        <v>0</v>
      </c>
      <c r="AK71" s="416">
        <f ca="1">IFERROR(AD71/AD$20,0)</f>
        <v>0</v>
      </c>
      <c r="AL71" s="417">
        <f ca="1">IFERROR(AG71/AG$20,0)</f>
        <v>0</v>
      </c>
      <c r="AM71" s="418">
        <f ca="1">+IFERROR(ROUND(($AB71-AE71)*100,2)&amp;" pts.",0)</f>
        <v>0</v>
      </c>
      <c r="AN71" s="436">
        <f ca="1">+IFERROR(ROUND(($AB71-AH71)*100,2)&amp;" pts.",0)</f>
        <v>0</v>
      </c>
    </row>
    <row r="72" spans="1:40" x14ac:dyDescent="0.25">
      <c r="A72" s="3" t="s">
        <v>0</v>
      </c>
      <c r="B72" s="5" t="s">
        <v>1</v>
      </c>
    </row>
    <row r="73" spans="1:40" x14ac:dyDescent="0.25">
      <c r="A73" s="6" t="s">
        <v>2</v>
      </c>
      <c r="B73" s="7" t="e">
        <f ca="1">_xll.EVRNG($B$2:$B$10)</f>
        <v>#NAME?</v>
      </c>
      <c r="H73" s="15" t="s">
        <v>80</v>
      </c>
      <c r="I73" s="27" t="e">
        <f ca="1">_xll.EVPRO($B$1,$H73,"STYLE")</f>
        <v>#NAME?</v>
      </c>
      <c r="J73" s="27" t="e">
        <f ca="1">_xll.EVPRO($B$1,$H73,"CALC")</f>
        <v>#NAME?</v>
      </c>
      <c r="K73" s="25"/>
      <c r="L73" s="25"/>
      <c r="M73" s="25"/>
      <c r="N73" s="25" t="e">
        <f ca="1">IF(_xll.EVDES(H73,$B$1)="#NODATA","",_xll.EVDES(H73,$B$1))</f>
        <v>#NAME?</v>
      </c>
      <c r="O73" s="36"/>
      <c r="P73" s="36"/>
      <c r="Q73" s="36"/>
      <c r="R73" s="36"/>
      <c r="S73" s="36"/>
      <c r="T73" s="36"/>
      <c r="U73" s="36"/>
      <c r="V73" s="36"/>
      <c r="W73" s="36"/>
      <c r="X73" s="36"/>
      <c r="Y73" s="36"/>
      <c r="Z73" s="36"/>
      <c r="AA73" s="36" t="e">
        <f ca="1">IF($I73="B1","",SUM(O73:Z73))</f>
        <v>#NAME?</v>
      </c>
      <c r="AB73" s="37" t="e">
        <f ca="1">IF(AA73=0,"",IFERROR(AA73/AA$19,""))</f>
        <v>#NAME?</v>
      </c>
      <c r="AD73" s="36"/>
      <c r="AE73" s="37" t="str">
        <f>IF(AD73=0,"",IFERROR(AD73/AD$19,""))</f>
        <v/>
      </c>
      <c r="AF73" s="59" t="e">
        <f ca="1">IF(AND($AA73="",AD73=""),"",$AA73-AD73)</f>
        <v>#NAME?</v>
      </c>
      <c r="AG73" s="60"/>
      <c r="AH73" s="61" t="str">
        <f>IF(AG73=0,"",IFERROR(AG73/AG$19,""))</f>
        <v/>
      </c>
      <c r="AI73" s="59" t="e">
        <f ca="1">IF(AND($AA73="",AG73=""),"",$AA73-AG73)</f>
        <v>#NAME?</v>
      </c>
      <c r="AJ73" s="392">
        <f ca="1">IFERROR(AA73/AA$20,0)</f>
        <v>0</v>
      </c>
      <c r="AK73" s="393">
        <f ca="1">IFERROR(AD73/AD$20,0)</f>
        <v>0</v>
      </c>
      <c r="AL73" s="394">
        <f ca="1">IFERROR(AG73/AG$20,0)</f>
        <v>0</v>
      </c>
      <c r="AM73" s="395">
        <f ca="1">+IFERROR(ROUND(($AB73-AE73)*100,2)&amp;" pts.",0)</f>
        <v>0</v>
      </c>
      <c r="AN73" s="437">
        <f ca="1">+IFERROR(ROUND(($AB73-AH73)*100,2)&amp;" pts.",0)</f>
        <v>0</v>
      </c>
    </row>
    <row r="74" spans="1:40" ht="15.75" thickBot="1" x14ac:dyDescent="0.3">
      <c r="A74" s="6" t="s">
        <v>3</v>
      </c>
      <c r="B74" s="7" t="e">
        <f ca="1">_xll.EVRNG($O$16:$AN$18)</f>
        <v>#NAME?</v>
      </c>
      <c r="H74" s="15" t="s">
        <v>81</v>
      </c>
      <c r="I74" s="27" t="e">
        <f ca="1">_xll.EVPRO($B$1,$H74,"STYLE")</f>
        <v>#NAME?</v>
      </c>
      <c r="J74" s="27" t="e">
        <f ca="1">_xll.EVPRO($B$1,$H74,"CALC")</f>
        <v>#NAME?</v>
      </c>
      <c r="K74" s="25"/>
      <c r="L74" s="25"/>
      <c r="M74" s="25"/>
      <c r="N74" s="25" t="e">
        <f ca="1">IF(_xll.EVDES(H74,$B$1)="#NODATA","",_xll.EVDES(H74,$B$1))</f>
        <v>#NAME?</v>
      </c>
      <c r="O74" s="62"/>
      <c r="P74" s="62"/>
      <c r="Q74" s="62"/>
      <c r="R74" s="62"/>
      <c r="S74" s="62"/>
      <c r="T74" s="62"/>
      <c r="U74" s="62"/>
      <c r="V74" s="62"/>
      <c r="W74" s="62"/>
      <c r="X74" s="62"/>
      <c r="Y74" s="62">
        <v>19.28</v>
      </c>
      <c r="Z74" s="62"/>
      <c r="AA74" s="62" t="e">
        <f ca="1">IF($I74="B1","",SUM(O74:Z74))</f>
        <v>#NAME?</v>
      </c>
      <c r="AB74" s="63" t="e">
        <f ca="1">IF(AA74=0,"",IFERROR(AA74/AA$19,""))</f>
        <v>#NAME?</v>
      </c>
      <c r="AD74" s="62"/>
      <c r="AE74" s="63" t="str">
        <f>IF(AD74=0,"",IFERROR(AD74/AD$19,""))</f>
        <v/>
      </c>
      <c r="AF74" s="64" t="e">
        <f ca="1">IF(AND($AA74="",AD74=""),"",$AA74-AD74)</f>
        <v>#NAME?</v>
      </c>
      <c r="AG74" s="62"/>
      <c r="AH74" s="63" t="str">
        <f>IF(AG74=0,"",IFERROR(AG74/AG$19,""))</f>
        <v/>
      </c>
      <c r="AI74" s="64" t="e">
        <f ca="1">IF(AND($AA74="",AG74=""),"",$AA74-AG74)</f>
        <v>#NAME?</v>
      </c>
      <c r="AJ74" s="430">
        <f ca="1">IFERROR(AA74/AA$20,0)</f>
        <v>0</v>
      </c>
      <c r="AK74" s="431">
        <f ca="1">IFERROR(AD74/AD$20,0)</f>
        <v>0</v>
      </c>
      <c r="AL74" s="432">
        <f ca="1">IFERROR(AG74/AG$20,0)</f>
        <v>0</v>
      </c>
      <c r="AM74" s="433">
        <f ca="1">+IFERROR(ROUND(($AB74-AE74)*100,2)&amp;" pts.",0)</f>
        <v>0</v>
      </c>
      <c r="AN74" s="438">
        <f ca="1">+IFERROR(ROUND(($AB74-AH74)*100,2)&amp;" pts.",0)</f>
        <v>0</v>
      </c>
    </row>
    <row r="75" spans="1:40" ht="15.75" thickTop="1" x14ac:dyDescent="0.25">
      <c r="A75" s="6" t="s">
        <v>4</v>
      </c>
      <c r="B75" s="7" t="e">
        <f ca="1">_xll.EVRNG(H62:H63,H65:H66,H69:H70)</f>
        <v>#NAME?</v>
      </c>
    </row>
    <row r="76" spans="1:40" x14ac:dyDescent="0.25">
      <c r="A76" s="6" t="s">
        <v>5</v>
      </c>
      <c r="B76" s="7"/>
      <c r="N76" s="26" t="e">
        <f ca="1">N73&amp;" - Check"</f>
        <v>#NAME?</v>
      </c>
      <c r="O76" s="139">
        <f t="shared" ref="O76:AA76" si="23">SUMIF($H$34:$H$74,"600000",O$34:O$74)+SUMIF($H$34:$H$74,"700000",O$34:O$74)-SUMIF($H$34:$H$74,"TOTDEPTEXP",O$34:O$74)</f>
        <v>0</v>
      </c>
      <c r="P76" s="139">
        <f t="shared" si="23"/>
        <v>0</v>
      </c>
      <c r="Q76" s="139">
        <f t="shared" si="23"/>
        <v>0</v>
      </c>
      <c r="R76" s="139">
        <f t="shared" si="23"/>
        <v>0</v>
      </c>
      <c r="S76" s="139">
        <f t="shared" si="23"/>
        <v>0</v>
      </c>
      <c r="T76" s="139">
        <f t="shared" si="23"/>
        <v>0</v>
      </c>
      <c r="U76" s="139">
        <f t="shared" si="23"/>
        <v>0</v>
      </c>
      <c r="V76" s="139">
        <f t="shared" si="23"/>
        <v>0</v>
      </c>
      <c r="W76" s="139">
        <f t="shared" si="23"/>
        <v>0</v>
      </c>
      <c r="X76" s="139">
        <f t="shared" si="23"/>
        <v>0</v>
      </c>
      <c r="Y76" s="139">
        <f t="shared" si="23"/>
        <v>0</v>
      </c>
      <c r="Z76" s="139">
        <f t="shared" si="23"/>
        <v>0</v>
      </c>
      <c r="AA76" s="139" t="e">
        <f t="shared" ca="1" si="23"/>
        <v>#NAME?</v>
      </c>
      <c r="AB76" s="17"/>
      <c r="AD76" s="139">
        <f>SUMIF($H$34:$H$74,"600000",AD$34:AD$74)+SUMIF($H$34:$H$74,"700000",AD$34:AD$74)-SUMIF($H$34:$H$74,"TOTDEPTEXP",AD$34:AD$74)</f>
        <v>0</v>
      </c>
      <c r="AE76" s="17"/>
      <c r="AF76" s="21"/>
      <c r="AG76" s="139">
        <f>SUMIF($H$34:$H$74,"600000",AG$34:AG$74)+SUMIF($H$34:$H$74,"700000",AG$34:AG$74)-SUMIF($H$34:$H$74,"TOTDEPTEXP",AG$34:AG$74)</f>
        <v>0</v>
      </c>
      <c r="AH76" s="17"/>
      <c r="AI76" s="21"/>
    </row>
    <row r="77" spans="1:40" x14ac:dyDescent="0.25">
      <c r="A77" s="6" t="s">
        <v>6</v>
      </c>
      <c r="B77" s="7"/>
      <c r="N77" s="26" t="e">
        <f ca="1">N74&amp;" - Check"</f>
        <v>#NAME?</v>
      </c>
      <c r="O77" s="139">
        <f t="shared" ref="O77:AA77" si="24">SUMIF($H$34:$H$74,"KPI_GP",O$34:O$74)-SUMIF($H$34:$H$74,"TOTDEPTEXP",O$34:O$74)-SUMIF($H$34:$H$74,"TOTDEPTPL",O$34:O$74)</f>
        <v>0</v>
      </c>
      <c r="P77" s="139">
        <f t="shared" si="24"/>
        <v>0</v>
      </c>
      <c r="Q77" s="139">
        <f t="shared" si="24"/>
        <v>0</v>
      </c>
      <c r="R77" s="139">
        <f t="shared" si="24"/>
        <v>0</v>
      </c>
      <c r="S77" s="139">
        <f t="shared" si="24"/>
        <v>0</v>
      </c>
      <c r="T77" s="139">
        <f t="shared" si="24"/>
        <v>0</v>
      </c>
      <c r="U77" s="139">
        <f t="shared" si="24"/>
        <v>0</v>
      </c>
      <c r="V77" s="139">
        <f t="shared" si="24"/>
        <v>0</v>
      </c>
      <c r="W77" s="139">
        <f t="shared" si="24"/>
        <v>0</v>
      </c>
      <c r="X77" s="139">
        <f t="shared" si="24"/>
        <v>0</v>
      </c>
      <c r="Y77" s="139">
        <f t="shared" si="24"/>
        <v>0</v>
      </c>
      <c r="Z77" s="139">
        <f t="shared" si="24"/>
        <v>0</v>
      </c>
      <c r="AA77" s="139" t="e">
        <f t="shared" ca="1" si="24"/>
        <v>#NAME?</v>
      </c>
      <c r="AB77" s="17"/>
      <c r="AD77" s="139">
        <f>SUMIF($H$34:$H$74,"KPI_GP",AD$34:AD$74)-SUMIF($H$34:$H$74,"TOTDEPTEXP",AD$34:AD$74)-SUMIF($H$34:$H$74,"TOTDEPTPL",AD$34:AD$74)</f>
        <v>0</v>
      </c>
      <c r="AE77" s="17"/>
      <c r="AF77" s="21"/>
      <c r="AG77" s="139">
        <f>SUMIF($H$34:$H$74,"KPI_GP",AG$34:AG$74)-SUMIF($H$34:$H$74,"TOTDEPTEXP",AG$34:AG$74)-SUMIF($H$34:$H$74,"TOTDEPTPL",AG$34:AG$74)</f>
        <v>0</v>
      </c>
      <c r="AH77" s="17"/>
      <c r="AI77" s="21"/>
    </row>
    <row r="78" spans="1:40" x14ac:dyDescent="0.25">
      <c r="A78" s="6" t="s">
        <v>7</v>
      </c>
      <c r="B78" s="7" t="e">
        <f ca="1">_xll.EVRNG(A92:F98)</f>
        <v>#NAME?</v>
      </c>
    </row>
    <row r="79" spans="1:40" x14ac:dyDescent="0.25">
      <c r="A79" s="6" t="s">
        <v>47</v>
      </c>
      <c r="B79" s="7" t="e">
        <f ca="1">_xll.EVRNG($A$115:$B$136)</f>
        <v>#NAME?</v>
      </c>
      <c r="O79" s="166"/>
      <c r="P79" s="166"/>
      <c r="Q79" s="166"/>
      <c r="R79" s="166"/>
      <c r="S79" s="166"/>
      <c r="T79" s="166"/>
      <c r="U79" s="166"/>
      <c r="V79" s="166"/>
      <c r="W79" s="166"/>
      <c r="X79" s="166"/>
      <c r="Y79" s="166"/>
      <c r="Z79" s="166"/>
      <c r="AA79" s="166"/>
      <c r="AD79" s="166"/>
      <c r="AG79" s="166"/>
    </row>
    <row r="80" spans="1:40" x14ac:dyDescent="0.25">
      <c r="A80" s="6" t="s">
        <v>8</v>
      </c>
      <c r="B80" s="7"/>
    </row>
    <row r="81" spans="1:33" x14ac:dyDescent="0.25">
      <c r="O81" s="166"/>
      <c r="P81" s="166"/>
      <c r="Q81" s="166"/>
      <c r="R81" s="166"/>
      <c r="S81" s="166"/>
      <c r="T81" s="166"/>
      <c r="U81" s="166"/>
      <c r="V81" s="166"/>
      <c r="W81" s="166"/>
      <c r="X81" s="166"/>
      <c r="Y81" s="166"/>
      <c r="Z81" s="166"/>
      <c r="AA81" s="166"/>
      <c r="AD81" s="166"/>
      <c r="AG81" s="166"/>
    </row>
    <row r="82" spans="1:33" x14ac:dyDescent="0.25">
      <c r="A82" s="3" t="s">
        <v>9</v>
      </c>
      <c r="B82" s="5" t="s">
        <v>10</v>
      </c>
    </row>
    <row r="83" spans="1:33" x14ac:dyDescent="0.25">
      <c r="A83" s="6" t="s">
        <v>11</v>
      </c>
      <c r="B83" s="7" t="s">
        <v>21</v>
      </c>
    </row>
    <row r="84" spans="1:33" x14ac:dyDescent="0.25">
      <c r="A84" s="6" t="s">
        <v>12</v>
      </c>
      <c r="B84" s="7" t="s">
        <v>22</v>
      </c>
      <c r="H84" s="11"/>
      <c r="J84" s="1"/>
    </row>
    <row r="85" spans="1:33" x14ac:dyDescent="0.25">
      <c r="A85" s="6" t="s">
        <v>13</v>
      </c>
      <c r="B85" s="7" t="s">
        <v>737</v>
      </c>
      <c r="H85" s="11"/>
      <c r="J85" s="1"/>
    </row>
    <row r="86" spans="1:33" x14ac:dyDescent="0.25">
      <c r="A86" s="6" t="s">
        <v>14</v>
      </c>
      <c r="B86" s="7"/>
      <c r="H86" s="11"/>
      <c r="J86" s="1"/>
    </row>
    <row r="87" spans="1:33" x14ac:dyDescent="0.25">
      <c r="A87" s="6" t="s">
        <v>15</v>
      </c>
      <c r="B87" s="7"/>
      <c r="H87" s="11"/>
      <c r="J87" s="1"/>
    </row>
    <row r="88" spans="1:33" x14ac:dyDescent="0.25">
      <c r="A88" s="6" t="s">
        <v>16</v>
      </c>
      <c r="B88" s="7" t="s">
        <v>78</v>
      </c>
      <c r="H88" s="11"/>
      <c r="J88" s="1"/>
    </row>
    <row r="89" spans="1:33" x14ac:dyDescent="0.25">
      <c r="A89" s="6" t="s">
        <v>17</v>
      </c>
      <c r="B89" s="7"/>
      <c r="G89" s="14"/>
      <c r="H89" s="11"/>
      <c r="J89" s="1"/>
    </row>
    <row r="90" spans="1:33" x14ac:dyDescent="0.25">
      <c r="H90" s="11"/>
      <c r="J90" s="1"/>
    </row>
    <row r="91" spans="1:33" x14ac:dyDescent="0.25">
      <c r="A91" s="22" t="s">
        <v>92</v>
      </c>
      <c r="B91" s="23" t="s">
        <v>93</v>
      </c>
      <c r="C91" s="23" t="s">
        <v>94</v>
      </c>
      <c r="D91" s="23" t="s">
        <v>95</v>
      </c>
      <c r="E91" s="23" t="s">
        <v>96</v>
      </c>
      <c r="F91" s="24" t="s">
        <v>97</v>
      </c>
      <c r="H91" s="11"/>
      <c r="J91" s="1"/>
    </row>
    <row r="92" spans="1:33" x14ac:dyDescent="0.25">
      <c r="H92" s="11"/>
      <c r="J92" s="1"/>
    </row>
    <row r="93" spans="1:33" x14ac:dyDescent="0.25">
      <c r="A93" s="1" t="s">
        <v>108</v>
      </c>
      <c r="C93" s="26" t="s">
        <v>101</v>
      </c>
      <c r="D93" s="1" t="s">
        <v>106</v>
      </c>
      <c r="F93" s="1" t="s">
        <v>98</v>
      </c>
      <c r="H93" s="11"/>
      <c r="J93" s="1"/>
    </row>
    <row r="94" spans="1:33" x14ac:dyDescent="0.25">
      <c r="A94" s="1" t="s">
        <v>100</v>
      </c>
      <c r="C94" s="8" t="s">
        <v>101</v>
      </c>
      <c r="D94" s="1" t="s">
        <v>106</v>
      </c>
      <c r="F94" s="1" t="s">
        <v>98</v>
      </c>
      <c r="H94" s="11"/>
      <c r="J94" s="1"/>
    </row>
    <row r="95" spans="1:33" x14ac:dyDescent="0.25">
      <c r="A95" s="1" t="s">
        <v>109</v>
      </c>
      <c r="C95" s="25" t="s">
        <v>101</v>
      </c>
      <c r="D95" s="1" t="s">
        <v>106</v>
      </c>
      <c r="F95" s="1" t="s">
        <v>98</v>
      </c>
      <c r="H95" s="11"/>
      <c r="J95" s="1"/>
    </row>
    <row r="96" spans="1:33" x14ac:dyDescent="0.25">
      <c r="A96" s="1" t="s">
        <v>109</v>
      </c>
      <c r="C96" s="151" t="s">
        <v>101</v>
      </c>
      <c r="D96" s="1" t="s">
        <v>107</v>
      </c>
      <c r="F96" s="1" t="s">
        <v>99</v>
      </c>
      <c r="H96" s="11"/>
      <c r="J96" s="1"/>
    </row>
    <row r="97" spans="1:10" x14ac:dyDescent="0.25">
      <c r="A97" s="1" t="s">
        <v>110</v>
      </c>
      <c r="C97" s="25" t="s">
        <v>101</v>
      </c>
      <c r="D97" s="1" t="s">
        <v>106</v>
      </c>
      <c r="F97" s="1" t="s">
        <v>98</v>
      </c>
      <c r="H97" s="11"/>
      <c r="J97" s="1"/>
    </row>
    <row r="98" spans="1:10" x14ac:dyDescent="0.25">
      <c r="A98" s="1" t="s">
        <v>110</v>
      </c>
      <c r="C98" s="29" t="s">
        <v>101</v>
      </c>
      <c r="D98" s="1" t="s">
        <v>107</v>
      </c>
      <c r="F98" s="1" t="s">
        <v>99</v>
      </c>
      <c r="H98" s="11"/>
      <c r="J98" s="1"/>
    </row>
    <row r="99" spans="1:10" x14ac:dyDescent="0.25">
      <c r="C99" s="32"/>
      <c r="H99" s="11"/>
      <c r="J99" s="1"/>
    </row>
    <row r="100" spans="1:10" x14ac:dyDescent="0.25">
      <c r="H100" s="11"/>
      <c r="J100" s="1"/>
    </row>
    <row r="101" spans="1:10" x14ac:dyDescent="0.25">
      <c r="A101" s="4" t="e">
        <f ca="1">_xll.EVDRE($B$1,A104:B111)</f>
        <v>#NAME?</v>
      </c>
      <c r="B101" s="1" t="s">
        <v>736</v>
      </c>
      <c r="H101" s="11"/>
      <c r="J101" s="1"/>
    </row>
    <row r="102" spans="1:10" x14ac:dyDescent="0.25">
      <c r="H102" s="11"/>
      <c r="J102" s="1"/>
    </row>
    <row r="103" spans="1:10" x14ac:dyDescent="0.25">
      <c r="A103" s="3" t="s">
        <v>0</v>
      </c>
      <c r="B103" s="5" t="s">
        <v>1</v>
      </c>
      <c r="G103" s="14"/>
      <c r="H103" s="11"/>
      <c r="J103" s="1"/>
    </row>
    <row r="104" spans="1:10" x14ac:dyDescent="0.25">
      <c r="A104" s="6" t="s">
        <v>2</v>
      </c>
      <c r="B104" s="7" t="e">
        <f ca="1">_xll.EVRNG($B$2:$B$10)</f>
        <v>#NAME?</v>
      </c>
      <c r="H104" s="11"/>
      <c r="J104" s="1"/>
    </row>
    <row r="105" spans="1:10" x14ac:dyDescent="0.25">
      <c r="A105" s="6" t="s">
        <v>3</v>
      </c>
      <c r="B105" s="7" t="e">
        <f ca="1">_xll.EVRNG($O$16:$AN$18)</f>
        <v>#NAME?</v>
      </c>
      <c r="H105" s="11"/>
      <c r="J105" s="1"/>
    </row>
    <row r="106" spans="1:10" x14ac:dyDescent="0.25">
      <c r="A106" s="6" t="s">
        <v>4</v>
      </c>
      <c r="B106" s="7" t="e">
        <f ca="1">_xll.EVRNG(H71:H74)</f>
        <v>#NAME?</v>
      </c>
      <c r="H106" s="11"/>
      <c r="J106" s="1"/>
    </row>
    <row r="107" spans="1:10" x14ac:dyDescent="0.25">
      <c r="A107" s="6" t="s">
        <v>5</v>
      </c>
      <c r="B107" s="7"/>
    </row>
    <row r="108" spans="1:10" x14ac:dyDescent="0.25">
      <c r="A108" s="6" t="s">
        <v>6</v>
      </c>
      <c r="B108" s="7"/>
    </row>
    <row r="109" spans="1:10" x14ac:dyDescent="0.25">
      <c r="A109" s="6" t="s">
        <v>7</v>
      </c>
      <c r="B109" s="7"/>
      <c r="G109" s="14"/>
    </row>
    <row r="110" spans="1:10" x14ac:dyDescent="0.25">
      <c r="A110" s="6" t="s">
        <v>47</v>
      </c>
      <c r="B110" s="7" t="e">
        <f ca="1">_xll.EVRNG($A$115:$B$136)</f>
        <v>#NAME?</v>
      </c>
    </row>
    <row r="111" spans="1:10" x14ac:dyDescent="0.25">
      <c r="A111" s="6" t="s">
        <v>8</v>
      </c>
      <c r="B111" s="7"/>
    </row>
    <row r="114" spans="1:2" x14ac:dyDescent="0.25">
      <c r="A114" s="3" t="s">
        <v>23</v>
      </c>
      <c r="B114" s="5" t="s">
        <v>24</v>
      </c>
    </row>
    <row r="115" spans="1:2" x14ac:dyDescent="0.25">
      <c r="A115" s="6" t="s">
        <v>25</v>
      </c>
      <c r="B115" s="7"/>
    </row>
    <row r="116" spans="1:2" x14ac:dyDescent="0.25">
      <c r="A116" s="6" t="s">
        <v>26</v>
      </c>
      <c r="B116" s="7"/>
    </row>
    <row r="117" spans="1:2" x14ac:dyDescent="0.25">
      <c r="A117" s="6" t="s">
        <v>27</v>
      </c>
      <c r="B117" s="7"/>
    </row>
    <row r="118" spans="1:2" x14ac:dyDescent="0.25">
      <c r="A118" s="6" t="s">
        <v>28</v>
      </c>
      <c r="B118" s="7"/>
    </row>
    <row r="119" spans="1:2" x14ac:dyDescent="0.25">
      <c r="A119" s="6" t="s">
        <v>29</v>
      </c>
      <c r="B119" s="7"/>
    </row>
    <row r="120" spans="1:2" x14ac:dyDescent="0.25">
      <c r="A120" s="6" t="s">
        <v>30</v>
      </c>
      <c r="B120" s="7" t="s">
        <v>78</v>
      </c>
    </row>
    <row r="121" spans="1:2" x14ac:dyDescent="0.25">
      <c r="A121" s="6" t="s">
        <v>31</v>
      </c>
      <c r="B121" s="7" t="s">
        <v>78</v>
      </c>
    </row>
    <row r="122" spans="1:2" x14ac:dyDescent="0.25">
      <c r="A122" s="6" t="s">
        <v>32</v>
      </c>
      <c r="B122" s="7"/>
    </row>
    <row r="123" spans="1:2" x14ac:dyDescent="0.25">
      <c r="A123" s="6" t="s">
        <v>33</v>
      </c>
      <c r="B123" s="7"/>
    </row>
    <row r="124" spans="1:2" x14ac:dyDescent="0.25">
      <c r="A124" s="6" t="s">
        <v>34</v>
      </c>
      <c r="B124" s="7"/>
    </row>
    <row r="125" spans="1:2" x14ac:dyDescent="0.25">
      <c r="A125" s="6" t="s">
        <v>35</v>
      </c>
      <c r="B125" s="7"/>
    </row>
    <row r="126" spans="1:2" x14ac:dyDescent="0.25">
      <c r="A126" s="6" t="s">
        <v>36</v>
      </c>
      <c r="B126" s="7"/>
    </row>
    <row r="127" spans="1:2" x14ac:dyDescent="0.25">
      <c r="A127" s="6" t="s">
        <v>37</v>
      </c>
      <c r="B127" s="7"/>
    </row>
    <row r="128" spans="1:2" x14ac:dyDescent="0.25">
      <c r="A128" s="6" t="s">
        <v>38</v>
      </c>
      <c r="B128" s="7"/>
    </row>
    <row r="129" spans="1:2" x14ac:dyDescent="0.25">
      <c r="A129" s="6" t="s">
        <v>39</v>
      </c>
      <c r="B129" s="7"/>
    </row>
    <row r="130" spans="1:2" x14ac:dyDescent="0.25">
      <c r="A130" s="6" t="s">
        <v>40</v>
      </c>
      <c r="B130" s="7"/>
    </row>
    <row r="131" spans="1:2" x14ac:dyDescent="0.25">
      <c r="A131" s="6" t="s">
        <v>41</v>
      </c>
      <c r="B131" s="7"/>
    </row>
    <row r="132" spans="1:2" x14ac:dyDescent="0.25">
      <c r="A132" s="6" t="s">
        <v>42</v>
      </c>
      <c r="B132" s="7"/>
    </row>
    <row r="133" spans="1:2" x14ac:dyDescent="0.25">
      <c r="A133" s="6" t="s">
        <v>43</v>
      </c>
      <c r="B133" s="7"/>
    </row>
    <row r="134" spans="1:2" x14ac:dyDescent="0.25">
      <c r="A134" s="6" t="s">
        <v>44</v>
      </c>
      <c r="B134" s="7"/>
    </row>
    <row r="135" spans="1:2" x14ac:dyDescent="0.25">
      <c r="A135" s="6" t="s">
        <v>45</v>
      </c>
      <c r="B135" s="7"/>
    </row>
    <row r="136" spans="1:2" x14ac:dyDescent="0.25">
      <c r="A136" s="6" t="s">
        <v>46</v>
      </c>
      <c r="B136" s="7"/>
    </row>
    <row r="147" spans="5:34" x14ac:dyDescent="0.25">
      <c r="I147" s="76"/>
      <c r="J147" s="1"/>
      <c r="K147" s="76"/>
      <c r="L147" s="76"/>
      <c r="M147" s="76"/>
      <c r="O147" s="76"/>
      <c r="P147" s="76"/>
      <c r="Q147" s="76"/>
      <c r="R147" s="76"/>
      <c r="S147" s="76"/>
      <c r="T147" s="76"/>
      <c r="U147" s="76"/>
      <c r="V147" s="76"/>
      <c r="W147" s="76"/>
      <c r="X147" s="76"/>
      <c r="Y147" s="76"/>
      <c r="Z147" s="76"/>
      <c r="AA147" s="76"/>
      <c r="AD147" s="76"/>
      <c r="AF147" s="76"/>
      <c r="AH147" s="76"/>
    </row>
    <row r="151" spans="5:34" x14ac:dyDescent="0.25">
      <c r="I151" s="76"/>
      <c r="J151" s="1"/>
      <c r="K151" s="76"/>
      <c r="L151" s="76"/>
      <c r="M151" s="76"/>
      <c r="O151" s="76"/>
      <c r="P151" s="76"/>
      <c r="Q151" s="76"/>
      <c r="R151" s="76"/>
      <c r="S151" s="76"/>
      <c r="T151" s="76"/>
      <c r="U151" s="76"/>
      <c r="V151" s="76"/>
      <c r="W151" s="76"/>
      <c r="X151" s="76"/>
      <c r="Y151" s="76"/>
      <c r="Z151" s="76"/>
      <c r="AA151" s="76"/>
      <c r="AD151" s="76"/>
      <c r="AF151" s="76"/>
      <c r="AH151" s="76"/>
    </row>
    <row r="153" spans="5:34" x14ac:dyDescent="0.25">
      <c r="E153" s="76"/>
    </row>
    <row r="157" spans="5:34" x14ac:dyDescent="0.25">
      <c r="E157" s="76"/>
    </row>
    <row r="188" spans="7:7" x14ac:dyDescent="0.25">
      <c r="G188" s="76"/>
    </row>
    <row r="192" spans="7:7" x14ac:dyDescent="0.25">
      <c r="G192" s="76"/>
    </row>
  </sheetData>
  <mergeCells count="2">
    <mergeCell ref="AD31:AE31"/>
    <mergeCell ref="AG31:AH31"/>
  </mergeCells>
  <dataValidations disablePrompts="1" count="2">
    <dataValidation type="list" allowBlank="1" sqref="B85 B29 B57" xr:uid="{00000000-0002-0000-4400-000000000000}">
      <formula1>"SELF,ALL,BAS,DEP,BASMEMBERS,MEMBERS,NOEXPAND,GDEP"</formula1>
    </dataValidation>
    <dataValidation type="list" allowBlank="1" sqref="B56 B28 B84" xr:uid="{00000000-0002-0000-4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789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7896" r:id="rId7" name="FPMExcelClientSheetOptionstb1"/>
      </mc:Fallback>
    </mc:AlternateContent>
  </control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4">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386</v>
      </c>
      <c r="C6" s="1" t="s">
        <v>1537</v>
      </c>
      <c r="E6" s="49" t="s">
        <v>386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1598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1599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1600</v>
      </c>
      <c r="G19" s="18" t="str">
        <f>$B$6</f>
        <v>D1136</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19.28</v>
      </c>
      <c r="Z19" s="20">
        <v>0</v>
      </c>
      <c r="AA19" s="20">
        <f>SUM(O19:Z19)</f>
        <v>19.28</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1601</v>
      </c>
      <c r="I22" s="1"/>
      <c r="J22" s="1"/>
    </row>
    <row r="23" spans="1:40" hidden="1" outlineLevel="1" x14ac:dyDescent="0.25">
      <c r="A23" s="6" t="s">
        <v>47</v>
      </c>
      <c r="B23" s="16" t="s">
        <v>1602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1603</v>
      </c>
    </row>
    <row r="28" spans="1:40" ht="15.75" x14ac:dyDescent="0.25">
      <c r="A28" s="6" t="s">
        <v>12</v>
      </c>
      <c r="B28" s="7" t="s">
        <v>22</v>
      </c>
      <c r="N28" s="71" t="s">
        <v>1005</v>
      </c>
    </row>
    <row r="29" spans="1:40" ht="15" customHeight="1" x14ac:dyDescent="0.25">
      <c r="A29" s="6" t="s">
        <v>13</v>
      </c>
      <c r="B29" s="7" t="str">
        <f>"DEP(440000) AND "&amp;$E$6&amp;"=Y,400000"</f>
        <v>DEP(440000) AND D1136=Y,400000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387</v>
      </c>
      <c r="I34" s="161" t="s">
        <v>1009</v>
      </c>
      <c r="J34" s="161" t="s">
        <v>1009</v>
      </c>
      <c r="K34" s="68" t="str">
        <f t="shared" ref="K34:K44" si="0">IF(AND(I34&gt;="T5"),"&gt;","")</f>
        <v/>
      </c>
      <c r="L34" s="162">
        <v>440100</v>
      </c>
      <c r="M34" s="162">
        <v>206036</v>
      </c>
      <c r="N34" s="162" t="s">
        <v>1604</v>
      </c>
      <c r="O34" s="21"/>
      <c r="P34" s="21"/>
      <c r="Q34" s="21"/>
      <c r="R34" s="21"/>
      <c r="S34" s="21"/>
      <c r="T34" s="21"/>
      <c r="U34" s="21"/>
      <c r="V34" s="21"/>
      <c r="W34" s="21"/>
      <c r="X34" s="21"/>
      <c r="Y34" s="21"/>
      <c r="Z34" s="21"/>
      <c r="AA34" s="310">
        <f t="shared" ref="AA34:AA44" si="1">IF($I34="B1","",SUM(O34:Z34))</f>
        <v>0</v>
      </c>
      <c r="AB34" s="17" t="str">
        <f t="shared" ref="AB34:AB44" si="2">IF(AA34=0,"",IFERROR(AA34/AA$19,""))</f>
        <v/>
      </c>
      <c r="AD34" s="21"/>
      <c r="AE34" s="17" t="str">
        <f t="shared" ref="AE34:AE44" si="3">IF(AD34=0,"",IFERROR(AD34/AD$19,""))</f>
        <v/>
      </c>
      <c r="AF34" s="50">
        <f t="shared" ref="AF34:AF44" si="4">IF(AND($AA34="",AD34=""),"",$AA34-AD34)</f>
        <v>0</v>
      </c>
      <c r="AG34" s="21"/>
      <c r="AH34" s="17" t="str">
        <f t="shared" ref="AH34:AH44" si="5">IF(AG34=0,"",IFERROR(AG34/AG$19,""))</f>
        <v/>
      </c>
      <c r="AI34" s="50">
        <f t="shared" ref="AI34:AI44" si="6">IF(AND($AA34="",AG34=""),"",$AA34-AG34)</f>
        <v>0</v>
      </c>
      <c r="AJ34" s="399">
        <f t="shared" ref="AJ34:AJ44" si="7">IFERROR(AA34/AA$20,0)</f>
        <v>0</v>
      </c>
      <c r="AK34" s="400">
        <f t="shared" ref="AK34:AK44" si="8">IFERROR(AD34/AD$20,0)</f>
        <v>0</v>
      </c>
      <c r="AL34" s="401">
        <f t="shared" ref="AL34:AL44" si="9">IFERROR(AG34/AG$20,0)</f>
        <v>0</v>
      </c>
      <c r="AM34" s="402">
        <f t="shared" ref="AM34:AM44" si="10">+IFERROR(ROUND(($AB34-AE34)*100,2)&amp;" pts.",0)</f>
        <v>0</v>
      </c>
      <c r="AN34" s="403">
        <f t="shared" ref="AN34:AN44" si="11">+IFERROR(ROUND(($AB34-AH34)*100,2)&amp;" pts.",0)</f>
        <v>0</v>
      </c>
    </row>
    <row r="35" spans="1:40" x14ac:dyDescent="0.25">
      <c r="A35" s="22" t="s">
        <v>92</v>
      </c>
      <c r="B35" s="23" t="s">
        <v>93</v>
      </c>
      <c r="C35" s="23" t="s">
        <v>94</v>
      </c>
      <c r="D35" s="23" t="s">
        <v>95</v>
      </c>
      <c r="E35" s="23" t="s">
        <v>96</v>
      </c>
      <c r="F35" s="24" t="s">
        <v>97</v>
      </c>
      <c r="H35" s="15" t="s">
        <v>388</v>
      </c>
      <c r="I35" s="161" t="s">
        <v>1009</v>
      </c>
      <c r="J35" s="161" t="s">
        <v>1009</v>
      </c>
      <c r="K35" s="68" t="str">
        <f t="shared" si="0"/>
        <v/>
      </c>
      <c r="L35" s="162">
        <v>440200</v>
      </c>
      <c r="M35" s="162">
        <v>206037</v>
      </c>
      <c r="N35" s="162" t="s">
        <v>1605</v>
      </c>
      <c r="O35" s="21"/>
      <c r="P35" s="21"/>
      <c r="Q35" s="21"/>
      <c r="R35" s="21"/>
      <c r="S35" s="21"/>
      <c r="T35" s="21"/>
      <c r="U35" s="21"/>
      <c r="V35" s="21"/>
      <c r="W35" s="21"/>
      <c r="X35" s="21"/>
      <c r="Y35" s="21">
        <v>19.28</v>
      </c>
      <c r="Z35" s="21"/>
      <c r="AA35" s="310">
        <f t="shared" si="1"/>
        <v>19.28</v>
      </c>
      <c r="AB35" s="17">
        <f t="shared" si="2"/>
        <v>1</v>
      </c>
      <c r="AD35" s="21"/>
      <c r="AE35" s="17" t="str">
        <f t="shared" si="3"/>
        <v/>
      </c>
      <c r="AF35" s="50">
        <f t="shared" si="4"/>
        <v>19.28</v>
      </c>
      <c r="AG35" s="21"/>
      <c r="AH35" s="17" t="str">
        <f t="shared" si="5"/>
        <v/>
      </c>
      <c r="AI35" s="50">
        <f t="shared" si="6"/>
        <v>19.28</v>
      </c>
      <c r="AJ35" s="399">
        <f t="shared" si="7"/>
        <v>4.8337762623476912E-4</v>
      </c>
      <c r="AK35" s="400">
        <f t="shared" si="8"/>
        <v>0</v>
      </c>
      <c r="AL35" s="401">
        <f t="shared" si="9"/>
        <v>0</v>
      </c>
      <c r="AM35" s="402">
        <f t="shared" si="10"/>
        <v>0</v>
      </c>
      <c r="AN35" s="403">
        <f t="shared" si="11"/>
        <v>0</v>
      </c>
    </row>
    <row r="36" spans="1:40" x14ac:dyDescent="0.25">
      <c r="H36" s="15" t="s">
        <v>389</v>
      </c>
      <c r="I36" s="161" t="s">
        <v>1009</v>
      </c>
      <c r="J36" s="161" t="s">
        <v>1009</v>
      </c>
      <c r="K36" s="68" t="str">
        <f t="shared" si="0"/>
        <v/>
      </c>
      <c r="L36" s="162">
        <v>440300</v>
      </c>
      <c r="M36" s="162">
        <v>206038</v>
      </c>
      <c r="N36" s="162" t="s">
        <v>1606</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390</v>
      </c>
      <c r="I37" s="161" t="s">
        <v>1009</v>
      </c>
      <c r="J37" s="161" t="s">
        <v>1009</v>
      </c>
      <c r="K37" s="68" t="str">
        <f t="shared" si="0"/>
        <v/>
      </c>
      <c r="L37" s="162">
        <v>440400</v>
      </c>
      <c r="M37" s="162">
        <v>206039</v>
      </c>
      <c r="N37" s="162" t="s">
        <v>1607</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108</v>
      </c>
      <c r="C38" s="25" t="s">
        <v>101</v>
      </c>
      <c r="D38" s="1" t="s">
        <v>106</v>
      </c>
      <c r="F38" s="1" t="s">
        <v>98</v>
      </c>
      <c r="H38" s="15" t="s">
        <v>391</v>
      </c>
      <c r="I38" s="161" t="s">
        <v>1009</v>
      </c>
      <c r="J38" s="161" t="s">
        <v>1009</v>
      </c>
      <c r="K38" s="68" t="str">
        <f t="shared" si="0"/>
        <v/>
      </c>
      <c r="L38" s="162">
        <v>440500</v>
      </c>
      <c r="M38" s="162">
        <v>206041</v>
      </c>
      <c r="N38" s="162" t="s">
        <v>1608</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151" t="s">
        <v>101</v>
      </c>
      <c r="D39" s="1" t="s">
        <v>107</v>
      </c>
      <c r="F39" s="1" t="s">
        <v>99</v>
      </c>
      <c r="H39" s="15" t="s">
        <v>392</v>
      </c>
      <c r="I39" s="161" t="s">
        <v>1009</v>
      </c>
      <c r="J39" s="161" t="s">
        <v>1009</v>
      </c>
      <c r="K39" s="68" t="str">
        <f t="shared" si="0"/>
        <v/>
      </c>
      <c r="L39" s="162">
        <v>440600</v>
      </c>
      <c r="M39" s="162">
        <v>206042</v>
      </c>
      <c r="N39" s="162" t="s">
        <v>1609</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H40" s="15" t="s">
        <v>393</v>
      </c>
      <c r="I40" s="161" t="s">
        <v>1009</v>
      </c>
      <c r="J40" s="161" t="s">
        <v>1009</v>
      </c>
      <c r="K40" s="68" t="str">
        <f t="shared" si="0"/>
        <v/>
      </c>
      <c r="L40" s="162">
        <v>440700</v>
      </c>
      <c r="M40" s="162">
        <v>206043</v>
      </c>
      <c r="N40" s="162" t="s">
        <v>1610</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394</v>
      </c>
      <c r="I41" s="161" t="s">
        <v>1009</v>
      </c>
      <c r="J41" s="161" t="s">
        <v>1009</v>
      </c>
      <c r="K41" s="68" t="str">
        <f t="shared" si="0"/>
        <v/>
      </c>
      <c r="L41" s="162">
        <v>440800</v>
      </c>
      <c r="M41" s="162">
        <v>206044</v>
      </c>
      <c r="N41" s="162" t="s">
        <v>1611</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A42" s="4" t="s">
        <v>988</v>
      </c>
      <c r="H42" s="15" t="s">
        <v>395</v>
      </c>
      <c r="I42" s="161" t="s">
        <v>1009</v>
      </c>
      <c r="J42" s="161" t="s">
        <v>1009</v>
      </c>
      <c r="K42" s="68" t="str">
        <f t="shared" si="0"/>
        <v/>
      </c>
      <c r="L42" s="162">
        <v>440900</v>
      </c>
      <c r="M42" s="162">
        <v>206021</v>
      </c>
      <c r="N42" s="162" t="s">
        <v>1612</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H43" s="15" t="s">
        <v>396</v>
      </c>
      <c r="I43" s="161" t="s">
        <v>1009</v>
      </c>
      <c r="J43" s="161" t="s">
        <v>1009</v>
      </c>
      <c r="K43" s="68" t="str">
        <f t="shared" si="0"/>
        <v/>
      </c>
      <c r="L43" s="162">
        <v>440990</v>
      </c>
      <c r="M43" s="162" t="s">
        <v>1294</v>
      </c>
      <c r="N43" s="162" t="s">
        <v>1613</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409">
        <f t="shared" si="7"/>
        <v>0</v>
      </c>
      <c r="AK43" s="410">
        <f t="shared" si="8"/>
        <v>0</v>
      </c>
      <c r="AL43" s="411">
        <f t="shared" si="9"/>
        <v>0</v>
      </c>
      <c r="AM43" s="412">
        <f t="shared" si="10"/>
        <v>0</v>
      </c>
      <c r="AN43" s="413">
        <f t="shared" si="11"/>
        <v>0</v>
      </c>
    </row>
    <row r="44" spans="1:40" x14ac:dyDescent="0.25">
      <c r="A44" s="3" t="s">
        <v>0</v>
      </c>
      <c r="B44" s="5" t="s">
        <v>1</v>
      </c>
      <c r="H44" s="15" t="s">
        <v>280</v>
      </c>
      <c r="I44" s="479" t="s">
        <v>1012</v>
      </c>
      <c r="J44" s="479" t="s">
        <v>78</v>
      </c>
      <c r="K44" s="480" t="str">
        <f t="shared" si="0"/>
        <v/>
      </c>
      <c r="L44" s="170">
        <v>400000</v>
      </c>
      <c r="M44" s="170"/>
      <c r="N44" s="170" t="s">
        <v>1003</v>
      </c>
      <c r="O44" s="134"/>
      <c r="P44" s="134"/>
      <c r="Q44" s="134"/>
      <c r="R44" s="134"/>
      <c r="S44" s="134"/>
      <c r="T44" s="134"/>
      <c r="U44" s="134"/>
      <c r="V44" s="134"/>
      <c r="W44" s="134"/>
      <c r="X44" s="134"/>
      <c r="Y44" s="134">
        <v>19.28</v>
      </c>
      <c r="Z44" s="134"/>
      <c r="AA44" s="134">
        <f t="shared" si="1"/>
        <v>19.28</v>
      </c>
      <c r="AB44" s="135">
        <f t="shared" si="2"/>
        <v>1</v>
      </c>
      <c r="AC44" s="137"/>
      <c r="AD44" s="134"/>
      <c r="AE44" s="135" t="str">
        <f t="shared" si="3"/>
        <v/>
      </c>
      <c r="AF44" s="136">
        <f t="shared" si="4"/>
        <v>19.28</v>
      </c>
      <c r="AG44" s="134"/>
      <c r="AH44" s="135" t="str">
        <f t="shared" si="5"/>
        <v/>
      </c>
      <c r="AI44" s="136">
        <f t="shared" si="6"/>
        <v>19.28</v>
      </c>
      <c r="AJ44" s="360">
        <f t="shared" si="7"/>
        <v>4.8337762623476912E-4</v>
      </c>
      <c r="AK44" s="361">
        <f t="shared" si="8"/>
        <v>0</v>
      </c>
      <c r="AL44" s="363">
        <f t="shared" si="9"/>
        <v>0</v>
      </c>
      <c r="AM44" s="405">
        <f t="shared" si="10"/>
        <v>0</v>
      </c>
      <c r="AN44" s="406">
        <f t="shared" si="11"/>
        <v>0</v>
      </c>
    </row>
    <row r="45" spans="1:40" x14ac:dyDescent="0.25">
      <c r="A45" s="6" t="s">
        <v>2</v>
      </c>
      <c r="B45" s="16" t="s">
        <v>1598</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3</v>
      </c>
      <c r="B46" s="16" t="s">
        <v>1599</v>
      </c>
      <c r="H46" s="1" t="s">
        <v>281</v>
      </c>
      <c r="I46" s="11" t="s">
        <v>1011</v>
      </c>
      <c r="J46" s="11" t="s">
        <v>78</v>
      </c>
      <c r="N46" s="40" t="s">
        <v>1223</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4</v>
      </c>
      <c r="B47" s="16" t="s">
        <v>1614</v>
      </c>
      <c r="H47" s="15" t="s">
        <v>397</v>
      </c>
      <c r="I47" s="161" t="s">
        <v>1009</v>
      </c>
      <c r="J47" s="161" t="s">
        <v>1009</v>
      </c>
      <c r="K47" s="68" t="str">
        <f t="shared" ref="K47:K58" si="12">IF(AND(I47&gt;="T5"),"&gt;","")</f>
        <v/>
      </c>
      <c r="L47" s="162">
        <v>540100</v>
      </c>
      <c r="M47" s="162">
        <v>306036</v>
      </c>
      <c r="N47" s="162" t="s">
        <v>1616</v>
      </c>
      <c r="O47" s="30"/>
      <c r="P47" s="30"/>
      <c r="Q47" s="30"/>
      <c r="R47" s="30"/>
      <c r="S47" s="30"/>
      <c r="T47" s="30"/>
      <c r="U47" s="30"/>
      <c r="V47" s="30"/>
      <c r="W47" s="30"/>
      <c r="X47" s="30"/>
      <c r="Y47" s="30"/>
      <c r="Z47" s="30"/>
      <c r="AA47" s="30">
        <f t="shared" ref="AA47:AA56" si="13">IF($I47="B1","",SUM(O47:Z47))</f>
        <v>0</v>
      </c>
      <c r="AB47" s="31"/>
      <c r="AD47" s="30"/>
      <c r="AE47" s="31"/>
      <c r="AF47" s="51">
        <f t="shared" ref="AF47:AF58" si="14">IF(AND($AA47="",AD47=""),"",$AA47-AD47)</f>
        <v>0</v>
      </c>
      <c r="AG47" s="30"/>
      <c r="AH47" s="31"/>
      <c r="AI47" s="51">
        <f t="shared" ref="AI47:AI58" si="15">IF(AND($AA47="",AG47=""),"",$AA47-AG47)</f>
        <v>0</v>
      </c>
      <c r="AJ47" s="399">
        <f t="shared" ref="AJ47:AJ56" si="16">IFERROR(AA47/AA$20,0)</f>
        <v>0</v>
      </c>
      <c r="AK47" s="400">
        <f t="shared" ref="AK47:AK56" si="17">IFERROR(AD47/AD$20,0)</f>
        <v>0</v>
      </c>
      <c r="AL47" s="401">
        <f t="shared" ref="AL47:AL56" si="18">IFERROR(AG47/AG$20,0)</f>
        <v>0</v>
      </c>
      <c r="AM47" s="402" t="str">
        <f t="shared" ref="AM47:AM56" si="19">+IFERROR(ROUND(($AB47-AE47)*100,2)&amp;" pts.",0)</f>
        <v>0 pts.</v>
      </c>
      <c r="AN47" s="403" t="str">
        <f t="shared" ref="AN47:AN56" si="20">+IFERROR(ROUND(($AB47-AH47)*100,2)&amp;" pts.",0)</f>
        <v>0 pts.</v>
      </c>
    </row>
    <row r="48" spans="1:40" x14ac:dyDescent="0.25">
      <c r="A48" s="6" t="s">
        <v>5</v>
      </c>
      <c r="B48" s="7"/>
      <c r="F48" s="152"/>
      <c r="H48" s="15" t="s">
        <v>398</v>
      </c>
      <c r="I48" s="161" t="s">
        <v>1009</v>
      </c>
      <c r="J48" s="161" t="s">
        <v>1009</v>
      </c>
      <c r="K48" s="68" t="str">
        <f t="shared" si="12"/>
        <v/>
      </c>
      <c r="L48" s="162">
        <v>540200</v>
      </c>
      <c r="M48" s="162">
        <v>306037</v>
      </c>
      <c r="N48" s="162" t="s">
        <v>1617</v>
      </c>
      <c r="O48" s="30"/>
      <c r="P48" s="30"/>
      <c r="Q48" s="30"/>
      <c r="R48" s="30"/>
      <c r="S48" s="30"/>
      <c r="T48" s="30"/>
      <c r="U48" s="30"/>
      <c r="V48" s="30"/>
      <c r="W48" s="30"/>
      <c r="X48" s="30"/>
      <c r="Y48" s="30"/>
      <c r="Z48" s="30"/>
      <c r="AA48" s="30">
        <f t="shared" si="13"/>
        <v>0</v>
      </c>
      <c r="AB48" s="31"/>
      <c r="AD48" s="30"/>
      <c r="AE48" s="31"/>
      <c r="AF48" s="51">
        <f t="shared" si="14"/>
        <v>0</v>
      </c>
      <c r="AG48" s="30"/>
      <c r="AH48" s="31"/>
      <c r="AI48" s="51">
        <f t="shared" si="15"/>
        <v>0</v>
      </c>
      <c r="AJ48" s="399">
        <f t="shared" si="16"/>
        <v>0</v>
      </c>
      <c r="AK48" s="400">
        <f t="shared" si="17"/>
        <v>0</v>
      </c>
      <c r="AL48" s="401">
        <f t="shared" si="18"/>
        <v>0</v>
      </c>
      <c r="AM48" s="402" t="str">
        <f t="shared" si="19"/>
        <v>0 pts.</v>
      </c>
      <c r="AN48" s="403" t="str">
        <f t="shared" si="20"/>
        <v>0 pts.</v>
      </c>
    </row>
    <row r="49" spans="1:40" x14ac:dyDescent="0.25">
      <c r="A49" s="6" t="s">
        <v>6</v>
      </c>
      <c r="B49" s="7"/>
      <c r="F49" s="152"/>
      <c r="H49" s="15" t="s">
        <v>399</v>
      </c>
      <c r="I49" s="161" t="s">
        <v>1009</v>
      </c>
      <c r="J49" s="161" t="s">
        <v>1009</v>
      </c>
      <c r="K49" s="68" t="str">
        <f t="shared" si="12"/>
        <v/>
      </c>
      <c r="L49" s="162">
        <v>540300</v>
      </c>
      <c r="M49" s="162">
        <v>306038</v>
      </c>
      <c r="N49" s="162" t="s">
        <v>1618</v>
      </c>
      <c r="O49" s="30"/>
      <c r="P49" s="30"/>
      <c r="Q49" s="30"/>
      <c r="R49" s="30"/>
      <c r="S49" s="30"/>
      <c r="T49" s="30"/>
      <c r="U49" s="30"/>
      <c r="V49" s="30"/>
      <c r="W49" s="30"/>
      <c r="X49" s="30"/>
      <c r="Y49" s="30"/>
      <c r="Z49" s="30"/>
      <c r="AA49" s="30">
        <f t="shared" si="13"/>
        <v>0</v>
      </c>
      <c r="AB49" s="31"/>
      <c r="AD49" s="30"/>
      <c r="AE49" s="31"/>
      <c r="AF49" s="51">
        <f t="shared" si="14"/>
        <v>0</v>
      </c>
      <c r="AG49" s="30"/>
      <c r="AH49" s="31"/>
      <c r="AI49" s="51">
        <f t="shared" si="15"/>
        <v>0</v>
      </c>
      <c r="AJ49" s="399">
        <f t="shared" si="16"/>
        <v>0</v>
      </c>
      <c r="AK49" s="400">
        <f t="shared" si="17"/>
        <v>0</v>
      </c>
      <c r="AL49" s="401">
        <f t="shared" si="18"/>
        <v>0</v>
      </c>
      <c r="AM49" s="402" t="str">
        <f t="shared" si="19"/>
        <v>0 pts.</v>
      </c>
      <c r="AN49" s="403" t="str">
        <f t="shared" si="20"/>
        <v>0 pts.</v>
      </c>
    </row>
    <row r="50" spans="1:40" x14ac:dyDescent="0.25">
      <c r="A50" s="6" t="s">
        <v>7</v>
      </c>
      <c r="B50" s="16" t="s">
        <v>1615</v>
      </c>
      <c r="F50" s="152"/>
      <c r="H50" s="15" t="s">
        <v>400</v>
      </c>
      <c r="I50" s="161" t="s">
        <v>1009</v>
      </c>
      <c r="J50" s="161" t="s">
        <v>1009</v>
      </c>
      <c r="K50" s="68" t="str">
        <f t="shared" si="12"/>
        <v/>
      </c>
      <c r="L50" s="162">
        <v>540400</v>
      </c>
      <c r="M50" s="162">
        <v>306039</v>
      </c>
      <c r="N50" s="162" t="s">
        <v>1619</v>
      </c>
      <c r="O50" s="30"/>
      <c r="P50" s="30"/>
      <c r="Q50" s="30"/>
      <c r="R50" s="30"/>
      <c r="S50" s="30"/>
      <c r="T50" s="30"/>
      <c r="U50" s="30"/>
      <c r="V50" s="30"/>
      <c r="W50" s="30"/>
      <c r="X50" s="30"/>
      <c r="Y50" s="30"/>
      <c r="Z50" s="30"/>
      <c r="AA50" s="30">
        <f t="shared" si="13"/>
        <v>0</v>
      </c>
      <c r="AB50" s="31"/>
      <c r="AD50" s="30"/>
      <c r="AE50" s="31"/>
      <c r="AF50" s="51">
        <f t="shared" si="14"/>
        <v>0</v>
      </c>
      <c r="AG50" s="30"/>
      <c r="AH50" s="31"/>
      <c r="AI50" s="51">
        <f t="shared" si="15"/>
        <v>0</v>
      </c>
      <c r="AJ50" s="399">
        <f t="shared" si="16"/>
        <v>0</v>
      </c>
      <c r="AK50" s="400">
        <f t="shared" si="17"/>
        <v>0</v>
      </c>
      <c r="AL50" s="401">
        <f t="shared" si="18"/>
        <v>0</v>
      </c>
      <c r="AM50" s="402" t="str">
        <f t="shared" si="19"/>
        <v>0 pts.</v>
      </c>
      <c r="AN50" s="403" t="str">
        <f t="shared" si="20"/>
        <v>0 pts.</v>
      </c>
    </row>
    <row r="51" spans="1:40" x14ac:dyDescent="0.25">
      <c r="A51" s="6" t="s">
        <v>47</v>
      </c>
      <c r="B51" s="16" t="s">
        <v>1602</v>
      </c>
      <c r="H51" s="15" t="s">
        <v>401</v>
      </c>
      <c r="I51" s="161" t="s">
        <v>1009</v>
      </c>
      <c r="J51" s="161" t="s">
        <v>1009</v>
      </c>
      <c r="K51" s="68" t="str">
        <f t="shared" si="12"/>
        <v/>
      </c>
      <c r="L51" s="162">
        <v>540500</v>
      </c>
      <c r="M51" s="162">
        <v>306055</v>
      </c>
      <c r="N51" s="162" t="s">
        <v>1620</v>
      </c>
      <c r="O51" s="30"/>
      <c r="P51" s="30"/>
      <c r="Q51" s="30"/>
      <c r="R51" s="30"/>
      <c r="S51" s="30"/>
      <c r="T51" s="30"/>
      <c r="U51" s="30"/>
      <c r="V51" s="30"/>
      <c r="W51" s="30"/>
      <c r="X51" s="30"/>
      <c r="Y51" s="30"/>
      <c r="Z51" s="30"/>
      <c r="AA51" s="30">
        <f t="shared" si="13"/>
        <v>0</v>
      </c>
      <c r="AB51" s="31"/>
      <c r="AD51" s="30"/>
      <c r="AE51" s="31"/>
      <c r="AF51" s="51">
        <f t="shared" si="14"/>
        <v>0</v>
      </c>
      <c r="AG51" s="30"/>
      <c r="AH51" s="31"/>
      <c r="AI51" s="51">
        <f t="shared" si="15"/>
        <v>0</v>
      </c>
      <c r="AJ51" s="399">
        <f t="shared" si="16"/>
        <v>0</v>
      </c>
      <c r="AK51" s="400">
        <f t="shared" si="17"/>
        <v>0</v>
      </c>
      <c r="AL51" s="401">
        <f t="shared" si="18"/>
        <v>0</v>
      </c>
      <c r="AM51" s="402" t="str">
        <f t="shared" si="19"/>
        <v>0 pts.</v>
      </c>
      <c r="AN51" s="403" t="str">
        <f t="shared" si="20"/>
        <v>0 pts.</v>
      </c>
    </row>
    <row r="52" spans="1:40" x14ac:dyDescent="0.25">
      <c r="A52" s="6" t="s">
        <v>8</v>
      </c>
      <c r="B52" s="7"/>
      <c r="H52" s="15" t="s">
        <v>402</v>
      </c>
      <c r="I52" s="161" t="s">
        <v>1009</v>
      </c>
      <c r="J52" s="161" t="s">
        <v>1009</v>
      </c>
      <c r="K52" s="68" t="str">
        <f t="shared" si="12"/>
        <v/>
      </c>
      <c r="L52" s="162">
        <v>540600</v>
      </c>
      <c r="M52" s="162">
        <v>306055</v>
      </c>
      <c r="N52" s="162" t="s">
        <v>1621</v>
      </c>
      <c r="O52" s="30"/>
      <c r="P52" s="30"/>
      <c r="Q52" s="30"/>
      <c r="R52" s="30"/>
      <c r="S52" s="30"/>
      <c r="T52" s="30"/>
      <c r="U52" s="30"/>
      <c r="V52" s="30"/>
      <c r="W52" s="30"/>
      <c r="X52" s="30"/>
      <c r="Y52" s="30"/>
      <c r="Z52" s="30"/>
      <c r="AA52" s="30">
        <f t="shared" si="13"/>
        <v>0</v>
      </c>
      <c r="AB52" s="31"/>
      <c r="AD52" s="30"/>
      <c r="AE52" s="31"/>
      <c r="AF52" s="51">
        <f t="shared" si="14"/>
        <v>0</v>
      </c>
      <c r="AG52" s="30"/>
      <c r="AH52" s="31"/>
      <c r="AI52" s="51">
        <f t="shared" si="15"/>
        <v>0</v>
      </c>
      <c r="AJ52" s="399">
        <f t="shared" si="16"/>
        <v>0</v>
      </c>
      <c r="AK52" s="400">
        <f t="shared" si="17"/>
        <v>0</v>
      </c>
      <c r="AL52" s="401">
        <f t="shared" si="18"/>
        <v>0</v>
      </c>
      <c r="AM52" s="402" t="str">
        <f t="shared" si="19"/>
        <v>0 pts.</v>
      </c>
      <c r="AN52" s="403" t="str">
        <f t="shared" si="20"/>
        <v>0 pts.</v>
      </c>
    </row>
    <row r="53" spans="1:40" x14ac:dyDescent="0.25">
      <c r="H53" s="15" t="s">
        <v>403</v>
      </c>
      <c r="I53" s="161" t="s">
        <v>1009</v>
      </c>
      <c r="J53" s="161" t="s">
        <v>1009</v>
      </c>
      <c r="K53" s="68" t="str">
        <f t="shared" si="12"/>
        <v/>
      </c>
      <c r="L53" s="162">
        <v>540700</v>
      </c>
      <c r="M53" s="162">
        <v>306055</v>
      </c>
      <c r="N53" s="162" t="s">
        <v>1622</v>
      </c>
      <c r="O53" s="30"/>
      <c r="P53" s="30"/>
      <c r="Q53" s="30"/>
      <c r="R53" s="30"/>
      <c r="S53" s="30"/>
      <c r="T53" s="30"/>
      <c r="U53" s="30"/>
      <c r="V53" s="30"/>
      <c r="W53" s="30"/>
      <c r="X53" s="30"/>
      <c r="Y53" s="30"/>
      <c r="Z53" s="30"/>
      <c r="AA53" s="30">
        <f t="shared" si="13"/>
        <v>0</v>
      </c>
      <c r="AB53" s="31"/>
      <c r="AD53" s="30"/>
      <c r="AE53" s="31"/>
      <c r="AF53" s="51">
        <f t="shared" si="14"/>
        <v>0</v>
      </c>
      <c r="AG53" s="30"/>
      <c r="AH53" s="31"/>
      <c r="AI53" s="51">
        <f t="shared" si="15"/>
        <v>0</v>
      </c>
      <c r="AJ53" s="399">
        <f t="shared" si="16"/>
        <v>0</v>
      </c>
      <c r="AK53" s="400">
        <f t="shared" si="17"/>
        <v>0</v>
      </c>
      <c r="AL53" s="401">
        <f t="shared" si="18"/>
        <v>0</v>
      </c>
      <c r="AM53" s="402" t="str">
        <f t="shared" si="19"/>
        <v>0 pts.</v>
      </c>
      <c r="AN53" s="403" t="str">
        <f t="shared" si="20"/>
        <v>0 pts.</v>
      </c>
    </row>
    <row r="54" spans="1:40" x14ac:dyDescent="0.25">
      <c r="A54" s="3" t="s">
        <v>9</v>
      </c>
      <c r="B54" s="5" t="s">
        <v>10</v>
      </c>
      <c r="H54" s="15" t="s">
        <v>404</v>
      </c>
      <c r="I54" s="161" t="s">
        <v>1009</v>
      </c>
      <c r="J54" s="161" t="s">
        <v>1009</v>
      </c>
      <c r="K54" s="68" t="str">
        <f t="shared" si="12"/>
        <v/>
      </c>
      <c r="L54" s="162">
        <v>540800</v>
      </c>
      <c r="M54" s="162">
        <v>304044</v>
      </c>
      <c r="N54" s="162" t="s">
        <v>1623</v>
      </c>
      <c r="O54" s="30"/>
      <c r="P54" s="30"/>
      <c r="Q54" s="30"/>
      <c r="R54" s="30"/>
      <c r="S54" s="30"/>
      <c r="T54" s="30"/>
      <c r="U54" s="30"/>
      <c r="V54" s="30"/>
      <c r="W54" s="30"/>
      <c r="X54" s="30"/>
      <c r="Y54" s="30"/>
      <c r="Z54" s="30"/>
      <c r="AA54" s="30">
        <f t="shared" si="13"/>
        <v>0</v>
      </c>
      <c r="AB54" s="31"/>
      <c r="AD54" s="30"/>
      <c r="AE54" s="31"/>
      <c r="AF54" s="51">
        <f t="shared" si="14"/>
        <v>0</v>
      </c>
      <c r="AG54" s="30"/>
      <c r="AH54" s="31"/>
      <c r="AI54" s="51">
        <f t="shared" si="15"/>
        <v>0</v>
      </c>
      <c r="AJ54" s="399">
        <f t="shared" si="16"/>
        <v>0</v>
      </c>
      <c r="AK54" s="400">
        <f t="shared" si="17"/>
        <v>0</v>
      </c>
      <c r="AL54" s="401">
        <f t="shared" si="18"/>
        <v>0</v>
      </c>
      <c r="AM54" s="402" t="str">
        <f t="shared" si="19"/>
        <v>0 pts.</v>
      </c>
      <c r="AN54" s="403" t="str">
        <f t="shared" si="20"/>
        <v>0 pts.</v>
      </c>
    </row>
    <row r="55" spans="1:40" x14ac:dyDescent="0.25">
      <c r="A55" s="6" t="s">
        <v>11</v>
      </c>
      <c r="B55" s="7" t="s">
        <v>21</v>
      </c>
      <c r="H55" s="15" t="s">
        <v>405</v>
      </c>
      <c r="I55" s="161" t="s">
        <v>1009</v>
      </c>
      <c r="J55" s="161" t="s">
        <v>1009</v>
      </c>
      <c r="K55" s="68" t="str">
        <f t="shared" si="12"/>
        <v/>
      </c>
      <c r="L55" s="162">
        <v>540900</v>
      </c>
      <c r="M55" s="162">
        <v>306099</v>
      </c>
      <c r="N55" s="162" t="s">
        <v>1624</v>
      </c>
      <c r="O55" s="30"/>
      <c r="P55" s="30"/>
      <c r="Q55" s="30"/>
      <c r="R55" s="30"/>
      <c r="S55" s="30"/>
      <c r="T55" s="30"/>
      <c r="U55" s="30"/>
      <c r="V55" s="30"/>
      <c r="W55" s="30"/>
      <c r="X55" s="30"/>
      <c r="Y55" s="30"/>
      <c r="Z55" s="30"/>
      <c r="AA55" s="30">
        <f t="shared" si="13"/>
        <v>0</v>
      </c>
      <c r="AB55" s="31"/>
      <c r="AD55" s="30"/>
      <c r="AE55" s="31"/>
      <c r="AF55" s="51">
        <f t="shared" si="14"/>
        <v>0</v>
      </c>
      <c r="AG55" s="30"/>
      <c r="AH55" s="31"/>
      <c r="AI55" s="51">
        <f t="shared" si="15"/>
        <v>0</v>
      </c>
      <c r="AJ55" s="409">
        <f t="shared" si="16"/>
        <v>0</v>
      </c>
      <c r="AK55" s="410">
        <f t="shared" si="17"/>
        <v>0</v>
      </c>
      <c r="AL55" s="411">
        <f t="shared" si="18"/>
        <v>0</v>
      </c>
      <c r="AM55" s="412" t="str">
        <f t="shared" si="19"/>
        <v>0 pts.</v>
      </c>
      <c r="AN55" s="413" t="str">
        <f t="shared" si="20"/>
        <v>0 pts.</v>
      </c>
    </row>
    <row r="56" spans="1:40" x14ac:dyDescent="0.25">
      <c r="A56" s="6" t="s">
        <v>12</v>
      </c>
      <c r="B56" s="7" t="s">
        <v>22</v>
      </c>
      <c r="G56" s="14"/>
      <c r="H56" s="15" t="s">
        <v>289</v>
      </c>
      <c r="I56" s="479" t="s">
        <v>1012</v>
      </c>
      <c r="J56" s="479" t="s">
        <v>78</v>
      </c>
      <c r="K56" s="480" t="str">
        <f t="shared" si="12"/>
        <v/>
      </c>
      <c r="L56" s="170">
        <v>500001</v>
      </c>
      <c r="M56" s="170"/>
      <c r="N56" s="170" t="s">
        <v>1232</v>
      </c>
      <c r="O56" s="134"/>
      <c r="P56" s="134"/>
      <c r="Q56" s="134"/>
      <c r="R56" s="134"/>
      <c r="S56" s="134"/>
      <c r="T56" s="134"/>
      <c r="U56" s="134"/>
      <c r="V56" s="134"/>
      <c r="W56" s="134"/>
      <c r="X56" s="134"/>
      <c r="Y56" s="134"/>
      <c r="Z56" s="134"/>
      <c r="AA56" s="134">
        <f t="shared" si="13"/>
        <v>0</v>
      </c>
      <c r="AB56" s="135"/>
      <c r="AC56" s="137"/>
      <c r="AD56" s="134"/>
      <c r="AE56" s="135"/>
      <c r="AF56" s="136">
        <f t="shared" si="14"/>
        <v>0</v>
      </c>
      <c r="AG56" s="134"/>
      <c r="AH56" s="135"/>
      <c r="AI56" s="136">
        <f t="shared" si="15"/>
        <v>0</v>
      </c>
      <c r="AJ56" s="360">
        <f t="shared" si="16"/>
        <v>0</v>
      </c>
      <c r="AK56" s="361">
        <f t="shared" si="17"/>
        <v>0</v>
      </c>
      <c r="AL56" s="363">
        <f t="shared" si="18"/>
        <v>0</v>
      </c>
      <c r="AM56" s="405" t="str">
        <f t="shared" si="19"/>
        <v>0 pts.</v>
      </c>
      <c r="AN56" s="406" t="str">
        <f t="shared" si="20"/>
        <v>0 pts.</v>
      </c>
    </row>
    <row r="57" spans="1:40" x14ac:dyDescent="0.25">
      <c r="A57" s="6" t="s">
        <v>13</v>
      </c>
      <c r="B57" s="7" t="str">
        <f>"DEP(540000) AND "&amp;$E$6&amp;"=Y,500001"</f>
        <v>DEP(540000) AND D1136=Y,500001</v>
      </c>
      <c r="H57" s="149" t="s">
        <v>175</v>
      </c>
      <c r="I57" s="28" t="s">
        <v>1011</v>
      </c>
      <c r="J57" s="28" t="s">
        <v>78</v>
      </c>
      <c r="K57" s="69" t="str">
        <f t="shared" si="12"/>
        <v/>
      </c>
      <c r="L57" s="69"/>
      <c r="M57" s="69"/>
      <c r="N57" s="25" t="s">
        <v>175</v>
      </c>
      <c r="O57" s="47"/>
      <c r="P57" s="47"/>
      <c r="Q57" s="47"/>
      <c r="R57" s="47"/>
      <c r="S57" s="47"/>
      <c r="T57" s="47"/>
      <c r="U57" s="47"/>
      <c r="V57" s="47"/>
      <c r="W57" s="47"/>
      <c r="X57" s="47"/>
      <c r="Y57" s="47"/>
      <c r="Z57" s="47"/>
      <c r="AA57" s="47"/>
      <c r="AB57" s="48"/>
      <c r="AD57" s="47"/>
      <c r="AE57" s="48"/>
      <c r="AF57" s="150" t="str">
        <f t="shared" si="14"/>
        <v/>
      </c>
      <c r="AG57" s="47"/>
      <c r="AH57" s="48"/>
      <c r="AI57" s="150" t="str">
        <f t="shared" si="15"/>
        <v/>
      </c>
    </row>
    <row r="58" spans="1:40" x14ac:dyDescent="0.25">
      <c r="A58" s="6" t="s">
        <v>14</v>
      </c>
      <c r="B58" s="7"/>
      <c r="H58" s="149" t="s">
        <v>292</v>
      </c>
      <c r="I58" s="28" t="s">
        <v>1012</v>
      </c>
      <c r="J58" s="28" t="s">
        <v>78</v>
      </c>
      <c r="K58" s="69" t="str">
        <f t="shared" si="12"/>
        <v/>
      </c>
      <c r="L58" s="69"/>
      <c r="M58" s="69"/>
      <c r="N58" s="25" t="s">
        <v>1233</v>
      </c>
      <c r="O58" s="164">
        <f t="shared" ref="O58:Z58" si="21">SUMIF($H$34:$H$56,"400000",O34:O56)-SUMIF($H$34:$H$56,"500001",O34:O56)</f>
        <v>0</v>
      </c>
      <c r="P58" s="164">
        <f t="shared" si="21"/>
        <v>0</v>
      </c>
      <c r="Q58" s="164">
        <f t="shared" si="21"/>
        <v>0</v>
      </c>
      <c r="R58" s="164">
        <f t="shared" si="21"/>
        <v>0</v>
      </c>
      <c r="S58" s="164">
        <f t="shared" si="21"/>
        <v>0</v>
      </c>
      <c r="T58" s="164">
        <f t="shared" si="21"/>
        <v>0</v>
      </c>
      <c r="U58" s="164">
        <f t="shared" si="21"/>
        <v>0</v>
      </c>
      <c r="V58" s="164">
        <f t="shared" si="21"/>
        <v>0</v>
      </c>
      <c r="W58" s="164">
        <f t="shared" si="21"/>
        <v>0</v>
      </c>
      <c r="X58" s="164">
        <f t="shared" si="21"/>
        <v>0</v>
      </c>
      <c r="Y58" s="164">
        <f t="shared" si="21"/>
        <v>19.28</v>
      </c>
      <c r="Z58" s="164">
        <f t="shared" si="21"/>
        <v>0</v>
      </c>
      <c r="AA58" s="134">
        <f>IF($I58="B1","",SUM(O58:Z58))</f>
        <v>19.28</v>
      </c>
      <c r="AB58" s="135">
        <f>IF(AA58=0,"",IFERROR(AA58/AA$19,""))</f>
        <v>1</v>
      </c>
      <c r="AD58" s="164">
        <f>SUMIF($H$34:$H$56,"400000",AD34:AD56)-SUMIF($H$34:$H$56,"500001",AD34:AD56)</f>
        <v>0</v>
      </c>
      <c r="AE58" s="135" t="str">
        <f>IF(AD58=0,"",IFERROR(AD58/AD$19,""))</f>
        <v/>
      </c>
      <c r="AF58" s="165">
        <f t="shared" si="14"/>
        <v>19.28</v>
      </c>
      <c r="AG58" s="164">
        <f>SUMIF($H$34:$H$56,"400000",AG34:AG56)-SUMIF($H$34:$H$56,"500001",AG34:AG56)</f>
        <v>0</v>
      </c>
      <c r="AH58" s="135" t="str">
        <f>IF(AG58=0,"",IFERROR(AG58/AG$19,""))</f>
        <v/>
      </c>
      <c r="AI58" s="165">
        <f t="shared" si="15"/>
        <v>19.28</v>
      </c>
      <c r="AJ58" s="392">
        <f>IFERROR(AA58/AA$20,0)</f>
        <v>4.8337762623476912E-4</v>
      </c>
      <c r="AK58" s="393">
        <f>IFERROR(AD58/AD$20,0)</f>
        <v>0</v>
      </c>
      <c r="AL58" s="394">
        <f>IFERROR(AG58/AG$20,0)</f>
        <v>0</v>
      </c>
      <c r="AM58" s="395">
        <f>+IFERROR(ROUND(($AB58-AE58)*100,2)&amp;" pts.",0)</f>
        <v>0</v>
      </c>
      <c r="AN58" s="437">
        <f>+IFERROR(ROUND(($AB58-AH58)*100,2)&amp;" pts.",0)</f>
        <v>0</v>
      </c>
    </row>
    <row r="59" spans="1:40" x14ac:dyDescent="0.25">
      <c r="A59" s="6" t="s">
        <v>15</v>
      </c>
      <c r="B59" s="7"/>
      <c r="O59" s="163"/>
      <c r="P59" s="287"/>
      <c r="Q59" s="287"/>
      <c r="R59" s="287"/>
      <c r="S59" s="287"/>
      <c r="T59" s="287"/>
      <c r="U59" s="287"/>
      <c r="V59" s="287"/>
      <c r="W59" s="287"/>
      <c r="X59" s="287"/>
      <c r="Y59" s="287"/>
      <c r="Z59" s="287"/>
      <c r="AA59" s="287"/>
      <c r="AB59" s="55"/>
      <c r="AD59" s="163"/>
      <c r="AE59" s="54"/>
      <c r="AF59" s="55"/>
      <c r="AG59" s="54"/>
      <c r="AH59" s="54"/>
      <c r="AI59" s="55"/>
    </row>
    <row r="60" spans="1:40" x14ac:dyDescent="0.25">
      <c r="A60" s="6" t="s">
        <v>16</v>
      </c>
      <c r="B60" s="7"/>
      <c r="H60" s="1" t="s">
        <v>73</v>
      </c>
      <c r="I60" s="11" t="s">
        <v>1011</v>
      </c>
      <c r="J60" s="11" t="s">
        <v>78</v>
      </c>
      <c r="N60" s="40" t="s">
        <v>1079</v>
      </c>
      <c r="O60" s="53"/>
      <c r="P60" s="54"/>
      <c r="Q60" s="54"/>
      <c r="R60" s="54"/>
      <c r="S60" s="54"/>
      <c r="T60" s="54"/>
      <c r="U60" s="54"/>
      <c r="V60" s="54"/>
      <c r="W60" s="54"/>
      <c r="X60" s="54"/>
      <c r="Y60" s="54"/>
      <c r="Z60" s="54"/>
      <c r="AA60" s="54"/>
      <c r="AB60" s="168"/>
      <c r="AD60" s="167"/>
      <c r="AE60" s="169"/>
      <c r="AF60" s="55"/>
      <c r="AG60" s="54"/>
      <c r="AH60" s="169"/>
      <c r="AI60" s="55"/>
    </row>
    <row r="61" spans="1:40" x14ac:dyDescent="0.25">
      <c r="A61" s="6" t="s">
        <v>17</v>
      </c>
      <c r="B61" s="7"/>
      <c r="H61" s="1" t="s">
        <v>74</v>
      </c>
      <c r="I61" s="11" t="s">
        <v>1011</v>
      </c>
      <c r="J61" s="11" t="s">
        <v>78</v>
      </c>
      <c r="N61" s="8" t="s">
        <v>1080</v>
      </c>
      <c r="O61" s="43"/>
      <c r="P61" s="46"/>
      <c r="Q61" s="46"/>
      <c r="R61" s="46"/>
      <c r="S61" s="46"/>
      <c r="T61" s="46"/>
      <c r="U61" s="46"/>
      <c r="V61" s="46"/>
      <c r="W61" s="46"/>
      <c r="X61" s="46"/>
      <c r="Y61" s="46"/>
      <c r="Z61" s="46"/>
      <c r="AA61" s="46"/>
      <c r="AB61" s="44"/>
      <c r="AD61" s="43"/>
      <c r="AE61" s="46"/>
      <c r="AF61" s="44"/>
      <c r="AG61" s="46"/>
      <c r="AH61" s="46"/>
      <c r="AI61" s="44"/>
    </row>
    <row r="62" spans="1:40" hidden="1" x14ac:dyDescent="0.25">
      <c r="H62" s="15" t="s">
        <v>667</v>
      </c>
      <c r="I62" s="161"/>
      <c r="J62" s="161"/>
      <c r="K62" s="68" t="str">
        <f>IF(AND(I62&gt;="T3"),"&gt;","")</f>
        <v/>
      </c>
      <c r="L62" s="162"/>
      <c r="M62" s="162"/>
      <c r="N62" s="162"/>
      <c r="O62" s="47"/>
      <c r="P62" s="47"/>
      <c r="Q62" s="47"/>
      <c r="R62" s="47"/>
      <c r="S62" s="47"/>
      <c r="T62" s="47"/>
      <c r="U62" s="47"/>
      <c r="V62" s="47"/>
      <c r="W62" s="47"/>
      <c r="X62" s="47"/>
      <c r="Y62" s="47"/>
      <c r="Z62" s="47"/>
      <c r="AA62" s="47">
        <f>IF($I62="B1","",SUM(O62:Z62))</f>
        <v>0</v>
      </c>
      <c r="AB62" s="48" t="str">
        <f>IF(AA62=0,"",IFERROR(AA62/AA$19,""))</f>
        <v/>
      </c>
      <c r="AD62" s="47"/>
      <c r="AE62" s="48" t="str">
        <f>IF(AD62=0,"",IFERROR(AD62/AD$19,""))</f>
        <v/>
      </c>
      <c r="AF62" s="150">
        <f>IF(AND($AA62="",AD62=""),"",$AA62-AD62)</f>
        <v>0</v>
      </c>
      <c r="AG62" s="47"/>
      <c r="AH62" s="48" t="str">
        <f>IF(AG62=0,"",IFERROR(AG62/AG$19,""))</f>
        <v/>
      </c>
      <c r="AI62" s="150">
        <f>IF(AND($AA62="",AG62=""),"",$AA62-AG62)</f>
        <v>0</v>
      </c>
      <c r="AJ62" s="399">
        <f>IFERROR(AA62/AA$20,0)</f>
        <v>0</v>
      </c>
      <c r="AK62" s="400">
        <f>IFERROR(AD62/AD$20,0)</f>
        <v>0</v>
      </c>
      <c r="AL62" s="401">
        <f>IFERROR(AG62/AG$20,0)</f>
        <v>0</v>
      </c>
      <c r="AM62" s="402">
        <f>+IFERROR(ROUND(($AB62-AE62)*100,2)&amp;" pts.",0)</f>
        <v>0</v>
      </c>
      <c r="AN62" s="403">
        <f>+IFERROR(ROUND(($AB62-AH62)*100,2)&amp;" pts.",0)</f>
        <v>0</v>
      </c>
    </row>
    <row r="63" spans="1:40" hidden="1" x14ac:dyDescent="0.25">
      <c r="A63" s="22" t="s">
        <v>92</v>
      </c>
      <c r="B63" s="23" t="s">
        <v>93</v>
      </c>
      <c r="C63" s="23" t="s">
        <v>94</v>
      </c>
      <c r="D63" s="23" t="s">
        <v>95</v>
      </c>
      <c r="E63" s="23" t="s">
        <v>96</v>
      </c>
      <c r="F63" s="24" t="s">
        <v>97</v>
      </c>
      <c r="H63" s="15"/>
      <c r="I63" s="161"/>
      <c r="J63" s="161"/>
      <c r="K63" s="68" t="str">
        <f>IF(AND(I63&gt;="T3"),"&gt;","")</f>
        <v/>
      </c>
      <c r="L63" s="162"/>
      <c r="M63" s="162"/>
      <c r="N63" s="162"/>
      <c r="O63" s="47"/>
      <c r="P63" s="47"/>
      <c r="Q63" s="47"/>
      <c r="R63" s="47"/>
      <c r="S63" s="47"/>
      <c r="T63" s="47"/>
      <c r="U63" s="47"/>
      <c r="V63" s="47"/>
      <c r="W63" s="47"/>
      <c r="X63" s="47"/>
      <c r="Y63" s="47"/>
      <c r="Z63" s="47"/>
      <c r="AA63" s="47">
        <f>IF($I63="B1","",SUM(O63:Z63))</f>
        <v>0</v>
      </c>
      <c r="AB63" s="48" t="str">
        <f>IF(AA63=0,"",IFERROR(AA63/AA$19,""))</f>
        <v/>
      </c>
      <c r="AD63" s="47"/>
      <c r="AE63" s="48" t="str">
        <f>IF(AD63=0,"",IFERROR(AD63/AD$19,""))</f>
        <v/>
      </c>
      <c r="AF63" s="150">
        <f>IF(AND($AA63="",AD63=""),"",$AA63-AD63)</f>
        <v>0</v>
      </c>
      <c r="AG63" s="47"/>
      <c r="AH63" s="48" t="str">
        <f>IF(AG63=0,"",IFERROR(AG63/AG$19,""))</f>
        <v/>
      </c>
      <c r="AI63" s="150">
        <f>IF(AND($AA63="",AG63=""),"",$AA63-AG63)</f>
        <v>0</v>
      </c>
      <c r="AJ63" s="399">
        <f>IFERROR(AA63/AA$20,0)</f>
        <v>0</v>
      </c>
      <c r="AK63" s="400">
        <f>IFERROR(AD63/AD$20,0)</f>
        <v>0</v>
      </c>
      <c r="AL63" s="401">
        <f>IFERROR(AG63/AG$20,0)</f>
        <v>0</v>
      </c>
      <c r="AM63" s="402">
        <f>+IFERROR(ROUND(($AB63-AE63)*100,2)&amp;" pts.",0)</f>
        <v>0</v>
      </c>
      <c r="AN63" s="403">
        <f>+IFERROR(ROUND(($AB63-AH63)*100,2)&amp;" pts.",0)</f>
        <v>0</v>
      </c>
    </row>
    <row r="64" spans="1:40" x14ac:dyDescent="0.25">
      <c r="H64" s="15" t="s">
        <v>75</v>
      </c>
      <c r="I64" s="28" t="s">
        <v>1011</v>
      </c>
      <c r="J64" s="28" t="s">
        <v>78</v>
      </c>
      <c r="K64" s="69" t="str">
        <f>IF(AND(I64&gt;="T3"),"&gt;","")</f>
        <v/>
      </c>
      <c r="L64" s="25"/>
      <c r="M64" s="162"/>
      <c r="N64" s="25" t="s">
        <v>1082</v>
      </c>
      <c r="O64" s="38"/>
      <c r="P64" s="38"/>
      <c r="Q64" s="38"/>
      <c r="R64" s="38"/>
      <c r="S64" s="38"/>
      <c r="T64" s="38"/>
      <c r="U64" s="38"/>
      <c r="V64" s="38"/>
      <c r="W64" s="38"/>
      <c r="X64" s="38"/>
      <c r="Y64" s="38"/>
      <c r="Z64" s="38"/>
      <c r="AA64" s="38" t="str">
        <f>IF($I64="B1","",SUM(O64:Z64))</f>
        <v/>
      </c>
      <c r="AB64" s="39" t="str">
        <f>IF(AA64=0,"",IFERROR(AA64/AA$19,""))</f>
        <v/>
      </c>
      <c r="AD64" s="38"/>
      <c r="AE64" s="39" t="str">
        <f>IF(AD64=0,"",IFERROR(AD64/AD$19,""))</f>
        <v/>
      </c>
      <c r="AF64" s="132" t="str">
        <f>IF(AND($AA64="",AD64=""),"",$AA64-AD64)</f>
        <v/>
      </c>
      <c r="AG64" s="38"/>
      <c r="AH64" s="39" t="str">
        <f>IF(AG64=0,"",IFERROR(AG64/AG$19,""))</f>
        <v/>
      </c>
      <c r="AI64" s="132" t="str">
        <f>IF(AND($AA64="",AG64=""),"",$AA64-AG64)</f>
        <v/>
      </c>
      <c r="AJ64" s="399">
        <f>IFERROR(AA64/AA$20,0)</f>
        <v>0</v>
      </c>
      <c r="AK64" s="400">
        <f>IFERROR(AD64/AD$20,0)</f>
        <v>0</v>
      </c>
      <c r="AL64" s="401">
        <f>IFERROR(AG64/AG$20,0)</f>
        <v>0</v>
      </c>
      <c r="AM64" s="402">
        <f>+IFERROR(ROUND(($AB64-AE64)*100,2)&amp;" pts.",0)</f>
        <v>0</v>
      </c>
      <c r="AN64" s="403">
        <f>+IFERROR(ROUND(($AB64-AH64)*100,2)&amp;" pts.",0)</f>
        <v>0</v>
      </c>
    </row>
    <row r="65" spans="1:40" hidden="1" x14ac:dyDescent="0.25">
      <c r="A65" s="1" t="s">
        <v>105</v>
      </c>
      <c r="C65" s="26" t="s">
        <v>101</v>
      </c>
      <c r="D65" s="1" t="s">
        <v>106</v>
      </c>
      <c r="F65" s="1" t="s">
        <v>98</v>
      </c>
      <c r="H65" s="15" t="s">
        <v>667</v>
      </c>
      <c r="I65" s="161"/>
      <c r="J65" s="161"/>
      <c r="K65" s="68" t="str">
        <f>IF(AND(I65&gt;="T3"),"&gt;","")</f>
        <v/>
      </c>
      <c r="L65" s="162"/>
      <c r="M65" s="162"/>
      <c r="N65" s="162"/>
      <c r="O65" s="47"/>
      <c r="P65" s="47"/>
      <c r="Q65" s="47"/>
      <c r="R65" s="47"/>
      <c r="S65" s="47"/>
      <c r="T65" s="47"/>
      <c r="U65" s="47"/>
      <c r="V65" s="47"/>
      <c r="W65" s="47"/>
      <c r="X65" s="47"/>
      <c r="Y65" s="47"/>
      <c r="Z65" s="47"/>
      <c r="AA65" s="47">
        <f>IF($I65="B1","",SUM(O65:Z65))</f>
        <v>0</v>
      </c>
      <c r="AB65" s="48" t="str">
        <f>IF(AA65=0,"",IFERROR(AA65/AA$19,""))</f>
        <v/>
      </c>
      <c r="AD65" s="47"/>
      <c r="AE65" s="48" t="str">
        <f>IF(AD65=0,"",IFERROR(AD65/AD$19,""))</f>
        <v/>
      </c>
      <c r="AF65" s="150">
        <f>IF(AND($AA65="",AD65=""),"",$AA65-AD65)</f>
        <v>0</v>
      </c>
      <c r="AG65" s="47"/>
      <c r="AH65" s="48" t="str">
        <f>IF(AG65=0,"",IFERROR(AG65/AG$19,""))</f>
        <v/>
      </c>
      <c r="AI65" s="150">
        <f>IF(AND($AA65="",AG65=""),"",$AA65-AG65)</f>
        <v>0</v>
      </c>
      <c r="AJ65" s="409">
        <f>IFERROR(AA65/AA$20,0)</f>
        <v>0</v>
      </c>
      <c r="AK65" s="410">
        <f>IFERROR(AD65/AD$20,0)</f>
        <v>0</v>
      </c>
      <c r="AL65" s="411">
        <f>IFERROR(AG65/AG$20,0)</f>
        <v>0</v>
      </c>
      <c r="AM65" s="412">
        <f>+IFERROR(ROUND(($AB65-AE65)*100,2)&amp;" pts.",0)</f>
        <v>0</v>
      </c>
      <c r="AN65" s="413">
        <f>+IFERROR(ROUND(($AB65-AH65)*100,2)&amp;" pts.",0)</f>
        <v>0</v>
      </c>
    </row>
    <row r="66" spans="1:40" hidden="1" x14ac:dyDescent="0.25">
      <c r="A66" s="1" t="s">
        <v>108</v>
      </c>
      <c r="C66" s="25" t="s">
        <v>101</v>
      </c>
      <c r="D66" s="1" t="s">
        <v>106</v>
      </c>
      <c r="F66" s="1" t="s">
        <v>98</v>
      </c>
      <c r="H66" s="15"/>
      <c r="I66" s="161"/>
      <c r="J66" s="161"/>
      <c r="K66" s="68" t="str">
        <f>IF(AND(I66&gt;="T3"),"&gt;","")</f>
        <v/>
      </c>
      <c r="L66" s="162"/>
      <c r="M66" s="162"/>
      <c r="N66" s="162"/>
      <c r="O66" s="47"/>
      <c r="P66" s="47"/>
      <c r="Q66" s="47"/>
      <c r="R66" s="47"/>
      <c r="S66" s="47"/>
      <c r="T66" s="47"/>
      <c r="U66" s="47"/>
      <c r="V66" s="47"/>
      <c r="W66" s="47"/>
      <c r="X66" s="47"/>
      <c r="Y66" s="47"/>
      <c r="Z66" s="47"/>
      <c r="AA66" s="47">
        <f>IF($I66="B1","",SUM(O66:Z66))</f>
        <v>0</v>
      </c>
      <c r="AB66" s="48" t="str">
        <f>IF(AA66=0,"",IFERROR(AA66/AA$19,""))</f>
        <v/>
      </c>
      <c r="AD66" s="47"/>
      <c r="AE66" s="48" t="str">
        <f>IF(AD66=0,"",IFERROR(AD66/AD$19,""))</f>
        <v/>
      </c>
      <c r="AF66" s="150">
        <f>IF(AND($AA66="",AD66=""),"",$AA66-AD66)</f>
        <v>0</v>
      </c>
      <c r="AG66" s="47"/>
      <c r="AH66" s="48" t="str">
        <f>IF(AG66=0,"",IFERROR(AG66/AG$19,""))</f>
        <v/>
      </c>
      <c r="AI66" s="150">
        <f>IF(AND($AA66="",AG66=""),"",$AA66-AG66)</f>
        <v>0</v>
      </c>
      <c r="AJ66" s="409">
        <f>IFERROR(AA66/AA$20,0)</f>
        <v>0</v>
      </c>
      <c r="AK66" s="410">
        <f>IFERROR(AD66/AD$20,0)</f>
        <v>0</v>
      </c>
      <c r="AL66" s="411">
        <f>IFERROR(AG66/AG$20,0)</f>
        <v>0</v>
      </c>
      <c r="AM66" s="412">
        <f>+IFERROR(ROUND(($AB66-AE66)*100,2)&amp;" pts.",0)</f>
        <v>0</v>
      </c>
      <c r="AN66" s="413">
        <f>+IFERROR(ROUND(($AB66-AH66)*100,2)&amp;" pts.",0)</f>
        <v>0</v>
      </c>
    </row>
    <row r="67" spans="1:40" x14ac:dyDescent="0.25">
      <c r="A67" s="1" t="s">
        <v>108</v>
      </c>
      <c r="C67" s="151" t="s">
        <v>101</v>
      </c>
      <c r="D67" s="1" t="s">
        <v>107</v>
      </c>
      <c r="F67" s="1" t="s">
        <v>99</v>
      </c>
      <c r="O67" s="41"/>
      <c r="P67" s="45"/>
      <c r="Q67" s="45"/>
      <c r="R67" s="45"/>
      <c r="S67" s="45"/>
      <c r="T67" s="45"/>
      <c r="U67" s="45"/>
      <c r="V67" s="45"/>
      <c r="W67" s="45"/>
      <c r="X67" s="45"/>
      <c r="Y67" s="45"/>
      <c r="Z67" s="45"/>
      <c r="AA67" s="45"/>
      <c r="AB67" s="42"/>
      <c r="AD67" s="41"/>
      <c r="AE67" s="45"/>
      <c r="AF67" s="42"/>
      <c r="AG67" s="41"/>
      <c r="AH67" s="45"/>
      <c r="AI67" s="42"/>
    </row>
    <row r="68" spans="1:40" x14ac:dyDescent="0.25">
      <c r="H68" s="1" t="s">
        <v>82</v>
      </c>
      <c r="I68" s="11" t="s">
        <v>1011</v>
      </c>
      <c r="J68" s="11" t="s">
        <v>78</v>
      </c>
      <c r="N68" s="40" t="s">
        <v>1092</v>
      </c>
      <c r="O68" s="43"/>
      <c r="P68" s="46"/>
      <c r="Q68" s="46"/>
      <c r="R68" s="46"/>
      <c r="S68" s="46"/>
      <c r="T68" s="46"/>
      <c r="U68" s="46"/>
      <c r="V68" s="46"/>
      <c r="W68" s="46"/>
      <c r="X68" s="46"/>
      <c r="Y68" s="46"/>
      <c r="Z68" s="46"/>
      <c r="AA68" s="46"/>
      <c r="AB68" s="44"/>
      <c r="AD68" s="43"/>
      <c r="AE68" s="46"/>
      <c r="AF68" s="44"/>
      <c r="AG68" s="43"/>
      <c r="AH68" s="46"/>
      <c r="AI68" s="44"/>
    </row>
    <row r="69" spans="1:40" hidden="1" x14ac:dyDescent="0.25">
      <c r="C69" s="32"/>
      <c r="H69" s="15" t="s">
        <v>667</v>
      </c>
      <c r="I69" s="161"/>
      <c r="J69" s="161"/>
      <c r="K69" s="68" t="str">
        <f>IF(AND(I69&lt;&gt;"B1",J69="Y"),"&gt;","")</f>
        <v/>
      </c>
      <c r="L69" s="162"/>
      <c r="M69" s="162"/>
      <c r="N69" s="162"/>
      <c r="O69" s="21"/>
      <c r="P69" s="21"/>
      <c r="Q69" s="21"/>
      <c r="R69" s="21"/>
      <c r="S69" s="21"/>
      <c r="T69" s="21"/>
      <c r="U69" s="21"/>
      <c r="V69" s="21"/>
      <c r="W69" s="21"/>
      <c r="X69" s="21"/>
      <c r="Y69" s="21"/>
      <c r="Z69" s="21"/>
      <c r="AA69" s="21">
        <f>IF($I69="B1","",SUM(O69:Z69))</f>
        <v>0</v>
      </c>
      <c r="AB69" s="17" t="str">
        <f>IF(AA69=0,"",IFERROR(AA69/AA$19,""))</f>
        <v/>
      </c>
      <c r="AD69" s="21"/>
      <c r="AE69" s="17" t="str">
        <f>IF(AD69=0,"",IFERROR(AD69/AD$19,""))</f>
        <v/>
      </c>
      <c r="AF69" s="50">
        <f>IF(AND($AA69="",AD69=""),"",$AA69-AD69)</f>
        <v>0</v>
      </c>
      <c r="AG69" s="21"/>
      <c r="AH69" s="17" t="str">
        <f>IF(AG69=0,"",IFERROR(AG69/AG$19,""))</f>
        <v/>
      </c>
      <c r="AI69" s="50">
        <f>IF(AND($AA69="",AG69=""),"",$AA69-AG69)</f>
        <v>0</v>
      </c>
      <c r="AJ69" s="399">
        <f>IFERROR(AA69/AA$20,0)</f>
        <v>0</v>
      </c>
      <c r="AK69" s="400">
        <f>IFERROR(AD69/AD$20,0)</f>
        <v>0</v>
      </c>
      <c r="AL69" s="401">
        <f>IFERROR(AG69/AG$20,0)</f>
        <v>0</v>
      </c>
      <c r="AM69" s="402">
        <f>+IFERROR(ROUND(($AB69-AE69)*100,2)&amp;" pts.",0)</f>
        <v>0</v>
      </c>
      <c r="AN69" s="403">
        <f>+IFERROR(ROUND(($AB69-AH69)*100,2)&amp;" pts.",0)</f>
        <v>0</v>
      </c>
    </row>
    <row r="70" spans="1:40" hidden="1" x14ac:dyDescent="0.25">
      <c r="A70" s="4" t="s">
        <v>988</v>
      </c>
      <c r="H70" s="15"/>
      <c r="I70" s="161"/>
      <c r="J70" s="161"/>
      <c r="K70" s="68" t="str">
        <f>IF(AND(I70&lt;&gt;"B1",J70="Y"),"&gt;","")</f>
        <v/>
      </c>
      <c r="L70" s="162"/>
      <c r="M70" s="162"/>
      <c r="N70" s="162"/>
      <c r="O70" s="21"/>
      <c r="P70" s="21"/>
      <c r="Q70" s="21"/>
      <c r="R70" s="21"/>
      <c r="S70" s="21"/>
      <c r="T70" s="21"/>
      <c r="U70" s="21"/>
      <c r="V70" s="21"/>
      <c r="W70" s="21"/>
      <c r="X70" s="21"/>
      <c r="Y70" s="21"/>
      <c r="Z70" s="21"/>
      <c r="AA70" s="21">
        <f>IF($I70="B1","",SUM(O70:Z70))</f>
        <v>0</v>
      </c>
      <c r="AB70" s="17" t="str">
        <f>IF(AA70=0,"",IFERROR(AA70/AA$19,""))</f>
        <v/>
      </c>
      <c r="AD70" s="21"/>
      <c r="AE70" s="17" t="str">
        <f>IF(AD70=0,"",IFERROR(AD70/AD$19,""))</f>
        <v/>
      </c>
      <c r="AF70" s="50">
        <f>IF(AND($AA70="",AD70=""),"",$AA70-AD70)</f>
        <v>0</v>
      </c>
      <c r="AG70" s="21"/>
      <c r="AH70" s="17" t="str">
        <f>IF(AG70=0,"",IFERROR(AG70/AG$19,""))</f>
        <v/>
      </c>
      <c r="AI70" s="50">
        <f>IF(AND($AA70="",AG70=""),"",$AA70-AG70)</f>
        <v>0</v>
      </c>
      <c r="AJ70" s="399">
        <f>IFERROR(AA70/AA$20,0)</f>
        <v>0</v>
      </c>
      <c r="AK70" s="400">
        <f>IFERROR(AD70/AD$20,0)</f>
        <v>0</v>
      </c>
      <c r="AL70" s="401">
        <f>IFERROR(AG70/AG$20,0)</f>
        <v>0</v>
      </c>
      <c r="AM70" s="402">
        <f>+IFERROR(ROUND(($AB70-AE70)*100,2)&amp;" pts.",0)</f>
        <v>0</v>
      </c>
      <c r="AN70" s="403">
        <f>+IFERROR(ROUND(($AB70-AH70)*100,2)&amp;" pts.",0)</f>
        <v>0</v>
      </c>
    </row>
    <row r="71" spans="1:40" x14ac:dyDescent="0.25">
      <c r="H71" s="15" t="s">
        <v>79</v>
      </c>
      <c r="I71" s="27" t="s">
        <v>1012</v>
      </c>
      <c r="J71" s="27" t="s">
        <v>78</v>
      </c>
      <c r="K71" s="26"/>
      <c r="L71" s="26"/>
      <c r="M71" s="26"/>
      <c r="N71" s="25" t="s">
        <v>1116</v>
      </c>
      <c r="O71" s="33"/>
      <c r="P71" s="33"/>
      <c r="Q71" s="33"/>
      <c r="R71" s="33"/>
      <c r="S71" s="33"/>
      <c r="T71" s="33"/>
      <c r="U71" s="33"/>
      <c r="V71" s="33"/>
      <c r="W71" s="33"/>
      <c r="X71" s="33"/>
      <c r="Y71" s="33"/>
      <c r="Z71" s="33"/>
      <c r="AA71" s="33">
        <f>IF($I71="B1","",SUM(O71:Z71))</f>
        <v>0</v>
      </c>
      <c r="AB71" s="34" t="str">
        <f>IF(AA71=0,"",IFERROR(AA71/AA$19,""))</f>
        <v/>
      </c>
      <c r="AD71" s="33"/>
      <c r="AE71" s="34" t="str">
        <f>IF(AD71=0,"",IFERROR(AD71/AD$19,""))</f>
        <v/>
      </c>
      <c r="AF71" s="52">
        <f>IF(AND($AA71="",AD71=""),"",$AA71-AD71)</f>
        <v>0</v>
      </c>
      <c r="AG71" s="33"/>
      <c r="AH71" s="34" t="str">
        <f>IF(AG71=0,"",IFERROR(AG71/AG$19,""))</f>
        <v/>
      </c>
      <c r="AI71" s="52">
        <f>IF(AND($AA71="",AG71=""),"",$AA71-AG71)</f>
        <v>0</v>
      </c>
      <c r="AJ71" s="415">
        <f>IFERROR(AA71/AA$20,0)</f>
        <v>0</v>
      </c>
      <c r="AK71" s="416">
        <f>IFERROR(AD71/AD$20,0)</f>
        <v>0</v>
      </c>
      <c r="AL71" s="417">
        <f>IFERROR(AG71/AG$20,0)</f>
        <v>0</v>
      </c>
      <c r="AM71" s="418">
        <f>+IFERROR(ROUND(($AB71-AE71)*100,2)&amp;" pts.",0)</f>
        <v>0</v>
      </c>
      <c r="AN71" s="436">
        <f>+IFERROR(ROUND(($AB71-AH71)*100,2)&amp;" pts.",0)</f>
        <v>0</v>
      </c>
    </row>
    <row r="72" spans="1:40" x14ac:dyDescent="0.25">
      <c r="A72" s="3" t="s">
        <v>0</v>
      </c>
      <c r="B72" s="5" t="s">
        <v>1</v>
      </c>
    </row>
    <row r="73" spans="1:40" x14ac:dyDescent="0.25">
      <c r="A73" s="6" t="s">
        <v>2</v>
      </c>
      <c r="B73" s="16" t="s">
        <v>1598</v>
      </c>
      <c r="H73" s="15" t="s">
        <v>80</v>
      </c>
      <c r="I73" s="27" t="s">
        <v>1012</v>
      </c>
      <c r="J73" s="27" t="s">
        <v>78</v>
      </c>
      <c r="K73" s="25"/>
      <c r="L73" s="25"/>
      <c r="M73" s="25"/>
      <c r="N73" s="25" t="s">
        <v>1117</v>
      </c>
      <c r="O73" s="36"/>
      <c r="P73" s="36"/>
      <c r="Q73" s="36"/>
      <c r="R73" s="36"/>
      <c r="S73" s="36"/>
      <c r="T73" s="36"/>
      <c r="U73" s="36"/>
      <c r="V73" s="36"/>
      <c r="W73" s="36"/>
      <c r="X73" s="36"/>
      <c r="Y73" s="36"/>
      <c r="Z73" s="36"/>
      <c r="AA73" s="36">
        <f>IF($I73="B1","",SUM(O73:Z73))</f>
        <v>0</v>
      </c>
      <c r="AB73" s="37" t="str">
        <f>IF(AA73=0,"",IFERROR(AA73/AA$19,""))</f>
        <v/>
      </c>
      <c r="AD73" s="36"/>
      <c r="AE73" s="37" t="str">
        <f>IF(AD73=0,"",IFERROR(AD73/AD$19,""))</f>
        <v/>
      </c>
      <c r="AF73" s="59">
        <f>IF(AND($AA73="",AD73=""),"",$AA73-AD73)</f>
        <v>0</v>
      </c>
      <c r="AG73" s="60"/>
      <c r="AH73" s="61" t="str">
        <f>IF(AG73=0,"",IFERROR(AG73/AG$19,""))</f>
        <v/>
      </c>
      <c r="AI73" s="59">
        <f>IF(AND($AA73="",AG73=""),"",$AA73-AG73)</f>
        <v>0</v>
      </c>
      <c r="AJ73" s="392">
        <f>IFERROR(AA73/AA$20,0)</f>
        <v>0</v>
      </c>
      <c r="AK73" s="393">
        <f>IFERROR(AD73/AD$20,0)</f>
        <v>0</v>
      </c>
      <c r="AL73" s="394">
        <f>IFERROR(AG73/AG$20,0)</f>
        <v>0</v>
      </c>
      <c r="AM73" s="395">
        <f>+IFERROR(ROUND(($AB73-AE73)*100,2)&amp;" pts.",0)</f>
        <v>0</v>
      </c>
      <c r="AN73" s="437">
        <f>+IFERROR(ROUND(($AB73-AH73)*100,2)&amp;" pts.",0)</f>
        <v>0</v>
      </c>
    </row>
    <row r="74" spans="1:40" ht="15.75" thickBot="1" x14ac:dyDescent="0.3">
      <c r="A74" s="6" t="s">
        <v>3</v>
      </c>
      <c r="B74" s="16" t="s">
        <v>1599</v>
      </c>
      <c r="H74" s="15" t="s">
        <v>81</v>
      </c>
      <c r="I74" s="27" t="s">
        <v>1012</v>
      </c>
      <c r="J74" s="27" t="s">
        <v>78</v>
      </c>
      <c r="K74" s="25"/>
      <c r="L74" s="25"/>
      <c r="M74" s="25"/>
      <c r="N74" s="25" t="s">
        <v>1118</v>
      </c>
      <c r="O74" s="62"/>
      <c r="P74" s="62"/>
      <c r="Q74" s="62"/>
      <c r="R74" s="62"/>
      <c r="S74" s="62"/>
      <c r="T74" s="62"/>
      <c r="U74" s="62"/>
      <c r="V74" s="62"/>
      <c r="W74" s="62"/>
      <c r="X74" s="62"/>
      <c r="Y74" s="62">
        <v>19.28</v>
      </c>
      <c r="Z74" s="62"/>
      <c r="AA74" s="62">
        <f>IF($I74="B1","",SUM(O74:Z74))</f>
        <v>19.28</v>
      </c>
      <c r="AB74" s="63">
        <f>IF(AA74=0,"",IFERROR(AA74/AA$19,""))</f>
        <v>1</v>
      </c>
      <c r="AD74" s="62"/>
      <c r="AE74" s="63" t="str">
        <f>IF(AD74=0,"",IFERROR(AD74/AD$19,""))</f>
        <v/>
      </c>
      <c r="AF74" s="64">
        <f>IF(AND($AA74="",AD74=""),"",$AA74-AD74)</f>
        <v>19.28</v>
      </c>
      <c r="AG74" s="62"/>
      <c r="AH74" s="63" t="str">
        <f>IF(AG74=0,"",IFERROR(AG74/AG$19,""))</f>
        <v/>
      </c>
      <c r="AI74" s="64">
        <f>IF(AND($AA74="",AG74=""),"",$AA74-AG74)</f>
        <v>19.28</v>
      </c>
      <c r="AJ74" s="430">
        <f>IFERROR(AA74/AA$20,0)</f>
        <v>4.8337762623476912E-4</v>
      </c>
      <c r="AK74" s="431">
        <f>IFERROR(AD74/AD$20,0)</f>
        <v>0</v>
      </c>
      <c r="AL74" s="432">
        <f>IFERROR(AG74/AG$20,0)</f>
        <v>0</v>
      </c>
      <c r="AM74" s="433">
        <f>+IFERROR(ROUND(($AB74-AE74)*100,2)&amp;" pts.",0)</f>
        <v>0</v>
      </c>
      <c r="AN74" s="438">
        <f>+IFERROR(ROUND(($AB74-AH74)*100,2)&amp;" pts.",0)</f>
        <v>0</v>
      </c>
    </row>
    <row r="75" spans="1:40" ht="15.75" thickTop="1" x14ac:dyDescent="0.25">
      <c r="A75" s="6" t="s">
        <v>4</v>
      </c>
      <c r="B75" s="16" t="s">
        <v>1625</v>
      </c>
    </row>
    <row r="76" spans="1:40" x14ac:dyDescent="0.25">
      <c r="A76" s="6" t="s">
        <v>5</v>
      </c>
      <c r="B76" s="7"/>
      <c r="N76" s="26" t="str">
        <f>N73&amp;" - Check"</f>
        <v>Total Expenses - Check</v>
      </c>
      <c r="O76" s="139">
        <f t="shared" ref="O76:AA76" si="22">SUMIF($H$34:$H$74,"600000",O$34:O$74)+SUMIF($H$34:$H$74,"700000",O$34:O$74)-SUMIF($H$34:$H$74,"TOTDEPTEXP",O$34:O$74)</f>
        <v>0</v>
      </c>
      <c r="P76" s="139">
        <f t="shared" si="22"/>
        <v>0</v>
      </c>
      <c r="Q76" s="139">
        <f t="shared" si="22"/>
        <v>0</v>
      </c>
      <c r="R76" s="139">
        <f t="shared" si="22"/>
        <v>0</v>
      </c>
      <c r="S76" s="139">
        <f t="shared" si="22"/>
        <v>0</v>
      </c>
      <c r="T76" s="139">
        <f t="shared" si="22"/>
        <v>0</v>
      </c>
      <c r="U76" s="139">
        <f t="shared" si="22"/>
        <v>0</v>
      </c>
      <c r="V76" s="139">
        <f t="shared" si="22"/>
        <v>0</v>
      </c>
      <c r="W76" s="139">
        <f t="shared" si="22"/>
        <v>0</v>
      </c>
      <c r="X76" s="139">
        <f t="shared" si="22"/>
        <v>0</v>
      </c>
      <c r="Y76" s="139">
        <f t="shared" si="22"/>
        <v>0</v>
      </c>
      <c r="Z76" s="139">
        <f t="shared" si="22"/>
        <v>0</v>
      </c>
      <c r="AA76" s="139">
        <f t="shared" si="22"/>
        <v>0</v>
      </c>
      <c r="AB76" s="17"/>
      <c r="AD76" s="139">
        <f>SUMIF($H$34:$H$74,"600000",AD$34:AD$74)+SUMIF($H$34:$H$74,"700000",AD$34:AD$74)-SUMIF($H$34:$H$74,"TOTDEPTEXP",AD$34:AD$74)</f>
        <v>0</v>
      </c>
      <c r="AE76" s="17"/>
      <c r="AF76" s="21"/>
      <c r="AG76" s="139">
        <f>SUMIF($H$34:$H$74,"600000",AG$34:AG$74)+SUMIF($H$34:$H$74,"700000",AG$34:AG$74)-SUMIF($H$34:$H$74,"TOTDEPTEXP",AG$34:AG$74)</f>
        <v>0</v>
      </c>
      <c r="AH76" s="17"/>
      <c r="AI76" s="21"/>
    </row>
    <row r="77" spans="1:40" x14ac:dyDescent="0.25">
      <c r="A77" s="6" t="s">
        <v>6</v>
      </c>
      <c r="B77" s="7"/>
      <c r="N77" s="26" t="str">
        <f>N74&amp;" - Check"</f>
        <v>Department Profit (Loss) - Check</v>
      </c>
      <c r="O77" s="139">
        <f t="shared" ref="O77:AA77" si="23">SUMIF($H$34:$H$74,"KPI_GP",O$34:O$74)-SUMIF($H$34:$H$74,"TOTDEPTEXP",O$34:O$74)-SUMIF($H$34:$H$74,"TOTDEPTPL",O$34:O$74)</f>
        <v>0</v>
      </c>
      <c r="P77" s="139">
        <f t="shared" si="23"/>
        <v>0</v>
      </c>
      <c r="Q77" s="139">
        <f t="shared" si="23"/>
        <v>0</v>
      </c>
      <c r="R77" s="139">
        <f t="shared" si="23"/>
        <v>0</v>
      </c>
      <c r="S77" s="139">
        <f t="shared" si="23"/>
        <v>0</v>
      </c>
      <c r="T77" s="139">
        <f t="shared" si="23"/>
        <v>0</v>
      </c>
      <c r="U77" s="139">
        <f t="shared" si="23"/>
        <v>0</v>
      </c>
      <c r="V77" s="139">
        <f t="shared" si="23"/>
        <v>0</v>
      </c>
      <c r="W77" s="139">
        <f t="shared" si="23"/>
        <v>0</v>
      </c>
      <c r="X77" s="139">
        <f t="shared" si="23"/>
        <v>0</v>
      </c>
      <c r="Y77" s="139">
        <f t="shared" si="23"/>
        <v>0</v>
      </c>
      <c r="Z77" s="139">
        <f t="shared" si="23"/>
        <v>0</v>
      </c>
      <c r="AA77" s="139">
        <f t="shared" si="23"/>
        <v>0</v>
      </c>
      <c r="AB77" s="17"/>
      <c r="AD77" s="139">
        <f>SUMIF($H$34:$H$74,"KPI_GP",AD$34:AD$74)-SUMIF($H$34:$H$74,"TOTDEPTEXP",AD$34:AD$74)-SUMIF($H$34:$H$74,"TOTDEPTPL",AD$34:AD$74)</f>
        <v>0</v>
      </c>
      <c r="AE77" s="17"/>
      <c r="AF77" s="21"/>
      <c r="AG77" s="139">
        <f>SUMIF($H$34:$H$74,"KPI_GP",AG$34:AG$74)-SUMIF($H$34:$H$74,"TOTDEPTEXP",AG$34:AG$74)-SUMIF($H$34:$H$74,"TOTDEPTPL",AG$34:AG$74)</f>
        <v>0</v>
      </c>
      <c r="AH77" s="17"/>
      <c r="AI77" s="21"/>
    </row>
    <row r="78" spans="1:40" x14ac:dyDescent="0.25">
      <c r="A78" s="6" t="s">
        <v>7</v>
      </c>
      <c r="B78" s="16" t="s">
        <v>1626</v>
      </c>
    </row>
    <row r="79" spans="1:40" x14ac:dyDescent="0.25">
      <c r="A79" s="6" t="s">
        <v>47</v>
      </c>
      <c r="B79" s="16" t="s">
        <v>1602</v>
      </c>
      <c r="O79" s="166"/>
      <c r="P79" s="166"/>
      <c r="Q79" s="166"/>
      <c r="R79" s="166"/>
      <c r="S79" s="166"/>
      <c r="T79" s="166"/>
      <c r="U79" s="166"/>
      <c r="V79" s="166"/>
      <c r="W79" s="166"/>
      <c r="X79" s="166"/>
      <c r="Y79" s="166"/>
      <c r="Z79" s="166"/>
      <c r="AA79" s="166"/>
      <c r="AD79" s="166"/>
      <c r="AG79" s="166"/>
    </row>
    <row r="80" spans="1:40" x14ac:dyDescent="0.25">
      <c r="A80" s="6" t="s">
        <v>8</v>
      </c>
      <c r="B80" s="7"/>
    </row>
    <row r="81" spans="1:33" x14ac:dyDescent="0.25">
      <c r="O81" s="166"/>
      <c r="P81" s="166"/>
      <c r="Q81" s="166"/>
      <c r="R81" s="166"/>
      <c r="S81" s="166"/>
      <c r="T81" s="166"/>
      <c r="U81" s="166"/>
      <c r="V81" s="166"/>
      <c r="W81" s="166"/>
      <c r="X81" s="166"/>
      <c r="Y81" s="166"/>
      <c r="Z81" s="166"/>
      <c r="AA81" s="166"/>
      <c r="AD81" s="166"/>
      <c r="AG81" s="166"/>
    </row>
    <row r="82" spans="1:33" x14ac:dyDescent="0.25">
      <c r="A82" s="3" t="s">
        <v>9</v>
      </c>
      <c r="B82" s="5" t="s">
        <v>10</v>
      </c>
    </row>
    <row r="83" spans="1:33" x14ac:dyDescent="0.25">
      <c r="A83" s="6" t="s">
        <v>11</v>
      </c>
      <c r="B83" s="7" t="s">
        <v>21</v>
      </c>
    </row>
    <row r="84" spans="1:33" x14ac:dyDescent="0.25">
      <c r="A84" s="6" t="s">
        <v>12</v>
      </c>
      <c r="B84" s="7" t="s">
        <v>22</v>
      </c>
      <c r="H84" s="11"/>
      <c r="J84" s="1"/>
    </row>
    <row r="85" spans="1:33" x14ac:dyDescent="0.25">
      <c r="A85" s="6" t="s">
        <v>13</v>
      </c>
      <c r="B85" s="7" t="s">
        <v>737</v>
      </c>
      <c r="H85" s="11"/>
      <c r="J85" s="1"/>
    </row>
    <row r="86" spans="1:33" x14ac:dyDescent="0.25">
      <c r="A86" s="6" t="s">
        <v>14</v>
      </c>
      <c r="B86" s="7"/>
      <c r="H86" s="11"/>
      <c r="J86" s="1"/>
    </row>
    <row r="87" spans="1:33" x14ac:dyDescent="0.25">
      <c r="A87" s="6" t="s">
        <v>15</v>
      </c>
      <c r="B87" s="7"/>
      <c r="H87" s="11"/>
      <c r="J87" s="1"/>
    </row>
    <row r="88" spans="1:33" x14ac:dyDescent="0.25">
      <c r="A88" s="6" t="s">
        <v>16</v>
      </c>
      <c r="B88" s="7" t="s">
        <v>78</v>
      </c>
      <c r="H88" s="11"/>
      <c r="J88" s="1"/>
    </row>
    <row r="89" spans="1:33" x14ac:dyDescent="0.25">
      <c r="A89" s="6" t="s">
        <v>17</v>
      </c>
      <c r="B89" s="7"/>
      <c r="G89" s="14"/>
      <c r="H89" s="11"/>
      <c r="J89" s="1"/>
    </row>
    <row r="90" spans="1:33" x14ac:dyDescent="0.25">
      <c r="H90" s="11"/>
      <c r="J90" s="1"/>
    </row>
    <row r="91" spans="1:33" x14ac:dyDescent="0.25">
      <c r="A91" s="22" t="s">
        <v>92</v>
      </c>
      <c r="B91" s="23" t="s">
        <v>93</v>
      </c>
      <c r="C91" s="23" t="s">
        <v>94</v>
      </c>
      <c r="D91" s="23" t="s">
        <v>95</v>
      </c>
      <c r="E91" s="23" t="s">
        <v>96</v>
      </c>
      <c r="F91" s="24" t="s">
        <v>97</v>
      </c>
      <c r="H91" s="11"/>
      <c r="J91" s="1"/>
    </row>
    <row r="92" spans="1:33" x14ac:dyDescent="0.25">
      <c r="H92" s="11"/>
      <c r="J92" s="1"/>
    </row>
    <row r="93" spans="1:33" x14ac:dyDescent="0.25">
      <c r="A93" s="1" t="s">
        <v>108</v>
      </c>
      <c r="C93" s="26" t="s">
        <v>101</v>
      </c>
      <c r="D93" s="1" t="s">
        <v>106</v>
      </c>
      <c r="F93" s="1" t="s">
        <v>98</v>
      </c>
      <c r="H93" s="11"/>
      <c r="J93" s="1"/>
    </row>
    <row r="94" spans="1:33" x14ac:dyDescent="0.25">
      <c r="A94" s="1" t="s">
        <v>100</v>
      </c>
      <c r="C94" s="8" t="s">
        <v>101</v>
      </c>
      <c r="D94" s="1" t="s">
        <v>106</v>
      </c>
      <c r="F94" s="1" t="s">
        <v>98</v>
      </c>
      <c r="H94" s="11"/>
      <c r="J94" s="1"/>
    </row>
    <row r="95" spans="1:33" x14ac:dyDescent="0.25">
      <c r="A95" s="1" t="s">
        <v>109</v>
      </c>
      <c r="C95" s="25" t="s">
        <v>101</v>
      </c>
      <c r="D95" s="1" t="s">
        <v>106</v>
      </c>
      <c r="F95" s="1" t="s">
        <v>98</v>
      </c>
      <c r="H95" s="11"/>
      <c r="J95" s="1"/>
    </row>
    <row r="96" spans="1:33" x14ac:dyDescent="0.25">
      <c r="A96" s="1" t="s">
        <v>109</v>
      </c>
      <c r="C96" s="151" t="s">
        <v>101</v>
      </c>
      <c r="D96" s="1" t="s">
        <v>107</v>
      </c>
      <c r="F96" s="1" t="s">
        <v>99</v>
      </c>
      <c r="H96" s="11"/>
      <c r="J96" s="1"/>
    </row>
    <row r="97" spans="1:10" x14ac:dyDescent="0.25">
      <c r="A97" s="1" t="s">
        <v>110</v>
      </c>
      <c r="C97" s="25" t="s">
        <v>101</v>
      </c>
      <c r="D97" s="1" t="s">
        <v>106</v>
      </c>
      <c r="F97" s="1" t="s">
        <v>98</v>
      </c>
      <c r="H97" s="11"/>
      <c r="J97" s="1"/>
    </row>
    <row r="98" spans="1:10" x14ac:dyDescent="0.25">
      <c r="A98" s="1" t="s">
        <v>110</v>
      </c>
      <c r="C98" s="29" t="s">
        <v>101</v>
      </c>
      <c r="D98" s="1" t="s">
        <v>107</v>
      </c>
      <c r="F98" s="1" t="s">
        <v>99</v>
      </c>
      <c r="H98" s="11"/>
      <c r="J98" s="1"/>
    </row>
    <row r="99" spans="1:10" x14ac:dyDescent="0.25">
      <c r="C99" s="32"/>
      <c r="H99" s="11"/>
      <c r="J99" s="1"/>
    </row>
    <row r="100" spans="1:10" x14ac:dyDescent="0.25">
      <c r="H100" s="11"/>
      <c r="J100" s="1"/>
    </row>
    <row r="101" spans="1:10" x14ac:dyDescent="0.25">
      <c r="A101" s="4" t="s">
        <v>988</v>
      </c>
      <c r="B101" s="1" t="s">
        <v>736</v>
      </c>
      <c r="H101" s="11"/>
      <c r="J101" s="1"/>
    </row>
    <row r="102" spans="1:10" x14ac:dyDescent="0.25">
      <c r="H102" s="11"/>
      <c r="J102" s="1"/>
    </row>
    <row r="103" spans="1:10" x14ac:dyDescent="0.25">
      <c r="A103" s="3" t="s">
        <v>0</v>
      </c>
      <c r="B103" s="5" t="s">
        <v>1</v>
      </c>
      <c r="G103" s="14"/>
      <c r="H103" s="11"/>
      <c r="J103" s="1"/>
    </row>
    <row r="104" spans="1:10" x14ac:dyDescent="0.25">
      <c r="A104" s="6" t="s">
        <v>2</v>
      </c>
      <c r="B104" s="16" t="s">
        <v>1598</v>
      </c>
      <c r="H104" s="11"/>
      <c r="J104" s="1"/>
    </row>
    <row r="105" spans="1:10" x14ac:dyDescent="0.25">
      <c r="A105" s="6" t="s">
        <v>3</v>
      </c>
      <c r="B105" s="16" t="s">
        <v>1599</v>
      </c>
      <c r="H105" s="11"/>
      <c r="J105" s="1"/>
    </row>
    <row r="106" spans="1:10" x14ac:dyDescent="0.25">
      <c r="A106" s="6" t="s">
        <v>4</v>
      </c>
      <c r="B106" s="16" t="s">
        <v>1627</v>
      </c>
      <c r="H106" s="11"/>
      <c r="J106" s="1"/>
    </row>
    <row r="107" spans="1:10" x14ac:dyDescent="0.25">
      <c r="A107" s="6" t="s">
        <v>5</v>
      </c>
      <c r="B107" s="7"/>
    </row>
    <row r="108" spans="1:10" x14ac:dyDescent="0.25">
      <c r="A108" s="6" t="s">
        <v>6</v>
      </c>
      <c r="B108" s="7"/>
    </row>
    <row r="109" spans="1:10" x14ac:dyDescent="0.25">
      <c r="A109" s="6" t="s">
        <v>7</v>
      </c>
      <c r="B109" s="7"/>
      <c r="G109" s="14"/>
    </row>
    <row r="110" spans="1:10" x14ac:dyDescent="0.25">
      <c r="A110" s="6" t="s">
        <v>47</v>
      </c>
      <c r="B110" s="16" t="s">
        <v>1602</v>
      </c>
    </row>
    <row r="111" spans="1:10" x14ac:dyDescent="0.25">
      <c r="A111" s="6" t="s">
        <v>8</v>
      </c>
      <c r="B111" s="7"/>
    </row>
    <row r="114" spans="1:2" x14ac:dyDescent="0.25">
      <c r="A114" s="3" t="s">
        <v>23</v>
      </c>
      <c r="B114" s="5" t="s">
        <v>24</v>
      </c>
    </row>
    <row r="115" spans="1:2" x14ac:dyDescent="0.25">
      <c r="A115" s="6" t="s">
        <v>25</v>
      </c>
      <c r="B115" s="7"/>
    </row>
    <row r="116" spans="1:2" x14ac:dyDescent="0.25">
      <c r="A116" s="6" t="s">
        <v>26</v>
      </c>
      <c r="B116" s="7"/>
    </row>
    <row r="117" spans="1:2" x14ac:dyDescent="0.25">
      <c r="A117" s="6" t="s">
        <v>27</v>
      </c>
      <c r="B117" s="7"/>
    </row>
    <row r="118" spans="1:2" x14ac:dyDescent="0.25">
      <c r="A118" s="6" t="s">
        <v>28</v>
      </c>
      <c r="B118" s="7"/>
    </row>
    <row r="119" spans="1:2" x14ac:dyDescent="0.25">
      <c r="A119" s="6" t="s">
        <v>29</v>
      </c>
      <c r="B119" s="7"/>
    </row>
    <row r="120" spans="1:2" x14ac:dyDescent="0.25">
      <c r="A120" s="6" t="s">
        <v>30</v>
      </c>
      <c r="B120" s="7" t="s">
        <v>78</v>
      </c>
    </row>
    <row r="121" spans="1:2" x14ac:dyDescent="0.25">
      <c r="A121" s="6" t="s">
        <v>31</v>
      </c>
      <c r="B121" s="7" t="s">
        <v>78</v>
      </c>
    </row>
    <row r="122" spans="1:2" x14ac:dyDescent="0.25">
      <c r="A122" s="6" t="s">
        <v>32</v>
      </c>
      <c r="B122" s="7"/>
    </row>
    <row r="123" spans="1:2" x14ac:dyDescent="0.25">
      <c r="A123" s="6" t="s">
        <v>33</v>
      </c>
      <c r="B123" s="7"/>
    </row>
    <row r="124" spans="1:2" x14ac:dyDescent="0.25">
      <c r="A124" s="6" t="s">
        <v>34</v>
      </c>
      <c r="B124" s="7"/>
    </row>
    <row r="125" spans="1:2" x14ac:dyDescent="0.25">
      <c r="A125" s="6" t="s">
        <v>35</v>
      </c>
      <c r="B125" s="7"/>
    </row>
    <row r="126" spans="1:2" x14ac:dyDescent="0.25">
      <c r="A126" s="6" t="s">
        <v>36</v>
      </c>
      <c r="B126" s="7"/>
    </row>
    <row r="127" spans="1:2" x14ac:dyDescent="0.25">
      <c r="A127" s="6" t="s">
        <v>37</v>
      </c>
      <c r="B127" s="7"/>
    </row>
    <row r="128" spans="1:2" x14ac:dyDescent="0.25">
      <c r="A128" s="6" t="s">
        <v>38</v>
      </c>
      <c r="B128" s="7"/>
    </row>
    <row r="129" spans="1:2" x14ac:dyDescent="0.25">
      <c r="A129" s="6" t="s">
        <v>39</v>
      </c>
      <c r="B129" s="7"/>
    </row>
    <row r="130" spans="1:2" x14ac:dyDescent="0.25">
      <c r="A130" s="6" t="s">
        <v>40</v>
      </c>
      <c r="B130" s="7"/>
    </row>
    <row r="131" spans="1:2" x14ac:dyDescent="0.25">
      <c r="A131" s="6" t="s">
        <v>41</v>
      </c>
      <c r="B131" s="7"/>
    </row>
    <row r="132" spans="1:2" x14ac:dyDescent="0.25">
      <c r="A132" s="6" t="s">
        <v>42</v>
      </c>
      <c r="B132" s="7"/>
    </row>
    <row r="133" spans="1:2" x14ac:dyDescent="0.25">
      <c r="A133" s="6" t="s">
        <v>43</v>
      </c>
      <c r="B133" s="7"/>
    </row>
    <row r="134" spans="1:2" x14ac:dyDescent="0.25">
      <c r="A134" s="6" t="s">
        <v>44</v>
      </c>
      <c r="B134" s="7"/>
    </row>
    <row r="135" spans="1:2" x14ac:dyDescent="0.25">
      <c r="A135" s="6" t="s">
        <v>45</v>
      </c>
      <c r="B135" s="7"/>
    </row>
    <row r="136" spans="1:2" x14ac:dyDescent="0.25">
      <c r="A136" s="6" t="s">
        <v>46</v>
      </c>
      <c r="B136" s="7"/>
    </row>
    <row r="147" spans="5:34" x14ac:dyDescent="0.25">
      <c r="I147" s="76"/>
      <c r="J147" s="1"/>
      <c r="K147" s="76"/>
      <c r="L147" s="76"/>
      <c r="M147" s="76"/>
      <c r="O147" s="76"/>
      <c r="P147" s="76"/>
      <c r="Q147" s="76"/>
      <c r="R147" s="76"/>
      <c r="S147" s="76"/>
      <c r="T147" s="76"/>
      <c r="U147" s="76"/>
      <c r="V147" s="76"/>
      <c r="W147" s="76"/>
      <c r="X147" s="76"/>
      <c r="Y147" s="76"/>
      <c r="Z147" s="76"/>
      <c r="AA147" s="76"/>
      <c r="AD147" s="76"/>
      <c r="AF147" s="76"/>
      <c r="AH147" s="76"/>
    </row>
    <row r="151" spans="5:34" x14ac:dyDescent="0.25">
      <c r="I151" s="76"/>
      <c r="J151" s="1"/>
      <c r="K151" s="76"/>
      <c r="L151" s="76"/>
      <c r="M151" s="76"/>
      <c r="O151" s="76"/>
      <c r="P151" s="76"/>
      <c r="Q151" s="76"/>
      <c r="R151" s="76"/>
      <c r="S151" s="76"/>
      <c r="T151" s="76"/>
      <c r="U151" s="76"/>
      <c r="V151" s="76"/>
      <c r="W151" s="76"/>
      <c r="X151" s="76"/>
      <c r="Y151" s="76"/>
      <c r="Z151" s="76"/>
      <c r="AA151" s="76"/>
      <c r="AD151" s="76"/>
      <c r="AF151" s="76"/>
      <c r="AH151" s="76"/>
    </row>
    <row r="153" spans="5:34" x14ac:dyDescent="0.25">
      <c r="E153" s="76"/>
    </row>
    <row r="157" spans="5:34" x14ac:dyDescent="0.25">
      <c r="E157" s="76"/>
    </row>
    <row r="188" spans="7:7" x14ac:dyDescent="0.25">
      <c r="G188" s="76"/>
    </row>
    <row r="192" spans="7:7" x14ac:dyDescent="0.25">
      <c r="G192" s="76"/>
    </row>
  </sheetData>
  <mergeCells count="2">
    <mergeCell ref="AD31:AE31"/>
    <mergeCell ref="AG31:AH31"/>
  </mergeCells>
  <dataValidations count="2">
    <dataValidation type="list" allowBlank="1" sqref="B56 B28 B84" xr:uid="{00000000-0002-0000-4500-000000000000}">
      <formula1>"ACCOUNT,BUSINESSUNIT,CATEGORY,DATASRC,DEPARTMENT,INTCO,MEASURES,RPTCURRENCY,TIME"</formula1>
    </dataValidation>
    <dataValidation type="list" allowBlank="1" sqref="B85 B29 B57" xr:uid="{00000000-0002-0000-4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557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5574" r:id="rId5" name="FPMExcelClientSheetOptionstb1"/>
      </mc:Fallback>
    </mc:AlternateContent>
  </controls>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9">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IF('LDXz8fdsAE2Ug4AWCUzTAA=='!$O$1=TRUE,"TRAILING12",IF(AA17="CURRENT","ROLLINGFORECAST","PERIODIC"))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_xll.EVRNG(H34:H43)</f>
        <v>#NAME?</v>
      </c>
      <c r="G19" s="18" t="str">
        <f>$B$6</f>
        <v>D2149</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"DEP(469000)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407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3" ca="1" si="0">IF($I34="B1","",SUM(O34:Z34))</f>
        <v>#NAME?</v>
      </c>
      <c r="AB34" s="17" t="e">
        <f t="shared" ref="AB34:AB43" ca="1" si="1">IF(AA34=0,"",IFERROR(AA34/AA$19,""))</f>
        <v>#NAME?</v>
      </c>
      <c r="AD34" s="21"/>
      <c r="AE34" s="17" t="str">
        <f t="shared" ref="AE34:AE43" si="2">IF(AD34=0,"",IFERROR(AD34/AD$19,""))</f>
        <v/>
      </c>
      <c r="AF34" s="50" t="e">
        <f t="shared" ref="AF34:AF43"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408</v>
      </c>
      <c r="I35" s="161" t="e">
        <f ca="1">_xll.EVPRO($B$1,$H35,"STYLE")</f>
        <v>#NAME?</v>
      </c>
      <c r="J35" s="161" t="e">
        <f ca="1">_xll.EVPRO($B$1,$H35,"CALC")</f>
        <v>#NAME?</v>
      </c>
      <c r="K35" s="68" t="e">
        <f t="shared" ref="K35:K43"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3" si="5">IF(AG35=0,"",IFERROR(AG35/AG$19,""))</f>
        <v/>
      </c>
      <c r="AI35" s="50" t="e">
        <f t="shared" ref="AI35:AI43" ca="1" si="6">IF(AND($AA35="",AG35=""),"",$AA35-AG35)</f>
        <v>#NAME?</v>
      </c>
      <c r="AJ35" s="399">
        <f t="shared" ref="AJ35:AJ43" ca="1" si="7">IFERROR(AA35/AA$20,0)</f>
        <v>0</v>
      </c>
      <c r="AK35" s="400">
        <f t="shared" ref="AK35:AK43" ca="1" si="8">IFERROR(AD35/AD$20,0)</f>
        <v>0</v>
      </c>
      <c r="AL35" s="401">
        <f t="shared" ref="AL35:AL43" ca="1" si="9">IFERROR(AG35/AG$20,0)</f>
        <v>0</v>
      </c>
      <c r="AM35" s="402">
        <f t="shared" ref="AM35:AM43" ca="1" si="10">+IFERROR(ROUND(($AB35-AE35)*100,2)&amp;" pts.",0)</f>
        <v>0</v>
      </c>
      <c r="AN35" s="403">
        <f t="shared" ref="AN35:AN43" ca="1" si="11">+IFERROR(ROUND(($AB35-AH35)*100,2)&amp;" pts.",0)</f>
        <v>0</v>
      </c>
    </row>
    <row r="36" spans="1:40" x14ac:dyDescent="0.25">
      <c r="H36" s="15" t="s">
        <v>409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410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104</v>
      </c>
      <c r="C38" s="26" t="s">
        <v>101</v>
      </c>
      <c r="D38" s="1" t="s">
        <v>106</v>
      </c>
      <c r="F38" s="1" t="s">
        <v>98</v>
      </c>
      <c r="H38" s="15" t="s">
        <v>411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412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151" t="s">
        <v>101</v>
      </c>
      <c r="D40" s="1" t="s">
        <v>107</v>
      </c>
      <c r="F40" s="1" t="s">
        <v>99</v>
      </c>
      <c r="H40" s="15" t="s">
        <v>413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414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H42" s="15" t="s">
        <v>474</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
      <c r="P42" s="30"/>
      <c r="Q42" s="30"/>
      <c r="R42" s="30"/>
      <c r="S42" s="30"/>
      <c r="T42" s="30"/>
      <c r="U42" s="30"/>
      <c r="V42" s="30"/>
      <c r="W42" s="30"/>
      <c r="X42" s="30"/>
      <c r="Y42" s="30"/>
      <c r="Z42" s="30"/>
      <c r="AA42" s="324" t="e">
        <f t="shared" ca="1" si="0"/>
        <v>#NAME?</v>
      </c>
      <c r="AB42" s="31" t="e">
        <f t="shared" ca="1" si="1"/>
        <v>#NAME?</v>
      </c>
      <c r="AD42" s="30"/>
      <c r="AE42" s="31" t="str">
        <f t="shared" si="2"/>
        <v/>
      </c>
      <c r="AF42" s="51" t="e">
        <f t="shared" ca="1" si="3"/>
        <v>#NAME?</v>
      </c>
      <c r="AG42" s="30"/>
      <c r="AH42" s="31" t="str">
        <f t="shared" si="5"/>
        <v/>
      </c>
      <c r="AI42" s="51" t="e">
        <f t="shared" ca="1" si="6"/>
        <v>#NAME?</v>
      </c>
      <c r="AJ42" s="409">
        <f t="shared" ca="1" si="7"/>
        <v>0</v>
      </c>
      <c r="AK42" s="410">
        <f t="shared" ca="1" si="8"/>
        <v>0</v>
      </c>
      <c r="AL42" s="411">
        <f t="shared" ca="1" si="9"/>
        <v>0</v>
      </c>
      <c r="AM42" s="412">
        <f t="shared" ca="1" si="10"/>
        <v>0</v>
      </c>
      <c r="AN42" s="413">
        <f t="shared" ca="1" si="11"/>
        <v>0</v>
      </c>
    </row>
    <row r="43" spans="1:40" x14ac:dyDescent="0.25">
      <c r="A43" s="4" t="e">
        <f ca="1">_xll.EVDRE($B$1,A46:B53,A56:B62)</f>
        <v>#NAME?</v>
      </c>
      <c r="H43" s="15" t="s">
        <v>280</v>
      </c>
      <c r="I43" s="479" t="e">
        <f ca="1">_xll.EVPRO($B$1,$H43,"STYLE")</f>
        <v>#NAME?</v>
      </c>
      <c r="J43" s="479" t="e">
        <f ca="1">_xll.EVPRO($B$1,$H43,"CALC")</f>
        <v>#NAME?</v>
      </c>
      <c r="K43" s="480" t="e">
        <f t="shared" ca="1" si="4"/>
        <v>#NAME?</v>
      </c>
      <c r="L43" s="170" t="e">
        <f ca="1">_xll.EVPRO($B$1,H43,"JDEID")</f>
        <v>#NAME?</v>
      </c>
      <c r="M43" s="170" t="e">
        <f ca="1">IF(AND(I43="N",J43="N"),_xll.EVPRO($B$1,H43,"PSFTID"),"")</f>
        <v>#NAME?</v>
      </c>
      <c r="N43" s="170" t="e">
        <f ca="1">IF(_xll.EVDES(H43,$B$1)="#NODATA","",_xll.EVDES(H43,$B$1))</f>
        <v>#NAME?</v>
      </c>
      <c r="O43" s="134"/>
      <c r="P43" s="134"/>
      <c r="Q43" s="134"/>
      <c r="R43" s="134"/>
      <c r="S43" s="134"/>
      <c r="T43" s="134"/>
      <c r="U43" s="134"/>
      <c r="V43" s="134"/>
      <c r="W43" s="134"/>
      <c r="X43" s="134"/>
      <c r="Y43" s="134"/>
      <c r="Z43" s="134"/>
      <c r="AA43" s="134" t="e">
        <f t="shared" ca="1" si="0"/>
        <v>#NAME?</v>
      </c>
      <c r="AB43" s="135" t="e">
        <f t="shared" ca="1" si="1"/>
        <v>#NAME?</v>
      </c>
      <c r="AC43" s="137"/>
      <c r="AD43" s="134"/>
      <c r="AE43" s="135" t="str">
        <f t="shared" si="2"/>
        <v/>
      </c>
      <c r="AF43" s="136" t="e">
        <f t="shared" ca="1" si="3"/>
        <v>#NAME?</v>
      </c>
      <c r="AG43" s="134"/>
      <c r="AH43" s="135" t="str">
        <f t="shared" si="5"/>
        <v/>
      </c>
      <c r="AI43" s="136" t="e">
        <f t="shared" ca="1" si="6"/>
        <v>#NAME?</v>
      </c>
      <c r="AJ43" s="360">
        <f t="shared" ca="1" si="7"/>
        <v>0</v>
      </c>
      <c r="AK43" s="361">
        <f t="shared" ca="1" si="8"/>
        <v>0</v>
      </c>
      <c r="AL43" s="363">
        <f t="shared" ca="1" si="9"/>
        <v>0</v>
      </c>
      <c r="AM43" s="405">
        <f t="shared" ca="1" si="10"/>
        <v>0</v>
      </c>
      <c r="AN43" s="406">
        <f t="shared" ca="1" si="11"/>
        <v>0</v>
      </c>
    </row>
    <row r="44" spans="1:40" x14ac:dyDescent="0.25">
      <c r="O44" s="53"/>
      <c r="P44" s="54"/>
      <c r="Q44" s="54"/>
      <c r="R44" s="54"/>
      <c r="S44" s="54"/>
      <c r="T44" s="54"/>
      <c r="U44" s="54"/>
      <c r="V44" s="54"/>
      <c r="W44" s="54"/>
      <c r="X44" s="54"/>
      <c r="Y44" s="54"/>
      <c r="Z44" s="54"/>
      <c r="AA44" s="54"/>
      <c r="AB44" s="55"/>
      <c r="AD44" s="53"/>
      <c r="AE44" s="54"/>
      <c r="AF44" s="55"/>
      <c r="AG44" s="53"/>
      <c r="AH44" s="54"/>
      <c r="AI44" s="55"/>
    </row>
    <row r="45" spans="1:40" x14ac:dyDescent="0.25">
      <c r="A45" s="3" t="s">
        <v>0</v>
      </c>
      <c r="B45" s="5" t="s">
        <v>1</v>
      </c>
      <c r="H45" s="1" t="s">
        <v>281</v>
      </c>
      <c r="I45" s="11" t="e">
        <f ca="1">_xll.EVPRO($B$1,$H45,"STYLE")</f>
        <v>#NAME?</v>
      </c>
      <c r="J45" s="11" t="e">
        <f ca="1">_xll.EVPRO($B$1,$H45,"CALC")</f>
        <v>#NAME?</v>
      </c>
      <c r="N45" s="40" t="e">
        <f ca="1">IF(_xll.EVDES(H45,$B$1)="#NODATA","",_xll.EVDES(H45,$B$1))</f>
        <v>#NAME?</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7" t="e">
        <f ca="1">_xll.EVRNG($B$2:$B$10)</f>
        <v>#NAME?</v>
      </c>
      <c r="H46" s="15" t="s">
        <v>415</v>
      </c>
      <c r="I46" s="161" t="e">
        <f ca="1">_xll.EVPRO($B$1,$H46,"STYLE")</f>
        <v>#NAME?</v>
      </c>
      <c r="J46" s="161" t="e">
        <f ca="1">_xll.EVPRO($B$1,$H46,"CALC")</f>
        <v>#NAME?</v>
      </c>
      <c r="K46" s="68" t="e">
        <f ca="1">IF(AND(I46&gt;="T5"),"&gt;","")</f>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t="e">
        <f t="shared" ref="AA46:AA54" ca="1" si="12">IF($I46="B1","",SUM(O46:Z46))</f>
        <v>#NAME?</v>
      </c>
      <c r="AB46" s="17" t="e">
        <f ca="1">IF(AA46=0,"",IFERROR(AA46/_xll.EVGTS($B$1,1,_xll.EVPRO($B$1,$H46,"COSBASIS"),$B$3,$B$5,$B$6,$B$7,$B$9,AA$16,AA$17,AA$11),""))</f>
        <v>#NAME?</v>
      </c>
      <c r="AD46" s="21"/>
      <c r="AE46" s="17" t="str">
        <f>IF(AD46=0,"",IFERROR(AD46/_xll.EVGTS($B$1,1,_xll.EVPRO($B$1,$H46,"COSBASIS"),$B$3,$B$5,$B$6,$B$7,$B$9,AD$16,AD$17,AD$18),""))</f>
        <v/>
      </c>
      <c r="AF46" s="50" t="e">
        <f t="shared" ref="AF46:AF54" ca="1" si="13">IF(AND($AA46="",AD46=""),"",$AA46-AD46)</f>
        <v>#NAME?</v>
      </c>
      <c r="AG46" s="21"/>
      <c r="AH46" s="17" t="str">
        <f>IF(AG46=0,"",IFERROR(AG46/_xll.EVGTS($B$1,1,_xll.EVPRO($B$1,$H46,"COSBASIS"),$B$3,$B$5,$B$6,$B$7,$B$9,AG$16,AG$17,AG$18),""))</f>
        <v/>
      </c>
      <c r="AI46" s="50" t="e">
        <f ca="1">IF(AND($AA46="",AG46=""),"",$AA46-AG46)</f>
        <v>#NAME?</v>
      </c>
      <c r="AJ46" s="399">
        <f ca="1">IFERROR(AA46/AA$20,0)</f>
        <v>0</v>
      </c>
      <c r="AK46" s="400">
        <f ca="1">IFERROR(AD46/AD$20,0)</f>
        <v>0</v>
      </c>
      <c r="AL46" s="401">
        <f ca="1">IFERROR(AG46/AG$20,0)</f>
        <v>0</v>
      </c>
      <c r="AM46" s="402">
        <f ca="1">+IFERROR(ROUND(($AB46-AE46)*100,2)&amp;" pts.",0)</f>
        <v>0</v>
      </c>
      <c r="AN46" s="403">
        <f ca="1">+IFERROR(ROUND(($AB46-AH46)*100,2)&amp;" pts.",0)</f>
        <v>0</v>
      </c>
    </row>
    <row r="47" spans="1:40" x14ac:dyDescent="0.25">
      <c r="A47" s="6" t="s">
        <v>3</v>
      </c>
      <c r="B47" s="7" t="e">
        <f ca="1">_xll.EVRNG($O$16:$AN$18)</f>
        <v>#NAME?</v>
      </c>
      <c r="H47" s="15" t="s">
        <v>416</v>
      </c>
      <c r="I47" s="161" t="e">
        <f ca="1">_xll.EVPRO($B$1,$H47,"STYLE")</f>
        <v>#NAME?</v>
      </c>
      <c r="J47" s="161" t="e">
        <f ca="1">_xll.EVPRO($B$1,$H47,"CALC")</f>
        <v>#NAME?</v>
      </c>
      <c r="K47" s="68" t="e">
        <f t="shared" ref="K47:K54" ca="1" si="14">IF(AND(I47&gt;="T5"),"&gt;","")</f>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t="e">
        <f t="shared" ca="1" si="12"/>
        <v>#NAME?</v>
      </c>
      <c r="AB47" s="17" t="e">
        <f ca="1">IF(AA47=0,"",IFERROR(AA47/_xll.EVGTS($B$1,1,_xll.EVPRO($B$1,$H47,"COSBASIS"),$B$3,$B$5,$B$6,$B$7,$B$9,AA$16,AA$17,AA$11),""))</f>
        <v>#NAME?</v>
      </c>
      <c r="AD47" s="21"/>
      <c r="AE47" s="17" t="str">
        <f>IF(AD47=0,"",IFERROR(AD47/_xll.EVGTS($B$1,1,_xll.EVPRO($B$1,$H47,"COSBASIS"),$B$3,$B$5,$B$6,$B$7,$B$9,AD$16,AD$17,AD$18),""))</f>
        <v/>
      </c>
      <c r="AF47" s="50" t="e">
        <f t="shared" ca="1" si="13"/>
        <v>#NAME?</v>
      </c>
      <c r="AG47" s="21"/>
      <c r="AH47" s="17" t="str">
        <f>IF(AG47=0,"",IFERROR(AG47/_xll.EVGTS($B$1,1,_xll.EVPRO($B$1,$H47,"COSBASIS"),$B$3,$B$5,$B$6,$B$7,$B$9,AG$16,AG$17,AG$18),""))</f>
        <v/>
      </c>
      <c r="AI47" s="50" t="e">
        <f t="shared" ref="AI47:AI54" ca="1" si="15">IF(AND($AA47="",AG47=""),"",$AA47-AG47)</f>
        <v>#NAME?</v>
      </c>
      <c r="AJ47" s="399">
        <f t="shared" ref="AJ47:AJ54" ca="1" si="16">IFERROR(AA47/AA$20,0)</f>
        <v>0</v>
      </c>
      <c r="AK47" s="400">
        <f t="shared" ref="AK47:AK54" ca="1" si="17">IFERROR(AD47/AD$20,0)</f>
        <v>0</v>
      </c>
      <c r="AL47" s="401">
        <f t="shared" ref="AL47:AL54" ca="1" si="18">IFERROR(AG47/AG$20,0)</f>
        <v>0</v>
      </c>
      <c r="AM47" s="402">
        <f t="shared" ref="AM47:AM54" ca="1" si="19">+IFERROR(ROUND(($AB47-AE47)*100,2)&amp;" pts.",0)</f>
        <v>0</v>
      </c>
      <c r="AN47" s="403">
        <f t="shared" ref="AN47:AN54" ca="1" si="20">+IFERROR(ROUND(($AB47-AH47)*100,2)&amp;" pts.",0)</f>
        <v>0</v>
      </c>
    </row>
    <row r="48" spans="1:40" x14ac:dyDescent="0.25">
      <c r="A48" s="6" t="s">
        <v>4</v>
      </c>
      <c r="B48" s="7" t="e">
        <f ca="1">_xll.EVRNG(H46:H54)</f>
        <v>#NAME?</v>
      </c>
      <c r="H48" s="15" t="s">
        <v>417</v>
      </c>
      <c r="I48" s="161" t="e">
        <f ca="1">_xll.EVPRO($B$1,$H48,"STYLE")</f>
        <v>#NAME?</v>
      </c>
      <c r="J48" s="161" t="e">
        <f ca="1">_xll.EVPRO($B$1,$H48,"CALC")</f>
        <v>#NAME?</v>
      </c>
      <c r="K48" s="68" t="e">
        <f t="shared" ca="1" si="14"/>
        <v>#NAME?</v>
      </c>
      <c r="L48" s="162" t="e">
        <f ca="1">_xll.EVPRO($B$1,H48,"JDEID")</f>
        <v>#NAME?</v>
      </c>
      <c r="M48" s="162" t="e">
        <f ca="1">IF(AND(I48="N",J48="N"),_xll.EVPRO($B$1,H48,"PSFTID"),"")</f>
        <v>#NAME?</v>
      </c>
      <c r="N48" s="162" t="e">
        <f ca="1">IF(_xll.EVDES(H48,$B$1)="#NODATA","",_xll.EVDES(H48,$B$1))</f>
        <v>#NAME?</v>
      </c>
      <c r="O48" s="21"/>
      <c r="P48" s="21"/>
      <c r="Q48" s="21"/>
      <c r="R48" s="21"/>
      <c r="S48" s="21"/>
      <c r="T48" s="21"/>
      <c r="U48" s="21"/>
      <c r="V48" s="21"/>
      <c r="W48" s="21"/>
      <c r="X48" s="21"/>
      <c r="Y48" s="21"/>
      <c r="Z48" s="21"/>
      <c r="AA48" s="21" t="e">
        <f t="shared" ca="1" si="12"/>
        <v>#NAME?</v>
      </c>
      <c r="AB48" s="17" t="e">
        <f ca="1">IF(AA48=0,"",IFERROR(AA48/_xll.EVGTS($B$1,1,_xll.EVPRO($B$1,$H48,"COSBASIS"),$B$3,$B$5,$B$6,$B$7,$B$9,AA$16,AA$17,AA$11),""))</f>
        <v>#NAME?</v>
      </c>
      <c r="AD48" s="21"/>
      <c r="AE48" s="17" t="str">
        <f>IF(AD48=0,"",IFERROR(AD48/_xll.EVGTS($B$1,1,_xll.EVPRO($B$1,$H48,"COSBASIS"),$B$3,$B$5,$B$6,$B$7,$B$9,AD$16,AD$17,AD$18),""))</f>
        <v/>
      </c>
      <c r="AF48" s="50" t="e">
        <f t="shared" ca="1" si="13"/>
        <v>#NAME?</v>
      </c>
      <c r="AG48" s="21"/>
      <c r="AH48" s="17" t="str">
        <f>IF(AG48=0,"",IFERROR(AG48/_xll.EVGTS($B$1,1,_xll.EVPRO($B$1,$H48,"COSBASIS"),$B$3,$B$5,$B$6,$B$7,$B$9,AG$16,AG$17,AG$18),""))</f>
        <v/>
      </c>
      <c r="AI48" s="50" t="e">
        <f t="shared" ca="1" si="15"/>
        <v>#NAME?</v>
      </c>
      <c r="AJ48" s="399">
        <f t="shared" ca="1" si="16"/>
        <v>0</v>
      </c>
      <c r="AK48" s="400">
        <f t="shared" ca="1" si="17"/>
        <v>0</v>
      </c>
      <c r="AL48" s="401">
        <f t="shared" ca="1" si="18"/>
        <v>0</v>
      </c>
      <c r="AM48" s="402">
        <f t="shared" ca="1" si="19"/>
        <v>0</v>
      </c>
      <c r="AN48" s="403">
        <f t="shared" ca="1" si="20"/>
        <v>0</v>
      </c>
    </row>
    <row r="49" spans="1:40" x14ac:dyDescent="0.25">
      <c r="A49" s="6" t="s">
        <v>5</v>
      </c>
      <c r="B49" s="7"/>
      <c r="F49" s="152"/>
      <c r="H49" s="15" t="s">
        <v>418</v>
      </c>
      <c r="I49" s="161" t="e">
        <f ca="1">_xll.EVPRO($B$1,$H49,"STYLE")</f>
        <v>#NAME?</v>
      </c>
      <c r="J49" s="161" t="e">
        <f ca="1">_xll.EVPRO($B$1,$H49,"CALC")</f>
        <v>#NAME?</v>
      </c>
      <c r="K49" s="68" t="e">
        <f t="shared" ca="1" si="14"/>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21" t="e">
        <f t="shared" ca="1" si="12"/>
        <v>#NAME?</v>
      </c>
      <c r="AB49" s="17" t="e">
        <f ca="1">IF(AA49=0,"",IFERROR(AA49/_xll.EVGTS($B$1,1,_xll.EVPRO($B$1,$H49,"COSBASIS"),$B$3,$B$5,$B$6,$B$7,$B$9,AA$16,AA$17,AA$11),""))</f>
        <v>#NAME?</v>
      </c>
      <c r="AD49" s="21"/>
      <c r="AE49" s="17" t="str">
        <f>IF(AD49=0,"",IFERROR(AD49/_xll.EVGTS($B$1,1,_xll.EVPRO($B$1,$H49,"COSBASIS"),$B$3,$B$5,$B$6,$B$7,$B$9,AD$16,AD$17,AD$18),""))</f>
        <v/>
      </c>
      <c r="AF49" s="50" t="e">
        <f t="shared" ca="1" si="13"/>
        <v>#NAME?</v>
      </c>
      <c r="AG49" s="21"/>
      <c r="AH49" s="17" t="str">
        <f>IF(AG49=0,"",IFERROR(AG49/_xll.EVGTS($B$1,1,_xll.EVPRO($B$1,$H49,"COSBASIS"),$B$3,$B$5,$B$6,$B$7,$B$9,AG$16,AG$17,AG$18),""))</f>
        <v/>
      </c>
      <c r="AI49" s="50" t="e">
        <f t="shared" ca="1" si="15"/>
        <v>#NAME?</v>
      </c>
      <c r="AJ49" s="399">
        <f t="shared" ca="1" si="16"/>
        <v>0</v>
      </c>
      <c r="AK49" s="400">
        <f t="shared" ca="1" si="17"/>
        <v>0</v>
      </c>
      <c r="AL49" s="401">
        <f t="shared" ca="1" si="18"/>
        <v>0</v>
      </c>
      <c r="AM49" s="402">
        <f t="shared" ca="1" si="19"/>
        <v>0</v>
      </c>
      <c r="AN49" s="403">
        <f t="shared" ca="1" si="20"/>
        <v>0</v>
      </c>
    </row>
    <row r="50" spans="1:40" x14ac:dyDescent="0.25">
      <c r="A50" s="6" t="s">
        <v>6</v>
      </c>
      <c r="B50" s="7"/>
      <c r="F50" s="152"/>
      <c r="H50" s="15" t="s">
        <v>419</v>
      </c>
      <c r="I50" s="161" t="e">
        <f ca="1">_xll.EVPRO($B$1,$H50,"STYLE")</f>
        <v>#NAME?</v>
      </c>
      <c r="J50" s="161" t="e">
        <f ca="1">_xll.EVPRO($B$1,$H50,"CALC")</f>
        <v>#NAME?</v>
      </c>
      <c r="K50" s="68" t="e">
        <f t="shared" ca="1" si="1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t="shared" ca="1" si="12"/>
        <v>#NAME?</v>
      </c>
      <c r="AB50" s="17" t="e">
        <f ca="1">IF(AA50=0,"",IFERROR(AA50/_xll.EVGTS($B$1,1,_xll.EVPRO($B$1,$H50,"COSBASIS"),$B$3,$B$5,$B$6,$B$7,$B$9,AA$16,AA$17,AA$11),""))</f>
        <v>#NAME?</v>
      </c>
      <c r="AD50" s="21"/>
      <c r="AE50" s="17" t="str">
        <f>IF(AD50=0,"",IFERROR(AD50/_xll.EVGTS($B$1,1,_xll.EVPRO($B$1,$H50,"COSBASIS"),$B$3,$B$5,$B$6,$B$7,$B$9,AD$16,AD$17,AD$18),""))</f>
        <v/>
      </c>
      <c r="AF50" s="50" t="e">
        <f t="shared" ca="1" si="13"/>
        <v>#NAME?</v>
      </c>
      <c r="AG50" s="21"/>
      <c r="AH50" s="17" t="str">
        <f>IF(AG50=0,"",IFERROR(AG50/_xll.EVGTS($B$1,1,_xll.EVPRO($B$1,$H50,"COSBASIS"),$B$3,$B$5,$B$6,$B$7,$B$9,AG$16,AG$17,AG$18),""))</f>
        <v/>
      </c>
      <c r="AI50" s="50" t="e">
        <f t="shared" ca="1" si="15"/>
        <v>#NAME?</v>
      </c>
      <c r="AJ50" s="399">
        <f t="shared" ca="1" si="16"/>
        <v>0</v>
      </c>
      <c r="AK50" s="400">
        <f t="shared" ca="1" si="17"/>
        <v>0</v>
      </c>
      <c r="AL50" s="401">
        <f t="shared" ca="1" si="18"/>
        <v>0</v>
      </c>
      <c r="AM50" s="402">
        <f t="shared" ca="1" si="19"/>
        <v>0</v>
      </c>
      <c r="AN50" s="403">
        <f t="shared" ca="1" si="20"/>
        <v>0</v>
      </c>
    </row>
    <row r="51" spans="1:40" x14ac:dyDescent="0.25">
      <c r="A51" s="6" t="s">
        <v>7</v>
      </c>
      <c r="B51" s="7" t="e">
        <f ca="1">_xll.EVRNG(A65:F68)</f>
        <v>#NAME?</v>
      </c>
      <c r="F51" s="152"/>
      <c r="H51" s="15" t="s">
        <v>420</v>
      </c>
      <c r="I51" s="161" t="e">
        <f ca="1">_xll.EVPRO($B$1,$H51,"STYLE")</f>
        <v>#NAME?</v>
      </c>
      <c r="J51" s="161" t="e">
        <f ca="1">_xll.EVPRO($B$1,$H51,"CALC")</f>
        <v>#NAME?</v>
      </c>
      <c r="K51" s="68" t="e">
        <f t="shared" ca="1" si="14"/>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c r="AA51" s="21" t="e">
        <f t="shared" ca="1" si="12"/>
        <v>#NAME?</v>
      </c>
      <c r="AB51" s="17" t="e">
        <f ca="1">IF(AA51=0,"",IFERROR(AA51/_xll.EVGTS($B$1,1,_xll.EVPRO($B$1,$H51,"COSBASIS"),$B$3,$B$5,$B$6,$B$7,$B$9,AA$16,AA$17,AA$11),""))</f>
        <v>#NAME?</v>
      </c>
      <c r="AD51" s="21"/>
      <c r="AE51" s="17" t="str">
        <f>IF(AD51=0,"",IFERROR(AD51/_xll.EVGTS($B$1,1,_xll.EVPRO($B$1,$H51,"COSBASIS"),$B$3,$B$5,$B$6,$B$7,$B$9,AD$16,AD$17,AD$18),""))</f>
        <v/>
      </c>
      <c r="AF51" s="50" t="e">
        <f t="shared" ca="1" si="13"/>
        <v>#NAME?</v>
      </c>
      <c r="AG51" s="21"/>
      <c r="AH51" s="17" t="str">
        <f>IF(AG51=0,"",IFERROR(AG51/_xll.EVGTS($B$1,1,_xll.EVPRO($B$1,$H51,"COSBASIS"),$B$3,$B$5,$B$6,$B$7,$B$9,AG$16,AG$17,AG$18),""))</f>
        <v/>
      </c>
      <c r="AI51" s="50" t="e">
        <f t="shared" ca="1" si="15"/>
        <v>#NAME?</v>
      </c>
      <c r="AJ51" s="399">
        <f t="shared" ca="1" si="16"/>
        <v>0</v>
      </c>
      <c r="AK51" s="400">
        <f t="shared" ca="1" si="17"/>
        <v>0</v>
      </c>
      <c r="AL51" s="401">
        <f t="shared" ca="1" si="18"/>
        <v>0</v>
      </c>
      <c r="AM51" s="402">
        <f t="shared" ca="1" si="19"/>
        <v>0</v>
      </c>
      <c r="AN51" s="403">
        <f t="shared" ca="1" si="20"/>
        <v>0</v>
      </c>
    </row>
    <row r="52" spans="1:40" x14ac:dyDescent="0.25">
      <c r="A52" s="6" t="s">
        <v>47</v>
      </c>
      <c r="B52" s="7" t="e">
        <f ca="1">_xll.EVRNG($A$116:$B$137)</f>
        <v>#NAME?</v>
      </c>
      <c r="H52" s="15" t="s">
        <v>421</v>
      </c>
      <c r="I52" s="161" t="e">
        <f ca="1">_xll.EVPRO($B$1,$H52,"STYLE")</f>
        <v>#NAME?</v>
      </c>
      <c r="J52" s="161" t="e">
        <f ca="1">_xll.EVPRO($B$1,$H52,"CALC")</f>
        <v>#NAME?</v>
      </c>
      <c r="K52" s="68" t="e">
        <f t="shared" ca="1" si="14"/>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c r="Y52" s="21"/>
      <c r="Z52" s="21"/>
      <c r="AA52" s="21" t="e">
        <f t="shared" ca="1" si="12"/>
        <v>#NAME?</v>
      </c>
      <c r="AB52" s="17" t="e">
        <f ca="1">IF(AA52=0,"",IFERROR(AA52/_xll.EVGTS($B$1,1,_xll.EVPRO($B$1,$H52,"COSBASIS"),$B$3,$B$5,$B$6,$B$7,$B$9,AA$16,AA$17,AA$11),""))</f>
        <v>#NAME?</v>
      </c>
      <c r="AD52" s="21"/>
      <c r="AE52" s="17" t="str">
        <f>IF(AD52=0,"",IFERROR(AD52/_xll.EVGTS($B$1,1,_xll.EVPRO($B$1,$H52,"COSBASIS"),$B$3,$B$5,$B$6,$B$7,$B$9,AD$16,AD$17,AD$18),""))</f>
        <v/>
      </c>
      <c r="AF52" s="50" t="e">
        <f t="shared" ca="1" si="13"/>
        <v>#NAME?</v>
      </c>
      <c r="AG52" s="21"/>
      <c r="AH52" s="17" t="str">
        <f>IF(AG52=0,"",IFERROR(AG52/_xll.EVGTS($B$1,1,_xll.EVPRO($B$1,$H52,"COSBASIS"),$B$3,$B$5,$B$6,$B$7,$B$9,AG$16,AG$17,AG$18),""))</f>
        <v/>
      </c>
      <c r="AI52" s="50" t="e">
        <f t="shared" ca="1" si="15"/>
        <v>#NAME?</v>
      </c>
      <c r="AJ52" s="399">
        <f t="shared" ca="1" si="16"/>
        <v>0</v>
      </c>
      <c r="AK52" s="400">
        <f t="shared" ca="1" si="17"/>
        <v>0</v>
      </c>
      <c r="AL52" s="401">
        <f t="shared" ca="1" si="18"/>
        <v>0</v>
      </c>
      <c r="AM52" s="402">
        <f t="shared" ca="1" si="19"/>
        <v>0</v>
      </c>
      <c r="AN52" s="403">
        <f t="shared" ca="1" si="20"/>
        <v>0</v>
      </c>
    </row>
    <row r="53" spans="1:40" x14ac:dyDescent="0.25">
      <c r="A53" s="6" t="s">
        <v>8</v>
      </c>
      <c r="B53" s="7"/>
      <c r="H53" s="15" t="s">
        <v>422</v>
      </c>
      <c r="I53" s="161" t="e">
        <f ca="1">_xll.EVPRO($B$1,$H53,"STYLE")</f>
        <v>#NAME?</v>
      </c>
      <c r="J53" s="161" t="e">
        <f ca="1">_xll.EVPRO($B$1,$H53,"CALC")</f>
        <v>#NAME?</v>
      </c>
      <c r="K53" s="68" t="e">
        <f t="shared" ca="1" si="14"/>
        <v>#NAME?</v>
      </c>
      <c r="L53" s="162" t="e">
        <f ca="1">_xll.EVPRO($B$1,H53,"JDEID")</f>
        <v>#NAME?</v>
      </c>
      <c r="M53" s="162" t="e">
        <f ca="1">IF(AND(I53="N",J53="N"),_xll.EVPRO($B$1,H53,"PSFTID"),"")</f>
        <v>#NAME?</v>
      </c>
      <c r="N53" s="162" t="e">
        <f ca="1">IF(_xll.EVDES(H53,$B$1)="#NODATA","",_xll.EVDES(H53,$B$1))</f>
        <v>#NAME?</v>
      </c>
      <c r="O53" s="30"/>
      <c r="P53" s="30"/>
      <c r="Q53" s="30"/>
      <c r="R53" s="30"/>
      <c r="S53" s="30"/>
      <c r="T53" s="30"/>
      <c r="U53" s="30"/>
      <c r="V53" s="30"/>
      <c r="W53" s="30"/>
      <c r="X53" s="30"/>
      <c r="Y53" s="30"/>
      <c r="Z53" s="30"/>
      <c r="AA53" s="30" t="e">
        <f t="shared" ca="1" si="12"/>
        <v>#NAME?</v>
      </c>
      <c r="AB53" s="31" t="e">
        <f ca="1">IF(AA53=0,"",IFERROR(AA53/_xll.EVGTS($B$1,1,_xll.EVPRO($B$1,$H53,"COSBASIS"),$B$3,$B$5,$B$6,$B$7,$B$9,AA$16,AA$17,AA$11),""))</f>
        <v>#NAME?</v>
      </c>
      <c r="AD53" s="30"/>
      <c r="AE53" s="31" t="str">
        <f>IF(AD53=0,"",IFERROR(AD53/_xll.EVGTS($B$1,1,_xll.EVPRO($B$1,$H53,"COSBASIS"),$B$3,$B$5,$B$6,$B$7,$B$9,AD$16,AD$17,AD$18),""))</f>
        <v/>
      </c>
      <c r="AF53" s="51" t="e">
        <f t="shared" ca="1" si="13"/>
        <v>#NAME?</v>
      </c>
      <c r="AG53" s="30"/>
      <c r="AH53" s="31" t="str">
        <f>IF(AG53=0,"",IFERROR(AG53/_xll.EVGTS($B$1,1,_xll.EVPRO($B$1,$H53,"COSBASIS"),$B$3,$B$5,$B$6,$B$7,$B$9,AG$16,AG$17,AG$18),""))</f>
        <v/>
      </c>
      <c r="AI53" s="51" t="e">
        <f t="shared" ca="1" si="15"/>
        <v>#NAME?</v>
      </c>
      <c r="AJ53" s="409">
        <f t="shared" ca="1" si="16"/>
        <v>0</v>
      </c>
      <c r="AK53" s="410">
        <f t="shared" ca="1" si="17"/>
        <v>0</v>
      </c>
      <c r="AL53" s="411">
        <f t="shared" ca="1" si="18"/>
        <v>0</v>
      </c>
      <c r="AM53" s="412">
        <f t="shared" ca="1" si="19"/>
        <v>0</v>
      </c>
      <c r="AN53" s="413">
        <f t="shared" ca="1" si="20"/>
        <v>0</v>
      </c>
    </row>
    <row r="54" spans="1:40" x14ac:dyDescent="0.25">
      <c r="H54" s="15" t="s">
        <v>289</v>
      </c>
      <c r="I54" s="479" t="e">
        <f ca="1">_xll.EVPRO($B$1,$H54,"STYLE")</f>
        <v>#NAME?</v>
      </c>
      <c r="J54" s="479" t="e">
        <f ca="1">_xll.EVPRO($B$1,$H54,"CALC")</f>
        <v>#NAME?</v>
      </c>
      <c r="K54" s="480" t="e">
        <f t="shared" ca="1" si="14"/>
        <v>#NAME?</v>
      </c>
      <c r="L54" s="170" t="e">
        <f ca="1">_xll.EVPRO($B$1,H54,"JDEID")</f>
        <v>#NAME?</v>
      </c>
      <c r="M54" s="170" t="e">
        <f ca="1">IF(AND(I54="N",J54="N"),_xll.EVPRO($B$1,H54,"PSFTID"),"")</f>
        <v>#NAME?</v>
      </c>
      <c r="N54" s="170" t="e">
        <f ca="1">IF(_xll.EVDES(H54,$B$1)="#NODATA","",_xll.EVDES(H54,$B$1))</f>
        <v>#NAME?</v>
      </c>
      <c r="O54" s="134"/>
      <c r="P54" s="134"/>
      <c r="Q54" s="134"/>
      <c r="R54" s="134"/>
      <c r="S54" s="134"/>
      <c r="T54" s="134"/>
      <c r="U54" s="134"/>
      <c r="V54" s="134"/>
      <c r="W54" s="134"/>
      <c r="X54" s="134"/>
      <c r="Y54" s="134"/>
      <c r="Z54" s="134"/>
      <c r="AA54" s="134" t="e">
        <f t="shared" ca="1" si="12"/>
        <v>#NAME?</v>
      </c>
      <c r="AB54" s="135" t="e">
        <f ca="1">IF(AA54=0,"",IFERROR(AA54/_xll.EVGTS($B$1,1,_xll.EVPRO($B$1,$H54,"COSBASIS"),$B$3,$B$5,$B$6,$B$7,$B$9,AA$16,AA$17,AA$11),""))</f>
        <v>#NAME?</v>
      </c>
      <c r="AC54" s="137"/>
      <c r="AD54" s="134"/>
      <c r="AE54" s="135" t="str">
        <f>IF(AD54=0,"",IFERROR(AD54/_xll.EVGTS($B$1,1,_xll.EVPRO($B$1,$H54,"COSBASIS"),$B$3,$B$5,$B$6,$B$7,$B$9,AD$16,AD$17,AD$18),""))</f>
        <v/>
      </c>
      <c r="AF54" s="136" t="e">
        <f t="shared" ca="1" si="13"/>
        <v>#NAME?</v>
      </c>
      <c r="AG54" s="134"/>
      <c r="AH54" s="135" t="str">
        <f>IF(AG54=0,"",IFERROR(AG54/_xll.EVGTS($B$1,1,_xll.EVPRO($B$1,$H54,"COSBASIS"),$B$3,$B$5,$B$6,$B$7,$B$9,AG$16,AG$17,AG$18),""))</f>
        <v/>
      </c>
      <c r="AI54" s="136" t="e">
        <f t="shared" ca="1" si="15"/>
        <v>#NAME?</v>
      </c>
      <c r="AJ54" s="360">
        <f t="shared" ca="1" si="16"/>
        <v>0</v>
      </c>
      <c r="AK54" s="361">
        <f t="shared" ca="1" si="17"/>
        <v>0</v>
      </c>
      <c r="AL54" s="363">
        <f t="shared" ca="1" si="18"/>
        <v>0</v>
      </c>
      <c r="AM54" s="405">
        <f t="shared" ca="1" si="19"/>
        <v>0</v>
      </c>
      <c r="AN54" s="406">
        <f t="shared" ca="1" si="20"/>
        <v>0</v>
      </c>
    </row>
    <row r="55" spans="1:40" x14ac:dyDescent="0.25">
      <c r="A55" s="3" t="s">
        <v>9</v>
      </c>
      <c r="B55" s="5" t="s">
        <v>10</v>
      </c>
      <c r="H55" s="149" t="s">
        <v>175</v>
      </c>
      <c r="I55" s="28" t="e">
        <f ca="1">_xll.EVPRO($B$1,$H55,"STYLE")</f>
        <v>#NAME?</v>
      </c>
      <c r="J55" s="28" t="e">
        <f ca="1">_xll.EVPRO($B$1,$H55,"CALC")</f>
        <v>#NAME?</v>
      </c>
      <c r="K55" s="69" t="e">
        <f ca="1">IF(AND(I55&gt;="T5"),"&gt;","")</f>
        <v>#NAME?</v>
      </c>
      <c r="L55" s="69"/>
      <c r="M55" s="69"/>
      <c r="N55" s="25" t="e">
        <f ca="1">IF(_xll.EVDES(H55,$B$1)="#NODATA","",_xll.EVDES(H55,$B$1))</f>
        <v>#NAME?</v>
      </c>
      <c r="O55" s="47"/>
      <c r="P55" s="47"/>
      <c r="Q55" s="47"/>
      <c r="R55" s="47"/>
      <c r="S55" s="47"/>
      <c r="T55" s="47"/>
      <c r="U55" s="47"/>
      <c r="V55" s="47"/>
      <c r="W55" s="47"/>
      <c r="X55" s="47"/>
      <c r="Y55" s="47"/>
      <c r="Z55" s="47"/>
      <c r="AA55" s="47"/>
      <c r="AB55" s="48" t="str">
        <f>IF(O55=0,"",IFERROR(O55/_xll.EVGTS($B$1,1,INDEX($C$143:$C$166,MATCH($H55,$A$143:$A$166,0)),$B$3,$B$5,$B$6,$B$7,$B$9,O$16,O$17,O$18),""))</f>
        <v/>
      </c>
      <c r="AD55" s="47"/>
      <c r="AE55" s="48" t="str">
        <f>IF(AD55=0,"",IFERROR(AD55/_xll.EVGTS($B$1,1,INDEX($C$143:$C$166,MATCH($H55,$A$143:$A$166,0)),$B$3,$B$5,$B$6,$B$7,$B$9,AD$16,AD$17,AD$18),""))</f>
        <v/>
      </c>
      <c r="AF55" s="150" t="str">
        <f t="shared" ref="AF55:AF56" si="21">IF(AND($AA55="",AD55=""),"",$AA55-AD55)</f>
        <v/>
      </c>
      <c r="AG55" s="47"/>
      <c r="AH55" s="48" t="str">
        <f>IF(AG55=0,"",IFERROR(AG55/_xll.EVGTS($B$1,1,INDEX($C$143:$C$166,MATCH($H55,$A$143:$A$166,0)),$B$3,$B$5,$B$6,$B$7,$B$9,AG$16,AG$17,AG$18),""))</f>
        <v/>
      </c>
      <c r="AI55" s="150" t="str">
        <f>IF(AND($AA55="",AG55=""),"",$AA55-AG55)</f>
        <v/>
      </c>
      <c r="AJ55" s="420">
        <f ca="1">IFERROR(AA55/AA$20,0)</f>
        <v>0</v>
      </c>
      <c r="AK55" s="421">
        <f ca="1">IFERROR(AD55/AD$20,0)</f>
        <v>0</v>
      </c>
      <c r="AL55" s="422">
        <f ca="1">IFERROR(AG55/AG$20,0)</f>
        <v>0</v>
      </c>
      <c r="AM55" s="423">
        <f>+IFERROR(ROUND(($AB55-AE55)*100,2)&amp;" pts.",0)</f>
        <v>0</v>
      </c>
      <c r="AN55" s="424">
        <f>+IFERROR(ROUND(($AB55-AH55)*100,2)&amp;" pts.",0)</f>
        <v>0</v>
      </c>
    </row>
    <row r="56" spans="1:40" x14ac:dyDescent="0.25">
      <c r="A56" s="6" t="s">
        <v>11</v>
      </c>
      <c r="B56" s="7" t="s">
        <v>21</v>
      </c>
      <c r="G56" s="14"/>
      <c r="H56" s="149" t="s">
        <v>292</v>
      </c>
      <c r="I56" s="28" t="e">
        <f ca="1">_xll.EVPRO($B$1,$H56,"STYLE")</f>
        <v>#NAME?</v>
      </c>
      <c r="J56" s="28" t="e">
        <f ca="1">_xll.EVPRO($B$1,$H56,"CALC")</f>
        <v>#NAME?</v>
      </c>
      <c r="K56" s="69" t="e">
        <f ca="1">IF(AND(I56&gt;="T5"),"&gt;","")</f>
        <v>#NAME?</v>
      </c>
      <c r="L56" s="69"/>
      <c r="M56" s="69"/>
      <c r="N56" s="25" t="e">
        <f ca="1">IF(_xll.EVDES(H56,$B$1)="#NODATA","",_xll.EVDES(H56,$B$1))</f>
        <v>#NAME?</v>
      </c>
      <c r="O56" s="164">
        <f>SUMIF($H$34:$H$54,"400000",O34:O54)-SUMIF($H$34:$H$54,"500001",O34:O54)</f>
        <v>0</v>
      </c>
      <c r="P56" s="164">
        <f t="shared" ref="P56:Z56" si="22">SUMIF($H$34:$H$54,"400000",P34:P54)-SUMIF($H$34:$H$54,"500001",P34:P54)</f>
        <v>0</v>
      </c>
      <c r="Q56" s="164">
        <f t="shared" si="22"/>
        <v>0</v>
      </c>
      <c r="R56" s="164">
        <f t="shared" si="22"/>
        <v>0</v>
      </c>
      <c r="S56" s="164">
        <f t="shared" si="22"/>
        <v>0</v>
      </c>
      <c r="T56" s="164">
        <f t="shared" si="22"/>
        <v>0</v>
      </c>
      <c r="U56" s="164">
        <f t="shared" si="22"/>
        <v>0</v>
      </c>
      <c r="V56" s="164">
        <f t="shared" si="22"/>
        <v>0</v>
      </c>
      <c r="W56" s="164">
        <f t="shared" si="22"/>
        <v>0</v>
      </c>
      <c r="X56" s="164">
        <f t="shared" si="22"/>
        <v>0</v>
      </c>
      <c r="Y56" s="164">
        <f t="shared" si="22"/>
        <v>0</v>
      </c>
      <c r="Z56" s="164">
        <f t="shared" si="22"/>
        <v>0</v>
      </c>
      <c r="AA56" s="164" t="e">
        <f ca="1">IF($I56="B1","",SUM(O56:Z56))</f>
        <v>#NAME?</v>
      </c>
      <c r="AB56" s="135" t="e">
        <f ca="1">IF(AA56=0,"",IFERROR(AA56/AA$19,""))</f>
        <v>#NAME?</v>
      </c>
      <c r="AD56" s="164">
        <f>SUMIF($H$34:$H$54,"400000",AD34:AD54)-SUMIF($H$34:$H$54,"500001",AD34:AD54)</f>
        <v>0</v>
      </c>
      <c r="AE56" s="135" t="str">
        <f>IF(AD56=0,"",IFERROR(AD56/AD$19,""))</f>
        <v/>
      </c>
      <c r="AF56" s="165" t="e">
        <f t="shared" ca="1" si="21"/>
        <v>#NAME?</v>
      </c>
      <c r="AG56" s="164">
        <f>SUMIF($H$34:$H$54,"400000",AG34:AG54)-SUMIF($H$34:$H$54,"500001",AG34:AG54)</f>
        <v>0</v>
      </c>
      <c r="AH56" s="135" t="str">
        <f>IF(AG56=0,"",IFERROR(AG56/AG$19,""))</f>
        <v/>
      </c>
      <c r="AI56" s="165" t="e">
        <f ca="1">IF(AND($AA56="",AG56=""),"",$AA56-AG56)</f>
        <v>#NAME?</v>
      </c>
      <c r="AJ56" s="392">
        <f ca="1">IFERROR(AA56/AA$20,0)</f>
        <v>0</v>
      </c>
      <c r="AK56" s="393">
        <f ca="1">IFERROR(AD56/AD$20,0)</f>
        <v>0</v>
      </c>
      <c r="AL56" s="394">
        <f ca="1">IFERROR(AG56/AG$20,0)</f>
        <v>0</v>
      </c>
      <c r="AM56" s="395">
        <f ca="1">+IFERROR(ROUND(($AB56-AE56)*100,2)&amp;" pts.",0)</f>
        <v>0</v>
      </c>
      <c r="AN56" s="437">
        <f ca="1">+IFERROR(ROUND(($AB56-AH56)*100,2)&amp;" pts.",0)</f>
        <v>0</v>
      </c>
    </row>
    <row r="57" spans="1:40" x14ac:dyDescent="0.25">
      <c r="A57" s="6" t="s">
        <v>12</v>
      </c>
      <c r="B57" s="7" t="s">
        <v>22</v>
      </c>
      <c r="O57" s="163"/>
      <c r="P57" s="287"/>
      <c r="Q57" s="287"/>
      <c r="R57" s="287"/>
      <c r="S57" s="287"/>
      <c r="T57" s="287"/>
      <c r="U57" s="287"/>
      <c r="V57" s="287"/>
      <c r="W57" s="287"/>
      <c r="X57" s="287"/>
      <c r="Y57" s="287"/>
      <c r="Z57" s="287"/>
      <c r="AA57" s="287"/>
      <c r="AB57" s="55"/>
      <c r="AD57" s="163"/>
      <c r="AE57" s="54"/>
      <c r="AF57" s="55"/>
      <c r="AG57" s="54"/>
      <c r="AH57" s="54"/>
      <c r="AI57" s="55"/>
    </row>
    <row r="58" spans="1:40" x14ac:dyDescent="0.25">
      <c r="A58" s="6" t="s">
        <v>13</v>
      </c>
      <c r="B58" s="7" t="e">
        <f ca="1">"DEP(569000) AND "&amp;$E$6&amp;"=Y,500001"</f>
        <v>#NAME?</v>
      </c>
      <c r="H58" s="1" t="s">
        <v>73</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6" t="s">
        <v>14</v>
      </c>
      <c r="B59" s="7"/>
      <c r="H59" s="1" t="s">
        <v>74</v>
      </c>
      <c r="I59" s="11" t="e">
        <f ca="1">_xll.EVPRO($B$1,$H59,"STYLE")</f>
        <v>#NAME?</v>
      </c>
      <c r="J59" s="11" t="e">
        <f ca="1">_xll.EVPRO($B$1,$H59,"CALC")</f>
        <v>#NAME?</v>
      </c>
      <c r="N59" s="8" t="e">
        <f ca="1">IF(_xll.EVDES(H59,$B$1)="#NODATA","",_xll.EVDES(H59,$B$1))</f>
        <v>#NAME?</v>
      </c>
      <c r="O59" s="43"/>
      <c r="P59" s="46"/>
      <c r="Q59" s="46"/>
      <c r="R59" s="46"/>
      <c r="S59" s="46"/>
      <c r="T59" s="46"/>
      <c r="U59" s="46"/>
      <c r="V59" s="46"/>
      <c r="W59" s="46"/>
      <c r="X59" s="46"/>
      <c r="Y59" s="46"/>
      <c r="Z59" s="46"/>
      <c r="AA59" s="46"/>
      <c r="AB59" s="44"/>
      <c r="AD59" s="43"/>
      <c r="AE59" s="46"/>
      <c r="AF59" s="44"/>
      <c r="AG59" s="46"/>
      <c r="AH59" s="46"/>
      <c r="AI59" s="44"/>
    </row>
    <row r="60" spans="1:40" hidden="1" x14ac:dyDescent="0.25">
      <c r="A60" s="6" t="s">
        <v>15</v>
      </c>
      <c r="B60" s="7"/>
      <c r="H60" s="15" t="s">
        <v>667</v>
      </c>
      <c r="I60" s="161" t="e">
        <f ca="1">_xll.EVPRO($B$1,$H60,"STYLE")</f>
        <v>#NAME?</v>
      </c>
      <c r="J60" s="161" t="e">
        <f ca="1">_xll.EVPRO($B$1,$H60,"CALC")</f>
        <v>#NAME?</v>
      </c>
      <c r="K60" s="68" t="e">
        <f ca="1">IF(AND(I60&gt;="T3"),"&gt;","")</f>
        <v>#NAME?</v>
      </c>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t="e">
        <f ca="1">IF($I60="B1","",SUM(O60:Z60))</f>
        <v>#NAME?</v>
      </c>
      <c r="AB60" s="39" t="e">
        <f ca="1">IF(AA60=0,"",IFERROR(AA60/AA$19,""))</f>
        <v>#NAME?</v>
      </c>
      <c r="AD60" s="38"/>
      <c r="AE60" s="39" t="str">
        <f>IF(AD60=0,"",IFERROR(AD60/AD$19,""))</f>
        <v/>
      </c>
      <c r="AF60" s="132" t="e">
        <f ca="1">IF(AND($AA60="",AD60=""),"",$AA60-AD60)</f>
        <v>#NAME?</v>
      </c>
      <c r="AG60" s="38"/>
      <c r="AH60" s="39" t="str">
        <f>IF(AG60=0,"",IFERROR(AG60/AG$19,""))</f>
        <v/>
      </c>
      <c r="AI60" s="132"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0" hidden="1" x14ac:dyDescent="0.25">
      <c r="A61" s="6" t="s">
        <v>16</v>
      </c>
      <c r="B61" s="7"/>
      <c r="H61" s="15"/>
      <c r="I61" s="161" t="e">
        <f ca="1">_xll.EVPRO($B$1,$H61,"STYLE")</f>
        <v>#NAME?</v>
      </c>
      <c r="J61" s="161" t="e">
        <f ca="1">_xll.EVPRO($B$1,$H61,"CALC")</f>
        <v>#NAME?</v>
      </c>
      <c r="K61" s="68" t="e">
        <f ca="1">IF(AND(I61&gt;="T3"),"&gt;","")</f>
        <v>#NAME?</v>
      </c>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t="e">
        <f ca="1">IF($I61="B1","",SUM(O61:Z61))</f>
        <v>#NAME?</v>
      </c>
      <c r="AB61" s="39" t="e">
        <f ca="1">IF(AA61=0,"",IFERROR(AA61/AA$19,""))</f>
        <v>#NAME?</v>
      </c>
      <c r="AD61" s="38"/>
      <c r="AE61" s="39" t="str">
        <f>IF(AD61=0,"",IFERROR(AD61/AD$19,""))</f>
        <v/>
      </c>
      <c r="AF61" s="132" t="e">
        <f ca="1">IF(AND($AA61="",AD61=""),"",$AA61-AD61)</f>
        <v>#NAME?</v>
      </c>
      <c r="AG61" s="38"/>
      <c r="AH61" s="39" t="str">
        <f>IF(AG61=0,"",IFERROR(AG61/AG$19,""))</f>
        <v/>
      </c>
      <c r="AI61" s="132" t="e">
        <f ca="1">IF(AND($AA61="",AG61=""),"",$AA61-AG61)</f>
        <v>#NAME?</v>
      </c>
      <c r="AJ61" s="399">
        <f ca="1">IFERROR(AA61/AA$20,0)</f>
        <v>0</v>
      </c>
      <c r="AK61" s="400">
        <f ca="1">IFERROR(AD61/AD$20,0)</f>
        <v>0</v>
      </c>
      <c r="AL61" s="401">
        <f ca="1">IFERROR(AG61/AG$20,0)</f>
        <v>0</v>
      </c>
      <c r="AM61" s="402">
        <f ca="1">+IFERROR(ROUND(($AB61-AE61)*100,2)&amp;" pts.",0)</f>
        <v>0</v>
      </c>
      <c r="AN61" s="403">
        <f ca="1">+IFERROR(ROUND(($AB61-AH61)*100,2)&amp;" pts.",0)</f>
        <v>0</v>
      </c>
    </row>
    <row r="62" spans="1:40" x14ac:dyDescent="0.25">
      <c r="A62" s="6" t="s">
        <v>17</v>
      </c>
      <c r="B62" s="7"/>
      <c r="H62" s="15" t="s">
        <v>75</v>
      </c>
      <c r="I62" s="28" t="e">
        <f ca="1">_xll.EVPRO($B$1,$H62,"STYLE")</f>
        <v>#NAME?</v>
      </c>
      <c r="J62" s="28" t="e">
        <f ca="1">_xll.EVPRO($B$1,$H62,"CALC")</f>
        <v>#NAME?</v>
      </c>
      <c r="K62" s="69" t="e">
        <f ca="1">IF(AND(I62&gt;="T3"),"&gt;","")</f>
        <v>#NAME?</v>
      </c>
      <c r="L62" s="25" t="e">
        <f ca="1">_xll.EVPRO($B$1,H62,"JDEID")</f>
        <v>#NAME?</v>
      </c>
      <c r="M62" s="162" t="e">
        <f ca="1">IF(AND(I62="N",J62="N"),_xll.EVPRO($B$1,H62,"PSFTID"),"")</f>
        <v>#NAME?</v>
      </c>
      <c r="N62" s="25" t="e">
        <f ca="1">IF(_xll.EVDES(H62,$B$1)="#NODATA","",_xll.EVDES(H62,$B$1))</f>
        <v>#NAME?</v>
      </c>
      <c r="O62" s="38"/>
      <c r="P62" s="38"/>
      <c r="Q62" s="38"/>
      <c r="R62" s="38"/>
      <c r="S62" s="38"/>
      <c r="T62" s="38"/>
      <c r="U62" s="38"/>
      <c r="V62" s="38"/>
      <c r="W62" s="38"/>
      <c r="X62" s="38"/>
      <c r="Y62" s="38"/>
      <c r="Z62" s="38"/>
      <c r="AA62" s="38" t="e">
        <f ca="1">IF($I62="B1","",SUM(O62:Z62))</f>
        <v>#NAME?</v>
      </c>
      <c r="AB62" s="39" t="e">
        <f ca="1">IF(AA62=0,"",IFERROR(AA62/AA$19,""))</f>
        <v>#NAME?</v>
      </c>
      <c r="AD62" s="38"/>
      <c r="AE62" s="39" t="str">
        <f>IF(AD62=0,"",IFERROR(AD62/AD$19,""))</f>
        <v/>
      </c>
      <c r="AF62" s="132" t="e">
        <f ca="1">IF(AND($AA62="",AD62=""),"",$AA62-AD62)</f>
        <v>#NAME?</v>
      </c>
      <c r="AG62" s="38"/>
      <c r="AH62" s="39" t="str">
        <f>IF(AG62=0,"",IFERROR(AG62/AG$19,""))</f>
        <v/>
      </c>
      <c r="AI62" s="132"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H63" s="15" t="s">
        <v>667</v>
      </c>
      <c r="I63" s="161" t="e">
        <f ca="1">_xll.EVPRO($B$1,$H63,"STYLE")</f>
        <v>#NAME?</v>
      </c>
      <c r="J63" s="161" t="e">
        <f ca="1">_xll.EVPRO($B$1,$H63,"CALC")</f>
        <v>#NAME?</v>
      </c>
      <c r="K63" s="68" t="e">
        <f ca="1">IF(AND(I63&gt;="T3"),"&gt;","")</f>
        <v>#NAME?</v>
      </c>
      <c r="L63" s="162" t="e">
        <f ca="1">_xll.EVPRO($B$1,H63,"JDEID")</f>
        <v>#NAME?</v>
      </c>
      <c r="M63" s="162" t="e">
        <f ca="1">IF(AND(I63="N",J63="N"),_xll.EVPRO($B$1,H63,"PSFTID"),"")</f>
        <v>#NAME?</v>
      </c>
      <c r="N63" s="162" t="e">
        <f ca="1">IF(_xll.EVDES(H63,$B$1)="#NODATA","",_xll.EVDES(H63,$B$1))</f>
        <v>#NAME?</v>
      </c>
      <c r="O63" s="47"/>
      <c r="P63" s="47"/>
      <c r="Q63" s="47"/>
      <c r="R63" s="47"/>
      <c r="S63" s="47"/>
      <c r="T63" s="47"/>
      <c r="U63" s="47"/>
      <c r="V63" s="47"/>
      <c r="W63" s="47"/>
      <c r="X63" s="47"/>
      <c r="Y63" s="47"/>
      <c r="Z63" s="47"/>
      <c r="AA63" s="47" t="e">
        <f ca="1">IF($I63="B1","",SUM(O63:Z63))</f>
        <v>#NAME?</v>
      </c>
      <c r="AB63" s="48" t="e">
        <f ca="1">IF(AA63=0,"",IFERROR(AA63/AA$19,""))</f>
        <v>#NAME?</v>
      </c>
      <c r="AD63" s="47"/>
      <c r="AE63" s="48" t="str">
        <f>IF(AD63=0,"",IFERROR(AD63/AD$19,""))</f>
        <v/>
      </c>
      <c r="AF63" s="150" t="e">
        <f ca="1">IF(AND($AA63="",AD63=""),"",$AA63-AD63)</f>
        <v>#NAME?</v>
      </c>
      <c r="AG63" s="47"/>
      <c r="AH63" s="48" t="str">
        <f>IF(AG63=0,"",IFERROR(AG63/AG$19,""))</f>
        <v/>
      </c>
      <c r="AI63" s="1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hidden="1" x14ac:dyDescent="0.25">
      <c r="A64" s="22" t="s">
        <v>92</v>
      </c>
      <c r="B64" s="23" t="s">
        <v>93</v>
      </c>
      <c r="C64" s="23" t="s">
        <v>94</v>
      </c>
      <c r="D64" s="23" t="s">
        <v>95</v>
      </c>
      <c r="E64" s="23" t="s">
        <v>96</v>
      </c>
      <c r="F64" s="24" t="s">
        <v>97</v>
      </c>
      <c r="H64" s="15"/>
      <c r="I64" s="161" t="e">
        <f ca="1">_xll.EVPRO($B$1,$H64,"STYLE")</f>
        <v>#NAME?</v>
      </c>
      <c r="J64" s="161" t="e">
        <f ca="1">_xll.EVPRO($B$1,$H64,"CALC")</f>
        <v>#NAME?</v>
      </c>
      <c r="K64" s="68" t="e">
        <f ca="1">IF(AND(I64&gt;="T3"),"&gt;","")</f>
        <v>#NAME?</v>
      </c>
      <c r="L64" s="162" t="e">
        <f ca="1">_xll.EVPRO($B$1,H64,"JDEID")</f>
        <v>#NAME?</v>
      </c>
      <c r="M64" s="162" t="e">
        <f ca="1">IF(AND(I64="N",J64="N"),_xll.EVPRO($B$1,H64,"PSFTID"),"")</f>
        <v>#NAME?</v>
      </c>
      <c r="N64" s="162" t="e">
        <f ca="1">IF(_xll.EVDES(H64,$B$1)="#NODATA","",_xll.EVDES(H64,$B$1))</f>
        <v>#NAME?</v>
      </c>
      <c r="O64" s="47"/>
      <c r="P64" s="47"/>
      <c r="Q64" s="47"/>
      <c r="R64" s="47"/>
      <c r="S64" s="47"/>
      <c r="T64" s="47"/>
      <c r="U64" s="47"/>
      <c r="V64" s="47"/>
      <c r="W64" s="47"/>
      <c r="X64" s="47"/>
      <c r="Y64" s="47"/>
      <c r="Z64" s="47"/>
      <c r="AA64" s="47" t="e">
        <f ca="1">IF($I64="B1","",SUM(O64:Z64))</f>
        <v>#NAME?</v>
      </c>
      <c r="AB64" s="48" t="e">
        <f ca="1">IF(AA64=0,"",IFERROR(AA64/AA$19,""))</f>
        <v>#NAME?</v>
      </c>
      <c r="AD64" s="47"/>
      <c r="AE64" s="48" t="str">
        <f>IF(AD64=0,"",IFERROR(AD64/AD$19,""))</f>
        <v/>
      </c>
      <c r="AF64" s="150" t="e">
        <f ca="1">IF(AND($AA64="",AD64=""),"",$AA64-AD64)</f>
        <v>#NAME?</v>
      </c>
      <c r="AG64" s="47"/>
      <c r="AH64" s="48" t="str">
        <f>IF(AG64=0,"",IFERROR(AG64/AG$19,""))</f>
        <v/>
      </c>
      <c r="AI64" s="150" t="e">
        <f ca="1">IF(AND($AA64="",AG64=""),"",$AA64-AG64)</f>
        <v>#NAME?</v>
      </c>
      <c r="AJ64" s="399">
        <f ca="1">IFERROR(AA64/AA$20,0)</f>
        <v>0</v>
      </c>
      <c r="AK64" s="400">
        <f ca="1">IFERROR(AD64/AD$20,0)</f>
        <v>0</v>
      </c>
      <c r="AL64" s="401">
        <f ca="1">IFERROR(AG64/AG$20,0)</f>
        <v>0</v>
      </c>
      <c r="AM64" s="402">
        <f ca="1">+IFERROR(ROUND(($AB64-AE64)*100,2)&amp;" pts.",0)</f>
        <v>0</v>
      </c>
      <c r="AN64" s="403">
        <f ca="1">+IFERROR(ROUND(($AB64-AH64)*100,2)&amp;" pts.",0)</f>
        <v>0</v>
      </c>
    </row>
    <row r="65" spans="1:40" x14ac:dyDescent="0.25">
      <c r="O65" s="41"/>
      <c r="P65" s="45"/>
      <c r="Q65" s="45"/>
      <c r="R65" s="45"/>
      <c r="S65" s="45"/>
      <c r="T65" s="45"/>
      <c r="U65" s="45"/>
      <c r="V65" s="45"/>
      <c r="W65" s="45"/>
      <c r="X65" s="45"/>
      <c r="Y65" s="45"/>
      <c r="Z65" s="45"/>
      <c r="AA65" s="45"/>
      <c r="AB65" s="42"/>
      <c r="AD65" s="41"/>
      <c r="AE65" s="45"/>
      <c r="AF65" s="42"/>
      <c r="AG65" s="41"/>
      <c r="AH65" s="45"/>
      <c r="AI65" s="42"/>
    </row>
    <row r="66" spans="1:40" x14ac:dyDescent="0.25">
      <c r="A66" s="1" t="s">
        <v>105</v>
      </c>
      <c r="C66" s="26" t="s">
        <v>101</v>
      </c>
      <c r="D66" s="1" t="s">
        <v>106</v>
      </c>
      <c r="F66" s="1" t="s">
        <v>98</v>
      </c>
      <c r="H66" s="1" t="s">
        <v>82</v>
      </c>
      <c r="I66" s="11" t="e">
        <f ca="1">_xll.EVPRO($B$1,$H66,"STYLE")</f>
        <v>#NAME?</v>
      </c>
      <c r="J66" s="11" t="e">
        <f ca="1">_xll.EVPRO($B$1,$H66,"CALC")</f>
        <v>#NAME?</v>
      </c>
      <c r="N66" s="40" t="e">
        <f ca="1">IF(_xll.EVDES(H66,$B$1)="#NODATA","",_xll.EVDES(H66,$B$1))</f>
        <v>#NAME?</v>
      </c>
      <c r="O66" s="43"/>
      <c r="P66" s="46"/>
      <c r="Q66" s="46"/>
      <c r="R66" s="46"/>
      <c r="S66" s="46"/>
      <c r="T66" s="46"/>
      <c r="U66" s="46"/>
      <c r="V66" s="46"/>
      <c r="W66" s="46"/>
      <c r="X66" s="46"/>
      <c r="Y66" s="46"/>
      <c r="Z66" s="46"/>
      <c r="AA66" s="46"/>
      <c r="AB66" s="44"/>
      <c r="AD66" s="43"/>
      <c r="AE66" s="46"/>
      <c r="AF66" s="44"/>
      <c r="AG66" s="43"/>
      <c r="AH66" s="46"/>
      <c r="AI66" s="44"/>
    </row>
    <row r="67" spans="1:40" hidden="1" x14ac:dyDescent="0.25">
      <c r="A67" s="1" t="s">
        <v>108</v>
      </c>
      <c r="C67" s="25" t="s">
        <v>101</v>
      </c>
      <c r="D67" s="1" t="s">
        <v>106</v>
      </c>
      <c r="F67" s="1" t="s">
        <v>98</v>
      </c>
      <c r="H67" s="15" t="s">
        <v>667</v>
      </c>
      <c r="I67" s="161" t="e">
        <f ca="1">_xll.EVPRO($B$1,$H67,"STYLE")</f>
        <v>#NAME?</v>
      </c>
      <c r="J67" s="161" t="e">
        <f ca="1">_xll.EVPRO($B$1,$H67,"CALC")</f>
        <v>#NAME?</v>
      </c>
      <c r="K67" s="68" t="e">
        <f ca="1">IF(AND(I67&lt;&gt;"B1",J67="Y"),"&gt;","")</f>
        <v>#NAME?</v>
      </c>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t="e">
        <f ca="1">IF($I67="B1","",SUM(O67:Z67))</f>
        <v>#NAME?</v>
      </c>
      <c r="AB67" s="17" t="e">
        <f ca="1">IF(AA67=0,"",IFERROR(AA67/AA$19,""))</f>
        <v>#NAME?</v>
      </c>
      <c r="AD67" s="21"/>
      <c r="AE67" s="17" t="str">
        <f>IF(AD67=0,"",IFERROR(AD67/AD$19,""))</f>
        <v/>
      </c>
      <c r="AF67" s="50" t="e">
        <f ca="1">IF(AND($AA67="",AD67=""),"",$AA67-AD67)</f>
        <v>#NAME?</v>
      </c>
      <c r="AG67" s="21"/>
      <c r="AH67" s="17" t="str">
        <f>IF(AG67=0,"",IFERROR(AG67/AG$19,""))</f>
        <v/>
      </c>
      <c r="AI67" s="50" t="e">
        <f ca="1">IF(AND($AA67="",AG67=""),"",$AA67-AG67)</f>
        <v>#NAME?</v>
      </c>
      <c r="AJ67" s="399">
        <f ca="1">IFERROR(AA67/AA$20,0)</f>
        <v>0</v>
      </c>
      <c r="AK67" s="400">
        <f ca="1">IFERROR(AD67/AD$20,0)</f>
        <v>0</v>
      </c>
      <c r="AL67" s="401">
        <f ca="1">IFERROR(AG67/AG$20,0)</f>
        <v>0</v>
      </c>
      <c r="AM67" s="402">
        <f ca="1">+IFERROR(ROUND(($AB67-AE67)*100,2)&amp;" pts.",0)</f>
        <v>0</v>
      </c>
      <c r="AN67" s="403">
        <f ca="1">+IFERROR(ROUND(($AB67-AH67)*100,2)&amp;" pts.",0)</f>
        <v>0</v>
      </c>
    </row>
    <row r="68" spans="1:40" hidden="1" x14ac:dyDescent="0.25">
      <c r="A68" s="1" t="s">
        <v>108</v>
      </c>
      <c r="C68" s="151" t="s">
        <v>101</v>
      </c>
      <c r="D68" s="1" t="s">
        <v>107</v>
      </c>
      <c r="F68" s="1" t="s">
        <v>99</v>
      </c>
      <c r="H68" s="15"/>
      <c r="I68" s="161" t="e">
        <f ca="1">_xll.EVPRO($B$1,$H68,"STYLE")</f>
        <v>#NAME?</v>
      </c>
      <c r="J68" s="161" t="e">
        <f ca="1">_xll.EVPRO($B$1,$H68,"CALC")</f>
        <v>#NAME?</v>
      </c>
      <c r="K68" s="68" t="e">
        <f ca="1">IF(AND(I68&lt;&gt;"B1",J68="Y"),"&gt;","")</f>
        <v>#NAME?</v>
      </c>
      <c r="L68" s="162" t="e">
        <f ca="1">_xll.EVPRO($B$1,H68,"JDEID")</f>
        <v>#NAME?</v>
      </c>
      <c r="M68" s="162" t="e">
        <f ca="1">IF(AND(I68="N",J68="N"),_xll.EVPRO($B$1,H68,"PSFTID"),"")</f>
        <v>#NAME?</v>
      </c>
      <c r="N68" s="162" t="e">
        <f ca="1">IF(_xll.EVDES(H68,$B$1)="#NODATA","",_xll.EVDES(H68,$B$1))</f>
        <v>#NAME?</v>
      </c>
      <c r="O68" s="21"/>
      <c r="P68" s="21"/>
      <c r="Q68" s="21"/>
      <c r="R68" s="21"/>
      <c r="S68" s="21"/>
      <c r="T68" s="21"/>
      <c r="U68" s="21"/>
      <c r="V68" s="21"/>
      <c r="W68" s="21"/>
      <c r="X68" s="21"/>
      <c r="Y68" s="21"/>
      <c r="Z68" s="21"/>
      <c r="AA68" s="21" t="e">
        <f ca="1">IF($I68="B1","",SUM(O68:Z68))</f>
        <v>#NAME?</v>
      </c>
      <c r="AB68" s="17" t="e">
        <f ca="1">IF(AA68=0,"",IFERROR(AA68/AA$19,""))</f>
        <v>#NAME?</v>
      </c>
      <c r="AD68" s="21"/>
      <c r="AE68" s="17" t="str">
        <f>IF(AD68=0,"",IFERROR(AD68/AD$19,""))</f>
        <v/>
      </c>
      <c r="AF68" s="50" t="e">
        <f ca="1">IF(AND($AA68="",AD68=""),"",$AA68-AD68)</f>
        <v>#NAME?</v>
      </c>
      <c r="AG68" s="21"/>
      <c r="AH68" s="17" t="str">
        <f>IF(AG68=0,"",IFERROR(AG68/AG$19,""))</f>
        <v/>
      </c>
      <c r="AI68" s="50" t="e">
        <f ca="1">IF(AND($AA68="",AG68=""),"",$AA68-AG68)</f>
        <v>#NAME?</v>
      </c>
      <c r="AJ68" s="399">
        <f ca="1">IFERROR(AA68/AA$20,0)</f>
        <v>0</v>
      </c>
      <c r="AK68" s="400">
        <f ca="1">IFERROR(AD68/AD$20,0)</f>
        <v>0</v>
      </c>
      <c r="AL68" s="401">
        <f ca="1">IFERROR(AG68/AG$20,0)</f>
        <v>0</v>
      </c>
      <c r="AM68" s="402">
        <f ca="1">+IFERROR(ROUND(($AB68-AE68)*100,2)&amp;" pts.",0)</f>
        <v>0</v>
      </c>
      <c r="AN68" s="403">
        <f ca="1">+IFERROR(ROUND(($AB68-AH68)*100,2)&amp;" pts.",0)</f>
        <v>0</v>
      </c>
    </row>
    <row r="69" spans="1:40" x14ac:dyDescent="0.25">
      <c r="H69" s="15" t="s">
        <v>79</v>
      </c>
      <c r="I69" s="27" t="e">
        <f ca="1">_xll.EVPRO($B$1,$H69,"STYLE")</f>
        <v>#NAME?</v>
      </c>
      <c r="J69" s="27" t="e">
        <f ca="1">_xll.EVPRO($B$1,$H69,"CALC")</f>
        <v>#NAME?</v>
      </c>
      <c r="K69" s="26"/>
      <c r="L69" s="26"/>
      <c r="M69" s="26"/>
      <c r="N69" s="25" t="e">
        <f ca="1">IF(_xll.EVDES(H69,$B$1)="#NODATA","",_xll.EVDES(H69,$B$1))</f>
        <v>#NAME?</v>
      </c>
      <c r="O69" s="33"/>
      <c r="P69" s="33"/>
      <c r="Q69" s="33"/>
      <c r="R69" s="33"/>
      <c r="S69" s="33"/>
      <c r="T69" s="33"/>
      <c r="U69" s="33"/>
      <c r="V69" s="33"/>
      <c r="W69" s="33"/>
      <c r="X69" s="33"/>
      <c r="Y69" s="33"/>
      <c r="Z69" s="33"/>
      <c r="AA69" s="33" t="e">
        <f ca="1">IF($I69="B1","",SUM(O69:Z69))</f>
        <v>#NAME?</v>
      </c>
      <c r="AB69" s="34" t="e">
        <f ca="1">IF(AA69=0,"",IFERROR(AA69/AA$19,""))</f>
        <v>#NAME?</v>
      </c>
      <c r="AD69" s="33"/>
      <c r="AE69" s="34" t="str">
        <f>IF(AD69=0,"",IFERROR(AD69/AD$19,""))</f>
        <v/>
      </c>
      <c r="AF69" s="52" t="e">
        <f ca="1">IF(AND($AA69="",AD69=""),"",$AA69-AD69)</f>
        <v>#NAME?</v>
      </c>
      <c r="AG69" s="33"/>
      <c r="AH69" s="34" t="str">
        <f>IF(AG69=0,"",IFERROR(AG69/AG$19,""))</f>
        <v/>
      </c>
      <c r="AI69" s="52" t="e">
        <f ca="1">IF(AND($AA69="",AG69=""),"",$AA69-AG69)</f>
        <v>#NAME?</v>
      </c>
      <c r="AJ69" s="415">
        <f ca="1">IFERROR(AA69/AA$20,0)</f>
        <v>0</v>
      </c>
      <c r="AK69" s="416">
        <f ca="1">IFERROR(AD69/AD$20,0)</f>
        <v>0</v>
      </c>
      <c r="AL69" s="417">
        <f ca="1">IFERROR(AG69/AG$20,0)</f>
        <v>0</v>
      </c>
      <c r="AM69" s="418">
        <f ca="1">+IFERROR(ROUND(($AB69-AE69)*100,2)&amp;" pts.",0)</f>
        <v>0</v>
      </c>
      <c r="AN69" s="436">
        <f ca="1">+IFERROR(ROUND(($AB69-AH69)*100,2)&amp;" pts.",0)</f>
        <v>0</v>
      </c>
    </row>
    <row r="70" spans="1:40" x14ac:dyDescent="0.25">
      <c r="C70" s="32"/>
    </row>
    <row r="71" spans="1:40" x14ac:dyDescent="0.25">
      <c r="A71" s="4" t="e">
        <f ca="1">_xll.EVDRE($B$1,A74:B81,A84:B90)</f>
        <v>#NAME?</v>
      </c>
      <c r="H71" s="15" t="s">
        <v>80</v>
      </c>
      <c r="I71" s="27" t="e">
        <f ca="1">_xll.EVPRO($B$1,$H71,"STYLE")</f>
        <v>#NAME?</v>
      </c>
      <c r="J71" s="27" t="e">
        <f ca="1">_xll.EVPRO($B$1,$H71,"CALC")</f>
        <v>#NAME?</v>
      </c>
      <c r="K71" s="25"/>
      <c r="L71" s="25"/>
      <c r="M71" s="25"/>
      <c r="N71" s="25" t="e">
        <f ca="1">IF(_xll.EVDES(H71,$B$1)="#NODATA","",_xll.EVDES(H71,$B$1))</f>
        <v>#NAME?</v>
      </c>
      <c r="O71" s="36"/>
      <c r="P71" s="36"/>
      <c r="Q71" s="36"/>
      <c r="R71" s="36"/>
      <c r="S71" s="36"/>
      <c r="T71" s="36"/>
      <c r="U71" s="36"/>
      <c r="V71" s="36"/>
      <c r="W71" s="36"/>
      <c r="X71" s="36"/>
      <c r="Y71" s="36"/>
      <c r="Z71" s="36"/>
      <c r="AA71" s="36" t="e">
        <f ca="1">IF($I71="B1","",SUM(O71:Z71))</f>
        <v>#NAME?</v>
      </c>
      <c r="AB71" s="37" t="e">
        <f ca="1">IF(AA71=0,"",IFERROR(AA71/AA$19,""))</f>
        <v>#NAME?</v>
      </c>
      <c r="AD71" s="36"/>
      <c r="AE71" s="37" t="str">
        <f>IF(AD71=0,"",IFERROR(AD71/AD$19,""))</f>
        <v/>
      </c>
      <c r="AF71" s="59" t="e">
        <f ca="1">IF(AND($AA71="",AD71=""),"",$AA71-AD71)</f>
        <v>#NAME?</v>
      </c>
      <c r="AG71" s="60"/>
      <c r="AH71" s="61" t="str">
        <f>IF(AG71=0,"",IFERROR(AG71/AG$19,""))</f>
        <v/>
      </c>
      <c r="AI71" s="59" t="e">
        <f ca="1">IF(AND($AA71="",AG71=""),"",$AA71-AG71)</f>
        <v>#NAME?</v>
      </c>
      <c r="AJ71" s="392">
        <f ca="1">IFERROR(AA71/AA$20,0)</f>
        <v>0</v>
      </c>
      <c r="AK71" s="393">
        <f ca="1">IFERROR(AD71/AD$20,0)</f>
        <v>0</v>
      </c>
      <c r="AL71" s="394">
        <f ca="1">IFERROR(AG71/AG$20,0)</f>
        <v>0</v>
      </c>
      <c r="AM71" s="395">
        <f ca="1">+IFERROR(ROUND(($AB71-AE71)*100,2)&amp;" pts.",0)</f>
        <v>0</v>
      </c>
      <c r="AN71" s="437">
        <f ca="1">+IFERROR(ROUND(($AB71-AH71)*100,2)&amp;" pts.",0)</f>
        <v>0</v>
      </c>
    </row>
    <row r="72" spans="1:40" ht="15.75" thickBot="1" x14ac:dyDescent="0.3">
      <c r="H72" s="15" t="s">
        <v>81</v>
      </c>
      <c r="I72" s="27" t="e">
        <f ca="1">_xll.EVPRO($B$1,$H72,"STYLE")</f>
        <v>#NAME?</v>
      </c>
      <c r="J72" s="27" t="e">
        <f ca="1">_xll.EVPRO($B$1,$H72,"CALC")</f>
        <v>#NAME?</v>
      </c>
      <c r="K72" s="25"/>
      <c r="L72" s="25"/>
      <c r="M72" s="25"/>
      <c r="N72" s="25" t="e">
        <f ca="1">IF(_xll.EVDES(H72,$B$1)="#NODATA","",_xll.EVDES(H72,$B$1))</f>
        <v>#NAME?</v>
      </c>
      <c r="O72" s="62"/>
      <c r="P72" s="62"/>
      <c r="Q72" s="62"/>
      <c r="R72" s="62"/>
      <c r="S72" s="62"/>
      <c r="T72" s="62"/>
      <c r="U72" s="62"/>
      <c r="V72" s="62"/>
      <c r="W72" s="62"/>
      <c r="X72" s="62"/>
      <c r="Y72" s="62"/>
      <c r="Z72" s="62"/>
      <c r="AA72" s="62" t="e">
        <f ca="1">IF($I72="B1","",SUM(O72:Z72))</f>
        <v>#NAME?</v>
      </c>
      <c r="AB72" s="63" t="e">
        <f ca="1">IF(AA72=0,"",IFERROR(AA72/AA$19,""))</f>
        <v>#NAME?</v>
      </c>
      <c r="AD72" s="62"/>
      <c r="AE72" s="63" t="str">
        <f>IF(AD72=0,"",IFERROR(AD72/AD$19,""))</f>
        <v/>
      </c>
      <c r="AF72" s="64" t="e">
        <f ca="1">IF(AND($AA72="",AD72=""),"",$AA72-AD72)</f>
        <v>#NAME?</v>
      </c>
      <c r="AG72" s="62"/>
      <c r="AH72" s="63" t="str">
        <f>IF(AG72=0,"",IFERROR(AG72/AG$19,""))</f>
        <v/>
      </c>
      <c r="AI72" s="64" t="e">
        <f ca="1">IF(AND($AA72="",AG72=""),"",$AA72-AG72)</f>
        <v>#NAME?</v>
      </c>
      <c r="AJ72" s="430">
        <f ca="1">IFERROR(AA72/AA$20,0)</f>
        <v>0</v>
      </c>
      <c r="AK72" s="431">
        <f ca="1">IFERROR(AD72/AD$20,0)</f>
        <v>0</v>
      </c>
      <c r="AL72" s="432">
        <f ca="1">IFERROR(AG72/AG$20,0)</f>
        <v>0</v>
      </c>
      <c r="AM72" s="433">
        <f ca="1">+IFERROR(ROUND(($AB72-AE72)*100,2)&amp;" pts.",0)</f>
        <v>0</v>
      </c>
      <c r="AN72" s="438">
        <f ca="1">+IFERROR(ROUND(($AB72-AH72)*100,2)&amp;" pts.",0)</f>
        <v>0</v>
      </c>
    </row>
    <row r="73" spans="1:40" ht="15.75" thickTop="1" x14ac:dyDescent="0.25">
      <c r="A73" s="3" t="s">
        <v>0</v>
      </c>
      <c r="B73" s="5" t="s">
        <v>1</v>
      </c>
    </row>
    <row r="74" spans="1:40" x14ac:dyDescent="0.25">
      <c r="A74" s="6" t="s">
        <v>2</v>
      </c>
      <c r="B74" s="7" t="e">
        <f ca="1">_xll.EVRNG($B$2:$B$10)</f>
        <v>#NAME?</v>
      </c>
      <c r="N74" s="26" t="e">
        <f ca="1">N71&amp;" - Check"</f>
        <v>#NAME?</v>
      </c>
      <c r="O74" s="139">
        <f t="shared" ref="O74:AA74" si="23">SUMIF($H$34:$H$72,"600000",O$34:O$72)+SUMIF($H$34:$H$72,"700000",O$34:O$72)-SUMIF($H$34:$H$72,"TOTDEPTEXP",O$34:O$72)</f>
        <v>0</v>
      </c>
      <c r="P74" s="139">
        <f t="shared" si="23"/>
        <v>0</v>
      </c>
      <c r="Q74" s="139">
        <f t="shared" si="23"/>
        <v>0</v>
      </c>
      <c r="R74" s="139">
        <f t="shared" si="23"/>
        <v>0</v>
      </c>
      <c r="S74" s="139">
        <f t="shared" si="23"/>
        <v>0</v>
      </c>
      <c r="T74" s="139">
        <f t="shared" si="23"/>
        <v>0</v>
      </c>
      <c r="U74" s="139">
        <f t="shared" si="23"/>
        <v>0</v>
      </c>
      <c r="V74" s="139">
        <f t="shared" si="23"/>
        <v>0</v>
      </c>
      <c r="W74" s="139">
        <f t="shared" si="23"/>
        <v>0</v>
      </c>
      <c r="X74" s="139">
        <f t="shared" si="23"/>
        <v>0</v>
      </c>
      <c r="Y74" s="139">
        <f t="shared" si="23"/>
        <v>0</v>
      </c>
      <c r="Z74" s="139">
        <f t="shared" si="23"/>
        <v>0</v>
      </c>
      <c r="AA74" s="139" t="e">
        <f t="shared" ca="1" si="23"/>
        <v>#NAME?</v>
      </c>
      <c r="AB74" s="17"/>
      <c r="AD74" s="139">
        <f>SUMIF($H$34:$H$72,"600000",AD$34:AD$72)+SUMIF($H$34:$H$72,"700000",AD$34:AD$72)-SUMIF($H$34:$H$72,"TOTDEPTEXP",AD$34:AD$72)</f>
        <v>0</v>
      </c>
      <c r="AE74" s="17"/>
      <c r="AF74" s="21"/>
      <c r="AG74" s="139">
        <f>SUMIF($H$34:$H$72,"600000",AG$34:AG$72)+SUMIF($H$34:$H$72,"700000",AG$34:AG$72)-SUMIF($H$34:$H$72,"TOTDEPTEXP",AG$34:AG$72)</f>
        <v>0</v>
      </c>
      <c r="AH74" s="17"/>
      <c r="AI74" s="21"/>
    </row>
    <row r="75" spans="1:40" x14ac:dyDescent="0.25">
      <c r="A75" s="6" t="s">
        <v>3</v>
      </c>
      <c r="B75" s="7" t="e">
        <f ca="1">_xll.EVRNG($O$16:$AN$18)</f>
        <v>#NAME?</v>
      </c>
      <c r="N75" s="26" t="e">
        <f ca="1">N72&amp;" - Check"</f>
        <v>#NAME?</v>
      </c>
      <c r="O75" s="139">
        <f t="shared" ref="O75:AA75" si="24">SUMIF($H$34:$H$72,"KPI_GP",O$34:O$72)-SUMIF($H$34:$H$72,"TOTDEPTEXP",O$34:O$72)-SUMIF($H$34:$H$72,"TOTDEPTPL",O$34:O$72)</f>
        <v>0</v>
      </c>
      <c r="P75" s="139">
        <f t="shared" si="24"/>
        <v>0</v>
      </c>
      <c r="Q75" s="139">
        <f t="shared" si="24"/>
        <v>0</v>
      </c>
      <c r="R75" s="139">
        <f t="shared" si="24"/>
        <v>0</v>
      </c>
      <c r="S75" s="139">
        <f t="shared" si="24"/>
        <v>0</v>
      </c>
      <c r="T75" s="139">
        <f t="shared" si="24"/>
        <v>0</v>
      </c>
      <c r="U75" s="139">
        <f t="shared" si="24"/>
        <v>0</v>
      </c>
      <c r="V75" s="139">
        <f t="shared" si="24"/>
        <v>0</v>
      </c>
      <c r="W75" s="139">
        <f t="shared" si="24"/>
        <v>0</v>
      </c>
      <c r="X75" s="139">
        <f t="shared" si="24"/>
        <v>0</v>
      </c>
      <c r="Y75" s="139">
        <f t="shared" si="24"/>
        <v>0</v>
      </c>
      <c r="Z75" s="139">
        <f t="shared" si="24"/>
        <v>0</v>
      </c>
      <c r="AA75" s="139" t="e">
        <f t="shared" ca="1" si="24"/>
        <v>#NAME?</v>
      </c>
      <c r="AB75" s="17"/>
      <c r="AD75" s="139">
        <f>SUMIF($H$34:$H$72,"KPI_GP",AD$34:AD$72)-SUMIF($H$34:$H$72,"TOTDEPTEXP",AD$34:AD$72)-SUMIF($H$34:$H$72,"TOTDEPTPL",AD$34:AD$72)</f>
        <v>0</v>
      </c>
      <c r="AE75" s="17"/>
      <c r="AF75" s="21"/>
      <c r="AG75" s="139">
        <f>SUMIF($H$34:$H$72,"KPI_GP",AG$34:AG$72)-SUMIF($H$34:$H$72,"TOTDEPTEXP",AG$34:AG$72)-SUMIF($H$34:$H$72,"TOTDEPTPL",AG$34:AG$72)</f>
        <v>0</v>
      </c>
      <c r="AH75" s="17"/>
      <c r="AI75" s="21"/>
    </row>
    <row r="76" spans="1:40" x14ac:dyDescent="0.25">
      <c r="A76" s="6" t="s">
        <v>4</v>
      </c>
      <c r="B76" s="7" t="e">
        <f ca="1">_xll.EVRNG(H60:H61,H63:H64,H67:H68)</f>
        <v>#NAME?</v>
      </c>
    </row>
    <row r="77" spans="1:40" x14ac:dyDescent="0.25">
      <c r="A77" s="6" t="s">
        <v>5</v>
      </c>
      <c r="B77" s="7"/>
      <c r="O77" s="166"/>
      <c r="P77" s="166"/>
      <c r="Q77" s="166"/>
      <c r="R77" s="166"/>
      <c r="S77" s="166"/>
      <c r="T77" s="166"/>
      <c r="U77" s="166"/>
      <c r="V77" s="166"/>
      <c r="W77" s="166"/>
      <c r="X77" s="166"/>
      <c r="Y77" s="166"/>
      <c r="Z77" s="166"/>
      <c r="AA77" s="166"/>
      <c r="AD77" s="166"/>
      <c r="AG77" s="166"/>
    </row>
    <row r="78" spans="1:40" x14ac:dyDescent="0.25">
      <c r="A78" s="6" t="s">
        <v>6</v>
      </c>
      <c r="B78" s="7"/>
    </row>
    <row r="79" spans="1:40" x14ac:dyDescent="0.25">
      <c r="A79" s="6" t="s">
        <v>7</v>
      </c>
      <c r="B79" s="7" t="e">
        <f ca="1">_xll.EVRNG(A93:F99)</f>
        <v>#NAME?</v>
      </c>
      <c r="O79" s="166"/>
      <c r="P79" s="166"/>
      <c r="Q79" s="166"/>
      <c r="R79" s="166"/>
      <c r="S79" s="166"/>
      <c r="T79" s="166"/>
      <c r="U79" s="166"/>
      <c r="V79" s="166"/>
      <c r="W79" s="166"/>
      <c r="X79" s="166"/>
      <c r="Y79" s="166"/>
      <c r="Z79" s="166"/>
      <c r="AA79" s="166"/>
      <c r="AD79" s="166"/>
      <c r="AG79" s="166"/>
    </row>
    <row r="80" spans="1:40" x14ac:dyDescent="0.25">
      <c r="A80" s="6" t="s">
        <v>47</v>
      </c>
      <c r="B80" s="7" t="e">
        <f ca="1">_xll.EVRNG($A$116:$B$137)</f>
        <v>#NAME?</v>
      </c>
    </row>
    <row r="81" spans="1:10" x14ac:dyDescent="0.25">
      <c r="A81" s="6" t="s">
        <v>8</v>
      </c>
      <c r="B81" s="7"/>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c r="H100" s="11"/>
      <c r="J100" s="1"/>
    </row>
    <row r="101" spans="1:10" x14ac:dyDescent="0.25">
      <c r="H101" s="11"/>
      <c r="J101" s="1"/>
    </row>
    <row r="102" spans="1:10" x14ac:dyDescent="0.25">
      <c r="A102" s="4" t="e">
        <f ca="1">_xll.EVDRE($B$1,A105:B112)</f>
        <v>#NAME?</v>
      </c>
      <c r="B102" s="1" t="s">
        <v>736</v>
      </c>
      <c r="H102" s="11"/>
      <c r="J102" s="1"/>
    </row>
    <row r="103" spans="1:10" x14ac:dyDescent="0.25">
      <c r="G103" s="14"/>
      <c r="H103" s="11"/>
      <c r="J103" s="1"/>
    </row>
    <row r="104" spans="1:10" x14ac:dyDescent="0.25">
      <c r="A104" s="3" t="s">
        <v>0</v>
      </c>
      <c r="B104" s="5" t="s">
        <v>1</v>
      </c>
      <c r="H104" s="11"/>
      <c r="J104" s="1"/>
    </row>
    <row r="105" spans="1:10" x14ac:dyDescent="0.25">
      <c r="A105" s="6" t="s">
        <v>2</v>
      </c>
      <c r="B105" s="7" t="e">
        <f ca="1">_xll.EVRNG($B$2:$B$10)</f>
        <v>#NAME?</v>
      </c>
    </row>
    <row r="106" spans="1:10" x14ac:dyDescent="0.25">
      <c r="A106" s="6" t="s">
        <v>3</v>
      </c>
      <c r="B106" s="7" t="e">
        <f ca="1">_xll.EVRNG($O$16:$AN$18)</f>
        <v>#NAME?</v>
      </c>
    </row>
    <row r="107" spans="1:10" x14ac:dyDescent="0.25">
      <c r="A107" s="6" t="s">
        <v>4</v>
      </c>
      <c r="B107" s="7" t="e">
        <f ca="1">_xll.EVRNG(H69:H72)</f>
        <v>#NAME?</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7" t="e">
        <f ca="1">_xll.EVRNG($A$116:$B$137)</f>
        <v>#NAME?</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2" x14ac:dyDescent="0.25">
      <c r="A129" s="6" t="s">
        <v>38</v>
      </c>
      <c r="B129" s="7"/>
    </row>
    <row r="130" spans="1:2" x14ac:dyDescent="0.25">
      <c r="A130" s="6" t="s">
        <v>39</v>
      </c>
      <c r="B130" s="7"/>
    </row>
    <row r="131" spans="1:2" x14ac:dyDescent="0.25">
      <c r="A131" s="6" t="s">
        <v>40</v>
      </c>
      <c r="B131" s="7"/>
    </row>
    <row r="132" spans="1:2" x14ac:dyDescent="0.25">
      <c r="A132" s="6" t="s">
        <v>41</v>
      </c>
      <c r="B132" s="7"/>
    </row>
    <row r="133" spans="1:2" x14ac:dyDescent="0.25">
      <c r="A133" s="6" t="s">
        <v>42</v>
      </c>
      <c r="B133" s="7"/>
    </row>
    <row r="134" spans="1:2" x14ac:dyDescent="0.25">
      <c r="A134" s="6" t="s">
        <v>43</v>
      </c>
      <c r="B134" s="7"/>
    </row>
    <row r="135" spans="1:2" x14ac:dyDescent="0.25">
      <c r="A135" s="6" t="s">
        <v>44</v>
      </c>
      <c r="B135" s="7"/>
    </row>
    <row r="136" spans="1:2" x14ac:dyDescent="0.25">
      <c r="A136" s="6" t="s">
        <v>45</v>
      </c>
      <c r="B136" s="7"/>
    </row>
    <row r="137" spans="1:2" x14ac:dyDescent="0.25">
      <c r="A137" s="6" t="s">
        <v>46</v>
      </c>
      <c r="B137" s="7"/>
    </row>
    <row r="145" spans="5:34" x14ac:dyDescent="0.25">
      <c r="I145" s="76"/>
      <c r="J145" s="1"/>
      <c r="K145" s="76"/>
      <c r="L145" s="76"/>
      <c r="M145" s="76"/>
      <c r="O145" s="76"/>
      <c r="P145" s="76"/>
      <c r="Q145" s="76"/>
      <c r="R145" s="76"/>
      <c r="S145" s="76"/>
      <c r="T145" s="76"/>
      <c r="U145" s="76"/>
      <c r="V145" s="76"/>
      <c r="W145" s="76"/>
      <c r="X145" s="76"/>
      <c r="Y145" s="76"/>
      <c r="Z145" s="76"/>
      <c r="AA145" s="76"/>
      <c r="AD145" s="76"/>
      <c r="AF145" s="76"/>
      <c r="AH145" s="76"/>
    </row>
    <row r="149" spans="5:34" x14ac:dyDescent="0.25">
      <c r="I149" s="76"/>
      <c r="J149" s="1"/>
      <c r="K149" s="76"/>
      <c r="L149" s="76"/>
      <c r="M149" s="76"/>
      <c r="O149" s="76"/>
      <c r="P149" s="76"/>
      <c r="Q149" s="76"/>
      <c r="R149" s="76"/>
      <c r="S149" s="76"/>
      <c r="T149" s="76"/>
      <c r="U149" s="76"/>
      <c r="V149" s="76"/>
      <c r="W149" s="76"/>
      <c r="X149" s="76"/>
      <c r="Y149" s="76"/>
      <c r="Z149" s="76"/>
      <c r="AA149" s="76"/>
      <c r="AD149" s="76"/>
      <c r="AF149" s="76"/>
      <c r="AH149" s="76"/>
    </row>
    <row r="154" spans="5:34" x14ac:dyDescent="0.25">
      <c r="E154" s="76"/>
    </row>
    <row r="158" spans="5:34" x14ac:dyDescent="0.25">
      <c r="E158" s="76"/>
    </row>
    <row r="188" spans="7:7" x14ac:dyDescent="0.25">
      <c r="G188" s="76"/>
    </row>
    <row r="192" spans="7:7" x14ac:dyDescent="0.25">
      <c r="G192" s="76"/>
    </row>
  </sheetData>
  <mergeCells count="2">
    <mergeCell ref="AD31:AE31"/>
    <mergeCell ref="AG31:AH31"/>
  </mergeCells>
  <dataValidations disablePrompts="1" count="2">
    <dataValidation type="list" allowBlank="1" sqref="B57 B28 B85" xr:uid="{00000000-0002-0000-4600-000000000000}">
      <formula1>"ACCOUNT,BUSINESSUNIT,CATEGORY,DATASRC,DEPARTMENT,INTCO,MEASURES,RPTCURRENCY,TIME"</formula1>
    </dataValidation>
    <dataValidation type="list" allowBlank="1" sqref="B58 B29 B86" xr:uid="{00000000-0002-0000-4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8920"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8920" r:id="rId7" name="FPMExcelClientSheetOptionstb1"/>
      </mc:Fallback>
    </mc:AlternateContent>
  </controls>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85">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406</v>
      </c>
      <c r="C6" s="1" t="s">
        <v>1538</v>
      </c>
      <c r="E6" s="49" t="s">
        <v>406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c r="AA11" s="13" t="str">
        <f>IF(SetUp!$O$1=TRUE,"TRAILING12",IF(AA17="CURRENT","ROLLINGFORECAST","PERIODIC"))</f>
        <v>PERIODIC</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1628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t="str">
        <f>Z17</f>
        <v>ACTUAL_CON</v>
      </c>
      <c r="AB17" s="10"/>
      <c r="AC17" s="10"/>
      <c r="AD17" s="13" t="str">
        <f>SetUp!$G$6</f>
        <v>BUDGET</v>
      </c>
      <c r="AE17" s="10"/>
      <c r="AF17" s="10"/>
      <c r="AG17" s="13" t="str">
        <f>SetUp!$J$6</f>
        <v>ACTUAL_CON</v>
      </c>
      <c r="AH17" s="10"/>
      <c r="AI17" s="10"/>
    </row>
    <row r="18" spans="1:40" hidden="1" outlineLevel="1" x14ac:dyDescent="0.25">
      <c r="A18" s="6" t="s">
        <v>3</v>
      </c>
      <c r="B18" s="16" t="s">
        <v>1629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1630</v>
      </c>
      <c r="G19" s="18" t="str">
        <f>$B$6</f>
        <v>D2149</v>
      </c>
      <c r="H19" s="18">
        <v>400000</v>
      </c>
      <c r="I19" s="19"/>
      <c r="J19" s="19"/>
      <c r="K19" s="18"/>
      <c r="L19" s="18"/>
      <c r="M19" s="18"/>
      <c r="N19" s="18" t="s">
        <v>1003</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1631</v>
      </c>
      <c r="I22" s="1"/>
      <c r="J22" s="1"/>
    </row>
    <row r="23" spans="1:40" hidden="1" outlineLevel="1" x14ac:dyDescent="0.25">
      <c r="A23" s="6" t="s">
        <v>47</v>
      </c>
      <c r="B23" s="16" t="s">
        <v>1632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1633</v>
      </c>
    </row>
    <row r="28" spans="1:40" ht="15.75" x14ac:dyDescent="0.25">
      <c r="A28" s="6" t="s">
        <v>12</v>
      </c>
      <c r="B28" s="7" t="s">
        <v>22</v>
      </c>
      <c r="N28" s="71" t="s">
        <v>1005</v>
      </c>
    </row>
    <row r="29" spans="1:40" ht="15" customHeight="1" x14ac:dyDescent="0.25">
      <c r="A29" s="6" t="s">
        <v>13</v>
      </c>
      <c r="B29" s="7" t="str">
        <f>"DEP(469000) AND "&amp;$E$6&amp;"=Y,400000"</f>
        <v>DEP(469000) AND D2149=Y,400000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407</v>
      </c>
      <c r="I34" s="161" t="s">
        <v>1058</v>
      </c>
      <c r="J34" s="161" t="s">
        <v>78</v>
      </c>
      <c r="K34" s="68" t="str">
        <f t="shared" ref="K34:K43" si="0">IF(AND(I34&gt;="T5"),"&gt;","")</f>
        <v>&gt;</v>
      </c>
      <c r="L34" s="162">
        <v>469100</v>
      </c>
      <c r="M34" s="162"/>
      <c r="N34" s="162" t="s">
        <v>1201</v>
      </c>
      <c r="O34" s="21"/>
      <c r="P34" s="21"/>
      <c r="Q34" s="21"/>
      <c r="R34" s="21"/>
      <c r="S34" s="21"/>
      <c r="T34" s="21"/>
      <c r="U34" s="21"/>
      <c r="V34" s="21"/>
      <c r="W34" s="21"/>
      <c r="X34" s="21"/>
      <c r="Y34" s="21"/>
      <c r="Z34" s="21"/>
      <c r="AA34" s="310">
        <f t="shared" ref="AA34:AA43" si="1">IF($I34="B1","",SUM(O34:Z34))</f>
        <v>0</v>
      </c>
      <c r="AB34" s="17" t="str">
        <f t="shared" ref="AB34:AB43" si="2">IF(AA34=0,"",IFERROR(AA34/AA$19,""))</f>
        <v/>
      </c>
      <c r="AD34" s="21"/>
      <c r="AE34" s="17" t="str">
        <f t="shared" ref="AE34:AE43" si="3">IF(AD34=0,"",IFERROR(AD34/AD$19,""))</f>
        <v/>
      </c>
      <c r="AF34" s="50">
        <f t="shared" ref="AF34:AF43" si="4">IF(AND($AA34="",AD34=""),"",$AA34-AD34)</f>
        <v>0</v>
      </c>
      <c r="AG34" s="21"/>
      <c r="AH34" s="17" t="str">
        <f t="shared" ref="AH34:AH43" si="5">IF(AG34=0,"",IFERROR(AG34/AG$19,""))</f>
        <v/>
      </c>
      <c r="AI34" s="50">
        <f t="shared" ref="AI34:AI43" si="6">IF(AND($AA34="",AG34=""),"",$AA34-AG34)</f>
        <v>0</v>
      </c>
      <c r="AJ34" s="399">
        <f t="shared" ref="AJ34:AJ43" si="7">IFERROR(AA34/AA$20,0)</f>
        <v>0</v>
      </c>
      <c r="AK34" s="400">
        <f t="shared" ref="AK34:AK43" si="8">IFERROR(AD34/AD$20,0)</f>
        <v>0</v>
      </c>
      <c r="AL34" s="401">
        <f t="shared" ref="AL34:AL43" si="9">IFERROR(AG34/AG$20,0)</f>
        <v>0</v>
      </c>
      <c r="AM34" s="402">
        <f t="shared" ref="AM34:AM43" si="10">+IFERROR(ROUND(($AB34-AE34)*100,2)&amp;" pts.",0)</f>
        <v>0</v>
      </c>
      <c r="AN34" s="403">
        <f t="shared" ref="AN34:AN43" si="11">+IFERROR(ROUND(($AB34-AH34)*100,2)&amp;" pts.",0)</f>
        <v>0</v>
      </c>
    </row>
    <row r="35" spans="1:40" x14ac:dyDescent="0.25">
      <c r="A35" s="22" t="s">
        <v>92</v>
      </c>
      <c r="B35" s="23" t="s">
        <v>93</v>
      </c>
      <c r="C35" s="23" t="s">
        <v>94</v>
      </c>
      <c r="D35" s="23" t="s">
        <v>95</v>
      </c>
      <c r="E35" s="23" t="s">
        <v>96</v>
      </c>
      <c r="F35" s="24" t="s">
        <v>97</v>
      </c>
      <c r="H35" s="15" t="s">
        <v>408</v>
      </c>
      <c r="I35" s="161" t="s">
        <v>1058</v>
      </c>
      <c r="J35" s="161" t="s">
        <v>78</v>
      </c>
      <c r="K35" s="68" t="str">
        <f t="shared" si="0"/>
        <v>&gt;</v>
      </c>
      <c r="L35" s="162">
        <v>469200</v>
      </c>
      <c r="M35" s="162"/>
      <c r="N35" s="162" t="s">
        <v>1634</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H36" s="15" t="s">
        <v>409</v>
      </c>
      <c r="I36" s="161" t="s">
        <v>1058</v>
      </c>
      <c r="J36" s="161" t="s">
        <v>78</v>
      </c>
      <c r="K36" s="68" t="str">
        <f t="shared" si="0"/>
        <v>&gt;</v>
      </c>
      <c r="L36" s="162">
        <v>469300</v>
      </c>
      <c r="M36" s="162"/>
      <c r="N36" s="162" t="s">
        <v>1635</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410</v>
      </c>
      <c r="I37" s="161" t="s">
        <v>1058</v>
      </c>
      <c r="J37" s="161" t="s">
        <v>78</v>
      </c>
      <c r="K37" s="68" t="str">
        <f t="shared" si="0"/>
        <v>&gt;</v>
      </c>
      <c r="L37" s="162">
        <v>469400</v>
      </c>
      <c r="M37" s="162"/>
      <c r="N37" s="162" t="s">
        <v>1636</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104</v>
      </c>
      <c r="C38" s="26" t="s">
        <v>101</v>
      </c>
      <c r="D38" s="1" t="s">
        <v>106</v>
      </c>
      <c r="F38" s="1" t="s">
        <v>98</v>
      </c>
      <c r="H38" s="15" t="s">
        <v>411</v>
      </c>
      <c r="I38" s="161" t="s">
        <v>1058</v>
      </c>
      <c r="J38" s="161" t="s">
        <v>78</v>
      </c>
      <c r="K38" s="68" t="str">
        <f t="shared" si="0"/>
        <v>&gt;</v>
      </c>
      <c r="L38" s="162">
        <v>469500</v>
      </c>
      <c r="M38" s="162"/>
      <c r="N38" s="162" t="s">
        <v>1637</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25" t="s">
        <v>101</v>
      </c>
      <c r="D39" s="1" t="s">
        <v>106</v>
      </c>
      <c r="F39" s="1" t="s">
        <v>98</v>
      </c>
      <c r="H39" s="15" t="s">
        <v>412</v>
      </c>
      <c r="I39" s="161" t="s">
        <v>1058</v>
      </c>
      <c r="J39" s="161" t="s">
        <v>78</v>
      </c>
      <c r="K39" s="68" t="str">
        <f t="shared" si="0"/>
        <v>&gt;</v>
      </c>
      <c r="L39" s="162">
        <v>469600</v>
      </c>
      <c r="M39" s="162"/>
      <c r="N39" s="162" t="s">
        <v>1638</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1" t="s">
        <v>108</v>
      </c>
      <c r="C40" s="151" t="s">
        <v>101</v>
      </c>
      <c r="D40" s="1" t="s">
        <v>107</v>
      </c>
      <c r="F40" s="1" t="s">
        <v>99</v>
      </c>
      <c r="H40" s="15" t="s">
        <v>413</v>
      </c>
      <c r="I40" s="161" t="s">
        <v>1058</v>
      </c>
      <c r="J40" s="161" t="s">
        <v>78</v>
      </c>
      <c r="K40" s="68" t="str">
        <f t="shared" si="0"/>
        <v>&gt;</v>
      </c>
      <c r="L40" s="162">
        <v>469700</v>
      </c>
      <c r="M40" s="162"/>
      <c r="N40" s="162" t="s">
        <v>1639</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414</v>
      </c>
      <c r="I41" s="161" t="s">
        <v>1058</v>
      </c>
      <c r="J41" s="161" t="s">
        <v>78</v>
      </c>
      <c r="K41" s="68" t="str">
        <f t="shared" si="0"/>
        <v>&gt;</v>
      </c>
      <c r="L41" s="162">
        <v>469800</v>
      </c>
      <c r="M41" s="162"/>
      <c r="N41" s="162" t="s">
        <v>1640</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H42" s="15" t="s">
        <v>474</v>
      </c>
      <c r="I42" s="161" t="s">
        <v>1009</v>
      </c>
      <c r="J42" s="161" t="s">
        <v>1009</v>
      </c>
      <c r="K42" s="68" t="str">
        <f t="shared" si="0"/>
        <v/>
      </c>
      <c r="L42" s="162">
        <v>469990</v>
      </c>
      <c r="M42" s="162">
        <v>206022</v>
      </c>
      <c r="N42" s="162" t="s">
        <v>1641</v>
      </c>
      <c r="O42" s="30"/>
      <c r="P42" s="30"/>
      <c r="Q42" s="30"/>
      <c r="R42" s="30"/>
      <c r="S42" s="30"/>
      <c r="T42" s="30"/>
      <c r="U42" s="30"/>
      <c r="V42" s="30"/>
      <c r="W42" s="30"/>
      <c r="X42" s="30"/>
      <c r="Y42" s="30"/>
      <c r="Z42" s="30"/>
      <c r="AA42" s="324">
        <f t="shared" si="1"/>
        <v>0</v>
      </c>
      <c r="AB42" s="31" t="str">
        <f t="shared" si="2"/>
        <v/>
      </c>
      <c r="AD42" s="30"/>
      <c r="AE42" s="31" t="str">
        <f t="shared" si="3"/>
        <v/>
      </c>
      <c r="AF42" s="51">
        <f t="shared" si="4"/>
        <v>0</v>
      </c>
      <c r="AG42" s="30"/>
      <c r="AH42" s="31" t="str">
        <f t="shared" si="5"/>
        <v/>
      </c>
      <c r="AI42" s="51">
        <f t="shared" si="6"/>
        <v>0</v>
      </c>
      <c r="AJ42" s="409">
        <f t="shared" si="7"/>
        <v>0</v>
      </c>
      <c r="AK42" s="410">
        <f t="shared" si="8"/>
        <v>0</v>
      </c>
      <c r="AL42" s="411">
        <f t="shared" si="9"/>
        <v>0</v>
      </c>
      <c r="AM42" s="412">
        <f t="shared" si="10"/>
        <v>0</v>
      </c>
      <c r="AN42" s="413">
        <f t="shared" si="11"/>
        <v>0</v>
      </c>
    </row>
    <row r="43" spans="1:40" x14ac:dyDescent="0.25">
      <c r="A43" s="4" t="s">
        <v>988</v>
      </c>
      <c r="H43" s="15" t="s">
        <v>280</v>
      </c>
      <c r="I43" s="479" t="s">
        <v>1012</v>
      </c>
      <c r="J43" s="479" t="s">
        <v>78</v>
      </c>
      <c r="K43" s="480" t="str">
        <f t="shared" si="0"/>
        <v/>
      </c>
      <c r="L43" s="170">
        <v>400000</v>
      </c>
      <c r="M43" s="170"/>
      <c r="N43" s="170" t="s">
        <v>1003</v>
      </c>
      <c r="O43" s="134"/>
      <c r="P43" s="134"/>
      <c r="Q43" s="134"/>
      <c r="R43" s="134"/>
      <c r="S43" s="134"/>
      <c r="T43" s="134"/>
      <c r="U43" s="134"/>
      <c r="V43" s="134"/>
      <c r="W43" s="134"/>
      <c r="X43" s="134"/>
      <c r="Y43" s="134"/>
      <c r="Z43" s="134"/>
      <c r="AA43" s="134">
        <f t="shared" si="1"/>
        <v>0</v>
      </c>
      <c r="AB43" s="135" t="str">
        <f t="shared" si="2"/>
        <v/>
      </c>
      <c r="AC43" s="137"/>
      <c r="AD43" s="134"/>
      <c r="AE43" s="135" t="str">
        <f t="shared" si="3"/>
        <v/>
      </c>
      <c r="AF43" s="136">
        <f t="shared" si="4"/>
        <v>0</v>
      </c>
      <c r="AG43" s="134"/>
      <c r="AH43" s="135" t="str">
        <f t="shared" si="5"/>
        <v/>
      </c>
      <c r="AI43" s="136">
        <f t="shared" si="6"/>
        <v>0</v>
      </c>
      <c r="AJ43" s="360">
        <f t="shared" si="7"/>
        <v>0</v>
      </c>
      <c r="AK43" s="361">
        <f t="shared" si="8"/>
        <v>0</v>
      </c>
      <c r="AL43" s="363">
        <f t="shared" si="9"/>
        <v>0</v>
      </c>
      <c r="AM43" s="405">
        <f t="shared" si="10"/>
        <v>0</v>
      </c>
      <c r="AN43" s="406">
        <f t="shared" si="11"/>
        <v>0</v>
      </c>
    </row>
    <row r="44" spans="1:40" x14ac:dyDescent="0.25">
      <c r="O44" s="53"/>
      <c r="P44" s="54"/>
      <c r="Q44" s="54"/>
      <c r="R44" s="54"/>
      <c r="S44" s="54"/>
      <c r="T44" s="54"/>
      <c r="U44" s="54"/>
      <c r="V44" s="54"/>
      <c r="W44" s="54"/>
      <c r="X44" s="54"/>
      <c r="Y44" s="54"/>
      <c r="Z44" s="54"/>
      <c r="AA44" s="54"/>
      <c r="AB44" s="55"/>
      <c r="AD44" s="53"/>
      <c r="AE44" s="54"/>
      <c r="AF44" s="55"/>
      <c r="AG44" s="53"/>
      <c r="AH44" s="54"/>
      <c r="AI44" s="55"/>
    </row>
    <row r="45" spans="1:40" x14ac:dyDescent="0.25">
      <c r="A45" s="3" t="s">
        <v>0</v>
      </c>
      <c r="B45" s="5" t="s">
        <v>1</v>
      </c>
      <c r="H45" s="1" t="s">
        <v>281</v>
      </c>
      <c r="I45" s="11" t="s">
        <v>1011</v>
      </c>
      <c r="J45" s="11" t="s">
        <v>78</v>
      </c>
      <c r="N45" s="40" t="s">
        <v>1223</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16" t="s">
        <v>1628</v>
      </c>
      <c r="H46" s="15" t="s">
        <v>415</v>
      </c>
      <c r="I46" s="161" t="s">
        <v>1009</v>
      </c>
      <c r="J46" s="161" t="s">
        <v>1009</v>
      </c>
      <c r="K46" s="68" t="str">
        <f t="shared" ref="K46:K56" si="12">IF(AND(I46&gt;="T5"),"&gt;","")</f>
        <v/>
      </c>
      <c r="L46" s="162">
        <v>569100</v>
      </c>
      <c r="M46" s="162">
        <v>301010</v>
      </c>
      <c r="N46" s="162" t="s">
        <v>1644</v>
      </c>
      <c r="O46" s="21"/>
      <c r="P46" s="21"/>
      <c r="Q46" s="21"/>
      <c r="R46" s="21"/>
      <c r="S46" s="21"/>
      <c r="T46" s="21"/>
      <c r="U46" s="21"/>
      <c r="V46" s="21"/>
      <c r="W46" s="21"/>
      <c r="X46" s="21"/>
      <c r="Y46" s="21"/>
      <c r="Z46" s="21"/>
      <c r="AA46" s="21">
        <f t="shared" ref="AA46:AA54" si="13">IF($I46="B1","",SUM(O46:Z46))</f>
        <v>0</v>
      </c>
      <c r="AB46" s="17"/>
      <c r="AD46" s="21"/>
      <c r="AE46" s="17"/>
      <c r="AF46" s="50">
        <f t="shared" ref="AF46:AF56" si="14">IF(AND($AA46="",AD46=""),"",$AA46-AD46)</f>
        <v>0</v>
      </c>
      <c r="AG46" s="21"/>
      <c r="AH46" s="17"/>
      <c r="AI46" s="50">
        <f t="shared" ref="AI46:AI56" si="15">IF(AND($AA46="",AG46=""),"",$AA46-AG46)</f>
        <v>0</v>
      </c>
      <c r="AJ46" s="399">
        <f t="shared" ref="AJ46:AJ56" si="16">IFERROR(AA46/AA$20,0)</f>
        <v>0</v>
      </c>
      <c r="AK46" s="400">
        <f t="shared" ref="AK46:AK56" si="17">IFERROR(AD46/AD$20,0)</f>
        <v>0</v>
      </c>
      <c r="AL46" s="401">
        <f t="shared" ref="AL46:AL56" si="18">IFERROR(AG46/AG$20,0)</f>
        <v>0</v>
      </c>
      <c r="AM46" s="402" t="str">
        <f t="shared" ref="AM46:AM56" si="19">+IFERROR(ROUND(($AB46-AE46)*100,2)&amp;" pts.",0)</f>
        <v>0 pts.</v>
      </c>
      <c r="AN46" s="403" t="str">
        <f t="shared" ref="AN46:AN56" si="20">+IFERROR(ROUND(($AB46-AH46)*100,2)&amp;" pts.",0)</f>
        <v>0 pts.</v>
      </c>
    </row>
    <row r="47" spans="1:40" x14ac:dyDescent="0.25">
      <c r="A47" s="6" t="s">
        <v>3</v>
      </c>
      <c r="B47" s="16" t="s">
        <v>1629</v>
      </c>
      <c r="H47" s="15" t="s">
        <v>416</v>
      </c>
      <c r="I47" s="161" t="s">
        <v>1009</v>
      </c>
      <c r="J47" s="161" t="s">
        <v>1009</v>
      </c>
      <c r="K47" s="68" t="str">
        <f t="shared" si="12"/>
        <v/>
      </c>
      <c r="L47" s="162">
        <v>569200</v>
      </c>
      <c r="M47" s="162">
        <v>301010</v>
      </c>
      <c r="N47" s="162" t="s">
        <v>1645</v>
      </c>
      <c r="O47" s="21"/>
      <c r="P47" s="21"/>
      <c r="Q47" s="21"/>
      <c r="R47" s="21"/>
      <c r="S47" s="21"/>
      <c r="T47" s="21"/>
      <c r="U47" s="21"/>
      <c r="V47" s="21"/>
      <c r="W47" s="21"/>
      <c r="X47" s="21"/>
      <c r="Y47" s="21"/>
      <c r="Z47" s="21"/>
      <c r="AA47" s="21">
        <f t="shared" si="13"/>
        <v>0</v>
      </c>
      <c r="AB47" s="17"/>
      <c r="AD47" s="21"/>
      <c r="AE47" s="17"/>
      <c r="AF47" s="50">
        <f t="shared" si="14"/>
        <v>0</v>
      </c>
      <c r="AG47" s="21"/>
      <c r="AH47" s="17"/>
      <c r="AI47" s="50">
        <f t="shared" si="15"/>
        <v>0</v>
      </c>
      <c r="AJ47" s="399">
        <f t="shared" si="16"/>
        <v>0</v>
      </c>
      <c r="AK47" s="400">
        <f t="shared" si="17"/>
        <v>0</v>
      </c>
      <c r="AL47" s="401">
        <f t="shared" si="18"/>
        <v>0</v>
      </c>
      <c r="AM47" s="402" t="str">
        <f t="shared" si="19"/>
        <v>0 pts.</v>
      </c>
      <c r="AN47" s="403" t="str">
        <f t="shared" si="20"/>
        <v>0 pts.</v>
      </c>
    </row>
    <row r="48" spans="1:40" x14ac:dyDescent="0.25">
      <c r="A48" s="6" t="s">
        <v>4</v>
      </c>
      <c r="B48" s="16" t="s">
        <v>1642</v>
      </c>
      <c r="H48" s="15" t="s">
        <v>417</v>
      </c>
      <c r="I48" s="161" t="s">
        <v>1009</v>
      </c>
      <c r="J48" s="161" t="s">
        <v>1009</v>
      </c>
      <c r="K48" s="68" t="str">
        <f t="shared" si="12"/>
        <v/>
      </c>
      <c r="L48" s="162">
        <v>569300</v>
      </c>
      <c r="M48" s="162">
        <v>301090</v>
      </c>
      <c r="N48" s="162" t="s">
        <v>1646</v>
      </c>
      <c r="O48" s="21"/>
      <c r="P48" s="21"/>
      <c r="Q48" s="21"/>
      <c r="R48" s="21"/>
      <c r="S48" s="21"/>
      <c r="T48" s="21"/>
      <c r="U48" s="21"/>
      <c r="V48" s="21"/>
      <c r="W48" s="21"/>
      <c r="X48" s="21"/>
      <c r="Y48" s="21"/>
      <c r="Z48" s="21"/>
      <c r="AA48" s="21">
        <f t="shared" si="13"/>
        <v>0</v>
      </c>
      <c r="AB48" s="17"/>
      <c r="AD48" s="21"/>
      <c r="AE48" s="17"/>
      <c r="AF48" s="50">
        <f t="shared" si="14"/>
        <v>0</v>
      </c>
      <c r="AG48" s="21"/>
      <c r="AH48" s="17"/>
      <c r="AI48" s="50">
        <f t="shared" si="15"/>
        <v>0</v>
      </c>
      <c r="AJ48" s="399">
        <f t="shared" si="16"/>
        <v>0</v>
      </c>
      <c r="AK48" s="400">
        <f t="shared" si="17"/>
        <v>0</v>
      </c>
      <c r="AL48" s="401">
        <f t="shared" si="18"/>
        <v>0</v>
      </c>
      <c r="AM48" s="402" t="str">
        <f t="shared" si="19"/>
        <v>0 pts.</v>
      </c>
      <c r="AN48" s="403" t="str">
        <f t="shared" si="20"/>
        <v>0 pts.</v>
      </c>
    </row>
    <row r="49" spans="1:40" x14ac:dyDescent="0.25">
      <c r="A49" s="6" t="s">
        <v>5</v>
      </c>
      <c r="B49" s="7"/>
      <c r="F49" s="152"/>
      <c r="H49" s="15" t="s">
        <v>418</v>
      </c>
      <c r="I49" s="161" t="s">
        <v>1009</v>
      </c>
      <c r="J49" s="161" t="s">
        <v>1009</v>
      </c>
      <c r="K49" s="68" t="str">
        <f t="shared" si="12"/>
        <v/>
      </c>
      <c r="L49" s="162">
        <v>569400</v>
      </c>
      <c r="M49" s="162">
        <v>302050</v>
      </c>
      <c r="N49" s="162" t="s">
        <v>1647</v>
      </c>
      <c r="O49" s="21"/>
      <c r="P49" s="21"/>
      <c r="Q49" s="21"/>
      <c r="R49" s="21"/>
      <c r="S49" s="21"/>
      <c r="T49" s="21"/>
      <c r="U49" s="21"/>
      <c r="V49" s="21"/>
      <c r="W49" s="21"/>
      <c r="X49" s="21"/>
      <c r="Y49" s="21"/>
      <c r="Z49" s="21"/>
      <c r="AA49" s="21">
        <f t="shared" si="13"/>
        <v>0</v>
      </c>
      <c r="AB49" s="17"/>
      <c r="AD49" s="21"/>
      <c r="AE49" s="17"/>
      <c r="AF49" s="50">
        <f t="shared" si="14"/>
        <v>0</v>
      </c>
      <c r="AG49" s="21"/>
      <c r="AH49" s="17"/>
      <c r="AI49" s="50">
        <f t="shared" si="15"/>
        <v>0</v>
      </c>
      <c r="AJ49" s="399">
        <f t="shared" si="16"/>
        <v>0</v>
      </c>
      <c r="AK49" s="400">
        <f t="shared" si="17"/>
        <v>0</v>
      </c>
      <c r="AL49" s="401">
        <f t="shared" si="18"/>
        <v>0</v>
      </c>
      <c r="AM49" s="402" t="str">
        <f t="shared" si="19"/>
        <v>0 pts.</v>
      </c>
      <c r="AN49" s="403" t="str">
        <f t="shared" si="20"/>
        <v>0 pts.</v>
      </c>
    </row>
    <row r="50" spans="1:40" x14ac:dyDescent="0.25">
      <c r="A50" s="6" t="s">
        <v>6</v>
      </c>
      <c r="B50" s="7"/>
      <c r="F50" s="152"/>
      <c r="H50" s="15" t="s">
        <v>419</v>
      </c>
      <c r="I50" s="161" t="s">
        <v>1009</v>
      </c>
      <c r="J50" s="161" t="s">
        <v>1009</v>
      </c>
      <c r="K50" s="68" t="str">
        <f t="shared" si="12"/>
        <v/>
      </c>
      <c r="L50" s="162">
        <v>569500</v>
      </c>
      <c r="M50" s="162">
        <v>302055</v>
      </c>
      <c r="N50" s="162" t="s">
        <v>1648</v>
      </c>
      <c r="O50" s="21"/>
      <c r="P50" s="21"/>
      <c r="Q50" s="21"/>
      <c r="R50" s="21"/>
      <c r="S50" s="21"/>
      <c r="T50" s="21"/>
      <c r="U50" s="21"/>
      <c r="V50" s="21"/>
      <c r="W50" s="21"/>
      <c r="X50" s="21"/>
      <c r="Y50" s="21"/>
      <c r="Z50" s="21"/>
      <c r="AA50" s="21">
        <f t="shared" si="13"/>
        <v>0</v>
      </c>
      <c r="AB50" s="17"/>
      <c r="AD50" s="21"/>
      <c r="AE50" s="17"/>
      <c r="AF50" s="50">
        <f t="shared" si="14"/>
        <v>0</v>
      </c>
      <c r="AG50" s="21"/>
      <c r="AH50" s="17"/>
      <c r="AI50" s="50">
        <f t="shared" si="15"/>
        <v>0</v>
      </c>
      <c r="AJ50" s="399">
        <f t="shared" si="16"/>
        <v>0</v>
      </c>
      <c r="AK50" s="400">
        <f t="shared" si="17"/>
        <v>0</v>
      </c>
      <c r="AL50" s="401">
        <f t="shared" si="18"/>
        <v>0</v>
      </c>
      <c r="AM50" s="402" t="str">
        <f t="shared" si="19"/>
        <v>0 pts.</v>
      </c>
      <c r="AN50" s="403" t="str">
        <f t="shared" si="20"/>
        <v>0 pts.</v>
      </c>
    </row>
    <row r="51" spans="1:40" x14ac:dyDescent="0.25">
      <c r="A51" s="6" t="s">
        <v>7</v>
      </c>
      <c r="B51" s="16" t="s">
        <v>1643</v>
      </c>
      <c r="F51" s="152"/>
      <c r="H51" s="15" t="s">
        <v>420</v>
      </c>
      <c r="I51" s="161" t="s">
        <v>1009</v>
      </c>
      <c r="J51" s="161" t="s">
        <v>1009</v>
      </c>
      <c r="K51" s="68" t="str">
        <f t="shared" si="12"/>
        <v/>
      </c>
      <c r="L51" s="162">
        <v>569600</v>
      </c>
      <c r="M51" s="162">
        <v>306099</v>
      </c>
      <c r="N51" s="162" t="s">
        <v>1649</v>
      </c>
      <c r="O51" s="21"/>
      <c r="P51" s="21"/>
      <c r="Q51" s="21"/>
      <c r="R51" s="21"/>
      <c r="S51" s="21"/>
      <c r="T51" s="21"/>
      <c r="U51" s="21"/>
      <c r="V51" s="21"/>
      <c r="W51" s="21"/>
      <c r="X51" s="21"/>
      <c r="Y51" s="21"/>
      <c r="Z51" s="21"/>
      <c r="AA51" s="21">
        <f t="shared" si="13"/>
        <v>0</v>
      </c>
      <c r="AB51" s="17"/>
      <c r="AD51" s="21"/>
      <c r="AE51" s="17"/>
      <c r="AF51" s="50">
        <f t="shared" si="14"/>
        <v>0</v>
      </c>
      <c r="AG51" s="21"/>
      <c r="AH51" s="17"/>
      <c r="AI51" s="50">
        <f t="shared" si="15"/>
        <v>0</v>
      </c>
      <c r="AJ51" s="399">
        <f t="shared" si="16"/>
        <v>0</v>
      </c>
      <c r="AK51" s="400">
        <f t="shared" si="17"/>
        <v>0</v>
      </c>
      <c r="AL51" s="401">
        <f t="shared" si="18"/>
        <v>0</v>
      </c>
      <c r="AM51" s="402" t="str">
        <f t="shared" si="19"/>
        <v>0 pts.</v>
      </c>
      <c r="AN51" s="403" t="str">
        <f t="shared" si="20"/>
        <v>0 pts.</v>
      </c>
    </row>
    <row r="52" spans="1:40" x14ac:dyDescent="0.25">
      <c r="A52" s="6" t="s">
        <v>47</v>
      </c>
      <c r="B52" s="16" t="s">
        <v>1632</v>
      </c>
      <c r="H52" s="15" t="s">
        <v>421</v>
      </c>
      <c r="I52" s="161" t="s">
        <v>1009</v>
      </c>
      <c r="J52" s="161" t="s">
        <v>1009</v>
      </c>
      <c r="K52" s="68" t="str">
        <f t="shared" si="12"/>
        <v/>
      </c>
      <c r="L52" s="162">
        <v>569700</v>
      </c>
      <c r="M52" s="162" t="s">
        <v>1294</v>
      </c>
      <c r="N52" s="162" t="s">
        <v>1650</v>
      </c>
      <c r="O52" s="21"/>
      <c r="P52" s="21"/>
      <c r="Q52" s="21"/>
      <c r="R52" s="21"/>
      <c r="S52" s="21"/>
      <c r="T52" s="21"/>
      <c r="U52" s="21"/>
      <c r="V52" s="21"/>
      <c r="W52" s="21"/>
      <c r="X52" s="21"/>
      <c r="Y52" s="21"/>
      <c r="Z52" s="21"/>
      <c r="AA52" s="21">
        <f t="shared" si="13"/>
        <v>0</v>
      </c>
      <c r="AB52" s="17"/>
      <c r="AD52" s="21"/>
      <c r="AE52" s="17"/>
      <c r="AF52" s="50">
        <f t="shared" si="14"/>
        <v>0</v>
      </c>
      <c r="AG52" s="21"/>
      <c r="AH52" s="17"/>
      <c r="AI52" s="50">
        <f t="shared" si="15"/>
        <v>0</v>
      </c>
      <c r="AJ52" s="399">
        <f t="shared" si="16"/>
        <v>0</v>
      </c>
      <c r="AK52" s="400">
        <f t="shared" si="17"/>
        <v>0</v>
      </c>
      <c r="AL52" s="401">
        <f t="shared" si="18"/>
        <v>0</v>
      </c>
      <c r="AM52" s="402" t="str">
        <f t="shared" si="19"/>
        <v>0 pts.</v>
      </c>
      <c r="AN52" s="403" t="str">
        <f t="shared" si="20"/>
        <v>0 pts.</v>
      </c>
    </row>
    <row r="53" spans="1:40" x14ac:dyDescent="0.25">
      <c r="A53" s="6" t="s">
        <v>8</v>
      </c>
      <c r="B53" s="7"/>
      <c r="H53" s="15" t="s">
        <v>422</v>
      </c>
      <c r="I53" s="161" t="s">
        <v>1009</v>
      </c>
      <c r="J53" s="161" t="s">
        <v>1009</v>
      </c>
      <c r="K53" s="68" t="str">
        <f t="shared" si="12"/>
        <v/>
      </c>
      <c r="L53" s="162">
        <v>569800</v>
      </c>
      <c r="M53" s="162" t="s">
        <v>1294</v>
      </c>
      <c r="N53" s="162" t="s">
        <v>1651</v>
      </c>
      <c r="O53" s="30"/>
      <c r="P53" s="30"/>
      <c r="Q53" s="30"/>
      <c r="R53" s="30"/>
      <c r="S53" s="30"/>
      <c r="T53" s="30"/>
      <c r="U53" s="30"/>
      <c r="V53" s="30"/>
      <c r="W53" s="30"/>
      <c r="X53" s="30"/>
      <c r="Y53" s="30"/>
      <c r="Z53" s="30"/>
      <c r="AA53" s="30">
        <f t="shared" si="13"/>
        <v>0</v>
      </c>
      <c r="AB53" s="31"/>
      <c r="AD53" s="30"/>
      <c r="AE53" s="31"/>
      <c r="AF53" s="51">
        <f t="shared" si="14"/>
        <v>0</v>
      </c>
      <c r="AG53" s="30"/>
      <c r="AH53" s="31"/>
      <c r="AI53" s="51">
        <f t="shared" si="15"/>
        <v>0</v>
      </c>
      <c r="AJ53" s="409">
        <f t="shared" si="16"/>
        <v>0</v>
      </c>
      <c r="AK53" s="410">
        <f t="shared" si="17"/>
        <v>0</v>
      </c>
      <c r="AL53" s="411">
        <f t="shared" si="18"/>
        <v>0</v>
      </c>
      <c r="AM53" s="412" t="str">
        <f t="shared" si="19"/>
        <v>0 pts.</v>
      </c>
      <c r="AN53" s="413" t="str">
        <f t="shared" si="20"/>
        <v>0 pts.</v>
      </c>
    </row>
    <row r="54" spans="1:40" x14ac:dyDescent="0.25">
      <c r="H54" s="15" t="s">
        <v>289</v>
      </c>
      <c r="I54" s="479" t="s">
        <v>1012</v>
      </c>
      <c r="J54" s="479" t="s">
        <v>78</v>
      </c>
      <c r="K54" s="480" t="str">
        <f t="shared" si="12"/>
        <v/>
      </c>
      <c r="L54" s="170">
        <v>500001</v>
      </c>
      <c r="M54" s="170"/>
      <c r="N54" s="170" t="s">
        <v>1232</v>
      </c>
      <c r="O54" s="134"/>
      <c r="P54" s="134"/>
      <c r="Q54" s="134"/>
      <c r="R54" s="134"/>
      <c r="S54" s="134"/>
      <c r="T54" s="134"/>
      <c r="U54" s="134"/>
      <c r="V54" s="134"/>
      <c r="W54" s="134"/>
      <c r="X54" s="134"/>
      <c r="Y54" s="134"/>
      <c r="Z54" s="134"/>
      <c r="AA54" s="134">
        <f t="shared" si="13"/>
        <v>0</v>
      </c>
      <c r="AB54" s="135"/>
      <c r="AC54" s="137"/>
      <c r="AD54" s="134"/>
      <c r="AE54" s="135"/>
      <c r="AF54" s="136">
        <f t="shared" si="14"/>
        <v>0</v>
      </c>
      <c r="AG54" s="134"/>
      <c r="AH54" s="135"/>
      <c r="AI54" s="136">
        <f t="shared" si="15"/>
        <v>0</v>
      </c>
      <c r="AJ54" s="360">
        <f t="shared" si="16"/>
        <v>0</v>
      </c>
      <c r="AK54" s="361">
        <f t="shared" si="17"/>
        <v>0</v>
      </c>
      <c r="AL54" s="363">
        <f t="shared" si="18"/>
        <v>0</v>
      </c>
      <c r="AM54" s="405" t="str">
        <f t="shared" si="19"/>
        <v>0 pts.</v>
      </c>
      <c r="AN54" s="406" t="str">
        <f t="shared" si="20"/>
        <v>0 pts.</v>
      </c>
    </row>
    <row r="55" spans="1:40" x14ac:dyDescent="0.25">
      <c r="A55" s="3" t="s">
        <v>9</v>
      </c>
      <c r="B55" s="5" t="s">
        <v>10</v>
      </c>
      <c r="H55" s="149" t="s">
        <v>175</v>
      </c>
      <c r="I55" s="28" t="s">
        <v>1011</v>
      </c>
      <c r="J55" s="28" t="s">
        <v>78</v>
      </c>
      <c r="K55" s="69" t="str">
        <f t="shared" si="12"/>
        <v/>
      </c>
      <c r="L55" s="69"/>
      <c r="M55" s="69"/>
      <c r="N55" s="25" t="s">
        <v>175</v>
      </c>
      <c r="O55" s="47"/>
      <c r="P55" s="47"/>
      <c r="Q55" s="47"/>
      <c r="R55" s="47"/>
      <c r="S55" s="47"/>
      <c r="T55" s="47"/>
      <c r="U55" s="47"/>
      <c r="V55" s="47"/>
      <c r="W55" s="47"/>
      <c r="X55" s="47"/>
      <c r="Y55" s="47"/>
      <c r="Z55" s="47"/>
      <c r="AA55" s="47"/>
      <c r="AB55" s="48"/>
      <c r="AD55" s="47"/>
      <c r="AE55" s="48"/>
      <c r="AF55" s="150" t="str">
        <f t="shared" si="14"/>
        <v/>
      </c>
      <c r="AG55" s="47"/>
      <c r="AH55" s="48"/>
      <c r="AI55" s="150" t="str">
        <f t="shared" si="15"/>
        <v/>
      </c>
      <c r="AJ55" s="420">
        <f t="shared" si="16"/>
        <v>0</v>
      </c>
      <c r="AK55" s="421">
        <f t="shared" si="17"/>
        <v>0</v>
      </c>
      <c r="AL55" s="422">
        <f t="shared" si="18"/>
        <v>0</v>
      </c>
      <c r="AM55" s="423" t="str">
        <f t="shared" si="19"/>
        <v>0 pts.</v>
      </c>
      <c r="AN55" s="424" t="str">
        <f t="shared" si="20"/>
        <v>0 pts.</v>
      </c>
    </row>
    <row r="56" spans="1:40" x14ac:dyDescent="0.25">
      <c r="A56" s="6" t="s">
        <v>11</v>
      </c>
      <c r="B56" s="7" t="s">
        <v>21</v>
      </c>
      <c r="G56" s="14"/>
      <c r="H56" s="149" t="s">
        <v>292</v>
      </c>
      <c r="I56" s="28" t="s">
        <v>1012</v>
      </c>
      <c r="J56" s="28" t="s">
        <v>78</v>
      </c>
      <c r="K56" s="69" t="str">
        <f t="shared" si="12"/>
        <v/>
      </c>
      <c r="L56" s="69"/>
      <c r="M56" s="69"/>
      <c r="N56" s="25" t="s">
        <v>1233</v>
      </c>
      <c r="O56" s="164">
        <f t="shared" ref="O56:Z56" si="21">SUMIF($H$34:$H$54,"400000",O34:O54)-SUMIF($H$34:$H$54,"500001",O34:O54)</f>
        <v>0</v>
      </c>
      <c r="P56" s="164">
        <f t="shared" si="21"/>
        <v>0</v>
      </c>
      <c r="Q56" s="164">
        <f t="shared" si="21"/>
        <v>0</v>
      </c>
      <c r="R56" s="164">
        <f t="shared" si="21"/>
        <v>0</v>
      </c>
      <c r="S56" s="164">
        <f t="shared" si="21"/>
        <v>0</v>
      </c>
      <c r="T56" s="164">
        <f t="shared" si="21"/>
        <v>0</v>
      </c>
      <c r="U56" s="164">
        <f t="shared" si="21"/>
        <v>0</v>
      </c>
      <c r="V56" s="164">
        <f t="shared" si="21"/>
        <v>0</v>
      </c>
      <c r="W56" s="164">
        <f t="shared" si="21"/>
        <v>0</v>
      </c>
      <c r="X56" s="164">
        <f t="shared" si="21"/>
        <v>0</v>
      </c>
      <c r="Y56" s="164">
        <f t="shared" si="21"/>
        <v>0</v>
      </c>
      <c r="Z56" s="164">
        <f t="shared" si="21"/>
        <v>0</v>
      </c>
      <c r="AA56" s="164">
        <f>IF($I56="B1","",SUM(O56:Z56))</f>
        <v>0</v>
      </c>
      <c r="AB56" s="135" t="str">
        <f>IF(AA56=0,"",IFERROR(AA56/AA$19,""))</f>
        <v/>
      </c>
      <c r="AD56" s="164">
        <f>SUMIF($H$34:$H$54,"400000",AD34:AD54)-SUMIF($H$34:$H$54,"500001",AD34:AD54)</f>
        <v>0</v>
      </c>
      <c r="AE56" s="135" t="str">
        <f>IF(AD56=0,"",IFERROR(AD56/AD$19,""))</f>
        <v/>
      </c>
      <c r="AF56" s="165">
        <f t="shared" si="14"/>
        <v>0</v>
      </c>
      <c r="AG56" s="164">
        <f>SUMIF($H$34:$H$54,"400000",AG34:AG54)-SUMIF($H$34:$H$54,"500001",AG34:AG54)</f>
        <v>0</v>
      </c>
      <c r="AH56" s="135" t="str">
        <f>IF(AG56=0,"",IFERROR(AG56/AG$19,""))</f>
        <v/>
      </c>
      <c r="AI56" s="165">
        <f t="shared" si="15"/>
        <v>0</v>
      </c>
      <c r="AJ56" s="392">
        <f t="shared" si="16"/>
        <v>0</v>
      </c>
      <c r="AK56" s="393">
        <f t="shared" si="17"/>
        <v>0</v>
      </c>
      <c r="AL56" s="394">
        <f t="shared" si="18"/>
        <v>0</v>
      </c>
      <c r="AM56" s="395">
        <f t="shared" si="19"/>
        <v>0</v>
      </c>
      <c r="AN56" s="437">
        <f t="shared" si="20"/>
        <v>0</v>
      </c>
    </row>
    <row r="57" spans="1:40" x14ac:dyDescent="0.25">
      <c r="A57" s="6" t="s">
        <v>12</v>
      </c>
      <c r="B57" s="7" t="s">
        <v>22</v>
      </c>
      <c r="O57" s="163"/>
      <c r="P57" s="287"/>
      <c r="Q57" s="287"/>
      <c r="R57" s="287"/>
      <c r="S57" s="287"/>
      <c r="T57" s="287"/>
      <c r="U57" s="287"/>
      <c r="V57" s="287"/>
      <c r="W57" s="287"/>
      <c r="X57" s="287"/>
      <c r="Y57" s="287"/>
      <c r="Z57" s="287"/>
      <c r="AA57" s="287"/>
      <c r="AB57" s="55"/>
      <c r="AD57" s="163"/>
      <c r="AE57" s="54"/>
      <c r="AF57" s="55"/>
      <c r="AG57" s="54"/>
      <c r="AH57" s="54"/>
      <c r="AI57" s="55"/>
    </row>
    <row r="58" spans="1:40" x14ac:dyDescent="0.25">
      <c r="A58" s="6" t="s">
        <v>13</v>
      </c>
      <c r="B58" s="7" t="str">
        <f>"DEP(569000) AND "&amp;$E$6&amp;"=Y,500001"</f>
        <v>DEP(569000) AND D2149=Y,500001</v>
      </c>
      <c r="H58" s="1" t="s">
        <v>73</v>
      </c>
      <c r="I58" s="11" t="s">
        <v>1011</v>
      </c>
      <c r="J58" s="11" t="s">
        <v>78</v>
      </c>
      <c r="N58" s="40" t="s">
        <v>1079</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6" t="s">
        <v>14</v>
      </c>
      <c r="B59" s="7"/>
      <c r="H59" s="1" t="s">
        <v>74</v>
      </c>
      <c r="I59" s="11" t="s">
        <v>1011</v>
      </c>
      <c r="J59" s="11" t="s">
        <v>78</v>
      </c>
      <c r="N59" s="8" t="s">
        <v>1080</v>
      </c>
      <c r="O59" s="43"/>
      <c r="P59" s="46"/>
      <c r="Q59" s="46"/>
      <c r="R59" s="46"/>
      <c r="S59" s="46"/>
      <c r="T59" s="46"/>
      <c r="U59" s="46"/>
      <c r="V59" s="46"/>
      <c r="W59" s="46"/>
      <c r="X59" s="46"/>
      <c r="Y59" s="46"/>
      <c r="Z59" s="46"/>
      <c r="AA59" s="46"/>
      <c r="AB59" s="44"/>
      <c r="AD59" s="43"/>
      <c r="AE59" s="46"/>
      <c r="AF59" s="44"/>
      <c r="AG59" s="46"/>
      <c r="AH59" s="46"/>
      <c r="AI59" s="44"/>
    </row>
    <row r="60" spans="1:40" hidden="1" x14ac:dyDescent="0.25">
      <c r="A60" s="6" t="s">
        <v>15</v>
      </c>
      <c r="B60" s="7"/>
      <c r="H60" s="15" t="s">
        <v>667</v>
      </c>
      <c r="I60" s="161"/>
      <c r="J60" s="161"/>
      <c r="K60" s="68" t="str">
        <f>IF(AND(I60&gt;="T3"),"&gt;","")</f>
        <v/>
      </c>
      <c r="L60" s="162"/>
      <c r="M60" s="162"/>
      <c r="N60" s="162"/>
      <c r="O60" s="38"/>
      <c r="P60" s="38"/>
      <c r="Q60" s="38"/>
      <c r="R60" s="38"/>
      <c r="S60" s="38"/>
      <c r="T60" s="38"/>
      <c r="U60" s="38"/>
      <c r="V60" s="38"/>
      <c r="W60" s="38"/>
      <c r="X60" s="38"/>
      <c r="Y60" s="38"/>
      <c r="Z60" s="38"/>
      <c r="AA60" s="38">
        <f>IF($I60="B1","",SUM(O60:Z60))</f>
        <v>0</v>
      </c>
      <c r="AB60" s="39" t="str">
        <f>IF(AA60=0,"",IFERROR(AA60/AA$19,""))</f>
        <v/>
      </c>
      <c r="AD60" s="38"/>
      <c r="AE60" s="39" t="str">
        <f>IF(AD60=0,"",IFERROR(AD60/AD$19,""))</f>
        <v/>
      </c>
      <c r="AF60" s="132">
        <f>IF(AND($AA60="",AD60=""),"",$AA60-AD60)</f>
        <v>0</v>
      </c>
      <c r="AG60" s="38"/>
      <c r="AH60" s="39" t="str">
        <f>IF(AG60=0,"",IFERROR(AG60/AG$19,""))</f>
        <v/>
      </c>
      <c r="AI60" s="132">
        <f>IF(AND($AA60="",AG60=""),"",$AA60-AG60)</f>
        <v>0</v>
      </c>
      <c r="AJ60" s="399">
        <f>IFERROR(AA60/AA$20,0)</f>
        <v>0</v>
      </c>
      <c r="AK60" s="400">
        <f>IFERROR(AD60/AD$20,0)</f>
        <v>0</v>
      </c>
      <c r="AL60" s="401">
        <f>IFERROR(AG60/AG$20,0)</f>
        <v>0</v>
      </c>
      <c r="AM60" s="402">
        <f>+IFERROR(ROUND(($AB60-AE60)*100,2)&amp;" pts.",0)</f>
        <v>0</v>
      </c>
      <c r="AN60" s="403">
        <f>+IFERROR(ROUND(($AB60-AH60)*100,2)&amp;" pts.",0)</f>
        <v>0</v>
      </c>
    </row>
    <row r="61" spans="1:40" hidden="1" x14ac:dyDescent="0.25">
      <c r="A61" s="6" t="s">
        <v>16</v>
      </c>
      <c r="B61" s="7"/>
      <c r="H61" s="15"/>
      <c r="I61" s="161"/>
      <c r="J61" s="161"/>
      <c r="K61" s="68" t="str">
        <f>IF(AND(I61&gt;="T3"),"&gt;","")</f>
        <v/>
      </c>
      <c r="L61" s="162"/>
      <c r="M61" s="162"/>
      <c r="N61" s="162"/>
      <c r="O61" s="38"/>
      <c r="P61" s="38"/>
      <c r="Q61" s="38"/>
      <c r="R61" s="38"/>
      <c r="S61" s="38"/>
      <c r="T61" s="38"/>
      <c r="U61" s="38"/>
      <c r="V61" s="38"/>
      <c r="W61" s="38"/>
      <c r="X61" s="38"/>
      <c r="Y61" s="38"/>
      <c r="Z61" s="38"/>
      <c r="AA61" s="38">
        <f>IF($I61="B1","",SUM(O61:Z61))</f>
        <v>0</v>
      </c>
      <c r="AB61" s="39" t="str">
        <f>IF(AA61=0,"",IFERROR(AA61/AA$19,""))</f>
        <v/>
      </c>
      <c r="AD61" s="38"/>
      <c r="AE61" s="39" t="str">
        <f>IF(AD61=0,"",IFERROR(AD61/AD$19,""))</f>
        <v/>
      </c>
      <c r="AF61" s="132">
        <f>IF(AND($AA61="",AD61=""),"",$AA61-AD61)</f>
        <v>0</v>
      </c>
      <c r="AG61" s="38"/>
      <c r="AH61" s="39" t="str">
        <f>IF(AG61=0,"",IFERROR(AG61/AG$19,""))</f>
        <v/>
      </c>
      <c r="AI61" s="132">
        <f>IF(AND($AA61="",AG61=""),"",$AA61-AG61)</f>
        <v>0</v>
      </c>
      <c r="AJ61" s="399">
        <f>IFERROR(AA61/AA$20,0)</f>
        <v>0</v>
      </c>
      <c r="AK61" s="400">
        <f>IFERROR(AD61/AD$20,0)</f>
        <v>0</v>
      </c>
      <c r="AL61" s="401">
        <f>IFERROR(AG61/AG$20,0)</f>
        <v>0</v>
      </c>
      <c r="AM61" s="402">
        <f>+IFERROR(ROUND(($AB61-AE61)*100,2)&amp;" pts.",0)</f>
        <v>0</v>
      </c>
      <c r="AN61" s="403">
        <f>+IFERROR(ROUND(($AB61-AH61)*100,2)&amp;" pts.",0)</f>
        <v>0</v>
      </c>
    </row>
    <row r="62" spans="1:40" x14ac:dyDescent="0.25">
      <c r="A62" s="6" t="s">
        <v>17</v>
      </c>
      <c r="B62" s="7"/>
      <c r="H62" s="15" t="s">
        <v>75</v>
      </c>
      <c r="I62" s="28" t="s">
        <v>1011</v>
      </c>
      <c r="J62" s="28" t="s">
        <v>78</v>
      </c>
      <c r="K62" s="69" t="str">
        <f>IF(AND(I62&gt;="T3"),"&gt;","")</f>
        <v/>
      </c>
      <c r="L62" s="25"/>
      <c r="M62" s="162"/>
      <c r="N62" s="25" t="s">
        <v>1082</v>
      </c>
      <c r="O62" s="38"/>
      <c r="P62" s="38"/>
      <c r="Q62" s="38"/>
      <c r="R62" s="38"/>
      <c r="S62" s="38"/>
      <c r="T62" s="38"/>
      <c r="U62" s="38"/>
      <c r="V62" s="38"/>
      <c r="W62" s="38"/>
      <c r="X62" s="38"/>
      <c r="Y62" s="38"/>
      <c r="Z62" s="38"/>
      <c r="AA62" s="38" t="str">
        <f>IF($I62="B1","",SUM(O62:Z62))</f>
        <v/>
      </c>
      <c r="AB62" s="39" t="str">
        <f>IF(AA62=0,"",IFERROR(AA62/AA$19,""))</f>
        <v/>
      </c>
      <c r="AD62" s="38"/>
      <c r="AE62" s="39" t="str">
        <f>IF(AD62=0,"",IFERROR(AD62/AD$19,""))</f>
        <v/>
      </c>
      <c r="AF62" s="132" t="str">
        <f>IF(AND($AA62="",AD62=""),"",$AA62-AD62)</f>
        <v/>
      </c>
      <c r="AG62" s="38"/>
      <c r="AH62" s="39" t="str">
        <f>IF(AG62=0,"",IFERROR(AG62/AG$19,""))</f>
        <v/>
      </c>
      <c r="AI62" s="132" t="str">
        <f>IF(AND($AA62="",AG62=""),"",$AA62-AG62)</f>
        <v/>
      </c>
      <c r="AJ62" s="399">
        <f>IFERROR(AA62/AA$20,0)</f>
        <v>0</v>
      </c>
      <c r="AK62" s="400">
        <f>IFERROR(AD62/AD$20,0)</f>
        <v>0</v>
      </c>
      <c r="AL62" s="401">
        <f>IFERROR(AG62/AG$20,0)</f>
        <v>0</v>
      </c>
      <c r="AM62" s="402">
        <f>+IFERROR(ROUND(($AB62-AE62)*100,2)&amp;" pts.",0)</f>
        <v>0</v>
      </c>
      <c r="AN62" s="403">
        <f>+IFERROR(ROUND(($AB62-AH62)*100,2)&amp;" pts.",0)</f>
        <v>0</v>
      </c>
    </row>
    <row r="63" spans="1:40" hidden="1" x14ac:dyDescent="0.25">
      <c r="H63" s="15" t="s">
        <v>667</v>
      </c>
      <c r="I63" s="161"/>
      <c r="J63" s="161"/>
      <c r="K63" s="68" t="str">
        <f>IF(AND(I63&gt;="T3"),"&gt;","")</f>
        <v/>
      </c>
      <c r="L63" s="162"/>
      <c r="M63" s="162"/>
      <c r="N63" s="162"/>
      <c r="O63" s="47"/>
      <c r="P63" s="47"/>
      <c r="Q63" s="47"/>
      <c r="R63" s="47"/>
      <c r="S63" s="47"/>
      <c r="T63" s="47"/>
      <c r="U63" s="47"/>
      <c r="V63" s="47"/>
      <c r="W63" s="47"/>
      <c r="X63" s="47"/>
      <c r="Y63" s="47"/>
      <c r="Z63" s="47"/>
      <c r="AA63" s="47">
        <f>IF($I63="B1","",SUM(O63:Z63))</f>
        <v>0</v>
      </c>
      <c r="AB63" s="48" t="str">
        <f>IF(AA63=0,"",IFERROR(AA63/AA$19,""))</f>
        <v/>
      </c>
      <c r="AD63" s="47"/>
      <c r="AE63" s="48" t="str">
        <f>IF(AD63=0,"",IFERROR(AD63/AD$19,""))</f>
        <v/>
      </c>
      <c r="AF63" s="150">
        <f>IF(AND($AA63="",AD63=""),"",$AA63-AD63)</f>
        <v>0</v>
      </c>
      <c r="AG63" s="47"/>
      <c r="AH63" s="48" t="str">
        <f>IF(AG63=0,"",IFERROR(AG63/AG$19,""))</f>
        <v/>
      </c>
      <c r="AI63" s="150">
        <f>IF(AND($AA63="",AG63=""),"",$AA63-AG63)</f>
        <v>0</v>
      </c>
      <c r="AJ63" s="399">
        <f>IFERROR(AA63/AA$20,0)</f>
        <v>0</v>
      </c>
      <c r="AK63" s="400">
        <f>IFERROR(AD63/AD$20,0)</f>
        <v>0</v>
      </c>
      <c r="AL63" s="401">
        <f>IFERROR(AG63/AG$20,0)</f>
        <v>0</v>
      </c>
      <c r="AM63" s="402">
        <f>+IFERROR(ROUND(($AB63-AE63)*100,2)&amp;" pts.",0)</f>
        <v>0</v>
      </c>
      <c r="AN63" s="403">
        <f>+IFERROR(ROUND(($AB63-AH63)*100,2)&amp;" pts.",0)</f>
        <v>0</v>
      </c>
    </row>
    <row r="64" spans="1:40" hidden="1" x14ac:dyDescent="0.25">
      <c r="A64" s="22" t="s">
        <v>92</v>
      </c>
      <c r="B64" s="23" t="s">
        <v>93</v>
      </c>
      <c r="C64" s="23" t="s">
        <v>94</v>
      </c>
      <c r="D64" s="23" t="s">
        <v>95</v>
      </c>
      <c r="E64" s="23" t="s">
        <v>96</v>
      </c>
      <c r="F64" s="24" t="s">
        <v>97</v>
      </c>
      <c r="H64" s="15"/>
      <c r="I64" s="161"/>
      <c r="J64" s="161"/>
      <c r="K64" s="68" t="str">
        <f>IF(AND(I64&gt;="T3"),"&gt;","")</f>
        <v/>
      </c>
      <c r="L64" s="162"/>
      <c r="M64" s="162"/>
      <c r="N64" s="162"/>
      <c r="O64" s="47"/>
      <c r="P64" s="47"/>
      <c r="Q64" s="47"/>
      <c r="R64" s="47"/>
      <c r="S64" s="47"/>
      <c r="T64" s="47"/>
      <c r="U64" s="47"/>
      <c r="V64" s="47"/>
      <c r="W64" s="47"/>
      <c r="X64" s="47"/>
      <c r="Y64" s="47"/>
      <c r="Z64" s="47"/>
      <c r="AA64" s="47">
        <f>IF($I64="B1","",SUM(O64:Z64))</f>
        <v>0</v>
      </c>
      <c r="AB64" s="48" t="str">
        <f>IF(AA64=0,"",IFERROR(AA64/AA$19,""))</f>
        <v/>
      </c>
      <c r="AD64" s="47"/>
      <c r="AE64" s="48" t="str">
        <f>IF(AD64=0,"",IFERROR(AD64/AD$19,""))</f>
        <v/>
      </c>
      <c r="AF64" s="150">
        <f>IF(AND($AA64="",AD64=""),"",$AA64-AD64)</f>
        <v>0</v>
      </c>
      <c r="AG64" s="47"/>
      <c r="AH64" s="48" t="str">
        <f>IF(AG64=0,"",IFERROR(AG64/AG$19,""))</f>
        <v/>
      </c>
      <c r="AI64" s="150">
        <f>IF(AND($AA64="",AG64=""),"",$AA64-AG64)</f>
        <v>0</v>
      </c>
      <c r="AJ64" s="399">
        <f>IFERROR(AA64/AA$20,0)</f>
        <v>0</v>
      </c>
      <c r="AK64" s="400">
        <f>IFERROR(AD64/AD$20,0)</f>
        <v>0</v>
      </c>
      <c r="AL64" s="401">
        <f>IFERROR(AG64/AG$20,0)</f>
        <v>0</v>
      </c>
      <c r="AM64" s="402">
        <f>+IFERROR(ROUND(($AB64-AE64)*100,2)&amp;" pts.",0)</f>
        <v>0</v>
      </c>
      <c r="AN64" s="403">
        <f>+IFERROR(ROUND(($AB64-AH64)*100,2)&amp;" pts.",0)</f>
        <v>0</v>
      </c>
    </row>
    <row r="65" spans="1:40" x14ac:dyDescent="0.25">
      <c r="O65" s="41"/>
      <c r="P65" s="45"/>
      <c r="Q65" s="45"/>
      <c r="R65" s="45"/>
      <c r="S65" s="45"/>
      <c r="T65" s="45"/>
      <c r="U65" s="45"/>
      <c r="V65" s="45"/>
      <c r="W65" s="45"/>
      <c r="X65" s="45"/>
      <c r="Y65" s="45"/>
      <c r="Z65" s="45"/>
      <c r="AA65" s="45"/>
      <c r="AB65" s="42"/>
      <c r="AD65" s="41"/>
      <c r="AE65" s="45"/>
      <c r="AF65" s="42"/>
      <c r="AG65" s="41"/>
      <c r="AH65" s="45"/>
      <c r="AI65" s="42"/>
    </row>
    <row r="66" spans="1:40" x14ac:dyDescent="0.25">
      <c r="A66" s="1" t="s">
        <v>105</v>
      </c>
      <c r="C66" s="26" t="s">
        <v>101</v>
      </c>
      <c r="D66" s="1" t="s">
        <v>106</v>
      </c>
      <c r="F66" s="1" t="s">
        <v>98</v>
      </c>
      <c r="H66" s="1" t="s">
        <v>82</v>
      </c>
      <c r="I66" s="11" t="s">
        <v>1011</v>
      </c>
      <c r="J66" s="11" t="s">
        <v>78</v>
      </c>
      <c r="N66" s="40" t="s">
        <v>1092</v>
      </c>
      <c r="O66" s="43"/>
      <c r="P66" s="46"/>
      <c r="Q66" s="46"/>
      <c r="R66" s="46"/>
      <c r="S66" s="46"/>
      <c r="T66" s="46"/>
      <c r="U66" s="46"/>
      <c r="V66" s="46"/>
      <c r="W66" s="46"/>
      <c r="X66" s="46"/>
      <c r="Y66" s="46"/>
      <c r="Z66" s="46"/>
      <c r="AA66" s="46"/>
      <c r="AB66" s="44"/>
      <c r="AD66" s="43"/>
      <c r="AE66" s="46"/>
      <c r="AF66" s="44"/>
      <c r="AG66" s="43"/>
      <c r="AH66" s="46"/>
      <c r="AI66" s="44"/>
    </row>
    <row r="67" spans="1:40" hidden="1" x14ac:dyDescent="0.25">
      <c r="A67" s="1" t="s">
        <v>108</v>
      </c>
      <c r="C67" s="25" t="s">
        <v>101</v>
      </c>
      <c r="D67" s="1" t="s">
        <v>106</v>
      </c>
      <c r="F67" s="1" t="s">
        <v>98</v>
      </c>
      <c r="H67" s="15" t="s">
        <v>667</v>
      </c>
      <c r="I67" s="161"/>
      <c r="J67" s="161"/>
      <c r="K67" s="68" t="str">
        <f>IF(AND(I67&lt;&gt;"B1",J67="Y"),"&gt;","")</f>
        <v/>
      </c>
      <c r="L67" s="162"/>
      <c r="M67" s="162"/>
      <c r="N67" s="162"/>
      <c r="O67" s="21"/>
      <c r="P67" s="21"/>
      <c r="Q67" s="21"/>
      <c r="R67" s="21"/>
      <c r="S67" s="21"/>
      <c r="T67" s="21"/>
      <c r="U67" s="21"/>
      <c r="V67" s="21"/>
      <c r="W67" s="21"/>
      <c r="X67" s="21"/>
      <c r="Y67" s="21"/>
      <c r="Z67" s="21"/>
      <c r="AA67" s="21">
        <f>IF($I67="B1","",SUM(O67:Z67))</f>
        <v>0</v>
      </c>
      <c r="AB67" s="17" t="str">
        <f>IF(AA67=0,"",IFERROR(AA67/AA$19,""))</f>
        <v/>
      </c>
      <c r="AD67" s="21"/>
      <c r="AE67" s="17" t="str">
        <f>IF(AD67=0,"",IFERROR(AD67/AD$19,""))</f>
        <v/>
      </c>
      <c r="AF67" s="50">
        <f>IF(AND($AA67="",AD67=""),"",$AA67-AD67)</f>
        <v>0</v>
      </c>
      <c r="AG67" s="21"/>
      <c r="AH67" s="17" t="str">
        <f>IF(AG67=0,"",IFERROR(AG67/AG$19,""))</f>
        <v/>
      </c>
      <c r="AI67" s="50">
        <f>IF(AND($AA67="",AG67=""),"",$AA67-AG67)</f>
        <v>0</v>
      </c>
      <c r="AJ67" s="399">
        <f>IFERROR(AA67/AA$20,0)</f>
        <v>0</v>
      </c>
      <c r="AK67" s="400">
        <f>IFERROR(AD67/AD$20,0)</f>
        <v>0</v>
      </c>
      <c r="AL67" s="401">
        <f>IFERROR(AG67/AG$20,0)</f>
        <v>0</v>
      </c>
      <c r="AM67" s="402">
        <f>+IFERROR(ROUND(($AB67-AE67)*100,2)&amp;" pts.",0)</f>
        <v>0</v>
      </c>
      <c r="AN67" s="403">
        <f>+IFERROR(ROUND(($AB67-AH67)*100,2)&amp;" pts.",0)</f>
        <v>0</v>
      </c>
    </row>
    <row r="68" spans="1:40" hidden="1" x14ac:dyDescent="0.25">
      <c r="A68" s="1" t="s">
        <v>108</v>
      </c>
      <c r="C68" s="151" t="s">
        <v>101</v>
      </c>
      <c r="D68" s="1" t="s">
        <v>107</v>
      </c>
      <c r="F68" s="1" t="s">
        <v>99</v>
      </c>
      <c r="H68" s="15"/>
      <c r="I68" s="161"/>
      <c r="J68" s="161"/>
      <c r="K68" s="68" t="str">
        <f>IF(AND(I68&lt;&gt;"B1",J68="Y"),"&gt;","")</f>
        <v/>
      </c>
      <c r="L68" s="162"/>
      <c r="M68" s="162"/>
      <c r="N68" s="162"/>
      <c r="O68" s="21"/>
      <c r="P68" s="21"/>
      <c r="Q68" s="21"/>
      <c r="R68" s="21"/>
      <c r="S68" s="21"/>
      <c r="T68" s="21"/>
      <c r="U68" s="21"/>
      <c r="V68" s="21"/>
      <c r="W68" s="21"/>
      <c r="X68" s="21"/>
      <c r="Y68" s="21"/>
      <c r="Z68" s="21"/>
      <c r="AA68" s="21">
        <f>IF($I68="B1","",SUM(O68:Z68))</f>
        <v>0</v>
      </c>
      <c r="AB68" s="17" t="str">
        <f>IF(AA68=0,"",IFERROR(AA68/AA$19,""))</f>
        <v/>
      </c>
      <c r="AD68" s="21"/>
      <c r="AE68" s="17" t="str">
        <f>IF(AD68=0,"",IFERROR(AD68/AD$19,""))</f>
        <v/>
      </c>
      <c r="AF68" s="50">
        <f>IF(AND($AA68="",AD68=""),"",$AA68-AD68)</f>
        <v>0</v>
      </c>
      <c r="AG68" s="21"/>
      <c r="AH68" s="17" t="str">
        <f>IF(AG68=0,"",IFERROR(AG68/AG$19,""))</f>
        <v/>
      </c>
      <c r="AI68" s="50">
        <f>IF(AND($AA68="",AG68=""),"",$AA68-AG68)</f>
        <v>0</v>
      </c>
      <c r="AJ68" s="399">
        <f>IFERROR(AA68/AA$20,0)</f>
        <v>0</v>
      </c>
      <c r="AK68" s="400">
        <f>IFERROR(AD68/AD$20,0)</f>
        <v>0</v>
      </c>
      <c r="AL68" s="401">
        <f>IFERROR(AG68/AG$20,0)</f>
        <v>0</v>
      </c>
      <c r="AM68" s="402">
        <f>+IFERROR(ROUND(($AB68-AE68)*100,2)&amp;" pts.",0)</f>
        <v>0</v>
      </c>
      <c r="AN68" s="403">
        <f>+IFERROR(ROUND(($AB68-AH68)*100,2)&amp;" pts.",0)</f>
        <v>0</v>
      </c>
    </row>
    <row r="69" spans="1:40" x14ac:dyDescent="0.25">
      <c r="H69" s="15" t="s">
        <v>79</v>
      </c>
      <c r="I69" s="27" t="s">
        <v>1012</v>
      </c>
      <c r="J69" s="27" t="s">
        <v>78</v>
      </c>
      <c r="K69" s="26"/>
      <c r="L69" s="26"/>
      <c r="M69" s="26"/>
      <c r="N69" s="25" t="s">
        <v>1116</v>
      </c>
      <c r="O69" s="33"/>
      <c r="P69" s="33"/>
      <c r="Q69" s="33"/>
      <c r="R69" s="33"/>
      <c r="S69" s="33"/>
      <c r="T69" s="33"/>
      <c r="U69" s="33"/>
      <c r="V69" s="33"/>
      <c r="W69" s="33"/>
      <c r="X69" s="33"/>
      <c r="Y69" s="33"/>
      <c r="Z69" s="33"/>
      <c r="AA69" s="33">
        <f>IF($I69="B1","",SUM(O69:Z69))</f>
        <v>0</v>
      </c>
      <c r="AB69" s="34" t="str">
        <f>IF(AA69=0,"",IFERROR(AA69/AA$19,""))</f>
        <v/>
      </c>
      <c r="AD69" s="33"/>
      <c r="AE69" s="34" t="str">
        <f>IF(AD69=0,"",IFERROR(AD69/AD$19,""))</f>
        <v/>
      </c>
      <c r="AF69" s="52">
        <f>IF(AND($AA69="",AD69=""),"",$AA69-AD69)</f>
        <v>0</v>
      </c>
      <c r="AG69" s="33"/>
      <c r="AH69" s="34" t="str">
        <f>IF(AG69=0,"",IFERROR(AG69/AG$19,""))</f>
        <v/>
      </c>
      <c r="AI69" s="52">
        <f>IF(AND($AA69="",AG69=""),"",$AA69-AG69)</f>
        <v>0</v>
      </c>
      <c r="AJ69" s="415">
        <f>IFERROR(AA69/AA$20,0)</f>
        <v>0</v>
      </c>
      <c r="AK69" s="416">
        <f>IFERROR(AD69/AD$20,0)</f>
        <v>0</v>
      </c>
      <c r="AL69" s="417">
        <f>IFERROR(AG69/AG$20,0)</f>
        <v>0</v>
      </c>
      <c r="AM69" s="418">
        <f>+IFERROR(ROUND(($AB69-AE69)*100,2)&amp;" pts.",0)</f>
        <v>0</v>
      </c>
      <c r="AN69" s="436">
        <f>+IFERROR(ROUND(($AB69-AH69)*100,2)&amp;" pts.",0)</f>
        <v>0</v>
      </c>
    </row>
    <row r="70" spans="1:40" x14ac:dyDescent="0.25">
      <c r="C70" s="32"/>
    </row>
    <row r="71" spans="1:40" x14ac:dyDescent="0.25">
      <c r="A71" s="4" t="s">
        <v>988</v>
      </c>
      <c r="H71" s="15" t="s">
        <v>80</v>
      </c>
      <c r="I71" s="27" t="s">
        <v>1012</v>
      </c>
      <c r="J71" s="27" t="s">
        <v>78</v>
      </c>
      <c r="K71" s="25"/>
      <c r="L71" s="25"/>
      <c r="M71" s="25"/>
      <c r="N71" s="25" t="s">
        <v>1117</v>
      </c>
      <c r="O71" s="36"/>
      <c r="P71" s="36"/>
      <c r="Q71" s="36"/>
      <c r="R71" s="36"/>
      <c r="S71" s="36"/>
      <c r="T71" s="36"/>
      <c r="U71" s="36"/>
      <c r="V71" s="36"/>
      <c r="W71" s="36"/>
      <c r="X71" s="36"/>
      <c r="Y71" s="36"/>
      <c r="Z71" s="36"/>
      <c r="AA71" s="36">
        <f>IF($I71="B1","",SUM(O71:Z71))</f>
        <v>0</v>
      </c>
      <c r="AB71" s="37" t="str">
        <f>IF(AA71=0,"",IFERROR(AA71/AA$19,""))</f>
        <v/>
      </c>
      <c r="AD71" s="36"/>
      <c r="AE71" s="37" t="str">
        <f>IF(AD71=0,"",IFERROR(AD71/AD$19,""))</f>
        <v/>
      </c>
      <c r="AF71" s="59">
        <f>IF(AND($AA71="",AD71=""),"",$AA71-AD71)</f>
        <v>0</v>
      </c>
      <c r="AG71" s="60"/>
      <c r="AH71" s="61" t="str">
        <f>IF(AG71=0,"",IFERROR(AG71/AG$19,""))</f>
        <v/>
      </c>
      <c r="AI71" s="59">
        <f>IF(AND($AA71="",AG71=""),"",$AA71-AG71)</f>
        <v>0</v>
      </c>
      <c r="AJ71" s="392">
        <f>IFERROR(AA71/AA$20,0)</f>
        <v>0</v>
      </c>
      <c r="AK71" s="393">
        <f>IFERROR(AD71/AD$20,0)</f>
        <v>0</v>
      </c>
      <c r="AL71" s="394">
        <f>IFERROR(AG71/AG$20,0)</f>
        <v>0</v>
      </c>
      <c r="AM71" s="395">
        <f>+IFERROR(ROUND(($AB71-AE71)*100,2)&amp;" pts.",0)</f>
        <v>0</v>
      </c>
      <c r="AN71" s="437">
        <f>+IFERROR(ROUND(($AB71-AH71)*100,2)&amp;" pts.",0)</f>
        <v>0</v>
      </c>
    </row>
    <row r="72" spans="1:40" ht="15.75" thickBot="1" x14ac:dyDescent="0.3">
      <c r="H72" s="15" t="s">
        <v>81</v>
      </c>
      <c r="I72" s="27" t="s">
        <v>1012</v>
      </c>
      <c r="J72" s="27" t="s">
        <v>78</v>
      </c>
      <c r="K72" s="25"/>
      <c r="L72" s="25"/>
      <c r="M72" s="25"/>
      <c r="N72" s="25" t="s">
        <v>1118</v>
      </c>
      <c r="O72" s="62"/>
      <c r="P72" s="62"/>
      <c r="Q72" s="62"/>
      <c r="R72" s="62"/>
      <c r="S72" s="62"/>
      <c r="T72" s="62"/>
      <c r="U72" s="62"/>
      <c r="V72" s="62"/>
      <c r="W72" s="62"/>
      <c r="X72" s="62"/>
      <c r="Y72" s="62"/>
      <c r="Z72" s="62"/>
      <c r="AA72" s="62">
        <f>IF($I72="B1","",SUM(O72:Z72))</f>
        <v>0</v>
      </c>
      <c r="AB72" s="63" t="str">
        <f>IF(AA72=0,"",IFERROR(AA72/AA$19,""))</f>
        <v/>
      </c>
      <c r="AD72" s="62"/>
      <c r="AE72" s="63" t="str">
        <f>IF(AD72=0,"",IFERROR(AD72/AD$19,""))</f>
        <v/>
      </c>
      <c r="AF72" s="64">
        <f>IF(AND($AA72="",AD72=""),"",$AA72-AD72)</f>
        <v>0</v>
      </c>
      <c r="AG72" s="62"/>
      <c r="AH72" s="63" t="str">
        <f>IF(AG72=0,"",IFERROR(AG72/AG$19,""))</f>
        <v/>
      </c>
      <c r="AI72" s="64">
        <f>IF(AND($AA72="",AG72=""),"",$AA72-AG72)</f>
        <v>0</v>
      </c>
      <c r="AJ72" s="430">
        <f>IFERROR(AA72/AA$20,0)</f>
        <v>0</v>
      </c>
      <c r="AK72" s="431">
        <f>IFERROR(AD72/AD$20,0)</f>
        <v>0</v>
      </c>
      <c r="AL72" s="432">
        <f>IFERROR(AG72/AG$20,0)</f>
        <v>0</v>
      </c>
      <c r="AM72" s="433">
        <f>+IFERROR(ROUND(($AB72-AE72)*100,2)&amp;" pts.",0)</f>
        <v>0</v>
      </c>
      <c r="AN72" s="438">
        <f>+IFERROR(ROUND(($AB72-AH72)*100,2)&amp;" pts.",0)</f>
        <v>0</v>
      </c>
    </row>
    <row r="73" spans="1:40" ht="15.75" thickTop="1" x14ac:dyDescent="0.25">
      <c r="A73" s="3" t="s">
        <v>0</v>
      </c>
      <c r="B73" s="5" t="s">
        <v>1</v>
      </c>
    </row>
    <row r="74" spans="1:40" x14ac:dyDescent="0.25">
      <c r="A74" s="6" t="s">
        <v>2</v>
      </c>
      <c r="B74" s="16" t="s">
        <v>1628</v>
      </c>
      <c r="N74" s="26" t="str">
        <f>N71&amp;" - Check"</f>
        <v>Total Expenses - Check</v>
      </c>
      <c r="O74" s="139">
        <f t="shared" ref="O74:AA74" si="22">SUMIF($H$34:$H$72,"600000",O$34:O$72)+SUMIF($H$34:$H$72,"700000",O$34:O$72)-SUMIF($H$34:$H$72,"TOTDEPTEXP",O$34:O$72)</f>
        <v>0</v>
      </c>
      <c r="P74" s="139">
        <f t="shared" si="22"/>
        <v>0</v>
      </c>
      <c r="Q74" s="139">
        <f t="shared" si="22"/>
        <v>0</v>
      </c>
      <c r="R74" s="139">
        <f t="shared" si="22"/>
        <v>0</v>
      </c>
      <c r="S74" s="139">
        <f t="shared" si="22"/>
        <v>0</v>
      </c>
      <c r="T74" s="139">
        <f t="shared" si="22"/>
        <v>0</v>
      </c>
      <c r="U74" s="139">
        <f t="shared" si="22"/>
        <v>0</v>
      </c>
      <c r="V74" s="139">
        <f t="shared" si="22"/>
        <v>0</v>
      </c>
      <c r="W74" s="139">
        <f t="shared" si="22"/>
        <v>0</v>
      </c>
      <c r="X74" s="139">
        <f t="shared" si="22"/>
        <v>0</v>
      </c>
      <c r="Y74" s="139">
        <f t="shared" si="22"/>
        <v>0</v>
      </c>
      <c r="Z74" s="139">
        <f t="shared" si="22"/>
        <v>0</v>
      </c>
      <c r="AA74" s="139">
        <f t="shared" si="22"/>
        <v>0</v>
      </c>
      <c r="AB74" s="17"/>
      <c r="AD74" s="139">
        <f>SUMIF($H$34:$H$72,"600000",AD$34:AD$72)+SUMIF($H$34:$H$72,"700000",AD$34:AD$72)-SUMIF($H$34:$H$72,"TOTDEPTEXP",AD$34:AD$72)</f>
        <v>0</v>
      </c>
      <c r="AE74" s="17"/>
      <c r="AF74" s="21"/>
      <c r="AG74" s="139">
        <f>SUMIF($H$34:$H$72,"600000",AG$34:AG$72)+SUMIF($H$34:$H$72,"700000",AG$34:AG$72)-SUMIF($H$34:$H$72,"TOTDEPTEXP",AG$34:AG$72)</f>
        <v>0</v>
      </c>
      <c r="AH74" s="17"/>
      <c r="AI74" s="21"/>
    </row>
    <row r="75" spans="1:40" x14ac:dyDescent="0.25">
      <c r="A75" s="6" t="s">
        <v>3</v>
      </c>
      <c r="B75" s="16" t="s">
        <v>1629</v>
      </c>
      <c r="N75" s="26" t="str">
        <f>N72&amp;" - Check"</f>
        <v>Department Profit (Loss) - Check</v>
      </c>
      <c r="O75" s="139">
        <f t="shared" ref="O75:AA75" si="23">SUMIF($H$34:$H$72,"KPI_GP",O$34:O$72)-SUMIF($H$34:$H$72,"TOTDEPTEXP",O$34:O$72)-SUMIF($H$34:$H$72,"TOTDEPTPL",O$34:O$72)</f>
        <v>0</v>
      </c>
      <c r="P75" s="139">
        <f t="shared" si="23"/>
        <v>0</v>
      </c>
      <c r="Q75" s="139">
        <f t="shared" si="23"/>
        <v>0</v>
      </c>
      <c r="R75" s="139">
        <f t="shared" si="23"/>
        <v>0</v>
      </c>
      <c r="S75" s="139">
        <f t="shared" si="23"/>
        <v>0</v>
      </c>
      <c r="T75" s="139">
        <f t="shared" si="23"/>
        <v>0</v>
      </c>
      <c r="U75" s="139">
        <f t="shared" si="23"/>
        <v>0</v>
      </c>
      <c r="V75" s="139">
        <f t="shared" si="23"/>
        <v>0</v>
      </c>
      <c r="W75" s="139">
        <f t="shared" si="23"/>
        <v>0</v>
      </c>
      <c r="X75" s="139">
        <f t="shared" si="23"/>
        <v>0</v>
      </c>
      <c r="Y75" s="139">
        <f t="shared" si="23"/>
        <v>0</v>
      </c>
      <c r="Z75" s="139">
        <f t="shared" si="23"/>
        <v>0</v>
      </c>
      <c r="AA75" s="139">
        <f t="shared" si="23"/>
        <v>0</v>
      </c>
      <c r="AB75" s="17"/>
      <c r="AD75" s="139">
        <f>SUMIF($H$34:$H$72,"KPI_GP",AD$34:AD$72)-SUMIF($H$34:$H$72,"TOTDEPTEXP",AD$34:AD$72)-SUMIF($H$34:$H$72,"TOTDEPTPL",AD$34:AD$72)</f>
        <v>0</v>
      </c>
      <c r="AE75" s="17"/>
      <c r="AF75" s="21"/>
      <c r="AG75" s="139">
        <f>SUMIF($H$34:$H$72,"KPI_GP",AG$34:AG$72)-SUMIF($H$34:$H$72,"TOTDEPTEXP",AG$34:AG$72)-SUMIF($H$34:$H$72,"TOTDEPTPL",AG$34:AG$72)</f>
        <v>0</v>
      </c>
      <c r="AH75" s="17"/>
      <c r="AI75" s="21"/>
    </row>
    <row r="76" spans="1:40" x14ac:dyDescent="0.25">
      <c r="A76" s="6" t="s">
        <v>4</v>
      </c>
      <c r="B76" s="16" t="s">
        <v>1652</v>
      </c>
    </row>
    <row r="77" spans="1:40" x14ac:dyDescent="0.25">
      <c r="A77" s="6" t="s">
        <v>5</v>
      </c>
      <c r="B77" s="7"/>
      <c r="O77" s="166"/>
      <c r="P77" s="166"/>
      <c r="Q77" s="166"/>
      <c r="R77" s="166"/>
      <c r="S77" s="166"/>
      <c r="T77" s="166"/>
      <c r="U77" s="166"/>
      <c r="V77" s="166"/>
      <c r="W77" s="166"/>
      <c r="X77" s="166"/>
      <c r="Y77" s="166"/>
      <c r="Z77" s="166"/>
      <c r="AA77" s="166"/>
      <c r="AD77" s="166"/>
      <c r="AG77" s="166"/>
    </row>
    <row r="78" spans="1:40" x14ac:dyDescent="0.25">
      <c r="A78" s="6" t="s">
        <v>6</v>
      </c>
      <c r="B78" s="7"/>
    </row>
    <row r="79" spans="1:40" x14ac:dyDescent="0.25">
      <c r="A79" s="6" t="s">
        <v>7</v>
      </c>
      <c r="B79" s="16" t="s">
        <v>1653</v>
      </c>
      <c r="O79" s="166"/>
      <c r="P79" s="166"/>
      <c r="Q79" s="166"/>
      <c r="R79" s="166"/>
      <c r="S79" s="166"/>
      <c r="T79" s="166"/>
      <c r="U79" s="166"/>
      <c r="V79" s="166"/>
      <c r="W79" s="166"/>
      <c r="X79" s="166"/>
      <c r="Y79" s="166"/>
      <c r="Z79" s="166"/>
      <c r="AA79" s="166"/>
      <c r="AD79" s="166"/>
      <c r="AG79" s="166"/>
    </row>
    <row r="80" spans="1:40" x14ac:dyDescent="0.25">
      <c r="A80" s="6" t="s">
        <v>47</v>
      </c>
      <c r="B80" s="16" t="s">
        <v>1632</v>
      </c>
    </row>
    <row r="81" spans="1:10" x14ac:dyDescent="0.25">
      <c r="A81" s="6" t="s">
        <v>8</v>
      </c>
      <c r="B81" s="7"/>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c r="H100" s="11"/>
      <c r="J100" s="1"/>
    </row>
    <row r="101" spans="1:10" x14ac:dyDescent="0.25">
      <c r="H101" s="11"/>
      <c r="J101" s="1"/>
    </row>
    <row r="102" spans="1:10" x14ac:dyDescent="0.25">
      <c r="A102" s="4" t="s">
        <v>988</v>
      </c>
      <c r="B102" s="1" t="s">
        <v>736</v>
      </c>
      <c r="H102" s="11"/>
      <c r="J102" s="1"/>
    </row>
    <row r="103" spans="1:10" x14ac:dyDescent="0.25">
      <c r="G103" s="14"/>
      <c r="H103" s="11"/>
      <c r="J103" s="1"/>
    </row>
    <row r="104" spans="1:10" x14ac:dyDescent="0.25">
      <c r="A104" s="3" t="s">
        <v>0</v>
      </c>
      <c r="B104" s="5" t="s">
        <v>1</v>
      </c>
      <c r="H104" s="11"/>
      <c r="J104" s="1"/>
    </row>
    <row r="105" spans="1:10" x14ac:dyDescent="0.25">
      <c r="A105" s="6" t="s">
        <v>2</v>
      </c>
      <c r="B105" s="16" t="s">
        <v>1628</v>
      </c>
    </row>
    <row r="106" spans="1:10" x14ac:dyDescent="0.25">
      <c r="A106" s="6" t="s">
        <v>3</v>
      </c>
      <c r="B106" s="16" t="s">
        <v>1629</v>
      </c>
    </row>
    <row r="107" spans="1:10" x14ac:dyDescent="0.25">
      <c r="A107" s="6" t="s">
        <v>4</v>
      </c>
      <c r="B107" s="16" t="s">
        <v>1654</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16" t="s">
        <v>1632</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2" x14ac:dyDescent="0.25">
      <c r="A129" s="6" t="s">
        <v>38</v>
      </c>
      <c r="B129" s="7"/>
    </row>
    <row r="130" spans="1:2" x14ac:dyDescent="0.25">
      <c r="A130" s="6" t="s">
        <v>39</v>
      </c>
      <c r="B130" s="7"/>
    </row>
    <row r="131" spans="1:2" x14ac:dyDescent="0.25">
      <c r="A131" s="6" t="s">
        <v>40</v>
      </c>
      <c r="B131" s="7"/>
    </row>
    <row r="132" spans="1:2" x14ac:dyDescent="0.25">
      <c r="A132" s="6" t="s">
        <v>41</v>
      </c>
      <c r="B132" s="7"/>
    </row>
    <row r="133" spans="1:2" x14ac:dyDescent="0.25">
      <c r="A133" s="6" t="s">
        <v>42</v>
      </c>
      <c r="B133" s="7"/>
    </row>
    <row r="134" spans="1:2" x14ac:dyDescent="0.25">
      <c r="A134" s="6" t="s">
        <v>43</v>
      </c>
      <c r="B134" s="7"/>
    </row>
    <row r="135" spans="1:2" x14ac:dyDescent="0.25">
      <c r="A135" s="6" t="s">
        <v>44</v>
      </c>
      <c r="B135" s="7"/>
    </row>
    <row r="136" spans="1:2" x14ac:dyDescent="0.25">
      <c r="A136" s="6" t="s">
        <v>45</v>
      </c>
      <c r="B136" s="7"/>
    </row>
    <row r="137" spans="1:2" x14ac:dyDescent="0.25">
      <c r="A137" s="6" t="s">
        <v>46</v>
      </c>
      <c r="B137" s="7"/>
    </row>
    <row r="145" spans="5:34" x14ac:dyDescent="0.25">
      <c r="I145" s="76"/>
      <c r="J145" s="1"/>
      <c r="K145" s="76"/>
      <c r="L145" s="76"/>
      <c r="M145" s="76"/>
      <c r="O145" s="76"/>
      <c r="P145" s="76"/>
      <c r="Q145" s="76"/>
      <c r="R145" s="76"/>
      <c r="S145" s="76"/>
      <c r="T145" s="76"/>
      <c r="U145" s="76"/>
      <c r="V145" s="76"/>
      <c r="W145" s="76"/>
      <c r="X145" s="76"/>
      <c r="Y145" s="76"/>
      <c r="Z145" s="76"/>
      <c r="AA145" s="76"/>
      <c r="AD145" s="76"/>
      <c r="AF145" s="76"/>
      <c r="AH145" s="76"/>
    </row>
    <row r="149" spans="5:34" x14ac:dyDescent="0.25">
      <c r="I149" s="76"/>
      <c r="J149" s="1"/>
      <c r="K149" s="76"/>
      <c r="L149" s="76"/>
      <c r="M149" s="76"/>
      <c r="O149" s="76"/>
      <c r="P149" s="76"/>
      <c r="Q149" s="76"/>
      <c r="R149" s="76"/>
      <c r="S149" s="76"/>
      <c r="T149" s="76"/>
      <c r="U149" s="76"/>
      <c r="V149" s="76"/>
      <c r="W149" s="76"/>
      <c r="X149" s="76"/>
      <c r="Y149" s="76"/>
      <c r="Z149" s="76"/>
      <c r="AA149" s="76"/>
      <c r="AD149" s="76"/>
      <c r="AF149" s="76"/>
      <c r="AH149" s="76"/>
    </row>
    <row r="154" spans="5:34" x14ac:dyDescent="0.25">
      <c r="E154" s="76"/>
    </row>
    <row r="158" spans="5:34" x14ac:dyDescent="0.25">
      <c r="E158" s="76"/>
    </row>
    <row r="188" spans="7:7" x14ac:dyDescent="0.25">
      <c r="G188" s="76"/>
    </row>
    <row r="192" spans="7:7" x14ac:dyDescent="0.25">
      <c r="G192" s="76"/>
    </row>
  </sheetData>
  <mergeCells count="2">
    <mergeCell ref="AD31:AE31"/>
    <mergeCell ref="AG31:AH31"/>
  </mergeCells>
  <dataValidations count="2">
    <dataValidation type="list" allowBlank="1" sqref="B58 B29 B86" xr:uid="{00000000-0002-0000-4700-000000000000}">
      <formula1>"SELF,ALL,BAS,DEP,BASMEMBERS,MEMBERS,NOEXPAND,GDEP"</formula1>
    </dataValidation>
    <dataValidation type="list" allowBlank="1" sqref="B57 B28 B85" xr:uid="{00000000-0002-0000-4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659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6598" r:id="rId5" name="FPMExcelClientSheetOptionstb1"/>
      </mc:Fallback>
    </mc:AlternateContent>
  </controls>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0">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8.4257812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423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IF('LDXz8fdsAE2Ug4AWCUzTAA=='!$O$1=TRUE,"TRAILING12",IF(Z17="CURRENT","ROLLINGFORECAST","PERIODIC"))</f>
        <v>#NAME?</v>
      </c>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_xll.EVRNG(H34:H53,H56:H74)</f>
        <v>#NAME?</v>
      </c>
      <c r="G19" s="18" t="str">
        <f>$B$6</f>
        <v>D1138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_xll.EVRNG(A58:F62)</f>
        <v>#NAME?</v>
      </c>
      <c r="I22" s="1"/>
      <c r="J22" s="1"/>
    </row>
    <row r="23" spans="1:40" hidden="1" outlineLevel="1" x14ac:dyDescent="0.25">
      <c r="A23" s="6" t="s">
        <v>47</v>
      </c>
      <c r="B23" s="7" t="e">
        <f ca="1">_xll.EVRNG($A$79:$B$100)</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"DEP(450000) AND "&amp;$E$6&amp;"=Y,400000|DEP(550000) AND "&amp;$E$6&amp;"=Y,500001"</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424</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v>393.37</v>
      </c>
      <c r="P34" s="21">
        <v>361.46</v>
      </c>
      <c r="Q34" s="21">
        <v>-117.14</v>
      </c>
      <c r="R34" s="21">
        <v>112.81</v>
      </c>
      <c r="S34" s="21">
        <v>48.9</v>
      </c>
      <c r="T34" s="21">
        <v>59.13</v>
      </c>
      <c r="U34" s="21">
        <v>45.93</v>
      </c>
      <c r="V34" s="21">
        <v>16.059999999999999</v>
      </c>
      <c r="W34" s="21">
        <v>90.26</v>
      </c>
      <c r="X34" s="21">
        <v>124.22</v>
      </c>
      <c r="Y34" s="21">
        <v>60.32</v>
      </c>
      <c r="Z34" s="21">
        <v>66.38</v>
      </c>
      <c r="AA34" s="310" t="e">
        <f t="shared" ref="AA34:AA53" ca="1" si="0">IF($I34="B1","",SUM(O34:Z34))</f>
        <v>#NAME?</v>
      </c>
      <c r="AB34" s="17" t="e">
        <f t="shared" ref="AB34:AB53" ca="1" si="1">IF(AA34=0,"",IFERROR(AA34/AA$19,""))</f>
        <v>#NAME?</v>
      </c>
      <c r="AD34" s="21">
        <v>6149.55</v>
      </c>
      <c r="AE34" s="17" t="str">
        <f t="shared" ref="AE34:AE53" ca="1" si="2">IF(AD34=0,"",IFERROR(AD34/AD$19,""))</f>
        <v/>
      </c>
      <c r="AF34" s="50" t="e">
        <f t="shared" ref="AF34:AF53" ca="1" si="3">IF(AND($AA34="",AD34=""),"",$AA34-AD34)</f>
        <v>#NAME?</v>
      </c>
      <c r="AG34" s="21">
        <v>5877.2</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H35" s="15" t="s">
        <v>425</v>
      </c>
      <c r="I35" s="161" t="e">
        <f ca="1">_xll.EVPRO($B$1,$H35,"STYLE")</f>
        <v>#NAME?</v>
      </c>
      <c r="J35" s="161" t="e">
        <f ca="1">_xll.EVPRO($B$1,$H35,"CALC")</f>
        <v>#NAME?</v>
      </c>
      <c r="K35" s="68" t="e">
        <f t="shared" ref="K35:K53"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53" si="5">IF(AG35=0,"",IFERROR(AG35/AG$19,""))</f>
        <v/>
      </c>
      <c r="AI35" s="50" t="e">
        <f t="shared" ref="AI35:AI53" ca="1" si="6">IF(AND($AA35="",AG35=""),"",$AA35-AG35)</f>
        <v>#NAME?</v>
      </c>
      <c r="AJ35" s="399">
        <f t="shared" ref="AJ35:AJ53" ca="1" si="7">IFERROR(AA35/AA$20,0)</f>
        <v>0</v>
      </c>
      <c r="AK35" s="400">
        <f t="shared" ref="AK35:AK53" ca="1" si="8">IFERROR(AD35/AD$20,0)</f>
        <v>0</v>
      </c>
      <c r="AL35" s="401">
        <f t="shared" ref="AL35:AL53" ca="1" si="9">IFERROR(AG35/AG$20,0)</f>
        <v>0</v>
      </c>
      <c r="AM35" s="402">
        <f t="shared" ref="AM35:AM53" ca="1" si="10">+IFERROR(ROUND(($AB35-AE35)*100,2)&amp;" pts.",0)</f>
        <v>0</v>
      </c>
      <c r="AN35" s="403">
        <f t="shared" ref="AN35:AN53" ca="1" si="11">+IFERROR(ROUND(($AB35-AH35)*100,2)&amp;" pts.",0)</f>
        <v>0</v>
      </c>
    </row>
    <row r="36" spans="1:40" x14ac:dyDescent="0.25">
      <c r="A36" s="4" t="e">
        <f ca="1">_xll.EVDRE($B$1,A39:B46,A49:B55)</f>
        <v>#NAME?</v>
      </c>
      <c r="H36" s="15" t="s">
        <v>426</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v>408.48</v>
      </c>
      <c r="P36" s="21">
        <v>1086.6300000000001</v>
      </c>
      <c r="Q36" s="21">
        <v>681.88</v>
      </c>
      <c r="R36" s="21">
        <v>1157.57</v>
      </c>
      <c r="S36" s="21">
        <v>816.95</v>
      </c>
      <c r="T36" s="21">
        <v>863.99</v>
      </c>
      <c r="U36" s="21">
        <v>541.16</v>
      </c>
      <c r="V36" s="21">
        <v>209.2</v>
      </c>
      <c r="W36" s="21">
        <v>491.66</v>
      </c>
      <c r="X36" s="21">
        <v>161.31</v>
      </c>
      <c r="Y36" s="21">
        <v>640.41</v>
      </c>
      <c r="Z36" s="21">
        <v>37.450000000000003</v>
      </c>
      <c r="AA36" s="310" t="e">
        <f t="shared" ca="1" si="0"/>
        <v>#NAME?</v>
      </c>
      <c r="AB36" s="17" t="e">
        <f t="shared" ca="1" si="1"/>
        <v>#NAME?</v>
      </c>
      <c r="AD36" s="21">
        <v>6969.49</v>
      </c>
      <c r="AE36" s="17" t="str">
        <f t="shared" ca="1" si="2"/>
        <v/>
      </c>
      <c r="AF36" s="50" t="e">
        <f t="shared" ca="1" si="3"/>
        <v>#NAME?</v>
      </c>
      <c r="AG36" s="21">
        <v>9501.9</v>
      </c>
      <c r="AH36" s="17" t="str">
        <f t="shared" ca="1"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H37" s="15" t="s">
        <v>427</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3" t="s">
        <v>0</v>
      </c>
      <c r="B38" s="5" t="s">
        <v>1</v>
      </c>
      <c r="H38" s="15" t="s">
        <v>428</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1075</v>
      </c>
      <c r="P38" s="21">
        <v>815</v>
      </c>
      <c r="Q38" s="21">
        <v>805</v>
      </c>
      <c r="R38" s="21">
        <v>805</v>
      </c>
      <c r="S38" s="21">
        <v>665</v>
      </c>
      <c r="T38" s="21">
        <v>750</v>
      </c>
      <c r="U38" s="21">
        <v>455</v>
      </c>
      <c r="V38" s="21">
        <v>560</v>
      </c>
      <c r="W38" s="21">
        <v>270</v>
      </c>
      <c r="X38" s="21">
        <v>930</v>
      </c>
      <c r="Y38" s="21">
        <v>818</v>
      </c>
      <c r="Z38" s="21">
        <v>-440.06</v>
      </c>
      <c r="AA38" s="310" t="e">
        <f t="shared" ca="1" si="0"/>
        <v>#NAME?</v>
      </c>
      <c r="AB38" s="17" t="e">
        <f t="shared" ca="1" si="1"/>
        <v>#NAME?</v>
      </c>
      <c r="AD38" s="21">
        <v>11889.13</v>
      </c>
      <c r="AE38" s="17" t="str">
        <f t="shared" ca="1" si="2"/>
        <v/>
      </c>
      <c r="AF38" s="50" t="e">
        <f t="shared" ca="1" si="3"/>
        <v>#NAME?</v>
      </c>
      <c r="AG38" s="21">
        <v>12587.32</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6" t="s">
        <v>2</v>
      </c>
      <c r="B39" s="7" t="e">
        <f ca="1">_xll.EVRNG($B$2:$B$10)</f>
        <v>#NAME?</v>
      </c>
      <c r="H39" s="15" t="s">
        <v>429</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6" t="s">
        <v>3</v>
      </c>
      <c r="B40" s="7" t="e">
        <f ca="1">_xll.EVRNG($O$16:$AN$18)</f>
        <v>#NAME?</v>
      </c>
      <c r="H40" s="15" t="s">
        <v>430</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A41" s="6" t="s">
        <v>4</v>
      </c>
      <c r="B41" s="7" t="e">
        <f ca="1">_xll.EVRNG(H77:H94)</f>
        <v>#NAME?</v>
      </c>
      <c r="H41" s="15" t="s">
        <v>475</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6" t="s">
        <v>5</v>
      </c>
      <c r="B42" s="7"/>
      <c r="H42" s="15" t="s">
        <v>476</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6" t="s">
        <v>6</v>
      </c>
      <c r="B43" s="7"/>
      <c r="H43" s="15" t="s">
        <v>477</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c r="P43" s="21"/>
      <c r="Q43" s="21"/>
      <c r="R43" s="21"/>
      <c r="S43" s="21"/>
      <c r="T43" s="21"/>
      <c r="U43" s="21"/>
      <c r="V43" s="21"/>
      <c r="W43" s="21"/>
      <c r="X43" s="21"/>
      <c r="Y43" s="21"/>
      <c r="Z43" s="21"/>
      <c r="AA43" s="310" t="e">
        <f t="shared" ca="1" si="0"/>
        <v>#NAME?</v>
      </c>
      <c r="AB43" s="17" t="e">
        <f t="shared" ca="1" si="1"/>
        <v>#NAME?</v>
      </c>
      <c r="AD43" s="21"/>
      <c r="AE43" s="17" t="str">
        <f t="shared" si="2"/>
        <v/>
      </c>
      <c r="AF43" s="50" t="e">
        <f t="shared" ca="1" si="3"/>
        <v>#NAME?</v>
      </c>
      <c r="AG43" s="21"/>
      <c r="AH43" s="17" t="str">
        <f t="shared"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6" t="s">
        <v>7</v>
      </c>
      <c r="B44" s="7" t="e">
        <f ca="1">_xll.EVRNG(A58:F62)</f>
        <v>#NAME?</v>
      </c>
      <c r="H44" s="15" t="s">
        <v>478</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310" t="e">
        <f t="shared" ca="1" si="0"/>
        <v>#NAME?</v>
      </c>
      <c r="AB44" s="17" t="e">
        <f t="shared" ca="1" si="1"/>
        <v>#NAME?</v>
      </c>
      <c r="AD44" s="21"/>
      <c r="AE44" s="17" t="str">
        <f t="shared" si="2"/>
        <v/>
      </c>
      <c r="AF44" s="50" t="e">
        <f t="shared" ca="1" si="3"/>
        <v>#NAME?</v>
      </c>
      <c r="AG44" s="21"/>
      <c r="AH44" s="17" t="str">
        <f t="shared" si="5"/>
        <v/>
      </c>
      <c r="AI44" s="50" t="e">
        <f t="shared" ca="1" si="6"/>
        <v>#NAME?</v>
      </c>
      <c r="AJ44" s="399">
        <f t="shared" ca="1" si="7"/>
        <v>0</v>
      </c>
      <c r="AK44" s="400">
        <f t="shared" ca="1" si="8"/>
        <v>0</v>
      </c>
      <c r="AL44" s="401">
        <f t="shared" ca="1" si="9"/>
        <v>0</v>
      </c>
      <c r="AM44" s="402">
        <f t="shared" ca="1" si="10"/>
        <v>0</v>
      </c>
      <c r="AN44" s="403">
        <f t="shared" ca="1" si="11"/>
        <v>0</v>
      </c>
    </row>
    <row r="45" spans="1:40" x14ac:dyDescent="0.25">
      <c r="A45" s="6" t="s">
        <v>47</v>
      </c>
      <c r="B45" s="7" t="e">
        <f ca="1">_xll.EVRNG($A$79:$B$100)</f>
        <v>#NAME?</v>
      </c>
      <c r="H45" s="15" t="s">
        <v>479</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310" t="e">
        <f t="shared" ca="1" si="0"/>
        <v>#NAME?</v>
      </c>
      <c r="AB45" s="17" t="e">
        <f t="shared" ca="1" si="1"/>
        <v>#NAME?</v>
      </c>
      <c r="AD45" s="21"/>
      <c r="AE45" s="17" t="str">
        <f t="shared" si="2"/>
        <v/>
      </c>
      <c r="AF45" s="50" t="e">
        <f t="shared" ca="1" si="3"/>
        <v>#NAME?</v>
      </c>
      <c r="AG45" s="21"/>
      <c r="AH45" s="17" t="str">
        <f t="shared" si="5"/>
        <v/>
      </c>
      <c r="AI45" s="50" t="e">
        <f t="shared" ca="1" si="6"/>
        <v>#NAME?</v>
      </c>
      <c r="AJ45" s="399">
        <f t="shared" ca="1" si="7"/>
        <v>0</v>
      </c>
      <c r="AK45" s="400">
        <f t="shared" ca="1" si="8"/>
        <v>0</v>
      </c>
      <c r="AL45" s="401">
        <f t="shared" ca="1" si="9"/>
        <v>0</v>
      </c>
      <c r="AM45" s="402">
        <f t="shared" ca="1" si="10"/>
        <v>0</v>
      </c>
      <c r="AN45" s="403">
        <f t="shared" ca="1" si="11"/>
        <v>0</v>
      </c>
    </row>
    <row r="46" spans="1:40" x14ac:dyDescent="0.25">
      <c r="A46" s="6" t="s">
        <v>8</v>
      </c>
      <c r="B46" s="7"/>
      <c r="H46" s="15" t="s">
        <v>431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310" t="e">
        <f t="shared" ca="1" si="0"/>
        <v>#NAME?</v>
      </c>
      <c r="AB46" s="17" t="e">
        <f t="shared" ca="1" si="1"/>
        <v>#NAME?</v>
      </c>
      <c r="AD46" s="21"/>
      <c r="AE46" s="17" t="str">
        <f t="shared" si="2"/>
        <v/>
      </c>
      <c r="AF46" s="50" t="e">
        <f t="shared" ca="1" si="3"/>
        <v>#NAME?</v>
      </c>
      <c r="AG46" s="21"/>
      <c r="AH46" s="17" t="str">
        <f t="shared" si="5"/>
        <v/>
      </c>
      <c r="AI46" s="50" t="e">
        <f t="shared" ca="1" si="6"/>
        <v>#NAME?</v>
      </c>
      <c r="AJ46" s="399">
        <f t="shared" ca="1" si="7"/>
        <v>0</v>
      </c>
      <c r="AK46" s="400">
        <f t="shared" ca="1" si="8"/>
        <v>0</v>
      </c>
      <c r="AL46" s="401">
        <f t="shared" ca="1" si="9"/>
        <v>0</v>
      </c>
      <c r="AM46" s="402">
        <f t="shared" ca="1" si="10"/>
        <v>0</v>
      </c>
      <c r="AN46" s="403">
        <f t="shared" ca="1" si="11"/>
        <v>0</v>
      </c>
    </row>
    <row r="47" spans="1:40" x14ac:dyDescent="0.25">
      <c r="H47" s="15" t="s">
        <v>432</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310" t="e">
        <f t="shared" ca="1" si="0"/>
        <v>#NAME?</v>
      </c>
      <c r="AB47" s="17" t="e">
        <f t="shared" ca="1" si="1"/>
        <v>#NAME?</v>
      </c>
      <c r="AD47" s="21"/>
      <c r="AE47" s="17" t="str">
        <f t="shared" si="2"/>
        <v/>
      </c>
      <c r="AF47" s="50" t="e">
        <f t="shared" ca="1" si="3"/>
        <v>#NAME?</v>
      </c>
      <c r="AG47" s="21"/>
      <c r="AH47" s="17" t="str">
        <f t="shared" si="5"/>
        <v/>
      </c>
      <c r="AI47" s="50" t="e">
        <f t="shared" ca="1" si="6"/>
        <v>#NAME?</v>
      </c>
      <c r="AJ47" s="399">
        <f t="shared" ca="1" si="7"/>
        <v>0</v>
      </c>
      <c r="AK47" s="400">
        <f t="shared" ca="1" si="8"/>
        <v>0</v>
      </c>
      <c r="AL47" s="401">
        <f t="shared" ca="1" si="9"/>
        <v>0</v>
      </c>
      <c r="AM47" s="402">
        <f t="shared" ca="1" si="10"/>
        <v>0</v>
      </c>
      <c r="AN47" s="403">
        <f t="shared" ca="1" si="11"/>
        <v>0</v>
      </c>
    </row>
    <row r="48" spans="1:40" x14ac:dyDescent="0.25">
      <c r="A48" s="3" t="s">
        <v>9</v>
      </c>
      <c r="B48" s="5" t="s">
        <v>10</v>
      </c>
      <c r="H48" s="15" t="s">
        <v>433</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21"/>
      <c r="P48" s="21"/>
      <c r="Q48" s="21"/>
      <c r="R48" s="21"/>
      <c r="S48" s="21"/>
      <c r="T48" s="21"/>
      <c r="U48" s="21"/>
      <c r="V48" s="21"/>
      <c r="W48" s="21"/>
      <c r="X48" s="21"/>
      <c r="Y48" s="21"/>
      <c r="Z48" s="21"/>
      <c r="AA48" s="310" t="e">
        <f t="shared" ca="1" si="0"/>
        <v>#NAME?</v>
      </c>
      <c r="AB48" s="17" t="e">
        <f t="shared" ca="1" si="1"/>
        <v>#NAME?</v>
      </c>
      <c r="AD48" s="21"/>
      <c r="AE48" s="17" t="str">
        <f t="shared" si="2"/>
        <v/>
      </c>
      <c r="AF48" s="50" t="e">
        <f t="shared" ca="1" si="3"/>
        <v>#NAME?</v>
      </c>
      <c r="AG48" s="21"/>
      <c r="AH48" s="17" t="str">
        <f t="shared" si="5"/>
        <v/>
      </c>
      <c r="AI48" s="50" t="e">
        <f t="shared" ca="1" si="6"/>
        <v>#NAME?</v>
      </c>
      <c r="AJ48" s="399">
        <f t="shared" ca="1" si="7"/>
        <v>0</v>
      </c>
      <c r="AK48" s="400">
        <f t="shared" ca="1" si="8"/>
        <v>0</v>
      </c>
      <c r="AL48" s="401">
        <f t="shared" ca="1" si="9"/>
        <v>0</v>
      </c>
      <c r="AM48" s="402">
        <f t="shared" ca="1" si="10"/>
        <v>0</v>
      </c>
      <c r="AN48" s="403">
        <f t="shared" ca="1" si="11"/>
        <v>0</v>
      </c>
    </row>
    <row r="49" spans="1:40" x14ac:dyDescent="0.25">
      <c r="A49" s="6" t="s">
        <v>11</v>
      </c>
      <c r="B49" s="7" t="s">
        <v>21</v>
      </c>
      <c r="H49" s="15" t="s">
        <v>434</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310" t="e">
        <f t="shared" ca="1" si="0"/>
        <v>#NAME?</v>
      </c>
      <c r="AB49" s="17" t="e">
        <f t="shared" ca="1" si="1"/>
        <v>#NAME?</v>
      </c>
      <c r="AD49" s="21"/>
      <c r="AE49" s="17" t="str">
        <f t="shared" si="2"/>
        <v/>
      </c>
      <c r="AF49" s="50" t="e">
        <f t="shared" ca="1" si="3"/>
        <v>#NAME?</v>
      </c>
      <c r="AG49" s="21"/>
      <c r="AH49" s="17" t="str">
        <f t="shared" si="5"/>
        <v/>
      </c>
      <c r="AI49" s="50" t="e">
        <f t="shared" ca="1" si="6"/>
        <v>#NAME?</v>
      </c>
      <c r="AJ49" s="399">
        <f t="shared" ca="1" si="7"/>
        <v>0</v>
      </c>
      <c r="AK49" s="400">
        <f t="shared" ca="1" si="8"/>
        <v>0</v>
      </c>
      <c r="AL49" s="401">
        <f t="shared" ca="1" si="9"/>
        <v>0</v>
      </c>
      <c r="AM49" s="402">
        <f t="shared" ca="1" si="10"/>
        <v>0</v>
      </c>
      <c r="AN49" s="403">
        <f t="shared" ca="1" si="11"/>
        <v>0</v>
      </c>
    </row>
    <row r="50" spans="1:40" x14ac:dyDescent="0.25">
      <c r="A50" s="6" t="s">
        <v>12</v>
      </c>
      <c r="B50" s="7" t="s">
        <v>22</v>
      </c>
      <c r="H50" s="15" t="s">
        <v>435</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310" t="e">
        <f t="shared" ca="1" si="0"/>
        <v>#NAME?</v>
      </c>
      <c r="AB50" s="17" t="e">
        <f t="shared" ca="1" si="1"/>
        <v>#NAME?</v>
      </c>
      <c r="AD50" s="21"/>
      <c r="AE50" s="17" t="str">
        <f t="shared" si="2"/>
        <v/>
      </c>
      <c r="AF50" s="50" t="e">
        <f t="shared" ca="1" si="3"/>
        <v>#NAME?</v>
      </c>
      <c r="AG50" s="21"/>
      <c r="AH50" s="17" t="str">
        <f t="shared" si="5"/>
        <v/>
      </c>
      <c r="AI50" s="50" t="e">
        <f t="shared" ca="1" si="6"/>
        <v>#NAME?</v>
      </c>
      <c r="AJ50" s="399">
        <f t="shared" ca="1" si="7"/>
        <v>0</v>
      </c>
      <c r="AK50" s="400">
        <f t="shared" ca="1" si="8"/>
        <v>0</v>
      </c>
      <c r="AL50" s="401">
        <f t="shared" ca="1" si="9"/>
        <v>0</v>
      </c>
      <c r="AM50" s="402">
        <f t="shared" ca="1" si="10"/>
        <v>0</v>
      </c>
      <c r="AN50" s="403">
        <f t="shared" ca="1" si="11"/>
        <v>0</v>
      </c>
    </row>
    <row r="51" spans="1:40" x14ac:dyDescent="0.25">
      <c r="A51" s="6" t="s">
        <v>13</v>
      </c>
      <c r="B51" s="7" t="e">
        <f ca="1">"DEP(450000) AND "&amp;$E$6&amp;"=Y AND ID&lt;&gt;ALLOW_MOP"</f>
        <v>#NAME?</v>
      </c>
      <c r="H51" s="15" t="s">
        <v>436</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c r="AA51" s="310" t="e">
        <f t="shared" ca="1" si="0"/>
        <v>#NAME?</v>
      </c>
      <c r="AB51" s="17" t="e">
        <f t="shared" ca="1" si="1"/>
        <v>#NAME?</v>
      </c>
      <c r="AD51" s="21"/>
      <c r="AE51" s="17" t="str">
        <f t="shared" si="2"/>
        <v/>
      </c>
      <c r="AF51" s="50" t="e">
        <f t="shared" ca="1" si="3"/>
        <v>#NAME?</v>
      </c>
      <c r="AG51" s="21"/>
      <c r="AH51" s="17" t="str">
        <f t="shared" si="5"/>
        <v/>
      </c>
      <c r="AI51" s="50" t="e">
        <f t="shared" ca="1" si="6"/>
        <v>#NAME?</v>
      </c>
      <c r="AJ51" s="399">
        <f t="shared" ca="1" si="7"/>
        <v>0</v>
      </c>
      <c r="AK51" s="400">
        <f t="shared" ca="1" si="8"/>
        <v>0</v>
      </c>
      <c r="AL51" s="401">
        <f t="shared" ca="1" si="9"/>
        <v>0</v>
      </c>
      <c r="AM51" s="402">
        <f t="shared" ca="1" si="10"/>
        <v>0</v>
      </c>
      <c r="AN51" s="403">
        <f t="shared" ca="1" si="11"/>
        <v>0</v>
      </c>
    </row>
    <row r="52" spans="1:40" x14ac:dyDescent="0.25">
      <c r="A52" s="6" t="s">
        <v>14</v>
      </c>
      <c r="B52" s="7"/>
      <c r="H52" s="15" t="s">
        <v>480</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
      <c r="P52" s="30"/>
      <c r="Q52" s="30"/>
      <c r="R52" s="30"/>
      <c r="S52" s="30"/>
      <c r="T52" s="30"/>
      <c r="U52" s="30"/>
      <c r="V52" s="30"/>
      <c r="W52" s="30"/>
      <c r="X52" s="30"/>
      <c r="Y52" s="30"/>
      <c r="Z52" s="30"/>
      <c r="AA52" s="324" t="e">
        <f t="shared" ca="1" si="0"/>
        <v>#NAME?</v>
      </c>
      <c r="AB52" s="31" t="e">
        <f t="shared" ca="1" si="1"/>
        <v>#NAME?</v>
      </c>
      <c r="AD52" s="30"/>
      <c r="AE52" s="31" t="str">
        <f t="shared" si="2"/>
        <v/>
      </c>
      <c r="AF52" s="51" t="e">
        <f t="shared" ca="1" si="3"/>
        <v>#NAME?</v>
      </c>
      <c r="AG52" s="30"/>
      <c r="AH52" s="31" t="str">
        <f t="shared" si="5"/>
        <v/>
      </c>
      <c r="AI52" s="51" t="e">
        <f t="shared" ca="1" si="6"/>
        <v>#NAME?</v>
      </c>
      <c r="AJ52" s="409">
        <f t="shared" ca="1" si="7"/>
        <v>0</v>
      </c>
      <c r="AK52" s="410">
        <f t="shared" ca="1" si="8"/>
        <v>0</v>
      </c>
      <c r="AL52" s="411">
        <f t="shared" ca="1" si="9"/>
        <v>0</v>
      </c>
      <c r="AM52" s="412">
        <f t="shared" ca="1" si="10"/>
        <v>0</v>
      </c>
      <c r="AN52" s="413">
        <f t="shared" ca="1" si="11"/>
        <v>0</v>
      </c>
    </row>
    <row r="53" spans="1:40" x14ac:dyDescent="0.25">
      <c r="A53" s="6" t="s">
        <v>15</v>
      </c>
      <c r="B53" s="7"/>
      <c r="H53" s="15" t="s">
        <v>280</v>
      </c>
      <c r="I53" s="479" t="e">
        <f ca="1">_xll.EVPRO($B$1,$H53,"STYLE")</f>
        <v>#NAME?</v>
      </c>
      <c r="J53" s="479" t="e">
        <f ca="1">_xll.EVPRO($B$1,$H53,"CALC")</f>
        <v>#NAME?</v>
      </c>
      <c r="K53" s="480" t="e">
        <f t="shared" ca="1" si="4"/>
        <v>#NAME?</v>
      </c>
      <c r="L53" s="170" t="e">
        <f ca="1">_xll.EVPRO($B$1,H53,"JDEID")</f>
        <v>#NAME?</v>
      </c>
      <c r="M53" s="170" t="e">
        <f ca="1">IF(AND(I53="N",J53="N"),_xll.EVPRO($B$1,H53,"PSFTID"),"")</f>
        <v>#NAME?</v>
      </c>
      <c r="N53" s="170" t="e">
        <f ca="1">IF(_xll.EVDES(H53,$B$1)="#NODATA","",_xll.EVDES(H53,$B$1))</f>
        <v>#NAME?</v>
      </c>
      <c r="O53" s="134">
        <v>1876.85</v>
      </c>
      <c r="P53" s="134">
        <v>2263.09</v>
      </c>
      <c r="Q53" s="134">
        <v>1369.74</v>
      </c>
      <c r="R53" s="134">
        <v>2075.38</v>
      </c>
      <c r="S53" s="134">
        <v>1530.85</v>
      </c>
      <c r="T53" s="134">
        <v>1673.12</v>
      </c>
      <c r="U53" s="134">
        <v>1042.0899999999999</v>
      </c>
      <c r="V53" s="134">
        <v>785.26</v>
      </c>
      <c r="W53" s="134">
        <v>851.92</v>
      </c>
      <c r="X53" s="134">
        <v>1215.53</v>
      </c>
      <c r="Y53" s="134">
        <v>1518.73</v>
      </c>
      <c r="Z53" s="134">
        <v>-336.23</v>
      </c>
      <c r="AA53" s="134" t="e">
        <f t="shared" ca="1" si="0"/>
        <v>#NAME?</v>
      </c>
      <c r="AB53" s="135" t="e">
        <f t="shared" ca="1" si="1"/>
        <v>#NAME?</v>
      </c>
      <c r="AC53" s="137"/>
      <c r="AD53" s="134">
        <v>25008.17</v>
      </c>
      <c r="AE53" s="135" t="str">
        <f t="shared" ca="1" si="2"/>
        <v/>
      </c>
      <c r="AF53" s="136" t="e">
        <f t="shared" ca="1" si="3"/>
        <v>#NAME?</v>
      </c>
      <c r="AG53" s="134">
        <v>27966.42</v>
      </c>
      <c r="AH53" s="135" t="str">
        <f t="shared" ca="1" si="5"/>
        <v/>
      </c>
      <c r="AI53" s="136" t="e">
        <f t="shared" ca="1" si="6"/>
        <v>#NAME?</v>
      </c>
      <c r="AJ53" s="360">
        <f t="shared" ca="1" si="7"/>
        <v>0</v>
      </c>
      <c r="AK53" s="361">
        <f t="shared" ca="1" si="8"/>
        <v>0</v>
      </c>
      <c r="AL53" s="363">
        <f t="shared" ca="1" si="9"/>
        <v>0</v>
      </c>
      <c r="AM53" s="405">
        <f t="shared" ca="1" si="10"/>
        <v>0</v>
      </c>
      <c r="AN53" s="406">
        <f t="shared" ca="1" si="11"/>
        <v>0</v>
      </c>
    </row>
    <row r="54" spans="1:40" x14ac:dyDescent="0.25">
      <c r="A54" s="6" t="s">
        <v>16</v>
      </c>
      <c r="B54" s="7"/>
      <c r="O54" s="53"/>
      <c r="P54" s="54"/>
      <c r="Q54" s="54"/>
      <c r="R54" s="54"/>
      <c r="S54" s="54"/>
      <c r="T54" s="54"/>
      <c r="U54" s="54"/>
      <c r="V54" s="54"/>
      <c r="W54" s="54"/>
      <c r="X54" s="54"/>
      <c r="Y54" s="54"/>
      <c r="Z54" s="54"/>
      <c r="AA54" s="54"/>
      <c r="AB54" s="55"/>
      <c r="AD54" s="53"/>
      <c r="AE54" s="54"/>
      <c r="AF54" s="55"/>
      <c r="AG54" s="53"/>
      <c r="AH54" s="54"/>
      <c r="AI54" s="55"/>
    </row>
    <row r="55" spans="1:40" x14ac:dyDescent="0.25">
      <c r="A55" s="6" t="s">
        <v>17</v>
      </c>
      <c r="B55" s="7"/>
      <c r="H55" s="1" t="s">
        <v>281</v>
      </c>
      <c r="I55" s="11" t="e">
        <f ca="1">_xll.EVPRO($B$1,$H55,"STYLE")</f>
        <v>#NAME?</v>
      </c>
      <c r="J55" s="11" t="e">
        <f ca="1">_xll.EVPRO($B$1,$H55,"CALC")</f>
        <v>#NAME?</v>
      </c>
      <c r="N55" s="40" t="e">
        <f ca="1">IF(_xll.EVDES(H55,$B$1)="#NODATA","",_xll.EVDES(H55,$B$1))</f>
        <v>#NAME?</v>
      </c>
      <c r="O55" s="53"/>
      <c r="P55" s="54"/>
      <c r="Q55" s="54"/>
      <c r="R55" s="54"/>
      <c r="S55" s="54"/>
      <c r="T55" s="54"/>
      <c r="U55" s="54"/>
      <c r="V55" s="54"/>
      <c r="W55" s="54"/>
      <c r="X55" s="54"/>
      <c r="Y55" s="54"/>
      <c r="Z55" s="54"/>
      <c r="AA55" s="54"/>
      <c r="AB55" s="55"/>
      <c r="AD55" s="53"/>
      <c r="AE55" s="54"/>
      <c r="AF55" s="55"/>
      <c r="AG55" s="53"/>
      <c r="AH55" s="54"/>
      <c r="AI55" s="55"/>
    </row>
    <row r="56" spans="1:40" x14ac:dyDescent="0.25">
      <c r="G56" s="14"/>
      <c r="H56" s="15" t="s">
        <v>437</v>
      </c>
      <c r="I56" s="161" t="e">
        <f ca="1">_xll.EVPRO($B$1,$H56,"STYLE")</f>
        <v>#NAME?</v>
      </c>
      <c r="J56" s="161" t="e">
        <f ca="1">_xll.EVPRO($B$1,$H56,"CALC")</f>
        <v>#NAME?</v>
      </c>
      <c r="K56" s="68" t="e">
        <f ca="1">IF(AND(I56&gt;="T5"),"&gt;","")</f>
        <v>#NAME?</v>
      </c>
      <c r="L56" s="162" t="e">
        <f ca="1">_xll.EVPRO($B$1,H56,"JDEID")</f>
        <v>#NAME?</v>
      </c>
      <c r="M56" s="162" t="e">
        <f ca="1">IF(AND(I56="N",J56="N"),_xll.EVPRO($B$1,H56,"PSFTID"),"")</f>
        <v>#NAME?</v>
      </c>
      <c r="N56" s="162" t="e">
        <f ca="1">IF(_xll.EVDES(H56,$B$1)="#NODATA","",_xll.EVDES(H56,$B$1))</f>
        <v>#NAME?</v>
      </c>
      <c r="O56" s="21">
        <v>354</v>
      </c>
      <c r="P56" s="21">
        <v>166</v>
      </c>
      <c r="Q56" s="21">
        <v>74.489999999999995</v>
      </c>
      <c r="R56" s="21">
        <v>52</v>
      </c>
      <c r="S56" s="21">
        <v>22</v>
      </c>
      <c r="T56" s="21">
        <v>27.08</v>
      </c>
      <c r="U56" s="21">
        <v>21</v>
      </c>
      <c r="V56" s="21">
        <v>7.36</v>
      </c>
      <c r="W56" s="21">
        <v>41</v>
      </c>
      <c r="X56" s="21">
        <v>57</v>
      </c>
      <c r="Y56" s="21">
        <v>28</v>
      </c>
      <c r="Z56" s="21">
        <v>29.7</v>
      </c>
      <c r="AA56" s="310" t="e">
        <f t="shared" ref="AA56:AA74" ca="1" si="12">IF($I56="B1","",SUM(O56:Z56))</f>
        <v>#NAME?</v>
      </c>
      <c r="AB56" s="17" t="e">
        <f ca="1">IF(AA56=0,"",IFERROR(AA56/_xll.EVGTS($B$1,1,_xll.EVPRO($B$1,$H56,"COSBASIS"),$B$3,$B$5,$B$6,$B$7,$B$9,AA$16,Z$17,AA$18),""))</f>
        <v>#NAME?</v>
      </c>
      <c r="AD56" s="21">
        <v>2816.4938999999999</v>
      </c>
      <c r="AE56" s="17" t="str">
        <f ca="1">IF(AD56=0,"",IFERROR(AD56/_xll.EVGTS($B$1,1,_xll.EVPRO($B$1,$H56,"COSBASIS"),$B$3,$B$5,$B$6,$B$7,$B$9,AD$16,AD$17,AD$18),""))</f>
        <v/>
      </c>
      <c r="AF56" s="50" t="e">
        <f t="shared" ref="AF56:AF74" ca="1" si="13">IF(AND($AA56="",AD56=""),"",$AA56-AD56)</f>
        <v>#NAME?</v>
      </c>
      <c r="AG56" s="21">
        <v>3133.9</v>
      </c>
      <c r="AH56" s="17" t="str">
        <f ca="1">IF(AG56=0,"",IFERROR(AG56/_xll.EVGTS($B$1,1,_xll.EVPRO($B$1,$H56,"COSBASIS"),$B$3,$B$5,$B$6,$B$7,$B$9,AG$16,AG$17,AG$18),""))</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22" t="s">
        <v>92</v>
      </c>
      <c r="B57" s="23" t="s">
        <v>93</v>
      </c>
      <c r="C57" s="23" t="s">
        <v>94</v>
      </c>
      <c r="D57" s="23" t="s">
        <v>95</v>
      </c>
      <c r="E57" s="23" t="s">
        <v>96</v>
      </c>
      <c r="F57" s="24" t="s">
        <v>97</v>
      </c>
      <c r="H57" s="15" t="s">
        <v>438</v>
      </c>
      <c r="I57" s="161" t="e">
        <f ca="1">_xll.EVPRO($B$1,$H57,"STYLE")</f>
        <v>#NAME?</v>
      </c>
      <c r="J57" s="161" t="e">
        <f ca="1">_xll.EVPRO($B$1,$H57,"CALC")</f>
        <v>#NAME?</v>
      </c>
      <c r="K57" s="68" t="e">
        <f t="shared" ref="K57:K74" ca="1" si="14">IF(AND(I57&gt;="T5"),"&gt;","")</f>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310" t="e">
        <f t="shared" ca="1" si="12"/>
        <v>#NAME?</v>
      </c>
      <c r="AB57" s="17" t="e">
        <f ca="1">IF(AA57=0,"",IFERROR(AA57/_xll.EVGTS($B$1,1,_xll.EVPRO($B$1,$H57,"COSBASIS"),$B$3,$B$5,$B$6,$B$7,$B$9,AA$16,Z$17,AA$18),""))</f>
        <v>#NAME?</v>
      </c>
      <c r="AD57" s="21"/>
      <c r="AE57" s="17" t="str">
        <f>IF(AD57=0,"",IFERROR(AD57/_xll.EVGTS($B$1,1,_xll.EVPRO($B$1,$H57,"COSBASIS"),$B$3,$B$5,$B$6,$B$7,$B$9,AD$16,AD$17,AD$18),""))</f>
        <v/>
      </c>
      <c r="AF57" s="50" t="e">
        <f t="shared" ca="1" si="13"/>
        <v>#NAME?</v>
      </c>
      <c r="AG57" s="21"/>
      <c r="AH57" s="17" t="str">
        <f>IF(AG57=0,"",IFERROR(AG57/_xll.EVGTS($B$1,1,_xll.EVPRO($B$1,$H57,"COSBASIS"),$B$3,$B$5,$B$6,$B$7,$B$9,AG$16,AG$17,AG$18),""))</f>
        <v/>
      </c>
      <c r="AI57" s="50" t="e">
        <f t="shared" ref="AI57:AI74" ca="1" si="15">IF(AND($AA57="",AG57=""),"",$AA57-AG57)</f>
        <v>#NAME?</v>
      </c>
      <c r="AJ57" s="399">
        <f t="shared" ref="AJ57:AJ74" ca="1" si="16">IFERROR(AA57/AA$20,0)</f>
        <v>0</v>
      </c>
      <c r="AK57" s="400">
        <f t="shared" ref="AK57:AK74" ca="1" si="17">IFERROR(AD57/AD$20,0)</f>
        <v>0</v>
      </c>
      <c r="AL57" s="401">
        <f t="shared" ref="AL57:AL74" ca="1" si="18">IFERROR(AG57/AG$20,0)</f>
        <v>0</v>
      </c>
      <c r="AM57" s="402">
        <f t="shared" ref="AM57:AM74" ca="1" si="19">+IFERROR(ROUND(($AB57-AE57)*100,2)&amp;" pts.",0)</f>
        <v>0</v>
      </c>
      <c r="AN57" s="403">
        <f t="shared" ref="AN57:AN74" ca="1" si="20">+IFERROR(ROUND(($AB57-AH57)*100,2)&amp;" pts.",0)</f>
        <v>0</v>
      </c>
    </row>
    <row r="58" spans="1:40" x14ac:dyDescent="0.25">
      <c r="H58" s="15" t="s">
        <v>439</v>
      </c>
      <c r="I58" s="161" t="e">
        <f ca="1">_xll.EVPRO($B$1,$H58,"STYLE")</f>
        <v>#NAME?</v>
      </c>
      <c r="J58" s="161" t="e">
        <f ca="1">_xll.EVPRO($B$1,$H58,"CALC")</f>
        <v>#NAME?</v>
      </c>
      <c r="K58" s="68" t="e">
        <f t="shared" ca="1" si="14"/>
        <v>#NAME?</v>
      </c>
      <c r="L58" s="162" t="e">
        <f ca="1">_xll.EVPRO($B$1,H58,"JDEID")</f>
        <v>#NAME?</v>
      </c>
      <c r="M58" s="162" t="e">
        <f ca="1">IF(AND(I58="N",J58="N"),_xll.EVPRO($B$1,H58,"PSFTID"),"")</f>
        <v>#NAME?</v>
      </c>
      <c r="N58" s="162" t="e">
        <f ca="1">IF(_xll.EVDES(H58,$B$1)="#NODATA","",_xll.EVDES(H58,$B$1))</f>
        <v>#NAME?</v>
      </c>
      <c r="O58" s="21">
        <v>251.01</v>
      </c>
      <c r="P58" s="21">
        <v>871.35</v>
      </c>
      <c r="Q58" s="21">
        <v>1138.6199999999999</v>
      </c>
      <c r="R58" s="21">
        <v>1042.22</v>
      </c>
      <c r="S58" s="21">
        <v>695.65</v>
      </c>
      <c r="T58" s="21">
        <v>673.96</v>
      </c>
      <c r="U58" s="21">
        <v>435.03</v>
      </c>
      <c r="V58" s="21">
        <v>163.18</v>
      </c>
      <c r="W58" s="21">
        <v>383.49</v>
      </c>
      <c r="X58" s="21">
        <v>125.82</v>
      </c>
      <c r="Y58" s="21">
        <v>519.54999999999995</v>
      </c>
      <c r="Z58" s="21">
        <v>29.21</v>
      </c>
      <c r="AA58" s="310" t="e">
        <f t="shared" ca="1" si="12"/>
        <v>#NAME?</v>
      </c>
      <c r="AB58" s="17" t="e">
        <f ca="1">IF(AA58=0,"",IFERROR(AA58/_xll.EVGTS($B$1,1,_xll.EVPRO($B$1,$H58,"COSBASIS"),$B$3,$B$5,$B$6,$B$7,$B$9,AA$16,Z$17,AA$18),""))</f>
        <v>#NAME?</v>
      </c>
      <c r="AD58" s="21">
        <v>6272.5410000000002</v>
      </c>
      <c r="AE58" s="17" t="str">
        <f ca="1">IF(AD58=0,"",IFERROR(AD58/_xll.EVGTS($B$1,1,_xll.EVPRO($B$1,$H58,"COSBASIS"),$B$3,$B$5,$B$6,$B$7,$B$9,AD$16,AD$17,AD$18),""))</f>
        <v/>
      </c>
      <c r="AF58" s="50" t="e">
        <f t="shared" ca="1" si="13"/>
        <v>#NAME?</v>
      </c>
      <c r="AG58" s="21">
        <v>8265.3799999999992</v>
      </c>
      <c r="AH58" s="17" t="str">
        <f ca="1">IF(AG58=0,"",IFERROR(AG58/_xll.EVGTS($B$1,1,_xll.EVPRO($B$1,$H58,"COSBASIS"),$B$3,$B$5,$B$6,$B$7,$B$9,AG$16,AG$17,AG$18),""))</f>
        <v/>
      </c>
      <c r="AI58" s="50" t="e">
        <f t="shared" ca="1" si="15"/>
        <v>#NAME?</v>
      </c>
      <c r="AJ58" s="399">
        <f t="shared" ca="1" si="16"/>
        <v>0</v>
      </c>
      <c r="AK58" s="400">
        <f t="shared" ca="1" si="17"/>
        <v>0</v>
      </c>
      <c r="AL58" s="401">
        <f t="shared" ca="1" si="18"/>
        <v>0</v>
      </c>
      <c r="AM58" s="402">
        <f t="shared" ca="1" si="19"/>
        <v>0</v>
      </c>
      <c r="AN58" s="403">
        <f t="shared" ca="1" si="20"/>
        <v>0</v>
      </c>
    </row>
    <row r="59" spans="1:40" x14ac:dyDescent="0.25">
      <c r="A59" s="1" t="s">
        <v>105</v>
      </c>
      <c r="C59" s="26" t="s">
        <v>101</v>
      </c>
      <c r="D59" s="1" t="s">
        <v>106</v>
      </c>
      <c r="F59" s="1" t="s">
        <v>98</v>
      </c>
      <c r="H59" s="15" t="s">
        <v>440</v>
      </c>
      <c r="I59" s="161" t="e">
        <f ca="1">_xll.EVPRO($B$1,$H59,"STYLE")</f>
        <v>#NAME?</v>
      </c>
      <c r="J59" s="161" t="e">
        <f ca="1">_xll.EVPRO($B$1,$H59,"CALC")</f>
        <v>#NAME?</v>
      </c>
      <c r="K59" s="68" t="e">
        <f t="shared" ca="1" si="14"/>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310" t="e">
        <f t="shared" ca="1" si="12"/>
        <v>#NAME?</v>
      </c>
      <c r="AB59" s="17" t="e">
        <f ca="1">IF(AA59=0,"",IFERROR(AA59/_xll.EVGTS($B$1,1,_xll.EVPRO($B$1,$H59,"COSBASIS"),$B$3,$B$5,$B$6,$B$7,$B$9,AA$16,Z$17,AA$18),""))</f>
        <v>#NAME?</v>
      </c>
      <c r="AD59" s="21"/>
      <c r="AE59" s="17" t="str">
        <f>IF(AD59=0,"",IFERROR(AD59/_xll.EVGTS($B$1,1,_xll.EVPRO($B$1,$H59,"COSBASIS"),$B$3,$B$5,$B$6,$B$7,$B$9,AD$16,AD$17,AD$18),""))</f>
        <v/>
      </c>
      <c r="AF59" s="50" t="e">
        <f t="shared" ca="1" si="13"/>
        <v>#NAME?</v>
      </c>
      <c r="AG59" s="21"/>
      <c r="AH59" s="17" t="str">
        <f>IF(AG59=0,"",IFERROR(AG59/_xll.EVGTS($B$1,1,_xll.EVPRO($B$1,$H59,"COSBASIS"),$B$3,$B$5,$B$6,$B$7,$B$9,AG$16,AG$17,AG$18),""))</f>
        <v/>
      </c>
      <c r="AI59" s="50" t="e">
        <f t="shared" ca="1" si="15"/>
        <v>#NAME?</v>
      </c>
      <c r="AJ59" s="399">
        <f t="shared" ca="1" si="16"/>
        <v>0</v>
      </c>
      <c r="AK59" s="400">
        <f t="shared" ca="1" si="17"/>
        <v>0</v>
      </c>
      <c r="AL59" s="401">
        <f t="shared" ca="1" si="18"/>
        <v>0</v>
      </c>
      <c r="AM59" s="402">
        <f t="shared" ca="1" si="19"/>
        <v>0</v>
      </c>
      <c r="AN59" s="403">
        <f t="shared" ca="1" si="20"/>
        <v>0</v>
      </c>
    </row>
    <row r="60" spans="1:40" x14ac:dyDescent="0.25">
      <c r="A60" s="1" t="s">
        <v>104</v>
      </c>
      <c r="C60" s="26" t="s">
        <v>101</v>
      </c>
      <c r="D60" s="1" t="s">
        <v>106</v>
      </c>
      <c r="F60" s="1" t="s">
        <v>98</v>
      </c>
      <c r="H60" s="15" t="s">
        <v>441</v>
      </c>
      <c r="I60" s="161" t="e">
        <f ca="1">_xll.EVPRO($B$1,$H60,"STYLE")</f>
        <v>#NAME?</v>
      </c>
      <c r="J60" s="161" t="e">
        <f ca="1">_xll.EVPRO($B$1,$H60,"CALC")</f>
        <v>#NAME?</v>
      </c>
      <c r="K60" s="68" t="e">
        <f t="shared" ca="1" si="14"/>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310" t="e">
        <f t="shared" ca="1" si="12"/>
        <v>#NAME?</v>
      </c>
      <c r="AB60" s="17" t="e">
        <f ca="1">IF(AA60=0,"",IFERROR(AA60/_xll.EVGTS($B$1,1,_xll.EVPRO($B$1,$H60,"COSBASIS"),$B$3,$B$5,$B$6,$B$7,$B$9,AA$16,Z$17,AA$18),""))</f>
        <v>#NAME?</v>
      </c>
      <c r="AD60" s="21"/>
      <c r="AE60" s="17" t="str">
        <f>IF(AD60=0,"",IFERROR(AD60/_xll.EVGTS($B$1,1,_xll.EVPRO($B$1,$H60,"COSBASIS"),$B$3,$B$5,$B$6,$B$7,$B$9,AD$16,AD$17,AD$18),""))</f>
        <v/>
      </c>
      <c r="AF60" s="50" t="e">
        <f t="shared" ca="1" si="13"/>
        <v>#NAME?</v>
      </c>
      <c r="AG60" s="21"/>
      <c r="AH60" s="17" t="str">
        <f>IF(AG60=0,"",IFERROR(AG60/_xll.EVGTS($B$1,1,_xll.EVPRO($B$1,$H60,"COSBASIS"),$B$3,$B$5,$B$6,$B$7,$B$9,AG$16,AG$17,AG$18),""))</f>
        <v/>
      </c>
      <c r="AI60" s="50" t="e">
        <f t="shared" ca="1" si="15"/>
        <v>#NAME?</v>
      </c>
      <c r="AJ60" s="399">
        <f t="shared" ca="1" si="16"/>
        <v>0</v>
      </c>
      <c r="AK60" s="400">
        <f t="shared" ca="1" si="17"/>
        <v>0</v>
      </c>
      <c r="AL60" s="401">
        <f t="shared" ca="1" si="18"/>
        <v>0</v>
      </c>
      <c r="AM60" s="402">
        <f t="shared" ca="1" si="19"/>
        <v>0</v>
      </c>
      <c r="AN60" s="403">
        <f t="shared" ca="1" si="20"/>
        <v>0</v>
      </c>
    </row>
    <row r="61" spans="1:40" x14ac:dyDescent="0.25">
      <c r="A61" s="1" t="s">
        <v>108</v>
      </c>
      <c r="C61" s="25" t="s">
        <v>101</v>
      </c>
      <c r="D61" s="1" t="s">
        <v>106</v>
      </c>
      <c r="F61" s="1" t="s">
        <v>98</v>
      </c>
      <c r="H61" s="15" t="s">
        <v>442</v>
      </c>
      <c r="I61" s="161" t="e">
        <f ca="1">_xll.EVPRO($B$1,$H61,"STYLE")</f>
        <v>#NAME?</v>
      </c>
      <c r="J61" s="161" t="e">
        <f ca="1">_xll.EVPRO($B$1,$H61,"CALC")</f>
        <v>#NAME?</v>
      </c>
      <c r="K61" s="68" t="e">
        <f t="shared" ca="1" si="14"/>
        <v>#NAME?</v>
      </c>
      <c r="L61" s="162" t="e">
        <f ca="1">_xll.EVPRO($B$1,H61,"JDEID")</f>
        <v>#NAME?</v>
      </c>
      <c r="M61" s="162" t="e">
        <f ca="1">IF(AND(I61="N",J61="N"),_xll.EVPRO($B$1,H61,"PSFTID"),"")</f>
        <v>#NAME?</v>
      </c>
      <c r="N61" s="162" t="e">
        <f ca="1">IF(_xll.EVDES(H61,$B$1)="#NODATA","",_xll.EVDES(H61,$B$1))</f>
        <v>#NAME?</v>
      </c>
      <c r="O61" s="21"/>
      <c r="P61" s="21"/>
      <c r="Q61" s="21"/>
      <c r="R61" s="21"/>
      <c r="S61" s="21"/>
      <c r="T61" s="21"/>
      <c r="U61" s="21"/>
      <c r="V61" s="21"/>
      <c r="W61" s="21"/>
      <c r="X61" s="21"/>
      <c r="Y61" s="21"/>
      <c r="Z61" s="21"/>
      <c r="AA61" s="310" t="e">
        <f t="shared" ca="1" si="12"/>
        <v>#NAME?</v>
      </c>
      <c r="AB61" s="17" t="e">
        <f ca="1">IF(AA61=0,"",IFERROR(AA61/_xll.EVGTS($B$1,1,_xll.EVPRO($B$1,$H61,"COSBASIS"),$B$3,$B$5,$B$6,$B$7,$B$9,AA$16,Z$17,AA$18),""))</f>
        <v>#NAME?</v>
      </c>
      <c r="AD61" s="21"/>
      <c r="AE61" s="17" t="str">
        <f>IF(AD61=0,"",IFERROR(AD61/_xll.EVGTS($B$1,1,_xll.EVPRO($B$1,$H61,"COSBASIS"),$B$3,$B$5,$B$6,$B$7,$B$9,AD$16,AD$17,AD$18),""))</f>
        <v/>
      </c>
      <c r="AF61" s="50" t="e">
        <f t="shared" ca="1" si="13"/>
        <v>#NAME?</v>
      </c>
      <c r="AG61" s="21"/>
      <c r="AH61" s="17" t="str">
        <f>IF(AG61=0,"",IFERROR(AG61/_xll.EVGTS($B$1,1,_xll.EVPRO($B$1,$H61,"COSBASIS"),$B$3,$B$5,$B$6,$B$7,$B$9,AG$16,AG$17,AG$18),""))</f>
        <v/>
      </c>
      <c r="AI61" s="50" t="e">
        <f t="shared" ca="1" si="15"/>
        <v>#NAME?</v>
      </c>
      <c r="AJ61" s="399">
        <f t="shared" ca="1" si="16"/>
        <v>0</v>
      </c>
      <c r="AK61" s="400">
        <f t="shared" ca="1" si="17"/>
        <v>0</v>
      </c>
      <c r="AL61" s="401">
        <f t="shared" ca="1" si="18"/>
        <v>0</v>
      </c>
      <c r="AM61" s="402">
        <f t="shared" ca="1" si="19"/>
        <v>0</v>
      </c>
      <c r="AN61" s="403">
        <f t="shared" ca="1" si="20"/>
        <v>0</v>
      </c>
    </row>
    <row r="62" spans="1:40" x14ac:dyDescent="0.25">
      <c r="A62" s="1" t="s">
        <v>108</v>
      </c>
      <c r="C62" s="151" t="s">
        <v>101</v>
      </c>
      <c r="D62" s="1" t="s">
        <v>107</v>
      </c>
      <c r="F62" s="1" t="s">
        <v>99</v>
      </c>
      <c r="H62" s="15" t="s">
        <v>443</v>
      </c>
      <c r="I62" s="161" t="e">
        <f ca="1">_xll.EVPRO($B$1,$H62,"STYLE")</f>
        <v>#NAME?</v>
      </c>
      <c r="J62" s="161" t="e">
        <f ca="1">_xll.EVPRO($B$1,$H62,"CALC")</f>
        <v>#NAME?</v>
      </c>
      <c r="K62" s="68" t="e">
        <f t="shared" ca="1" si="14"/>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310" t="e">
        <f t="shared" ca="1" si="12"/>
        <v>#NAME?</v>
      </c>
      <c r="AB62" s="17" t="e">
        <f ca="1">IF(AA62=0,"",IFERROR(AA62/_xll.EVGTS($B$1,1,_xll.EVPRO($B$1,$H62,"COSBASIS"),$B$3,$B$5,$B$6,$B$7,$B$9,AA$16,Z$17,AA$18),""))</f>
        <v>#NAME?</v>
      </c>
      <c r="AD62" s="21"/>
      <c r="AE62" s="17" t="str">
        <f>IF(AD62=0,"",IFERROR(AD62/_xll.EVGTS($B$1,1,_xll.EVPRO($B$1,$H62,"COSBASIS"),$B$3,$B$5,$B$6,$B$7,$B$9,AD$16,AD$17,AD$18),""))</f>
        <v/>
      </c>
      <c r="AF62" s="50" t="e">
        <f t="shared" ca="1" si="13"/>
        <v>#NAME?</v>
      </c>
      <c r="AG62" s="21"/>
      <c r="AH62" s="17" t="str">
        <f>IF(AG62=0,"",IFERROR(AG62/_xll.EVGTS($B$1,1,_xll.EVPRO($B$1,$H62,"COSBASIS"),$B$3,$B$5,$B$6,$B$7,$B$9,AG$16,AG$17,AG$18),""))</f>
        <v/>
      </c>
      <c r="AI62" s="50" t="e">
        <f t="shared" ca="1" si="15"/>
        <v>#NAME?</v>
      </c>
      <c r="AJ62" s="399">
        <f t="shared" ca="1" si="16"/>
        <v>0</v>
      </c>
      <c r="AK62" s="400">
        <f t="shared" ca="1" si="17"/>
        <v>0</v>
      </c>
      <c r="AL62" s="401">
        <f t="shared" ca="1" si="18"/>
        <v>0</v>
      </c>
      <c r="AM62" s="402">
        <f t="shared" ca="1" si="19"/>
        <v>0</v>
      </c>
      <c r="AN62" s="403">
        <f t="shared" ca="1" si="20"/>
        <v>0</v>
      </c>
    </row>
    <row r="63" spans="1:40" x14ac:dyDescent="0.25">
      <c r="H63" s="15" t="s">
        <v>481</v>
      </c>
      <c r="I63" s="161" t="e">
        <f ca="1">_xll.EVPRO($B$1,$H63,"STYLE")</f>
        <v>#NAME?</v>
      </c>
      <c r="J63" s="161" t="e">
        <f ca="1">_xll.EVPRO($B$1,$H63,"CALC")</f>
        <v>#NAME?</v>
      </c>
      <c r="K63" s="68" t="e">
        <f t="shared" ca="1" si="14"/>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10" t="e">
        <f t="shared" ca="1" si="12"/>
        <v>#NAME?</v>
      </c>
      <c r="AB63" s="17" t="e">
        <f ca="1">IF(AA63=0,"",IFERROR(AA63/_xll.EVGTS($B$1,1,_xll.EVPRO($B$1,$H63,"COSBASIS"),$B$3,$B$5,$B$6,$B$7,$B$9,AA$16,Z$17,AA$18),""))</f>
        <v>#NAME?</v>
      </c>
      <c r="AD63" s="21"/>
      <c r="AE63" s="17" t="str">
        <f>IF(AD63=0,"",IFERROR(AD63/_xll.EVGTS($B$1,1,_xll.EVPRO($B$1,$H63,"COSBASIS"),$B$3,$B$5,$B$6,$B$7,$B$9,AD$16,AD$17,AD$18),""))</f>
        <v/>
      </c>
      <c r="AF63" s="50" t="e">
        <f t="shared" ca="1" si="13"/>
        <v>#NAME?</v>
      </c>
      <c r="AG63" s="21"/>
      <c r="AH63" s="17" t="str">
        <f>IF(AG63=0,"",IFERROR(AG63/_xll.EVGTS($B$1,1,_xll.EVPRO($B$1,$H63,"COSBASIS"),$B$3,$B$5,$B$6,$B$7,$B$9,AG$16,AG$17,AG$18),""))</f>
        <v/>
      </c>
      <c r="AI63" s="50" t="e">
        <f t="shared" ca="1" si="15"/>
        <v>#NAME?</v>
      </c>
      <c r="AJ63" s="399">
        <f t="shared" ca="1" si="16"/>
        <v>0</v>
      </c>
      <c r="AK63" s="400">
        <f t="shared" ca="1" si="17"/>
        <v>0</v>
      </c>
      <c r="AL63" s="401">
        <f t="shared" ca="1" si="18"/>
        <v>0</v>
      </c>
      <c r="AM63" s="402">
        <f t="shared" ca="1" si="19"/>
        <v>0</v>
      </c>
      <c r="AN63" s="403">
        <f t="shared" ca="1" si="20"/>
        <v>0</v>
      </c>
    </row>
    <row r="64" spans="1:40" x14ac:dyDescent="0.25">
      <c r="C64" s="32"/>
      <c r="H64" s="15" t="s">
        <v>482</v>
      </c>
      <c r="I64" s="161" t="e">
        <f ca="1">_xll.EVPRO($B$1,$H64,"STYLE")</f>
        <v>#NAME?</v>
      </c>
      <c r="J64" s="161" t="e">
        <f ca="1">_xll.EVPRO($B$1,$H64,"CALC")</f>
        <v>#NAME?</v>
      </c>
      <c r="K64" s="68" t="e">
        <f t="shared" ca="1" si="14"/>
        <v>#NAME?</v>
      </c>
      <c r="L64" s="162" t="e">
        <f ca="1">_xll.EVPRO($B$1,H64,"JDEID")</f>
        <v>#NAME?</v>
      </c>
      <c r="M64" s="162" t="e">
        <f ca="1">IF(AND(I64="N",J64="N"),_xll.EVPRO($B$1,H64,"PSFTID"),"")</f>
        <v>#NAME?</v>
      </c>
      <c r="N64" s="162" t="e">
        <f ca="1">IF(_xll.EVDES(H64,$B$1)="#NODATA","",_xll.EVDES(H64,$B$1))</f>
        <v>#NAME?</v>
      </c>
      <c r="O64" s="21"/>
      <c r="P64" s="21"/>
      <c r="Q64" s="21"/>
      <c r="R64" s="21"/>
      <c r="S64" s="21"/>
      <c r="T64" s="21"/>
      <c r="U64" s="21"/>
      <c r="V64" s="21"/>
      <c r="W64" s="21"/>
      <c r="X64" s="21"/>
      <c r="Y64" s="21"/>
      <c r="Z64" s="21"/>
      <c r="AA64" s="310" t="e">
        <f t="shared" ca="1" si="12"/>
        <v>#NAME?</v>
      </c>
      <c r="AB64" s="17" t="e">
        <f ca="1">IF(AA64=0,"",IFERROR(AA64/_xll.EVGTS($B$1,1,_xll.EVPRO($B$1,$H64,"COSBASIS"),$B$3,$B$5,$B$6,$B$7,$B$9,AA$16,Z$17,AA$18),""))</f>
        <v>#NAME?</v>
      </c>
      <c r="AD64" s="21"/>
      <c r="AE64" s="17" t="str">
        <f>IF(AD64=0,"",IFERROR(AD64/_xll.EVGTS($B$1,1,_xll.EVPRO($B$1,$H64,"COSBASIS"),$B$3,$B$5,$B$6,$B$7,$B$9,AD$16,AD$17,AD$18),""))</f>
        <v/>
      </c>
      <c r="AF64" s="50" t="e">
        <f t="shared" ca="1" si="13"/>
        <v>#NAME?</v>
      </c>
      <c r="AG64" s="21"/>
      <c r="AH64" s="17" t="str">
        <f>IF(AG64=0,"",IFERROR(AG64/_xll.EVGTS($B$1,1,_xll.EVPRO($B$1,$H64,"COSBASIS"),$B$3,$B$5,$B$6,$B$7,$B$9,AG$16,AG$17,AG$18),""))</f>
        <v/>
      </c>
      <c r="AI64" s="50" t="e">
        <f t="shared" ca="1" si="15"/>
        <v>#NAME?</v>
      </c>
      <c r="AJ64" s="399">
        <f t="shared" ca="1" si="16"/>
        <v>0</v>
      </c>
      <c r="AK64" s="400">
        <f t="shared" ca="1" si="17"/>
        <v>0</v>
      </c>
      <c r="AL64" s="401">
        <f t="shared" ca="1" si="18"/>
        <v>0</v>
      </c>
      <c r="AM64" s="402">
        <f t="shared" ca="1" si="19"/>
        <v>0</v>
      </c>
      <c r="AN64" s="403">
        <f t="shared" ca="1" si="20"/>
        <v>0</v>
      </c>
    </row>
    <row r="65" spans="1:40" x14ac:dyDescent="0.25">
      <c r="A65" s="4" t="e">
        <f ca="1">_xll.EVDRE($B$1,A68:B75)</f>
        <v>#NAME?</v>
      </c>
      <c r="B65" s="1" t="s">
        <v>736</v>
      </c>
      <c r="H65" s="15" t="s">
        <v>483</v>
      </c>
      <c r="I65" s="161" t="e">
        <f ca="1">_xll.EVPRO($B$1,$H65,"STYLE")</f>
        <v>#NAME?</v>
      </c>
      <c r="J65" s="161" t="e">
        <f ca="1">_xll.EVPRO($B$1,$H65,"CALC")</f>
        <v>#NAME?</v>
      </c>
      <c r="K65" s="68" t="e">
        <f t="shared" ca="1" si="14"/>
        <v>#NAME?</v>
      </c>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310" t="e">
        <f t="shared" ca="1" si="12"/>
        <v>#NAME?</v>
      </c>
      <c r="AB65" s="17" t="e">
        <f ca="1">IF(AA65=0,"",IFERROR(AA65/_xll.EVGTS($B$1,1,_xll.EVPRO($B$1,$H65,"COSBASIS"),$B$3,$B$5,$B$6,$B$7,$B$9,AA$16,Z$17,AA$18),""))</f>
        <v>#NAME?</v>
      </c>
      <c r="AD65" s="21"/>
      <c r="AE65" s="17" t="str">
        <f>IF(AD65=0,"",IFERROR(AD65/_xll.EVGTS($B$1,1,_xll.EVPRO($B$1,$H65,"COSBASIS"),$B$3,$B$5,$B$6,$B$7,$B$9,AD$16,AD$17,AD$18),""))</f>
        <v/>
      </c>
      <c r="AF65" s="50" t="e">
        <f t="shared" ca="1" si="13"/>
        <v>#NAME?</v>
      </c>
      <c r="AG65" s="21"/>
      <c r="AH65" s="17" t="str">
        <f>IF(AG65=0,"",IFERROR(AG65/_xll.EVGTS($B$1,1,_xll.EVPRO($B$1,$H65,"COSBASIS"),$B$3,$B$5,$B$6,$B$7,$B$9,AG$16,AG$17,AG$18),""))</f>
        <v/>
      </c>
      <c r="AI65" s="50" t="e">
        <f t="shared" ca="1" si="15"/>
        <v>#NAME?</v>
      </c>
      <c r="AJ65" s="399">
        <f t="shared" ca="1" si="16"/>
        <v>0</v>
      </c>
      <c r="AK65" s="400">
        <f t="shared" ca="1" si="17"/>
        <v>0</v>
      </c>
      <c r="AL65" s="401">
        <f t="shared" ca="1" si="18"/>
        <v>0</v>
      </c>
      <c r="AM65" s="402">
        <f t="shared" ca="1" si="19"/>
        <v>0</v>
      </c>
      <c r="AN65" s="403">
        <f t="shared" ca="1" si="20"/>
        <v>0</v>
      </c>
    </row>
    <row r="66" spans="1:40" x14ac:dyDescent="0.25">
      <c r="H66" s="15" t="s">
        <v>484</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310" t="e">
        <f t="shared" ca="1" si="12"/>
        <v>#NAME?</v>
      </c>
      <c r="AB66" s="17" t="e">
        <f ca="1">IF(AA66=0,"",IFERROR(AA66/_xll.EVGTS($B$1,1,_xll.EVPRO($B$1,$H66,"COSBASIS"),$B$3,$B$5,$B$6,$B$7,$B$9,AA$16,Z$17,AA$18),""))</f>
        <v>#NAME?</v>
      </c>
      <c r="AD66" s="21"/>
      <c r="AE66" s="17" t="str">
        <f>IF(AD66=0,"",IFERROR(AD66/_xll.EVGTS($B$1,1,_xll.EVPRO($B$1,$H66,"COSBASIS"),$B$3,$B$5,$B$6,$B$7,$B$9,AD$16,AD$17,AD$18),""))</f>
        <v/>
      </c>
      <c r="AF66" s="50" t="e">
        <f t="shared" ca="1" si="13"/>
        <v>#NAME?</v>
      </c>
      <c r="AG66" s="21"/>
      <c r="AH66" s="17" t="str">
        <f>IF(AG66=0,"",IFERROR(AG66/_xll.EVGTS($B$1,1,_xll.EVPRO($B$1,$H66,"COSBASIS"),$B$3,$B$5,$B$6,$B$7,$B$9,AG$16,AG$17,AG$18),""))</f>
        <v/>
      </c>
      <c r="AI66" s="50" t="e">
        <f t="shared" ca="1" si="15"/>
        <v>#NAME?</v>
      </c>
      <c r="AJ66" s="399">
        <f t="shared" ca="1" si="16"/>
        <v>0</v>
      </c>
      <c r="AK66" s="400">
        <f t="shared" ca="1" si="17"/>
        <v>0</v>
      </c>
      <c r="AL66" s="401">
        <f t="shared" ca="1" si="18"/>
        <v>0</v>
      </c>
      <c r="AM66" s="402">
        <f t="shared" ca="1" si="19"/>
        <v>0</v>
      </c>
      <c r="AN66" s="403">
        <f t="shared" ca="1" si="20"/>
        <v>0</v>
      </c>
    </row>
    <row r="67" spans="1:40" x14ac:dyDescent="0.25">
      <c r="A67" s="3" t="s">
        <v>0</v>
      </c>
      <c r="B67" s="5" t="s">
        <v>1</v>
      </c>
      <c r="H67" s="15" t="s">
        <v>485</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310" t="e">
        <f t="shared" ca="1" si="12"/>
        <v>#NAME?</v>
      </c>
      <c r="AB67" s="17" t="e">
        <f ca="1">IF(AA67=0,"",IFERROR(AA67/_xll.EVGTS($B$1,1,_xll.EVPRO($B$1,$H67,"COSBASIS"),$B$3,$B$5,$B$6,$B$7,$B$9,AA$16,Z$17,AA$18),""))</f>
        <v>#NAME?</v>
      </c>
      <c r="AD67" s="21"/>
      <c r="AE67" s="17" t="str">
        <f>IF(AD67=0,"",IFERROR(AD67/_xll.EVGTS($B$1,1,_xll.EVPRO($B$1,$H67,"COSBASIS"),$B$3,$B$5,$B$6,$B$7,$B$9,AD$16,AD$17,AD$18),""))</f>
        <v/>
      </c>
      <c r="AF67" s="50" t="e">
        <f t="shared" ca="1" si="13"/>
        <v>#NAME?</v>
      </c>
      <c r="AG67" s="21"/>
      <c r="AH67" s="17" t="str">
        <f>IF(AG67=0,"",IFERROR(AG67/_xll.EVGTS($B$1,1,_xll.EVPRO($B$1,$H67,"COSBASIS"),$B$3,$B$5,$B$6,$B$7,$B$9,AG$16,AG$17,AG$18),""))</f>
        <v/>
      </c>
      <c r="AI67" s="50" t="e">
        <f t="shared" ca="1" si="15"/>
        <v>#NAME?</v>
      </c>
      <c r="AJ67" s="399">
        <f t="shared" ca="1" si="16"/>
        <v>0</v>
      </c>
      <c r="AK67" s="400">
        <f t="shared" ca="1" si="17"/>
        <v>0</v>
      </c>
      <c r="AL67" s="401">
        <f t="shared" ca="1" si="18"/>
        <v>0</v>
      </c>
      <c r="AM67" s="402">
        <f t="shared" ca="1" si="19"/>
        <v>0</v>
      </c>
      <c r="AN67" s="403">
        <f t="shared" ca="1" si="20"/>
        <v>0</v>
      </c>
    </row>
    <row r="68" spans="1:40" x14ac:dyDescent="0.25">
      <c r="A68" s="6" t="s">
        <v>2</v>
      </c>
      <c r="B68" s="7" t="e">
        <f ca="1">_xll.EVRNG($B$2:$B$10)</f>
        <v>#NAME?</v>
      </c>
      <c r="H68" s="15" t="s">
        <v>444</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21"/>
      <c r="P68" s="21"/>
      <c r="Q68" s="21"/>
      <c r="R68" s="21"/>
      <c r="S68" s="21"/>
      <c r="T68" s="21"/>
      <c r="U68" s="21"/>
      <c r="V68" s="21"/>
      <c r="W68" s="21"/>
      <c r="X68" s="21"/>
      <c r="Y68" s="21"/>
      <c r="Z68" s="21"/>
      <c r="AA68" s="310" t="e">
        <f t="shared" ca="1" si="12"/>
        <v>#NAME?</v>
      </c>
      <c r="AB68" s="17" t="e">
        <f ca="1">IF(AA68=0,"",IFERROR(AA68/_xll.EVGTS($B$1,1,_xll.EVPRO($B$1,$H68,"COSBASIS"),$B$3,$B$5,$B$6,$B$7,$B$9,AA$16,Z$17,AA$18),""))</f>
        <v>#NAME?</v>
      </c>
      <c r="AD68" s="21"/>
      <c r="AE68" s="17" t="str">
        <f>IF(AD68=0,"",IFERROR(AD68/_xll.EVGTS($B$1,1,_xll.EVPRO($B$1,$H68,"COSBASIS"),$B$3,$B$5,$B$6,$B$7,$B$9,AD$16,AD$17,AD$18),""))</f>
        <v/>
      </c>
      <c r="AF68" s="50" t="e">
        <f t="shared" ca="1" si="13"/>
        <v>#NAME?</v>
      </c>
      <c r="AG68" s="21"/>
      <c r="AH68" s="17" t="str">
        <f>IF(AG68=0,"",IFERROR(AG68/_xll.EVGTS($B$1,1,_xll.EVPRO($B$1,$H68,"COSBASIS"),$B$3,$B$5,$B$6,$B$7,$B$9,AG$16,AG$17,AG$18),""))</f>
        <v/>
      </c>
      <c r="AI68" s="50" t="e">
        <f t="shared" ca="1" si="15"/>
        <v>#NAME?</v>
      </c>
      <c r="AJ68" s="399">
        <f t="shared" ca="1" si="16"/>
        <v>0</v>
      </c>
      <c r="AK68" s="400">
        <f t="shared" ca="1" si="17"/>
        <v>0</v>
      </c>
      <c r="AL68" s="401">
        <f t="shared" ca="1" si="18"/>
        <v>0</v>
      </c>
      <c r="AM68" s="402">
        <f t="shared" ca="1" si="19"/>
        <v>0</v>
      </c>
      <c r="AN68" s="403">
        <f t="shared" ca="1" si="20"/>
        <v>0</v>
      </c>
    </row>
    <row r="69" spans="1:40" x14ac:dyDescent="0.25">
      <c r="A69" s="6" t="s">
        <v>3</v>
      </c>
      <c r="B69" s="7" t="e">
        <f ca="1">_xll.EVRNG($O$16:$AN$18)</f>
        <v>#NAME?</v>
      </c>
      <c r="H69" s="15" t="s">
        <v>445</v>
      </c>
      <c r="I69" s="161" t="e">
        <f ca="1">_xll.EVPRO($B$1,$H69,"STYLE")</f>
        <v>#NAME?</v>
      </c>
      <c r="J69" s="161" t="e">
        <f ca="1">_xll.EVPRO($B$1,$H69,"CALC")</f>
        <v>#NAME?</v>
      </c>
      <c r="K69" s="68" t="e">
        <f t="shared" ca="1" si="14"/>
        <v>#NAME?</v>
      </c>
      <c r="L69" s="162" t="e">
        <f ca="1">_xll.EVPRO($B$1,H69,"JDEID")</f>
        <v>#NAME?</v>
      </c>
      <c r="M69" s="162" t="e">
        <f ca="1">IF(AND(I69="N",J69="N"),_xll.EVPRO($B$1,H69,"PSFTID"),"")</f>
        <v>#NAME?</v>
      </c>
      <c r="N69" s="162" t="e">
        <f ca="1">IF(_xll.EVDES(H69,$B$1)="#NODATA","",_xll.EVDES(H69,$B$1))</f>
        <v>#NAME?</v>
      </c>
      <c r="O69" s="21"/>
      <c r="P69" s="21"/>
      <c r="Q69" s="21"/>
      <c r="R69" s="21"/>
      <c r="S69" s="21"/>
      <c r="T69" s="21"/>
      <c r="U69" s="21"/>
      <c r="V69" s="21"/>
      <c r="W69" s="21"/>
      <c r="X69" s="21"/>
      <c r="Y69" s="21"/>
      <c r="Z69" s="21"/>
      <c r="AA69" s="310" t="e">
        <f t="shared" ca="1" si="12"/>
        <v>#NAME?</v>
      </c>
      <c r="AB69" s="17" t="e">
        <f ca="1">IF(AA69=0,"",IFERROR(AA69/_xll.EVGTS($B$1,1,_xll.EVPRO($B$1,$H69,"COSBASIS"),$B$3,$B$5,$B$6,$B$7,$B$9,AA$16,Z$17,AA$18),""))</f>
        <v>#NAME?</v>
      </c>
      <c r="AD69" s="21"/>
      <c r="AE69" s="17" t="str">
        <f>IF(AD69=0,"",IFERROR(AD69/_xll.EVGTS($B$1,1,_xll.EVPRO($B$1,$H69,"COSBASIS"),$B$3,$B$5,$B$6,$B$7,$B$9,AD$16,AD$17,AD$18),""))</f>
        <v/>
      </c>
      <c r="AF69" s="50" t="e">
        <f t="shared" ca="1" si="13"/>
        <v>#NAME?</v>
      </c>
      <c r="AG69" s="21"/>
      <c r="AH69" s="17" t="str">
        <f>IF(AG69=0,"",IFERROR(AG69/_xll.EVGTS($B$1,1,_xll.EVPRO($B$1,$H69,"COSBASIS"),$B$3,$B$5,$B$6,$B$7,$B$9,AG$16,AG$17,AG$18),""))</f>
        <v/>
      </c>
      <c r="AI69" s="50" t="e">
        <f t="shared" ca="1" si="15"/>
        <v>#NAME?</v>
      </c>
      <c r="AJ69" s="399">
        <f t="shared" ca="1" si="16"/>
        <v>0</v>
      </c>
      <c r="AK69" s="400">
        <f t="shared" ca="1" si="17"/>
        <v>0</v>
      </c>
      <c r="AL69" s="401">
        <f t="shared" ca="1" si="18"/>
        <v>0</v>
      </c>
      <c r="AM69" s="402">
        <f t="shared" ca="1" si="19"/>
        <v>0</v>
      </c>
      <c r="AN69" s="403">
        <f t="shared" ca="1" si="20"/>
        <v>0</v>
      </c>
    </row>
    <row r="70" spans="1:40" x14ac:dyDescent="0.25">
      <c r="A70" s="6" t="s">
        <v>4</v>
      </c>
      <c r="B70" s="7" t="e">
        <f ca="1">_xll.EVRNG(H95:H98)</f>
        <v>#NAME?</v>
      </c>
      <c r="H70" s="15" t="s">
        <v>446</v>
      </c>
      <c r="I70" s="161" t="e">
        <f ca="1">_xll.EVPRO($B$1,$H70,"STYLE")</f>
        <v>#NAME?</v>
      </c>
      <c r="J70" s="161" t="e">
        <f ca="1">_xll.EVPRO($B$1,$H70,"CALC")</f>
        <v>#NAME?</v>
      </c>
      <c r="K70" s="68" t="e">
        <f t="shared" ca="1" si="14"/>
        <v>#NAME?</v>
      </c>
      <c r="L70" s="162" t="e">
        <f ca="1">_xll.EVPRO($B$1,H70,"JDEID")</f>
        <v>#NAME?</v>
      </c>
      <c r="M70" s="162" t="e">
        <f ca="1">IF(AND(I70="N",J70="N"),_xll.EVPRO($B$1,H70,"PSFTID"),"")</f>
        <v>#NAME?</v>
      </c>
      <c r="N70" s="162" t="e">
        <f ca="1">IF(_xll.EVDES(H70,$B$1)="#NODATA","",_xll.EVDES(H70,$B$1))</f>
        <v>#NAME?</v>
      </c>
      <c r="O70" s="21"/>
      <c r="P70" s="21"/>
      <c r="Q70" s="21"/>
      <c r="R70" s="21"/>
      <c r="S70" s="21"/>
      <c r="T70" s="21"/>
      <c r="U70" s="21"/>
      <c r="V70" s="21"/>
      <c r="W70" s="21"/>
      <c r="X70" s="21"/>
      <c r="Y70" s="21"/>
      <c r="Z70" s="21"/>
      <c r="AA70" s="310" t="e">
        <f t="shared" ca="1" si="12"/>
        <v>#NAME?</v>
      </c>
      <c r="AB70" s="17" t="e">
        <f ca="1">IF(AA70=0,"",IFERROR(AA70/_xll.EVGTS($B$1,1,_xll.EVPRO($B$1,$H70,"COSBASIS"),$B$3,$B$5,$B$6,$B$7,$B$9,AA$16,Z$17,AA$18),""))</f>
        <v>#NAME?</v>
      </c>
      <c r="AD70" s="21"/>
      <c r="AE70" s="17" t="str">
        <f>IF(AD70=0,"",IFERROR(AD70/_xll.EVGTS($B$1,1,_xll.EVPRO($B$1,$H70,"COSBASIS"),$B$3,$B$5,$B$6,$B$7,$B$9,AD$16,AD$17,AD$18),""))</f>
        <v/>
      </c>
      <c r="AF70" s="50" t="e">
        <f t="shared" ca="1" si="13"/>
        <v>#NAME?</v>
      </c>
      <c r="AG70" s="21"/>
      <c r="AH70" s="17" t="str">
        <f>IF(AG70=0,"",IFERROR(AG70/_xll.EVGTS($B$1,1,_xll.EVPRO($B$1,$H70,"COSBASIS"),$B$3,$B$5,$B$6,$B$7,$B$9,AG$16,AG$17,AG$18),""))</f>
        <v/>
      </c>
      <c r="AI70" s="50" t="e">
        <f t="shared" ca="1" si="15"/>
        <v>#NAME?</v>
      </c>
      <c r="AJ70" s="399">
        <f t="shared" ca="1" si="16"/>
        <v>0</v>
      </c>
      <c r="AK70" s="400">
        <f t="shared" ca="1" si="17"/>
        <v>0</v>
      </c>
      <c r="AL70" s="401">
        <f t="shared" ca="1" si="18"/>
        <v>0</v>
      </c>
      <c r="AM70" s="402">
        <f t="shared" ca="1" si="19"/>
        <v>0</v>
      </c>
      <c r="AN70" s="403">
        <f t="shared" ca="1" si="20"/>
        <v>0</v>
      </c>
    </row>
    <row r="71" spans="1:40" x14ac:dyDescent="0.25">
      <c r="A71" s="6" t="s">
        <v>5</v>
      </c>
      <c r="B71" s="7"/>
      <c r="H71" s="15" t="s">
        <v>447</v>
      </c>
      <c r="I71" s="161" t="e">
        <f ca="1">_xll.EVPRO($B$1,$H71,"STYLE")</f>
        <v>#NAME?</v>
      </c>
      <c r="J71" s="161" t="e">
        <f ca="1">_xll.EVPRO($B$1,$H71,"CALC")</f>
        <v>#NAME?</v>
      </c>
      <c r="K71" s="68" t="e">
        <f t="shared" ca="1" si="14"/>
        <v>#NAME?</v>
      </c>
      <c r="L71" s="162" t="e">
        <f ca="1">_xll.EVPRO($B$1,H71,"JDEID")</f>
        <v>#NAME?</v>
      </c>
      <c r="M71" s="162" t="e">
        <f ca="1">IF(AND(I71="N",J71="N"),_xll.EVPRO($B$1,H71,"PSFTID"),"")</f>
        <v>#NAME?</v>
      </c>
      <c r="N71" s="162" t="e">
        <f ca="1">IF(_xll.EVDES(H71,$B$1)="#NODATA","",_xll.EVDES(H71,$B$1))</f>
        <v>#NAME?</v>
      </c>
      <c r="O71" s="21"/>
      <c r="P71" s="21"/>
      <c r="Q71" s="21"/>
      <c r="R71" s="21"/>
      <c r="S71" s="21"/>
      <c r="T71" s="21"/>
      <c r="U71" s="21"/>
      <c r="V71" s="21"/>
      <c r="W71" s="21"/>
      <c r="X71" s="21"/>
      <c r="Y71" s="21"/>
      <c r="Z71" s="21"/>
      <c r="AA71" s="310" t="e">
        <f t="shared" ca="1" si="12"/>
        <v>#NAME?</v>
      </c>
      <c r="AB71" s="17" t="e">
        <f ca="1">IF(AA71=0,"",IFERROR(AA71/_xll.EVGTS($B$1,1,_xll.EVPRO($B$1,$H71,"COSBASIS"),$B$3,$B$5,$B$6,$B$7,$B$9,AA$16,Z$17,AA$18),""))</f>
        <v>#NAME?</v>
      </c>
      <c r="AD71" s="21"/>
      <c r="AE71" s="17" t="str">
        <f>IF(AD71=0,"",IFERROR(AD71/_xll.EVGTS($B$1,1,_xll.EVPRO($B$1,$H71,"COSBASIS"),$B$3,$B$5,$B$6,$B$7,$B$9,AD$16,AD$17,AD$18),""))</f>
        <v/>
      </c>
      <c r="AF71" s="50" t="e">
        <f t="shared" ca="1" si="13"/>
        <v>#NAME?</v>
      </c>
      <c r="AG71" s="21"/>
      <c r="AH71" s="17" t="str">
        <f>IF(AG71=0,"",IFERROR(AG71/_xll.EVGTS($B$1,1,_xll.EVPRO($B$1,$H71,"COSBASIS"),$B$3,$B$5,$B$6,$B$7,$B$9,AG$16,AG$17,AG$18),""))</f>
        <v/>
      </c>
      <c r="AI71" s="50" t="e">
        <f t="shared" ca="1" si="15"/>
        <v>#NAME?</v>
      </c>
      <c r="AJ71" s="399">
        <f t="shared" ca="1" si="16"/>
        <v>0</v>
      </c>
      <c r="AK71" s="400">
        <f t="shared" ca="1" si="17"/>
        <v>0</v>
      </c>
      <c r="AL71" s="401">
        <f t="shared" ca="1" si="18"/>
        <v>0</v>
      </c>
      <c r="AM71" s="402">
        <f t="shared" ca="1" si="19"/>
        <v>0</v>
      </c>
      <c r="AN71" s="403">
        <f t="shared" ca="1" si="20"/>
        <v>0</v>
      </c>
    </row>
    <row r="72" spans="1:40" x14ac:dyDescent="0.25">
      <c r="A72" s="6" t="s">
        <v>6</v>
      </c>
      <c r="B72" s="7"/>
      <c r="H72" s="15" t="s">
        <v>448</v>
      </c>
      <c r="I72" s="161" t="e">
        <f ca="1">_xll.EVPRO($B$1,$H72,"STYLE")</f>
        <v>#NAME?</v>
      </c>
      <c r="J72" s="161" t="e">
        <f ca="1">_xll.EVPRO($B$1,$H72,"CALC")</f>
        <v>#NAME?</v>
      </c>
      <c r="K72" s="68" t="e">
        <f t="shared" ca="1" si="14"/>
        <v>#NAME?</v>
      </c>
      <c r="L72" s="162" t="e">
        <f ca="1">_xll.EVPRO($B$1,H72,"JDEID")</f>
        <v>#NAME?</v>
      </c>
      <c r="M72" s="162" t="e">
        <f ca="1">IF(AND(I72="N",J72="N"),_xll.EVPRO($B$1,H72,"PSFTID"),"")</f>
        <v>#NAME?</v>
      </c>
      <c r="N72" s="162" t="e">
        <f ca="1">IF(_xll.EVDES(H72,$B$1)="#NODATA","",_xll.EVDES(H72,$B$1))</f>
        <v>#NAME?</v>
      </c>
      <c r="O72" s="21"/>
      <c r="P72" s="21"/>
      <c r="Q72" s="21"/>
      <c r="R72" s="21"/>
      <c r="S72" s="21"/>
      <c r="T72" s="21"/>
      <c r="U72" s="21"/>
      <c r="V72" s="21"/>
      <c r="W72" s="21"/>
      <c r="X72" s="21"/>
      <c r="Y72" s="21"/>
      <c r="Z72" s="21"/>
      <c r="AA72" s="310" t="e">
        <f t="shared" ca="1" si="12"/>
        <v>#NAME?</v>
      </c>
      <c r="AB72" s="17" t="e">
        <f ca="1">IF(AA72=0,"",IFERROR(AA72/_xll.EVGTS($B$1,1,_xll.EVPRO($B$1,$H72,"COSBASIS"),$B$3,$B$5,$B$6,$B$7,$B$9,AA$16,Z$17,AA$18),""))</f>
        <v>#NAME?</v>
      </c>
      <c r="AD72" s="21"/>
      <c r="AE72" s="17" t="str">
        <f>IF(AD72=0,"",IFERROR(AD72/_xll.EVGTS($B$1,1,_xll.EVPRO($B$1,$H72,"COSBASIS"),$B$3,$B$5,$B$6,$B$7,$B$9,AD$16,AD$17,AD$18),""))</f>
        <v/>
      </c>
      <c r="AF72" s="50" t="e">
        <f t="shared" ca="1" si="13"/>
        <v>#NAME?</v>
      </c>
      <c r="AG72" s="21"/>
      <c r="AH72" s="17" t="str">
        <f>IF(AG72=0,"",IFERROR(AG72/_xll.EVGTS($B$1,1,_xll.EVPRO($B$1,$H72,"COSBASIS"),$B$3,$B$5,$B$6,$B$7,$B$9,AG$16,AG$17,AG$18),""))</f>
        <v/>
      </c>
      <c r="AI72" s="50" t="e">
        <f t="shared" ca="1" si="15"/>
        <v>#NAME?</v>
      </c>
      <c r="AJ72" s="399">
        <f t="shared" ca="1" si="16"/>
        <v>0</v>
      </c>
      <c r="AK72" s="400">
        <f t="shared" ca="1" si="17"/>
        <v>0</v>
      </c>
      <c r="AL72" s="401">
        <f t="shared" ca="1" si="18"/>
        <v>0</v>
      </c>
      <c r="AM72" s="402">
        <f t="shared" ca="1" si="19"/>
        <v>0</v>
      </c>
      <c r="AN72" s="403">
        <f t="shared" ca="1" si="20"/>
        <v>0</v>
      </c>
    </row>
    <row r="73" spans="1:40" x14ac:dyDescent="0.25">
      <c r="A73" s="6" t="s">
        <v>7</v>
      </c>
      <c r="B73" s="7"/>
      <c r="H73" s="15" t="s">
        <v>449</v>
      </c>
      <c r="I73" s="161" t="e">
        <f ca="1">_xll.EVPRO($B$1,$H73,"STYLE")</f>
        <v>#NAME?</v>
      </c>
      <c r="J73" s="161" t="e">
        <f ca="1">_xll.EVPRO($B$1,$H73,"CALC")</f>
        <v>#NAME?</v>
      </c>
      <c r="K73" s="68" t="e">
        <f t="shared" ca="1" si="14"/>
        <v>#NAME?</v>
      </c>
      <c r="L73" s="162" t="e">
        <f ca="1">_xll.EVPRO($B$1,H73,"JDEID")</f>
        <v>#NAME?</v>
      </c>
      <c r="M73" s="162" t="e">
        <f ca="1">IF(AND(I73="N",J73="N"),_xll.EVPRO($B$1,H73,"PSFTID"),"")</f>
        <v>#NAME?</v>
      </c>
      <c r="N73" s="162" t="e">
        <f ca="1">IF(_xll.EVDES(H73,$B$1)="#NODATA","",_xll.EVDES(H73,$B$1))</f>
        <v>#NAME?</v>
      </c>
      <c r="O73" s="30"/>
      <c r="P73" s="30"/>
      <c r="Q73" s="30"/>
      <c r="R73" s="30"/>
      <c r="S73" s="30"/>
      <c r="T73" s="30"/>
      <c r="U73" s="30"/>
      <c r="V73" s="30"/>
      <c r="W73" s="30"/>
      <c r="X73" s="30"/>
      <c r="Y73" s="30"/>
      <c r="Z73" s="30"/>
      <c r="AA73" s="324" t="e">
        <f t="shared" ca="1" si="12"/>
        <v>#NAME?</v>
      </c>
      <c r="AB73" s="31" t="e">
        <f ca="1">IF(AA73=0,"",IFERROR(AA73/_xll.EVGTS($B$1,1,_xll.EVPRO($B$1,$H73,"COSBASIS"),$B$3,$B$5,$B$6,$B$7,$B$9,AA$16,Z$17,AA$18),""))</f>
        <v>#NAME?</v>
      </c>
      <c r="AD73" s="30"/>
      <c r="AE73" s="31" t="str">
        <f>IF(AD73=0,"",IFERROR(AD73/_xll.EVGTS($B$1,1,_xll.EVPRO($B$1,$H73,"COSBASIS"),$B$3,$B$5,$B$6,$B$7,$B$9,AD$16,AD$17,AD$18),""))</f>
        <v/>
      </c>
      <c r="AF73" s="51" t="e">
        <f t="shared" ca="1" si="13"/>
        <v>#NAME?</v>
      </c>
      <c r="AG73" s="30"/>
      <c r="AH73" s="31" t="str">
        <f>IF(AG73=0,"",IFERROR(AG73/_xll.EVGTS($B$1,1,_xll.EVPRO($B$1,$H73,"COSBASIS"),$B$3,$B$5,$B$6,$B$7,$B$9,AG$16,AG$17,AG$18),""))</f>
        <v/>
      </c>
      <c r="AI73" s="51" t="e">
        <f t="shared" ca="1" si="15"/>
        <v>#NAME?</v>
      </c>
      <c r="AJ73" s="409">
        <f t="shared" ca="1" si="16"/>
        <v>0</v>
      </c>
      <c r="AK73" s="410">
        <f t="shared" ca="1" si="17"/>
        <v>0</v>
      </c>
      <c r="AL73" s="411">
        <f t="shared" ca="1" si="18"/>
        <v>0</v>
      </c>
      <c r="AM73" s="412">
        <f t="shared" ca="1" si="19"/>
        <v>0</v>
      </c>
      <c r="AN73" s="413">
        <f t="shared" ca="1" si="20"/>
        <v>0</v>
      </c>
    </row>
    <row r="74" spans="1:40" x14ac:dyDescent="0.25">
      <c r="A74" s="6" t="s">
        <v>47</v>
      </c>
      <c r="B74" s="7" t="e">
        <f ca="1">_xll.EVRNG($A$79:$B$100)</f>
        <v>#NAME?</v>
      </c>
      <c r="H74" s="15" t="s">
        <v>289</v>
      </c>
      <c r="I74" s="479" t="e">
        <f ca="1">_xll.EVPRO($B$1,$H74,"STYLE")</f>
        <v>#NAME?</v>
      </c>
      <c r="J74" s="479" t="e">
        <f ca="1">_xll.EVPRO($B$1,$H74,"CALC")</f>
        <v>#NAME?</v>
      </c>
      <c r="K74" s="480" t="e">
        <f t="shared" ca="1" si="14"/>
        <v>#NAME?</v>
      </c>
      <c r="L74" s="170" t="e">
        <f ca="1">_xll.EVPRO($B$1,H74,"JDEID")</f>
        <v>#NAME?</v>
      </c>
      <c r="M74" s="170" t="e">
        <f ca="1">IF(AND(I74="N",J74="N"),_xll.EVPRO($B$1,H74,"PSFTID"),"")</f>
        <v>#NAME?</v>
      </c>
      <c r="N74" s="170" t="e">
        <f ca="1">IF(_xll.EVDES(H74,$B$1)="#NODATA","",_xll.EVDES(H74,$B$1))</f>
        <v>#NAME?</v>
      </c>
      <c r="O74" s="134">
        <v>605.01</v>
      </c>
      <c r="P74" s="134">
        <v>1037.3499999999999</v>
      </c>
      <c r="Q74" s="134">
        <v>1213.1099999999999</v>
      </c>
      <c r="R74" s="134">
        <v>1094.22</v>
      </c>
      <c r="S74" s="134">
        <v>717.65</v>
      </c>
      <c r="T74" s="134">
        <v>701.04</v>
      </c>
      <c r="U74" s="134">
        <v>456.03</v>
      </c>
      <c r="V74" s="134">
        <v>170.54</v>
      </c>
      <c r="W74" s="134">
        <v>424.49</v>
      </c>
      <c r="X74" s="134">
        <v>182.82</v>
      </c>
      <c r="Y74" s="134">
        <v>547.54999999999995</v>
      </c>
      <c r="Z74" s="134">
        <v>58.91</v>
      </c>
      <c r="AA74" s="134" t="e">
        <f t="shared" ca="1" si="12"/>
        <v>#NAME?</v>
      </c>
      <c r="AB74" s="135" t="e">
        <f ca="1">IF(AA74=0,"",IFERROR(AA74/_xll.EVGTS($B$1,1,_xll.EVPRO($B$1,$H74,"COSBASIS"),$B$3,$B$5,$B$6,$B$7,$B$9,AA$16,Z$17,AA$18),""))</f>
        <v>#NAME?</v>
      </c>
      <c r="AC74" s="137"/>
      <c r="AD74" s="134">
        <v>9089.0349000000006</v>
      </c>
      <c r="AE74" s="135" t="str">
        <f ca="1">IF(AD74=0,"",IFERROR(AD74/_xll.EVGTS($B$1,1,_xll.EVPRO($B$1,$H74,"COSBASIS"),$B$3,$B$5,$B$6,$B$7,$B$9,AD$16,AD$17,AD$18),""))</f>
        <v/>
      </c>
      <c r="AF74" s="136" t="e">
        <f t="shared" ca="1" si="13"/>
        <v>#NAME?</v>
      </c>
      <c r="AG74" s="134">
        <v>11399.28</v>
      </c>
      <c r="AH74" s="135" t="str">
        <f ca="1">IF(AG74=0,"",IFERROR(AG74/_xll.EVGTS($B$1,1,_xll.EVPRO($B$1,$H74,"COSBASIS"),$B$3,$B$5,$B$6,$B$7,$B$9,AG$16,AG$17,AG$18),""))</f>
        <v/>
      </c>
      <c r="AI74" s="136" t="e">
        <f t="shared" ca="1" si="15"/>
        <v>#NAME?</v>
      </c>
      <c r="AJ74" s="360">
        <f t="shared" ca="1" si="16"/>
        <v>0</v>
      </c>
      <c r="AK74" s="361">
        <f t="shared" ca="1" si="17"/>
        <v>0</v>
      </c>
      <c r="AL74" s="363">
        <f t="shared" ca="1" si="18"/>
        <v>0</v>
      </c>
      <c r="AM74" s="405">
        <f t="shared" ca="1" si="19"/>
        <v>0</v>
      </c>
      <c r="AN74" s="406">
        <f t="shared" ca="1" si="20"/>
        <v>0</v>
      </c>
    </row>
    <row r="75" spans="1:40" x14ac:dyDescent="0.25">
      <c r="A75" s="6" t="s">
        <v>8</v>
      </c>
      <c r="B75" s="7"/>
      <c r="I75" s="1"/>
      <c r="J75" s="1"/>
      <c r="O75" s="53"/>
      <c r="P75" s="54"/>
      <c r="Q75" s="54"/>
      <c r="R75" s="54"/>
      <c r="S75" s="54"/>
      <c r="T75" s="54"/>
      <c r="U75" s="54"/>
      <c r="V75" s="54"/>
      <c r="W75" s="54"/>
      <c r="X75" s="54"/>
      <c r="Y75" s="54"/>
      <c r="Z75" s="54"/>
      <c r="AA75" s="54"/>
      <c r="AB75" s="55"/>
      <c r="AD75" s="53"/>
      <c r="AE75" s="54"/>
      <c r="AF75" s="55"/>
      <c r="AG75" s="53"/>
      <c r="AH75" s="54"/>
      <c r="AI75" s="55"/>
    </row>
    <row r="76" spans="1:40" x14ac:dyDescent="0.25">
      <c r="H76" s="1" t="s">
        <v>81</v>
      </c>
      <c r="I76" s="1" t="e">
        <f ca="1">_xll.EVPRO($B$1,$H76,"STYLE")</f>
        <v>#NAME?</v>
      </c>
      <c r="J76" s="1" t="e">
        <f ca="1">_xll.EVPRO($B$1,$H76,"CALC")</f>
        <v>#NAME?</v>
      </c>
      <c r="N76" s="40" t="e">
        <f ca="1">IF(_xll.EVDES(H76,$B$1)="#NODATA","",_xll.EVDES(H76,$B$1))</f>
        <v>#NAME?</v>
      </c>
      <c r="O76" s="53"/>
      <c r="P76" s="54"/>
      <c r="Q76" s="54"/>
      <c r="R76" s="54"/>
      <c r="S76" s="54"/>
      <c r="T76" s="54"/>
      <c r="U76" s="54"/>
      <c r="V76" s="54"/>
      <c r="W76" s="54"/>
      <c r="X76" s="54"/>
      <c r="Y76" s="54"/>
      <c r="Z76" s="54"/>
      <c r="AA76" s="54"/>
      <c r="AB76" s="55"/>
      <c r="AD76" s="53"/>
      <c r="AE76" s="54"/>
      <c r="AF76" s="55"/>
      <c r="AG76" s="53"/>
      <c r="AH76" s="54"/>
      <c r="AI76" s="55"/>
    </row>
    <row r="77" spans="1:40" x14ac:dyDescent="0.25">
      <c r="G77" s="1" t="s">
        <v>450</v>
      </c>
      <c r="H77" s="15" t="s">
        <v>424</v>
      </c>
      <c r="I77" s="161" t="e">
        <f ca="1">_xll.EVPRO($B$1,$H77,"STYLE")</f>
        <v>#NAME?</v>
      </c>
      <c r="J77" s="161" t="e">
        <f ca="1">_xll.EVPRO($B$1,$H77,"CALC")</f>
        <v>#NAME?</v>
      </c>
      <c r="K77" s="162"/>
      <c r="L77" s="162"/>
      <c r="M77" s="162"/>
      <c r="N77" s="162" t="str">
        <f>G77</f>
        <v>Guest Communication</v>
      </c>
      <c r="O77" s="21">
        <f>IFERROR(O34-O56,"")</f>
        <v>39.370000000000005</v>
      </c>
      <c r="P77" s="21">
        <f t="shared" ref="P77:Z77" si="21">IFERROR(P34-P56,"")</f>
        <v>195.45999999999998</v>
      </c>
      <c r="Q77" s="21">
        <f t="shared" si="21"/>
        <v>-191.63</v>
      </c>
      <c r="R77" s="21">
        <f t="shared" si="21"/>
        <v>60.81</v>
      </c>
      <c r="S77" s="21">
        <f t="shared" si="21"/>
        <v>26.9</v>
      </c>
      <c r="T77" s="21">
        <f t="shared" si="21"/>
        <v>32.050000000000004</v>
      </c>
      <c r="U77" s="21">
        <f t="shared" si="21"/>
        <v>24.93</v>
      </c>
      <c r="V77" s="21">
        <f t="shared" si="21"/>
        <v>8.6999999999999993</v>
      </c>
      <c r="W77" s="21">
        <f t="shared" si="21"/>
        <v>49.260000000000005</v>
      </c>
      <c r="X77" s="21">
        <f t="shared" si="21"/>
        <v>67.22</v>
      </c>
      <c r="Y77" s="21">
        <f t="shared" si="21"/>
        <v>32.32</v>
      </c>
      <c r="Z77" s="21">
        <f t="shared" si="21"/>
        <v>36.679999999999993</v>
      </c>
      <c r="AA77" s="310" t="e">
        <f ca="1">IF($I77="B1","",SUM(O77:Z77))</f>
        <v>#NAME?</v>
      </c>
      <c r="AB77" s="17" t="e">
        <f ca="1">IF(AA77=0,"",IFERROR(AA77/AA34,""))</f>
        <v>#NAME?</v>
      </c>
      <c r="AD77" s="21">
        <f>IFERROR(AD34-AD56,"")</f>
        <v>3333.0561000000002</v>
      </c>
      <c r="AE77" s="17">
        <f>IF(AD77=0,"",IFERROR(AD77/AD34,""))</f>
        <v>0.54200000000000004</v>
      </c>
      <c r="AF77" s="50" t="e">
        <f ca="1">IF(AND($AA77="",AD77=""),"",$AA77-AD77)</f>
        <v>#NAME?</v>
      </c>
      <c r="AG77" s="21">
        <f>IFERROR(AG34-AG56,"")</f>
        <v>2743.2999999999997</v>
      </c>
      <c r="AH77" s="17">
        <f>IF(AG77=0,"",IFERROR(AG77/AG34,""))</f>
        <v>0.4667698904240114</v>
      </c>
      <c r="AI77" s="50"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A78" s="3" t="s">
        <v>23</v>
      </c>
      <c r="B78" s="5" t="s">
        <v>24</v>
      </c>
      <c r="G78" s="1" t="s">
        <v>451</v>
      </c>
      <c r="H78" s="15" t="s">
        <v>425</v>
      </c>
      <c r="I78" s="161" t="e">
        <f ca="1">_xll.EVPRO($B$1,$H78,"STYLE")</f>
        <v>#NAME?</v>
      </c>
      <c r="J78" s="161" t="e">
        <f ca="1">_xll.EVPRO($B$1,$H78,"CALC")</f>
        <v>#NAME?</v>
      </c>
      <c r="K78" s="162"/>
      <c r="L78" s="162"/>
      <c r="M78" s="162"/>
      <c r="N78" s="162" t="str">
        <f t="shared" ref="N78:N94" si="22">G78</f>
        <v>Movie</v>
      </c>
      <c r="O78" s="21">
        <f t="shared" ref="O78:Z78" si="23">IFERROR(O35-O57,"")</f>
        <v>0</v>
      </c>
      <c r="P78" s="21">
        <f t="shared" si="23"/>
        <v>0</v>
      </c>
      <c r="Q78" s="21">
        <f t="shared" si="23"/>
        <v>0</v>
      </c>
      <c r="R78" s="21">
        <f t="shared" si="23"/>
        <v>0</v>
      </c>
      <c r="S78" s="21">
        <f t="shared" si="23"/>
        <v>0</v>
      </c>
      <c r="T78" s="21">
        <f t="shared" si="23"/>
        <v>0</v>
      </c>
      <c r="U78" s="21">
        <f t="shared" si="23"/>
        <v>0</v>
      </c>
      <c r="V78" s="21">
        <f t="shared" si="23"/>
        <v>0</v>
      </c>
      <c r="W78" s="21">
        <f t="shared" si="23"/>
        <v>0</v>
      </c>
      <c r="X78" s="21">
        <f t="shared" si="23"/>
        <v>0</v>
      </c>
      <c r="Y78" s="21">
        <f t="shared" si="23"/>
        <v>0</v>
      </c>
      <c r="Z78" s="21">
        <f t="shared" si="23"/>
        <v>0</v>
      </c>
      <c r="AA78" s="310" t="e">
        <f t="shared" ref="AA78:AA94" ca="1" si="24">IF($I78="B1","",SUM(O78:Z78))</f>
        <v>#NAME?</v>
      </c>
      <c r="AB78" s="17" t="e">
        <f t="shared" ref="AB78:AB94" ca="1" si="25">IF(AA78=0,"",IFERROR(AA78/AA35,""))</f>
        <v>#NAME?</v>
      </c>
      <c r="AD78" s="21">
        <f t="shared" ref="AD78:AD94" si="26">IFERROR(AD35-AD57,"")</f>
        <v>0</v>
      </c>
      <c r="AE78" s="17" t="str">
        <f t="shared" ref="AE78:AE94" si="27">IF(AD78=0,"",IFERROR(AD78/AD35,""))</f>
        <v/>
      </c>
      <c r="AF78" s="50" t="e">
        <f t="shared" ref="AF78:AF94" ca="1" si="28">IF(AND($AA78="",AD78=""),"",$AA78-AD78)</f>
        <v>#NAME?</v>
      </c>
      <c r="AG78" s="21">
        <f t="shared" ref="AG78:AG94" si="29">IFERROR(AG35-AG57,"")</f>
        <v>0</v>
      </c>
      <c r="AH78" s="17" t="str">
        <f t="shared" ref="AH78:AH94" si="30">IF(AG78=0,"",IFERROR(AG78/AG35,""))</f>
        <v/>
      </c>
      <c r="AI78" s="50" t="e">
        <f t="shared" ref="AI78:AI94" ca="1" si="31">IF(AND($AA78="",AG78=""),"",$AA78-AG78)</f>
        <v>#NAME?</v>
      </c>
      <c r="AJ78" s="399">
        <f t="shared" ref="AJ78:AJ94" ca="1" si="32">IFERROR(AA78/AA$20,0)</f>
        <v>0</v>
      </c>
      <c r="AK78" s="400">
        <f t="shared" ref="AK78:AK94" ca="1" si="33">IFERROR(AD78/AD$20,0)</f>
        <v>0</v>
      </c>
      <c r="AL78" s="401">
        <f t="shared" ref="AL78:AL94" ca="1" si="34">IFERROR(AG78/AG$20,0)</f>
        <v>0</v>
      </c>
      <c r="AM78" s="402">
        <f t="shared" ref="AM78:AM94" ca="1" si="35">+IFERROR(ROUND(($AB78-AE78)*100,2)&amp;" pts.",0)</f>
        <v>0</v>
      </c>
      <c r="AN78" s="403">
        <f t="shared" ref="AN78:AN94" ca="1" si="36">+IFERROR(ROUND(($AB78-AH78)*100,2)&amp;" pts.",0)</f>
        <v>0</v>
      </c>
    </row>
    <row r="79" spans="1:40" x14ac:dyDescent="0.25">
      <c r="A79" s="6" t="s">
        <v>25</v>
      </c>
      <c r="B79" s="7"/>
      <c r="G79" s="1" t="s">
        <v>452</v>
      </c>
      <c r="H79" s="15" t="s">
        <v>426</v>
      </c>
      <c r="I79" s="161" t="e">
        <f ca="1">_xll.EVPRO($B$1,$H79,"STYLE")</f>
        <v>#NAME?</v>
      </c>
      <c r="J79" s="161" t="e">
        <f ca="1">_xll.EVPRO($B$1,$H79,"CALC")</f>
        <v>#NAME?</v>
      </c>
      <c r="K79" s="162"/>
      <c r="L79" s="162"/>
      <c r="M79" s="162"/>
      <c r="N79" s="162" t="str">
        <f t="shared" si="22"/>
        <v>Guest Laundry</v>
      </c>
      <c r="O79" s="21">
        <f t="shared" ref="O79:Z79" si="37">IFERROR(O36-O58,"")</f>
        <v>157.47000000000003</v>
      </c>
      <c r="P79" s="21">
        <f t="shared" si="37"/>
        <v>215.28000000000009</v>
      </c>
      <c r="Q79" s="21">
        <f t="shared" si="37"/>
        <v>-456.7399999999999</v>
      </c>
      <c r="R79" s="21">
        <f t="shared" si="37"/>
        <v>115.34999999999991</v>
      </c>
      <c r="S79" s="21">
        <f t="shared" si="37"/>
        <v>121.30000000000007</v>
      </c>
      <c r="T79" s="21">
        <f t="shared" si="37"/>
        <v>190.02999999999997</v>
      </c>
      <c r="U79" s="21">
        <f t="shared" si="37"/>
        <v>106.13</v>
      </c>
      <c r="V79" s="21">
        <f t="shared" si="37"/>
        <v>46.019999999999982</v>
      </c>
      <c r="W79" s="21">
        <f t="shared" si="37"/>
        <v>108.17000000000002</v>
      </c>
      <c r="X79" s="21">
        <f t="shared" si="37"/>
        <v>35.490000000000009</v>
      </c>
      <c r="Y79" s="21">
        <f t="shared" si="37"/>
        <v>120.86000000000001</v>
      </c>
      <c r="Z79" s="21">
        <f t="shared" si="37"/>
        <v>8.240000000000002</v>
      </c>
      <c r="AA79" s="310" t="e">
        <f t="shared" ca="1" si="24"/>
        <v>#NAME?</v>
      </c>
      <c r="AB79" s="17" t="e">
        <f t="shared" ca="1" si="25"/>
        <v>#NAME?</v>
      </c>
      <c r="AD79" s="21">
        <f t="shared" si="26"/>
        <v>696.94899999999961</v>
      </c>
      <c r="AE79" s="17">
        <f t="shared" si="27"/>
        <v>9.999999999999995E-2</v>
      </c>
      <c r="AF79" s="50" t="e">
        <f t="shared" ca="1" si="28"/>
        <v>#NAME?</v>
      </c>
      <c r="AG79" s="21">
        <f t="shared" si="29"/>
        <v>1236.5200000000004</v>
      </c>
      <c r="AH79" s="17">
        <f t="shared" si="30"/>
        <v>0.13013397320535897</v>
      </c>
      <c r="AI79" s="50" t="e">
        <f t="shared" ca="1" si="31"/>
        <v>#NAME?</v>
      </c>
      <c r="AJ79" s="399">
        <f t="shared" ca="1" si="32"/>
        <v>0</v>
      </c>
      <c r="AK79" s="400">
        <f t="shared" ca="1" si="33"/>
        <v>0</v>
      </c>
      <c r="AL79" s="401">
        <f t="shared" ca="1" si="34"/>
        <v>0</v>
      </c>
      <c r="AM79" s="402">
        <f t="shared" ca="1" si="35"/>
        <v>0</v>
      </c>
      <c r="AN79" s="403">
        <f t="shared" ca="1" si="36"/>
        <v>0</v>
      </c>
    </row>
    <row r="80" spans="1:40" x14ac:dyDescent="0.25">
      <c r="A80" s="6" t="s">
        <v>26</v>
      </c>
      <c r="B80" s="7"/>
      <c r="G80" s="1" t="s">
        <v>453</v>
      </c>
      <c r="H80" s="15" t="s">
        <v>427</v>
      </c>
      <c r="I80" s="161" t="e">
        <f ca="1">_xll.EVPRO($B$1,$H80,"STYLE")</f>
        <v>#NAME?</v>
      </c>
      <c r="J80" s="161" t="e">
        <f ca="1">_xll.EVPRO($B$1,$H80,"CALC")</f>
        <v>#NAME?</v>
      </c>
      <c r="K80" s="162"/>
      <c r="L80" s="162"/>
      <c r="M80" s="162"/>
      <c r="N80" s="162" t="str">
        <f t="shared" si="22"/>
        <v>In Room Fax</v>
      </c>
      <c r="O80" s="21">
        <f t="shared" ref="O80:Z80" si="38">IFERROR(O37-O59,"")</f>
        <v>0</v>
      </c>
      <c r="P80" s="21">
        <f t="shared" si="38"/>
        <v>0</v>
      </c>
      <c r="Q80" s="21">
        <f t="shared" si="38"/>
        <v>0</v>
      </c>
      <c r="R80" s="21">
        <f t="shared" si="38"/>
        <v>0</v>
      </c>
      <c r="S80" s="21">
        <f t="shared" si="38"/>
        <v>0</v>
      </c>
      <c r="T80" s="21">
        <f t="shared" si="38"/>
        <v>0</v>
      </c>
      <c r="U80" s="21">
        <f t="shared" si="38"/>
        <v>0</v>
      </c>
      <c r="V80" s="21">
        <f t="shared" si="38"/>
        <v>0</v>
      </c>
      <c r="W80" s="21">
        <f t="shared" si="38"/>
        <v>0</v>
      </c>
      <c r="X80" s="21">
        <f t="shared" si="38"/>
        <v>0</v>
      </c>
      <c r="Y80" s="21">
        <f t="shared" si="38"/>
        <v>0</v>
      </c>
      <c r="Z80" s="21">
        <f t="shared" si="38"/>
        <v>0</v>
      </c>
      <c r="AA80" s="310" t="e">
        <f t="shared" ca="1" si="24"/>
        <v>#NAME?</v>
      </c>
      <c r="AB80" s="17" t="e">
        <f t="shared" ca="1" si="25"/>
        <v>#NAME?</v>
      </c>
      <c r="AD80" s="21">
        <f t="shared" si="26"/>
        <v>0</v>
      </c>
      <c r="AE80" s="17" t="str">
        <f t="shared" si="27"/>
        <v/>
      </c>
      <c r="AF80" s="50" t="e">
        <f t="shared" ca="1" si="28"/>
        <v>#NAME?</v>
      </c>
      <c r="AG80" s="21">
        <f t="shared" si="29"/>
        <v>0</v>
      </c>
      <c r="AH80" s="17" t="str">
        <f t="shared" si="30"/>
        <v/>
      </c>
      <c r="AI80" s="50" t="e">
        <f t="shared" ca="1" si="31"/>
        <v>#NAME?</v>
      </c>
      <c r="AJ80" s="399">
        <f t="shared" ca="1" si="32"/>
        <v>0</v>
      </c>
      <c r="AK80" s="400">
        <f t="shared" ca="1" si="33"/>
        <v>0</v>
      </c>
      <c r="AL80" s="401">
        <f t="shared" ca="1" si="34"/>
        <v>0</v>
      </c>
      <c r="AM80" s="402">
        <f t="shared" ca="1" si="35"/>
        <v>0</v>
      </c>
      <c r="AN80" s="403">
        <f t="shared" ca="1" si="36"/>
        <v>0</v>
      </c>
    </row>
    <row r="81" spans="1:40" x14ac:dyDescent="0.25">
      <c r="A81" s="6" t="s">
        <v>27</v>
      </c>
      <c r="B81" s="7"/>
      <c r="G81" s="1" t="s">
        <v>454</v>
      </c>
      <c r="H81" s="15" t="s">
        <v>428</v>
      </c>
      <c r="I81" s="161" t="e">
        <f ca="1">_xll.EVPRO($B$1,$H81,"STYLE")</f>
        <v>#NAME?</v>
      </c>
      <c r="J81" s="161" t="e">
        <f ca="1">_xll.EVPRO($B$1,$H81,"CALC")</f>
        <v>#NAME?</v>
      </c>
      <c r="K81" s="162"/>
      <c r="L81" s="162"/>
      <c r="M81" s="162"/>
      <c r="N81" s="162" t="str">
        <f t="shared" si="22"/>
        <v>In Room Items</v>
      </c>
      <c r="O81" s="21">
        <f t="shared" ref="O81:Z81" si="39">IFERROR(O38-O60,"")</f>
        <v>1075</v>
      </c>
      <c r="P81" s="21">
        <f t="shared" si="39"/>
        <v>815</v>
      </c>
      <c r="Q81" s="21">
        <f t="shared" si="39"/>
        <v>805</v>
      </c>
      <c r="R81" s="21">
        <f t="shared" si="39"/>
        <v>805</v>
      </c>
      <c r="S81" s="21">
        <f t="shared" si="39"/>
        <v>665</v>
      </c>
      <c r="T81" s="21">
        <f t="shared" si="39"/>
        <v>750</v>
      </c>
      <c r="U81" s="21">
        <f t="shared" si="39"/>
        <v>455</v>
      </c>
      <c r="V81" s="21">
        <f t="shared" si="39"/>
        <v>560</v>
      </c>
      <c r="W81" s="21">
        <f t="shared" si="39"/>
        <v>270</v>
      </c>
      <c r="X81" s="21">
        <f t="shared" si="39"/>
        <v>930</v>
      </c>
      <c r="Y81" s="21">
        <f t="shared" si="39"/>
        <v>818</v>
      </c>
      <c r="Z81" s="21">
        <f t="shared" si="39"/>
        <v>-440.06</v>
      </c>
      <c r="AA81" s="310" t="e">
        <f t="shared" ca="1" si="24"/>
        <v>#NAME?</v>
      </c>
      <c r="AB81" s="17" t="e">
        <f t="shared" ca="1" si="25"/>
        <v>#NAME?</v>
      </c>
      <c r="AD81" s="21">
        <f t="shared" si="26"/>
        <v>11889.13</v>
      </c>
      <c r="AE81" s="17">
        <f t="shared" si="27"/>
        <v>1</v>
      </c>
      <c r="AF81" s="50" t="e">
        <f t="shared" ca="1" si="28"/>
        <v>#NAME?</v>
      </c>
      <c r="AG81" s="21">
        <f t="shared" si="29"/>
        <v>12587.32</v>
      </c>
      <c r="AH81" s="17">
        <f t="shared" si="30"/>
        <v>1</v>
      </c>
      <c r="AI81" s="50" t="e">
        <f t="shared" ca="1" si="31"/>
        <v>#NAME?</v>
      </c>
      <c r="AJ81" s="399">
        <f t="shared" ca="1" si="32"/>
        <v>0</v>
      </c>
      <c r="AK81" s="400">
        <f t="shared" ca="1" si="33"/>
        <v>0</v>
      </c>
      <c r="AL81" s="401">
        <f t="shared" ca="1" si="34"/>
        <v>0</v>
      </c>
      <c r="AM81" s="402">
        <f t="shared" ca="1" si="35"/>
        <v>0</v>
      </c>
      <c r="AN81" s="403">
        <f t="shared" ca="1" si="36"/>
        <v>0</v>
      </c>
    </row>
    <row r="82" spans="1:40" x14ac:dyDescent="0.25">
      <c r="A82" s="6" t="s">
        <v>28</v>
      </c>
      <c r="B82" s="7"/>
      <c r="G82" s="1" t="s">
        <v>455</v>
      </c>
      <c r="H82" s="15" t="s">
        <v>429</v>
      </c>
      <c r="I82" s="161" t="e">
        <f ca="1">_xll.EVPRO($B$1,$H82,"STYLE")</f>
        <v>#NAME?</v>
      </c>
      <c r="J82" s="161" t="e">
        <f ca="1">_xll.EVPRO($B$1,$H82,"CALC")</f>
        <v>#NAME?</v>
      </c>
      <c r="K82" s="162"/>
      <c r="L82" s="162"/>
      <c r="M82" s="162"/>
      <c r="N82" s="162" t="str">
        <f t="shared" si="22"/>
        <v>Massage</v>
      </c>
      <c r="O82" s="21">
        <f t="shared" ref="O82:Z82" si="40">IFERROR(O39-O61,"")</f>
        <v>0</v>
      </c>
      <c r="P82" s="21">
        <f t="shared" si="40"/>
        <v>0</v>
      </c>
      <c r="Q82" s="21">
        <f t="shared" si="40"/>
        <v>0</v>
      </c>
      <c r="R82" s="21">
        <f t="shared" si="40"/>
        <v>0</v>
      </c>
      <c r="S82" s="21">
        <f t="shared" si="40"/>
        <v>0</v>
      </c>
      <c r="T82" s="21">
        <f t="shared" si="40"/>
        <v>0</v>
      </c>
      <c r="U82" s="21">
        <f t="shared" si="40"/>
        <v>0</v>
      </c>
      <c r="V82" s="21">
        <f t="shared" si="40"/>
        <v>0</v>
      </c>
      <c r="W82" s="21">
        <f t="shared" si="40"/>
        <v>0</v>
      </c>
      <c r="X82" s="21">
        <f t="shared" si="40"/>
        <v>0</v>
      </c>
      <c r="Y82" s="21">
        <f t="shared" si="40"/>
        <v>0</v>
      </c>
      <c r="Z82" s="21">
        <f t="shared" si="40"/>
        <v>0</v>
      </c>
      <c r="AA82" s="310" t="e">
        <f t="shared" ca="1" si="24"/>
        <v>#NAME?</v>
      </c>
      <c r="AB82" s="17" t="e">
        <f t="shared" ca="1" si="25"/>
        <v>#NAME?</v>
      </c>
      <c r="AD82" s="21">
        <f t="shared" si="26"/>
        <v>0</v>
      </c>
      <c r="AE82" s="17" t="str">
        <f t="shared" si="27"/>
        <v/>
      </c>
      <c r="AF82" s="50" t="e">
        <f t="shared" ca="1" si="28"/>
        <v>#NAME?</v>
      </c>
      <c r="AG82" s="21">
        <f t="shared" si="29"/>
        <v>0</v>
      </c>
      <c r="AH82" s="17" t="str">
        <f t="shared" si="30"/>
        <v/>
      </c>
      <c r="AI82" s="50" t="e">
        <f t="shared" ca="1" si="31"/>
        <v>#NAME?</v>
      </c>
      <c r="AJ82" s="399">
        <f t="shared" ca="1" si="32"/>
        <v>0</v>
      </c>
      <c r="AK82" s="400">
        <f t="shared" ca="1" si="33"/>
        <v>0</v>
      </c>
      <c r="AL82" s="401">
        <f t="shared" ca="1" si="34"/>
        <v>0</v>
      </c>
      <c r="AM82" s="402">
        <f t="shared" ca="1" si="35"/>
        <v>0</v>
      </c>
      <c r="AN82" s="403">
        <f t="shared" ca="1" si="36"/>
        <v>0</v>
      </c>
    </row>
    <row r="83" spans="1:40" x14ac:dyDescent="0.25">
      <c r="A83" s="6" t="s">
        <v>29</v>
      </c>
      <c r="B83" s="7"/>
      <c r="G83" s="1" t="s">
        <v>487</v>
      </c>
      <c r="H83" s="15" t="s">
        <v>430</v>
      </c>
      <c r="I83" s="161" t="e">
        <f ca="1">_xll.EVPRO($B$1,$H83,"STYLE")</f>
        <v>#NAME?</v>
      </c>
      <c r="J83" s="161" t="e">
        <f ca="1">_xll.EVPRO($B$1,$H83,"CALC")</f>
        <v>#NAME?</v>
      </c>
      <c r="K83" s="162"/>
      <c r="L83" s="162"/>
      <c r="M83" s="162"/>
      <c r="N83" s="162" t="str">
        <f t="shared" si="22"/>
        <v>Gym Pass</v>
      </c>
      <c r="O83" s="21">
        <f t="shared" ref="O83:Z83" si="41">IFERROR(O40-O62,"")</f>
        <v>0</v>
      </c>
      <c r="P83" s="21">
        <f t="shared" si="41"/>
        <v>0</v>
      </c>
      <c r="Q83" s="21">
        <f t="shared" si="41"/>
        <v>0</v>
      </c>
      <c r="R83" s="21">
        <f t="shared" si="41"/>
        <v>0</v>
      </c>
      <c r="S83" s="21">
        <f t="shared" si="41"/>
        <v>0</v>
      </c>
      <c r="T83" s="21">
        <f t="shared" si="41"/>
        <v>0</v>
      </c>
      <c r="U83" s="21">
        <f t="shared" si="41"/>
        <v>0</v>
      </c>
      <c r="V83" s="21">
        <f t="shared" si="41"/>
        <v>0</v>
      </c>
      <c r="W83" s="21">
        <f t="shared" si="41"/>
        <v>0</v>
      </c>
      <c r="X83" s="21">
        <f t="shared" si="41"/>
        <v>0</v>
      </c>
      <c r="Y83" s="21">
        <f t="shared" si="41"/>
        <v>0</v>
      </c>
      <c r="Z83" s="21">
        <f t="shared" si="41"/>
        <v>0</v>
      </c>
      <c r="AA83" s="310" t="e">
        <f t="shared" ca="1" si="24"/>
        <v>#NAME?</v>
      </c>
      <c r="AB83" s="17" t="e">
        <f t="shared" ca="1" si="25"/>
        <v>#NAME?</v>
      </c>
      <c r="AD83" s="21">
        <f t="shared" si="26"/>
        <v>0</v>
      </c>
      <c r="AE83" s="17" t="str">
        <f t="shared" si="27"/>
        <v/>
      </c>
      <c r="AF83" s="50" t="e">
        <f t="shared" ca="1" si="28"/>
        <v>#NAME?</v>
      </c>
      <c r="AG83" s="21">
        <f t="shared" si="29"/>
        <v>0</v>
      </c>
      <c r="AH83" s="17" t="str">
        <f t="shared" si="30"/>
        <v/>
      </c>
      <c r="AI83" s="50" t="e">
        <f t="shared" ca="1" si="31"/>
        <v>#NAME?</v>
      </c>
      <c r="AJ83" s="399">
        <f t="shared" ca="1" si="32"/>
        <v>0</v>
      </c>
      <c r="AK83" s="400">
        <f t="shared" ca="1" si="33"/>
        <v>0</v>
      </c>
      <c r="AL83" s="401">
        <f t="shared" ca="1" si="34"/>
        <v>0</v>
      </c>
      <c r="AM83" s="402">
        <f t="shared" ca="1" si="35"/>
        <v>0</v>
      </c>
      <c r="AN83" s="403">
        <f t="shared" ca="1" si="36"/>
        <v>0</v>
      </c>
    </row>
    <row r="84" spans="1:40" x14ac:dyDescent="0.25">
      <c r="A84" s="6" t="s">
        <v>30</v>
      </c>
      <c r="B84" s="7" t="s">
        <v>78</v>
      </c>
      <c r="G84" s="1" t="s">
        <v>488</v>
      </c>
      <c r="H84" s="15" t="s">
        <v>475</v>
      </c>
      <c r="I84" s="161" t="e">
        <f ca="1">_xll.EVPRO($B$1,$H84,"STYLE")</f>
        <v>#NAME?</v>
      </c>
      <c r="J84" s="161" t="e">
        <f ca="1">_xll.EVPRO($B$1,$H84,"CALC")</f>
        <v>#NAME?</v>
      </c>
      <c r="K84" s="162"/>
      <c r="L84" s="162"/>
      <c r="M84" s="162"/>
      <c r="N84" s="162" t="str">
        <f t="shared" si="22"/>
        <v>Shared Facilities &amp; Services</v>
      </c>
      <c r="O84" s="21">
        <f t="shared" ref="O84:Z84" si="42">IFERROR(O41-O63,"")</f>
        <v>0</v>
      </c>
      <c r="P84" s="21">
        <f t="shared" si="42"/>
        <v>0</v>
      </c>
      <c r="Q84" s="21">
        <f t="shared" si="42"/>
        <v>0</v>
      </c>
      <c r="R84" s="21">
        <f t="shared" si="42"/>
        <v>0</v>
      </c>
      <c r="S84" s="21">
        <f t="shared" si="42"/>
        <v>0</v>
      </c>
      <c r="T84" s="21">
        <f t="shared" si="42"/>
        <v>0</v>
      </c>
      <c r="U84" s="21">
        <f t="shared" si="42"/>
        <v>0</v>
      </c>
      <c r="V84" s="21">
        <f t="shared" si="42"/>
        <v>0</v>
      </c>
      <c r="W84" s="21">
        <f t="shared" si="42"/>
        <v>0</v>
      </c>
      <c r="X84" s="21">
        <f t="shared" si="42"/>
        <v>0</v>
      </c>
      <c r="Y84" s="21">
        <f t="shared" si="42"/>
        <v>0</v>
      </c>
      <c r="Z84" s="21">
        <f t="shared" si="42"/>
        <v>0</v>
      </c>
      <c r="AA84" s="310" t="e">
        <f t="shared" ca="1" si="24"/>
        <v>#NAME?</v>
      </c>
      <c r="AB84" s="17" t="e">
        <f t="shared" ca="1" si="25"/>
        <v>#NAME?</v>
      </c>
      <c r="AD84" s="21">
        <f t="shared" si="26"/>
        <v>0</v>
      </c>
      <c r="AE84" s="17" t="str">
        <f t="shared" si="27"/>
        <v/>
      </c>
      <c r="AF84" s="50" t="e">
        <f t="shared" ca="1" si="28"/>
        <v>#NAME?</v>
      </c>
      <c r="AG84" s="21">
        <f t="shared" si="29"/>
        <v>0</v>
      </c>
      <c r="AH84" s="17" t="str">
        <f t="shared" si="30"/>
        <v/>
      </c>
      <c r="AI84" s="50" t="e">
        <f t="shared" ca="1" si="31"/>
        <v>#NAME?</v>
      </c>
      <c r="AJ84" s="399">
        <f t="shared" ca="1" si="32"/>
        <v>0</v>
      </c>
      <c r="AK84" s="400">
        <f t="shared" ca="1" si="33"/>
        <v>0</v>
      </c>
      <c r="AL84" s="401">
        <f t="shared" ca="1" si="34"/>
        <v>0</v>
      </c>
      <c r="AM84" s="402">
        <f t="shared" ca="1" si="35"/>
        <v>0</v>
      </c>
      <c r="AN84" s="403">
        <f t="shared" ca="1" si="36"/>
        <v>0</v>
      </c>
    </row>
    <row r="85" spans="1:40" x14ac:dyDescent="0.25">
      <c r="A85" s="6" t="s">
        <v>31</v>
      </c>
      <c r="B85" s="7" t="s">
        <v>78</v>
      </c>
      <c r="G85" s="1" t="s">
        <v>489</v>
      </c>
      <c r="H85" s="15" t="s">
        <v>476</v>
      </c>
      <c r="I85" s="161" t="e">
        <f ca="1">_xll.EVPRO($B$1,$H85,"STYLE")</f>
        <v>#NAME?</v>
      </c>
      <c r="J85" s="161" t="e">
        <f ca="1">_xll.EVPRO($B$1,$H85,"CALC")</f>
        <v>#NAME?</v>
      </c>
      <c r="K85" s="162"/>
      <c r="L85" s="162"/>
      <c r="M85" s="162"/>
      <c r="N85" s="162" t="str">
        <f t="shared" si="22"/>
        <v>Retail Kiosk</v>
      </c>
      <c r="O85" s="21">
        <f t="shared" ref="O85:Z85" si="43">IFERROR(O42-O64,"")</f>
        <v>0</v>
      </c>
      <c r="P85" s="21">
        <f t="shared" si="43"/>
        <v>0</v>
      </c>
      <c r="Q85" s="21">
        <f t="shared" si="43"/>
        <v>0</v>
      </c>
      <c r="R85" s="21">
        <f t="shared" si="43"/>
        <v>0</v>
      </c>
      <c r="S85" s="21">
        <f t="shared" si="43"/>
        <v>0</v>
      </c>
      <c r="T85" s="21">
        <f t="shared" si="43"/>
        <v>0</v>
      </c>
      <c r="U85" s="21">
        <f t="shared" si="43"/>
        <v>0</v>
      </c>
      <c r="V85" s="21">
        <f t="shared" si="43"/>
        <v>0</v>
      </c>
      <c r="W85" s="21">
        <f t="shared" si="43"/>
        <v>0</v>
      </c>
      <c r="X85" s="21">
        <f t="shared" si="43"/>
        <v>0</v>
      </c>
      <c r="Y85" s="21">
        <f t="shared" si="43"/>
        <v>0</v>
      </c>
      <c r="Z85" s="21">
        <f t="shared" si="43"/>
        <v>0</v>
      </c>
      <c r="AA85" s="310" t="e">
        <f t="shared" ca="1" si="24"/>
        <v>#NAME?</v>
      </c>
      <c r="AB85" s="17" t="e">
        <f t="shared" ca="1" si="25"/>
        <v>#NAME?</v>
      </c>
      <c r="AD85" s="21">
        <f t="shared" si="26"/>
        <v>0</v>
      </c>
      <c r="AE85" s="17" t="str">
        <f t="shared" si="27"/>
        <v/>
      </c>
      <c r="AF85" s="50" t="e">
        <f t="shared" ca="1" si="28"/>
        <v>#NAME?</v>
      </c>
      <c r="AG85" s="21">
        <f t="shared" si="29"/>
        <v>0</v>
      </c>
      <c r="AH85" s="17" t="str">
        <f t="shared" si="30"/>
        <v/>
      </c>
      <c r="AI85" s="50" t="e">
        <f t="shared" ca="1" si="31"/>
        <v>#NAME?</v>
      </c>
      <c r="AJ85" s="399">
        <f t="shared" ca="1" si="32"/>
        <v>0</v>
      </c>
      <c r="AK85" s="400">
        <f t="shared" ca="1" si="33"/>
        <v>0</v>
      </c>
      <c r="AL85" s="401">
        <f t="shared" ca="1" si="34"/>
        <v>0</v>
      </c>
      <c r="AM85" s="402">
        <f t="shared" ca="1" si="35"/>
        <v>0</v>
      </c>
      <c r="AN85" s="403">
        <f t="shared" ca="1" si="36"/>
        <v>0</v>
      </c>
    </row>
    <row r="86" spans="1:40" x14ac:dyDescent="0.25">
      <c r="A86" s="6" t="s">
        <v>32</v>
      </c>
      <c r="B86" s="7"/>
      <c r="G86" s="1" t="s">
        <v>490</v>
      </c>
      <c r="H86" s="15" t="s">
        <v>477</v>
      </c>
      <c r="I86" s="161" t="e">
        <f ca="1">_xll.EVPRO($B$1,$H86,"STYLE")</f>
        <v>#NAME?</v>
      </c>
      <c r="J86" s="161" t="e">
        <f ca="1">_xll.EVPRO($B$1,$H86,"CALC")</f>
        <v>#NAME?</v>
      </c>
      <c r="K86" s="162"/>
      <c r="L86" s="162"/>
      <c r="M86" s="162"/>
      <c r="N86" s="162" t="str">
        <f t="shared" si="22"/>
        <v>Vending Machines</v>
      </c>
      <c r="O86" s="21">
        <f t="shared" ref="O86:Z86" si="44">IFERROR(O43-O65,"")</f>
        <v>0</v>
      </c>
      <c r="P86" s="21">
        <f t="shared" si="44"/>
        <v>0</v>
      </c>
      <c r="Q86" s="21">
        <f t="shared" si="44"/>
        <v>0</v>
      </c>
      <c r="R86" s="21">
        <f t="shared" si="44"/>
        <v>0</v>
      </c>
      <c r="S86" s="21">
        <f t="shared" si="44"/>
        <v>0</v>
      </c>
      <c r="T86" s="21">
        <f t="shared" si="44"/>
        <v>0</v>
      </c>
      <c r="U86" s="21">
        <f t="shared" si="44"/>
        <v>0</v>
      </c>
      <c r="V86" s="21">
        <f t="shared" si="44"/>
        <v>0</v>
      </c>
      <c r="W86" s="21">
        <f t="shared" si="44"/>
        <v>0</v>
      </c>
      <c r="X86" s="21">
        <f t="shared" si="44"/>
        <v>0</v>
      </c>
      <c r="Y86" s="21">
        <f t="shared" si="44"/>
        <v>0</v>
      </c>
      <c r="Z86" s="21">
        <f t="shared" si="44"/>
        <v>0</v>
      </c>
      <c r="AA86" s="310" t="e">
        <f t="shared" ca="1" si="24"/>
        <v>#NAME?</v>
      </c>
      <c r="AB86" s="17" t="e">
        <f t="shared" ca="1" si="25"/>
        <v>#NAME?</v>
      </c>
      <c r="AD86" s="21">
        <f t="shared" si="26"/>
        <v>0</v>
      </c>
      <c r="AE86" s="17" t="str">
        <f t="shared" si="27"/>
        <v/>
      </c>
      <c r="AF86" s="50" t="e">
        <f t="shared" ca="1" si="28"/>
        <v>#NAME?</v>
      </c>
      <c r="AG86" s="21">
        <f t="shared" si="29"/>
        <v>0</v>
      </c>
      <c r="AH86" s="17" t="str">
        <f t="shared" si="30"/>
        <v/>
      </c>
      <c r="AI86" s="50" t="e">
        <f t="shared" ca="1" si="31"/>
        <v>#NAME?</v>
      </c>
      <c r="AJ86" s="399">
        <f t="shared" ca="1" si="32"/>
        <v>0</v>
      </c>
      <c r="AK86" s="400">
        <f t="shared" ca="1" si="33"/>
        <v>0</v>
      </c>
      <c r="AL86" s="401">
        <f t="shared" ca="1" si="34"/>
        <v>0</v>
      </c>
      <c r="AM86" s="402">
        <f t="shared" ca="1" si="35"/>
        <v>0</v>
      </c>
      <c r="AN86" s="403">
        <f t="shared" ca="1" si="36"/>
        <v>0</v>
      </c>
    </row>
    <row r="87" spans="1:40" x14ac:dyDescent="0.25">
      <c r="A87" s="6" t="s">
        <v>33</v>
      </c>
      <c r="B87" s="7"/>
      <c r="G87" s="1" t="s">
        <v>491</v>
      </c>
      <c r="H87" s="15" t="s">
        <v>478</v>
      </c>
      <c r="I87" s="161" t="e">
        <f ca="1">_xll.EVPRO($B$1,$H87,"STYLE")</f>
        <v>#NAME?</v>
      </c>
      <c r="J87" s="161" t="e">
        <f ca="1">_xll.EVPRO($B$1,$H87,"CALC")</f>
        <v>#NAME?</v>
      </c>
      <c r="K87" s="162"/>
      <c r="L87" s="162"/>
      <c r="M87" s="162"/>
      <c r="N87" s="162" t="str">
        <f t="shared" si="22"/>
        <v>Laundry Machines</v>
      </c>
      <c r="O87" s="21">
        <f t="shared" ref="O87:Z87" si="45">IFERROR(O44-O66,"")</f>
        <v>0</v>
      </c>
      <c r="P87" s="21">
        <f t="shared" si="45"/>
        <v>0</v>
      </c>
      <c r="Q87" s="21">
        <f t="shared" si="45"/>
        <v>0</v>
      </c>
      <c r="R87" s="21">
        <f t="shared" si="45"/>
        <v>0</v>
      </c>
      <c r="S87" s="21">
        <f t="shared" si="45"/>
        <v>0</v>
      </c>
      <c r="T87" s="21">
        <f t="shared" si="45"/>
        <v>0</v>
      </c>
      <c r="U87" s="21">
        <f t="shared" si="45"/>
        <v>0</v>
      </c>
      <c r="V87" s="21">
        <f t="shared" si="45"/>
        <v>0</v>
      </c>
      <c r="W87" s="21">
        <f t="shared" si="45"/>
        <v>0</v>
      </c>
      <c r="X87" s="21">
        <f t="shared" si="45"/>
        <v>0</v>
      </c>
      <c r="Y87" s="21">
        <f t="shared" si="45"/>
        <v>0</v>
      </c>
      <c r="Z87" s="21">
        <f t="shared" si="45"/>
        <v>0</v>
      </c>
      <c r="AA87" s="310" t="e">
        <f t="shared" ca="1" si="24"/>
        <v>#NAME?</v>
      </c>
      <c r="AB87" s="17" t="e">
        <f t="shared" ca="1" si="25"/>
        <v>#NAME?</v>
      </c>
      <c r="AD87" s="21">
        <f t="shared" si="26"/>
        <v>0</v>
      </c>
      <c r="AE87" s="17" t="str">
        <f t="shared" si="27"/>
        <v/>
      </c>
      <c r="AF87" s="50" t="e">
        <f t="shared" ca="1" si="28"/>
        <v>#NAME?</v>
      </c>
      <c r="AG87" s="21">
        <f t="shared" si="29"/>
        <v>0</v>
      </c>
      <c r="AH87" s="17" t="str">
        <f t="shared" si="30"/>
        <v/>
      </c>
      <c r="AI87" s="50" t="e">
        <f t="shared" ca="1" si="31"/>
        <v>#NAME?</v>
      </c>
      <c r="AJ87" s="399">
        <f t="shared" ca="1" si="32"/>
        <v>0</v>
      </c>
      <c r="AK87" s="400">
        <f t="shared" ca="1" si="33"/>
        <v>0</v>
      </c>
      <c r="AL87" s="401">
        <f t="shared" ca="1" si="34"/>
        <v>0</v>
      </c>
      <c r="AM87" s="402">
        <f t="shared" ca="1" si="35"/>
        <v>0</v>
      </c>
      <c r="AN87" s="403">
        <f t="shared" ca="1" si="36"/>
        <v>0</v>
      </c>
    </row>
    <row r="88" spans="1:40" x14ac:dyDescent="0.25">
      <c r="A88" s="6" t="s">
        <v>34</v>
      </c>
      <c r="B88" s="7"/>
      <c r="G88" s="1" t="s">
        <v>492</v>
      </c>
      <c r="H88" s="15" t="s">
        <v>479</v>
      </c>
      <c r="I88" s="161" t="e">
        <f ca="1">_xll.EVPRO($B$1,$H88,"STYLE")</f>
        <v>#NAME?</v>
      </c>
      <c r="J88" s="161" t="e">
        <f ca="1">_xll.EVPRO($B$1,$H88,"CALC")</f>
        <v>#NAME?</v>
      </c>
      <c r="K88" s="162"/>
      <c r="L88" s="162"/>
      <c r="M88" s="162"/>
      <c r="N88" s="162" t="str">
        <f t="shared" si="22"/>
        <v>Occasional F&amp;B</v>
      </c>
      <c r="O88" s="21">
        <f t="shared" ref="O88:Z88" si="46">IFERROR(O45-O67,"")</f>
        <v>0</v>
      </c>
      <c r="P88" s="21">
        <f t="shared" si="46"/>
        <v>0</v>
      </c>
      <c r="Q88" s="21">
        <f t="shared" si="46"/>
        <v>0</v>
      </c>
      <c r="R88" s="21">
        <f t="shared" si="46"/>
        <v>0</v>
      </c>
      <c r="S88" s="21">
        <f t="shared" si="46"/>
        <v>0</v>
      </c>
      <c r="T88" s="21">
        <f t="shared" si="46"/>
        <v>0</v>
      </c>
      <c r="U88" s="21">
        <f t="shared" si="46"/>
        <v>0</v>
      </c>
      <c r="V88" s="21">
        <f t="shared" si="46"/>
        <v>0</v>
      </c>
      <c r="W88" s="21">
        <f t="shared" si="46"/>
        <v>0</v>
      </c>
      <c r="X88" s="21">
        <f t="shared" si="46"/>
        <v>0</v>
      </c>
      <c r="Y88" s="21">
        <f t="shared" si="46"/>
        <v>0</v>
      </c>
      <c r="Z88" s="21">
        <f t="shared" si="46"/>
        <v>0</v>
      </c>
      <c r="AA88" s="310" t="e">
        <f t="shared" ca="1" si="24"/>
        <v>#NAME?</v>
      </c>
      <c r="AB88" s="17" t="e">
        <f t="shared" ca="1" si="25"/>
        <v>#NAME?</v>
      </c>
      <c r="AD88" s="21">
        <f t="shared" si="26"/>
        <v>0</v>
      </c>
      <c r="AE88" s="17" t="str">
        <f t="shared" si="27"/>
        <v/>
      </c>
      <c r="AF88" s="50" t="e">
        <f t="shared" ca="1" si="28"/>
        <v>#NAME?</v>
      </c>
      <c r="AG88" s="21">
        <f t="shared" si="29"/>
        <v>0</v>
      </c>
      <c r="AH88" s="17" t="str">
        <f t="shared" si="30"/>
        <v/>
      </c>
      <c r="AI88" s="50" t="e">
        <f t="shared" ca="1" si="31"/>
        <v>#NAME?</v>
      </c>
      <c r="AJ88" s="399">
        <f t="shared" ca="1" si="32"/>
        <v>0</v>
      </c>
      <c r="AK88" s="400">
        <f t="shared" ca="1" si="33"/>
        <v>0</v>
      </c>
      <c r="AL88" s="401">
        <f t="shared" ca="1" si="34"/>
        <v>0</v>
      </c>
      <c r="AM88" s="402">
        <f t="shared" ca="1" si="35"/>
        <v>0</v>
      </c>
      <c r="AN88" s="403">
        <f t="shared" ca="1" si="36"/>
        <v>0</v>
      </c>
    </row>
    <row r="89" spans="1:40" x14ac:dyDescent="0.25">
      <c r="A89" s="6" t="s">
        <v>35</v>
      </c>
      <c r="B89" s="7"/>
      <c r="G89" s="1" t="s">
        <v>456</v>
      </c>
      <c r="H89" s="15" t="s">
        <v>431</v>
      </c>
      <c r="I89" s="161" t="e">
        <f ca="1">_xll.EVPRO($B$1,$H89,"STYLE")</f>
        <v>#NAME?</v>
      </c>
      <c r="J89" s="161" t="e">
        <f ca="1">_xll.EVPRO($B$1,$H89,"CALC")</f>
        <v>#NAME?</v>
      </c>
      <c r="K89" s="162"/>
      <c r="L89" s="162"/>
      <c r="M89" s="162"/>
      <c r="N89" s="162" t="str">
        <f t="shared" si="22"/>
        <v>Other 1</v>
      </c>
      <c r="O89" s="21">
        <f t="shared" ref="O89:Z89" si="47">IFERROR(O46-O68,"")</f>
        <v>0</v>
      </c>
      <c r="P89" s="21">
        <f t="shared" si="47"/>
        <v>0</v>
      </c>
      <c r="Q89" s="21">
        <f t="shared" si="47"/>
        <v>0</v>
      </c>
      <c r="R89" s="21">
        <f t="shared" si="47"/>
        <v>0</v>
      </c>
      <c r="S89" s="21">
        <f t="shared" si="47"/>
        <v>0</v>
      </c>
      <c r="T89" s="21">
        <f t="shared" si="47"/>
        <v>0</v>
      </c>
      <c r="U89" s="21">
        <f t="shared" si="47"/>
        <v>0</v>
      </c>
      <c r="V89" s="21">
        <f t="shared" si="47"/>
        <v>0</v>
      </c>
      <c r="W89" s="21">
        <f t="shared" si="47"/>
        <v>0</v>
      </c>
      <c r="X89" s="21">
        <f t="shared" si="47"/>
        <v>0</v>
      </c>
      <c r="Y89" s="21">
        <f t="shared" si="47"/>
        <v>0</v>
      </c>
      <c r="Z89" s="21">
        <f t="shared" si="47"/>
        <v>0</v>
      </c>
      <c r="AA89" s="310" t="e">
        <f t="shared" ca="1" si="24"/>
        <v>#NAME?</v>
      </c>
      <c r="AB89" s="17" t="e">
        <f t="shared" ca="1" si="25"/>
        <v>#NAME?</v>
      </c>
      <c r="AD89" s="21">
        <f t="shared" si="26"/>
        <v>0</v>
      </c>
      <c r="AE89" s="17" t="str">
        <f t="shared" si="27"/>
        <v/>
      </c>
      <c r="AF89" s="50" t="e">
        <f t="shared" ca="1" si="28"/>
        <v>#NAME?</v>
      </c>
      <c r="AG89" s="21">
        <f t="shared" si="29"/>
        <v>0</v>
      </c>
      <c r="AH89" s="17" t="str">
        <f t="shared" si="30"/>
        <v/>
      </c>
      <c r="AI89" s="50" t="e">
        <f t="shared" ca="1" si="31"/>
        <v>#NAME?</v>
      </c>
      <c r="AJ89" s="399">
        <f t="shared" ca="1" si="32"/>
        <v>0</v>
      </c>
      <c r="AK89" s="400">
        <f t="shared" ca="1" si="33"/>
        <v>0</v>
      </c>
      <c r="AL89" s="401">
        <f t="shared" ca="1" si="34"/>
        <v>0</v>
      </c>
      <c r="AM89" s="402">
        <f t="shared" ca="1" si="35"/>
        <v>0</v>
      </c>
      <c r="AN89" s="403">
        <f t="shared" ca="1" si="36"/>
        <v>0</v>
      </c>
    </row>
    <row r="90" spans="1:40" x14ac:dyDescent="0.25">
      <c r="A90" s="6" t="s">
        <v>36</v>
      </c>
      <c r="B90" s="7"/>
      <c r="G90" s="1" t="s">
        <v>457</v>
      </c>
      <c r="H90" s="15" t="s">
        <v>432</v>
      </c>
      <c r="I90" s="161" t="e">
        <f ca="1">_xll.EVPRO($B$1,$H90,"STYLE")</f>
        <v>#NAME?</v>
      </c>
      <c r="J90" s="161" t="e">
        <f ca="1">_xll.EVPRO($B$1,$H90,"CALC")</f>
        <v>#NAME?</v>
      </c>
      <c r="K90" s="162"/>
      <c r="L90" s="162"/>
      <c r="M90" s="162"/>
      <c r="N90" s="162" t="str">
        <f t="shared" si="22"/>
        <v>Other 2</v>
      </c>
      <c r="O90" s="21">
        <f t="shared" ref="O90:Z90" si="48">IFERROR(O47-O69,"")</f>
        <v>0</v>
      </c>
      <c r="P90" s="21">
        <f t="shared" si="48"/>
        <v>0</v>
      </c>
      <c r="Q90" s="21">
        <f t="shared" si="48"/>
        <v>0</v>
      </c>
      <c r="R90" s="21">
        <f t="shared" si="48"/>
        <v>0</v>
      </c>
      <c r="S90" s="21">
        <f t="shared" si="48"/>
        <v>0</v>
      </c>
      <c r="T90" s="21">
        <f t="shared" si="48"/>
        <v>0</v>
      </c>
      <c r="U90" s="21">
        <f t="shared" si="48"/>
        <v>0</v>
      </c>
      <c r="V90" s="21">
        <f t="shared" si="48"/>
        <v>0</v>
      </c>
      <c r="W90" s="21">
        <f t="shared" si="48"/>
        <v>0</v>
      </c>
      <c r="X90" s="21">
        <f t="shared" si="48"/>
        <v>0</v>
      </c>
      <c r="Y90" s="21">
        <f t="shared" si="48"/>
        <v>0</v>
      </c>
      <c r="Z90" s="21">
        <f t="shared" si="48"/>
        <v>0</v>
      </c>
      <c r="AA90" s="310" t="e">
        <f t="shared" ca="1" si="24"/>
        <v>#NAME?</v>
      </c>
      <c r="AB90" s="17" t="e">
        <f t="shared" ca="1" si="25"/>
        <v>#NAME?</v>
      </c>
      <c r="AD90" s="21">
        <f t="shared" si="26"/>
        <v>0</v>
      </c>
      <c r="AE90" s="17" t="str">
        <f t="shared" si="27"/>
        <v/>
      </c>
      <c r="AF90" s="50" t="e">
        <f t="shared" ca="1" si="28"/>
        <v>#NAME?</v>
      </c>
      <c r="AG90" s="21">
        <f t="shared" si="29"/>
        <v>0</v>
      </c>
      <c r="AH90" s="17" t="str">
        <f t="shared" si="30"/>
        <v/>
      </c>
      <c r="AI90" s="50" t="e">
        <f t="shared" ca="1" si="31"/>
        <v>#NAME?</v>
      </c>
      <c r="AJ90" s="399">
        <f t="shared" ca="1" si="32"/>
        <v>0</v>
      </c>
      <c r="AK90" s="400">
        <f t="shared" ca="1" si="33"/>
        <v>0</v>
      </c>
      <c r="AL90" s="401">
        <f t="shared" ca="1" si="34"/>
        <v>0</v>
      </c>
      <c r="AM90" s="402">
        <f t="shared" ca="1" si="35"/>
        <v>0</v>
      </c>
      <c r="AN90" s="403">
        <f t="shared" ca="1" si="36"/>
        <v>0</v>
      </c>
    </row>
    <row r="91" spans="1:40" x14ac:dyDescent="0.25">
      <c r="A91" s="6" t="s">
        <v>37</v>
      </c>
      <c r="B91" s="7"/>
      <c r="G91" s="1" t="s">
        <v>458</v>
      </c>
      <c r="H91" s="15" t="s">
        <v>433</v>
      </c>
      <c r="I91" s="161" t="e">
        <f ca="1">_xll.EVPRO($B$1,$H91,"STYLE")</f>
        <v>#NAME?</v>
      </c>
      <c r="J91" s="161" t="e">
        <f ca="1">_xll.EVPRO($B$1,$H91,"CALC")</f>
        <v>#NAME?</v>
      </c>
      <c r="K91" s="162"/>
      <c r="L91" s="162"/>
      <c r="M91" s="162"/>
      <c r="N91" s="162" t="str">
        <f t="shared" si="22"/>
        <v>Other 3</v>
      </c>
      <c r="O91" s="21">
        <f t="shared" ref="O91:Z91" si="49">IFERROR(O48-O70,"")</f>
        <v>0</v>
      </c>
      <c r="P91" s="21">
        <f t="shared" si="49"/>
        <v>0</v>
      </c>
      <c r="Q91" s="21">
        <f t="shared" si="49"/>
        <v>0</v>
      </c>
      <c r="R91" s="21">
        <f t="shared" si="49"/>
        <v>0</v>
      </c>
      <c r="S91" s="21">
        <f t="shared" si="49"/>
        <v>0</v>
      </c>
      <c r="T91" s="21">
        <f t="shared" si="49"/>
        <v>0</v>
      </c>
      <c r="U91" s="21">
        <f t="shared" si="49"/>
        <v>0</v>
      </c>
      <c r="V91" s="21">
        <f t="shared" si="49"/>
        <v>0</v>
      </c>
      <c r="W91" s="21">
        <f t="shared" si="49"/>
        <v>0</v>
      </c>
      <c r="X91" s="21">
        <f t="shared" si="49"/>
        <v>0</v>
      </c>
      <c r="Y91" s="21">
        <f t="shared" si="49"/>
        <v>0</v>
      </c>
      <c r="Z91" s="21">
        <f t="shared" si="49"/>
        <v>0</v>
      </c>
      <c r="AA91" s="310" t="e">
        <f t="shared" ca="1" si="24"/>
        <v>#NAME?</v>
      </c>
      <c r="AB91" s="17" t="e">
        <f t="shared" ca="1" si="25"/>
        <v>#NAME?</v>
      </c>
      <c r="AD91" s="21">
        <f t="shared" si="26"/>
        <v>0</v>
      </c>
      <c r="AE91" s="17" t="str">
        <f t="shared" si="27"/>
        <v/>
      </c>
      <c r="AF91" s="50" t="e">
        <f t="shared" ca="1" si="28"/>
        <v>#NAME?</v>
      </c>
      <c r="AG91" s="21">
        <f t="shared" si="29"/>
        <v>0</v>
      </c>
      <c r="AH91" s="17" t="str">
        <f t="shared" si="30"/>
        <v/>
      </c>
      <c r="AI91" s="50" t="e">
        <f t="shared" ca="1" si="31"/>
        <v>#NAME?</v>
      </c>
      <c r="AJ91" s="399">
        <f t="shared" ca="1" si="32"/>
        <v>0</v>
      </c>
      <c r="AK91" s="400">
        <f t="shared" ca="1" si="33"/>
        <v>0</v>
      </c>
      <c r="AL91" s="401">
        <f t="shared" ca="1" si="34"/>
        <v>0</v>
      </c>
      <c r="AM91" s="402">
        <f t="shared" ca="1" si="35"/>
        <v>0</v>
      </c>
      <c r="AN91" s="403">
        <f t="shared" ca="1" si="36"/>
        <v>0</v>
      </c>
    </row>
    <row r="92" spans="1:40" x14ac:dyDescent="0.25">
      <c r="A92" s="6" t="s">
        <v>38</v>
      </c>
      <c r="B92" s="7"/>
      <c r="G92" s="1" t="s">
        <v>459</v>
      </c>
      <c r="H92" s="15" t="s">
        <v>434</v>
      </c>
      <c r="I92" s="161" t="e">
        <f ca="1">_xll.EVPRO($B$1,$H92,"STYLE")</f>
        <v>#NAME?</v>
      </c>
      <c r="J92" s="161" t="e">
        <f ca="1">_xll.EVPRO($B$1,$H92,"CALC")</f>
        <v>#NAME?</v>
      </c>
      <c r="K92" s="162"/>
      <c r="L92" s="162"/>
      <c r="M92" s="162"/>
      <c r="N92" s="162" t="str">
        <f t="shared" si="22"/>
        <v>Other 4</v>
      </c>
      <c r="O92" s="21">
        <f t="shared" ref="O92:Z92" si="50">IFERROR(O49-O71,"")</f>
        <v>0</v>
      </c>
      <c r="P92" s="21">
        <f t="shared" si="50"/>
        <v>0</v>
      </c>
      <c r="Q92" s="21">
        <f t="shared" si="50"/>
        <v>0</v>
      </c>
      <c r="R92" s="21">
        <f t="shared" si="50"/>
        <v>0</v>
      </c>
      <c r="S92" s="21">
        <f t="shared" si="50"/>
        <v>0</v>
      </c>
      <c r="T92" s="21">
        <f t="shared" si="50"/>
        <v>0</v>
      </c>
      <c r="U92" s="21">
        <f t="shared" si="50"/>
        <v>0</v>
      </c>
      <c r="V92" s="21">
        <f t="shared" si="50"/>
        <v>0</v>
      </c>
      <c r="W92" s="21">
        <f t="shared" si="50"/>
        <v>0</v>
      </c>
      <c r="X92" s="21">
        <f t="shared" si="50"/>
        <v>0</v>
      </c>
      <c r="Y92" s="21">
        <f t="shared" si="50"/>
        <v>0</v>
      </c>
      <c r="Z92" s="21">
        <f t="shared" si="50"/>
        <v>0</v>
      </c>
      <c r="AA92" s="310" t="e">
        <f t="shared" ca="1" si="24"/>
        <v>#NAME?</v>
      </c>
      <c r="AB92" s="17" t="e">
        <f t="shared" ca="1" si="25"/>
        <v>#NAME?</v>
      </c>
      <c r="AD92" s="21">
        <f t="shared" si="26"/>
        <v>0</v>
      </c>
      <c r="AE92" s="17" t="str">
        <f t="shared" si="27"/>
        <v/>
      </c>
      <c r="AF92" s="50" t="e">
        <f t="shared" ca="1" si="28"/>
        <v>#NAME?</v>
      </c>
      <c r="AG92" s="21">
        <f t="shared" si="29"/>
        <v>0</v>
      </c>
      <c r="AH92" s="17" t="str">
        <f t="shared" si="30"/>
        <v/>
      </c>
      <c r="AI92" s="50" t="e">
        <f t="shared" ca="1" si="31"/>
        <v>#NAME?</v>
      </c>
      <c r="AJ92" s="399">
        <f t="shared" ca="1" si="32"/>
        <v>0</v>
      </c>
      <c r="AK92" s="400">
        <f t="shared" ca="1" si="33"/>
        <v>0</v>
      </c>
      <c r="AL92" s="401">
        <f t="shared" ca="1" si="34"/>
        <v>0</v>
      </c>
      <c r="AM92" s="402">
        <f t="shared" ca="1" si="35"/>
        <v>0</v>
      </c>
      <c r="AN92" s="403">
        <f t="shared" ca="1" si="36"/>
        <v>0</v>
      </c>
    </row>
    <row r="93" spans="1:40" x14ac:dyDescent="0.25">
      <c r="A93" s="6" t="s">
        <v>39</v>
      </c>
      <c r="B93" s="7"/>
      <c r="G93" s="1" t="s">
        <v>460</v>
      </c>
      <c r="H93" s="15" t="s">
        <v>435</v>
      </c>
      <c r="I93" s="161" t="e">
        <f ca="1">_xll.EVPRO($B$1,$H93,"STYLE")</f>
        <v>#NAME?</v>
      </c>
      <c r="J93" s="161" t="e">
        <f ca="1">_xll.EVPRO($B$1,$H93,"CALC")</f>
        <v>#NAME?</v>
      </c>
      <c r="K93" s="162"/>
      <c r="L93" s="162"/>
      <c r="M93" s="162"/>
      <c r="N93" s="162" t="str">
        <f t="shared" si="22"/>
        <v>Other 5</v>
      </c>
      <c r="O93" s="21">
        <f t="shared" ref="O93:Z93" si="51">IFERROR(O50-O72,"")</f>
        <v>0</v>
      </c>
      <c r="P93" s="21">
        <f t="shared" si="51"/>
        <v>0</v>
      </c>
      <c r="Q93" s="21">
        <f t="shared" si="51"/>
        <v>0</v>
      </c>
      <c r="R93" s="21">
        <f t="shared" si="51"/>
        <v>0</v>
      </c>
      <c r="S93" s="21">
        <f t="shared" si="51"/>
        <v>0</v>
      </c>
      <c r="T93" s="21">
        <f t="shared" si="51"/>
        <v>0</v>
      </c>
      <c r="U93" s="21">
        <f t="shared" si="51"/>
        <v>0</v>
      </c>
      <c r="V93" s="21">
        <f t="shared" si="51"/>
        <v>0</v>
      </c>
      <c r="W93" s="21">
        <f t="shared" si="51"/>
        <v>0</v>
      </c>
      <c r="X93" s="21">
        <f t="shared" si="51"/>
        <v>0</v>
      </c>
      <c r="Y93" s="21">
        <f t="shared" si="51"/>
        <v>0</v>
      </c>
      <c r="Z93" s="21">
        <f t="shared" si="51"/>
        <v>0</v>
      </c>
      <c r="AA93" s="310" t="e">
        <f t="shared" ca="1" si="24"/>
        <v>#NAME?</v>
      </c>
      <c r="AB93" s="17" t="e">
        <f t="shared" ca="1" si="25"/>
        <v>#NAME?</v>
      </c>
      <c r="AD93" s="21">
        <f t="shared" si="26"/>
        <v>0</v>
      </c>
      <c r="AE93" s="17" t="str">
        <f t="shared" si="27"/>
        <v/>
      </c>
      <c r="AF93" s="50" t="e">
        <f t="shared" ca="1" si="28"/>
        <v>#NAME?</v>
      </c>
      <c r="AG93" s="21">
        <f t="shared" si="29"/>
        <v>0</v>
      </c>
      <c r="AH93" s="17" t="str">
        <f t="shared" si="30"/>
        <v/>
      </c>
      <c r="AI93" s="50" t="e">
        <f t="shared" ca="1" si="31"/>
        <v>#NAME?</v>
      </c>
      <c r="AJ93" s="399">
        <f t="shared" ca="1" si="32"/>
        <v>0</v>
      </c>
      <c r="AK93" s="400">
        <f t="shared" ca="1" si="33"/>
        <v>0</v>
      </c>
      <c r="AL93" s="401">
        <f t="shared" ca="1" si="34"/>
        <v>0</v>
      </c>
      <c r="AM93" s="402">
        <f t="shared" ca="1" si="35"/>
        <v>0</v>
      </c>
      <c r="AN93" s="403">
        <f t="shared" ca="1" si="36"/>
        <v>0</v>
      </c>
    </row>
    <row r="94" spans="1:40" x14ac:dyDescent="0.25">
      <c r="A94" s="6" t="s">
        <v>40</v>
      </c>
      <c r="B94" s="7"/>
      <c r="G94" s="1" t="s">
        <v>461</v>
      </c>
      <c r="H94" s="15" t="s">
        <v>436</v>
      </c>
      <c r="I94" s="161" t="e">
        <f ca="1">_xll.EVPRO($B$1,$H94,"STYLE")</f>
        <v>#NAME?</v>
      </c>
      <c r="J94" s="161" t="e">
        <f ca="1">_xll.EVPRO($B$1,$H94,"CALC")</f>
        <v>#NAME?</v>
      </c>
      <c r="K94" s="162"/>
      <c r="L94" s="162"/>
      <c r="M94" s="162"/>
      <c r="N94" s="162" t="str">
        <f t="shared" si="22"/>
        <v>Other 6</v>
      </c>
      <c r="O94" s="21">
        <f t="shared" ref="O94:Z94" si="52">IFERROR(O51-O73,"")</f>
        <v>0</v>
      </c>
      <c r="P94" s="21">
        <f t="shared" si="52"/>
        <v>0</v>
      </c>
      <c r="Q94" s="21">
        <f t="shared" si="52"/>
        <v>0</v>
      </c>
      <c r="R94" s="21">
        <f t="shared" si="52"/>
        <v>0</v>
      </c>
      <c r="S94" s="21">
        <f t="shared" si="52"/>
        <v>0</v>
      </c>
      <c r="T94" s="21">
        <f t="shared" si="52"/>
        <v>0</v>
      </c>
      <c r="U94" s="21">
        <f t="shared" si="52"/>
        <v>0</v>
      </c>
      <c r="V94" s="21">
        <f t="shared" si="52"/>
        <v>0</v>
      </c>
      <c r="W94" s="21">
        <f t="shared" si="52"/>
        <v>0</v>
      </c>
      <c r="X94" s="21">
        <f t="shared" si="52"/>
        <v>0</v>
      </c>
      <c r="Y94" s="21">
        <f t="shared" si="52"/>
        <v>0</v>
      </c>
      <c r="Z94" s="21">
        <f t="shared" si="52"/>
        <v>0</v>
      </c>
      <c r="AA94" s="310" t="e">
        <f t="shared" ca="1" si="24"/>
        <v>#NAME?</v>
      </c>
      <c r="AB94" s="17" t="e">
        <f t="shared" ca="1" si="25"/>
        <v>#NAME?</v>
      </c>
      <c r="AD94" s="21">
        <f t="shared" si="26"/>
        <v>0</v>
      </c>
      <c r="AE94" s="17" t="str">
        <f t="shared" si="27"/>
        <v/>
      </c>
      <c r="AF94" s="50" t="e">
        <f t="shared" ca="1" si="28"/>
        <v>#NAME?</v>
      </c>
      <c r="AG94" s="21">
        <f t="shared" si="29"/>
        <v>0</v>
      </c>
      <c r="AH94" s="17" t="str">
        <f t="shared" si="30"/>
        <v/>
      </c>
      <c r="AI94" s="50" t="e">
        <f t="shared" ca="1" si="31"/>
        <v>#NAME?</v>
      </c>
      <c r="AJ94" s="399">
        <f t="shared" ca="1" si="32"/>
        <v>0</v>
      </c>
      <c r="AK94" s="400">
        <f t="shared" ca="1" si="33"/>
        <v>0</v>
      </c>
      <c r="AL94" s="401">
        <f t="shared" ca="1" si="34"/>
        <v>0</v>
      </c>
      <c r="AM94" s="402">
        <f t="shared" ca="1" si="35"/>
        <v>0</v>
      </c>
      <c r="AN94" s="403">
        <f t="shared" ca="1" si="36"/>
        <v>0</v>
      </c>
    </row>
    <row r="95" spans="1:40" x14ac:dyDescent="0.25">
      <c r="A95" s="6" t="s">
        <v>41</v>
      </c>
      <c r="B95" s="7"/>
      <c r="H95" s="15" t="s">
        <v>480</v>
      </c>
      <c r="I95" s="161" t="e">
        <f ca="1">_xll.EVPRO($B$1,$H95,"STYLE")</f>
        <v>#NAME?</v>
      </c>
      <c r="J95" s="161" t="e">
        <f ca="1">_xll.EVPRO($B$1,$H95,"CALC")</f>
        <v>#NAME?</v>
      </c>
      <c r="K95" s="162"/>
      <c r="L95" s="162"/>
      <c r="M95" s="162"/>
      <c r="N95" s="162" t="e">
        <f ca="1">IF(_xll.EVDES(H95,$B$1)="#NODATA","",_xll.EVDES(H95,$B$1))</f>
        <v>#NAME?</v>
      </c>
      <c r="O95" s="21"/>
      <c r="P95" s="21"/>
      <c r="Q95" s="21"/>
      <c r="R95" s="21"/>
      <c r="S95" s="21"/>
      <c r="T95" s="21"/>
      <c r="U95" s="21"/>
      <c r="V95" s="21"/>
      <c r="W95" s="21"/>
      <c r="X95" s="21"/>
      <c r="Y95" s="21"/>
      <c r="Z95" s="21"/>
      <c r="AA95" s="310" t="e">
        <f ca="1">IF($I95="B1","",SUM(O95:Z95))</f>
        <v>#NAME?</v>
      </c>
      <c r="AB95" s="17"/>
      <c r="AD95" s="21"/>
      <c r="AE95" s="17"/>
      <c r="AF95" s="50" t="e">
        <f ca="1">IF(AND($AA95="",AD95=""),"",$AA95-AD95)</f>
        <v>#NAME?</v>
      </c>
      <c r="AG95" s="21"/>
      <c r="AH95" s="17"/>
      <c r="AI95" s="50" t="e">
        <f ca="1">IF(AND($AA95="",AG95=""),"",$AA95-AG95)</f>
        <v>#NAME?</v>
      </c>
      <c r="AJ95" s="409">
        <f ca="1">IFERROR(AA95/AA$20,0)</f>
        <v>0</v>
      </c>
      <c r="AK95" s="410">
        <f ca="1">IFERROR(AD95/AD$20,0)</f>
        <v>0</v>
      </c>
      <c r="AL95" s="411">
        <f ca="1">IFERROR(AG95/AG$20,0)</f>
        <v>0</v>
      </c>
      <c r="AM95" s="412" t="str">
        <f>+IFERROR(ROUND(($AB95-AE95)*100,2)&amp;" pts.",0)</f>
        <v>0 pts.</v>
      </c>
      <c r="AN95" s="413" t="str">
        <f>+IFERROR(ROUND(($AB95-AH95)*100,2)&amp;" pts.",0)</f>
        <v>0 pts.</v>
      </c>
    </row>
    <row r="96" spans="1:40" x14ac:dyDescent="0.25">
      <c r="A96" s="6" t="s">
        <v>42</v>
      </c>
      <c r="B96" s="7"/>
      <c r="H96" s="15"/>
      <c r="I96" s="161"/>
      <c r="J96" s="161"/>
      <c r="K96" s="162"/>
      <c r="L96" s="162"/>
      <c r="M96" s="162"/>
      <c r="N96" s="8" t="s">
        <v>462</v>
      </c>
      <c r="O96" s="134">
        <f t="shared" ref="O96:Z96" si="53">SUM(O77:O95)</f>
        <v>1271.8400000000001</v>
      </c>
      <c r="P96" s="134">
        <f t="shared" si="53"/>
        <v>1225.74</v>
      </c>
      <c r="Q96" s="134">
        <f t="shared" si="53"/>
        <v>156.63000000000011</v>
      </c>
      <c r="R96" s="134">
        <f t="shared" si="53"/>
        <v>981.15999999999985</v>
      </c>
      <c r="S96" s="134">
        <f t="shared" si="53"/>
        <v>813.2</v>
      </c>
      <c r="T96" s="134">
        <f t="shared" si="53"/>
        <v>972.07999999999993</v>
      </c>
      <c r="U96" s="134">
        <f t="shared" si="53"/>
        <v>586.05999999999995</v>
      </c>
      <c r="V96" s="134">
        <f t="shared" si="53"/>
        <v>614.72</v>
      </c>
      <c r="W96" s="134">
        <f t="shared" si="53"/>
        <v>427.43</v>
      </c>
      <c r="X96" s="134">
        <f t="shared" si="53"/>
        <v>1032.71</v>
      </c>
      <c r="Y96" s="134">
        <f t="shared" si="53"/>
        <v>971.18000000000006</v>
      </c>
      <c r="Z96" s="134">
        <f t="shared" si="53"/>
        <v>-395.14</v>
      </c>
      <c r="AA96" s="134">
        <f>IF($I96="B1","",SUM(O96:Z96))</f>
        <v>8657.61</v>
      </c>
      <c r="AB96" s="135" t="str">
        <f ca="1">IF(AA96=0,"",IFERROR(AA96/AA19,""))</f>
        <v/>
      </c>
      <c r="AC96" s="137"/>
      <c r="AD96" s="134">
        <f>SUM(AD77:AD95)</f>
        <v>15919.1351</v>
      </c>
      <c r="AE96" s="135" t="str">
        <f ca="1">IF(AD96=0,"",IFERROR(AD96/AD19,""))</f>
        <v/>
      </c>
      <c r="AF96" s="136">
        <f>IF(AND($AA96="",AD96=""),"",$AA96-AD96)</f>
        <v>-7261.5250999999989</v>
      </c>
      <c r="AG96" s="134">
        <f>SUM(AG77:AG95)</f>
        <v>16567.14</v>
      </c>
      <c r="AH96" s="135" t="str">
        <f ca="1">IF(AG96=0,"",IFERROR(AG96/AG19,""))</f>
        <v/>
      </c>
      <c r="AI96" s="136">
        <f>IF(AND($AA96="",AG96=""),"",$AA96-AG96)</f>
        <v>-7909.5299999999988</v>
      </c>
      <c r="AJ96" s="392">
        <f ca="1">IFERROR(AA96/AA$20,0)</f>
        <v>0</v>
      </c>
      <c r="AK96" s="393">
        <f ca="1">IFERROR(AD96/AD$20,0)</f>
        <v>0</v>
      </c>
      <c r="AL96" s="394">
        <f ca="1">IFERROR(AG96/AG$20,0)</f>
        <v>0</v>
      </c>
      <c r="AM96" s="395">
        <f ca="1">+IFERROR(ROUND(($AB96-AE96)*100,2)&amp;" pts.",0)</f>
        <v>0</v>
      </c>
      <c r="AN96" s="437">
        <f ca="1">+IFERROR(ROUND(($AB96-AH96)*100,2)&amp;" pts.",0)</f>
        <v>0</v>
      </c>
    </row>
    <row r="97" spans="1:40" x14ac:dyDescent="0.25">
      <c r="A97" s="6" t="s">
        <v>43</v>
      </c>
      <c r="B97" s="7"/>
      <c r="I97" s="1"/>
      <c r="J97" s="1"/>
    </row>
    <row r="98" spans="1:40" ht="15.75" thickBot="1" x14ac:dyDescent="0.3">
      <c r="A98" s="6" t="s">
        <v>44</v>
      </c>
      <c r="B98" s="7"/>
      <c r="H98" s="15" t="s">
        <v>81</v>
      </c>
      <c r="I98" s="27" t="e">
        <f ca="1">_xll.EVPRO($B$1,$H98,"STYLE")</f>
        <v>#NAME?</v>
      </c>
      <c r="J98" s="27" t="e">
        <f ca="1">_xll.EVPRO($B$1,$H98,"CALC")</f>
        <v>#NAME?</v>
      </c>
      <c r="K98" s="25"/>
      <c r="L98" s="25"/>
      <c r="M98" s="25"/>
      <c r="N98" s="25" t="e">
        <f ca="1">IF(_xll.EVDES(H98,$B$1)="#NODATA","",_xll.EVDES(H98,$B$1))</f>
        <v>#NAME?</v>
      </c>
      <c r="O98" s="62">
        <v>1271.8399999999999</v>
      </c>
      <c r="P98" s="62">
        <v>1225.74</v>
      </c>
      <c r="Q98" s="62">
        <v>156.63</v>
      </c>
      <c r="R98" s="62">
        <v>981.16</v>
      </c>
      <c r="S98" s="62">
        <v>813.2</v>
      </c>
      <c r="T98" s="62">
        <v>972.08</v>
      </c>
      <c r="U98" s="62">
        <v>586.05999999999995</v>
      </c>
      <c r="V98" s="62">
        <v>614.72</v>
      </c>
      <c r="W98" s="62">
        <v>427.43</v>
      </c>
      <c r="X98" s="62">
        <v>1032.71</v>
      </c>
      <c r="Y98" s="62">
        <v>971.18</v>
      </c>
      <c r="Z98" s="62">
        <v>-395.14</v>
      </c>
      <c r="AA98" s="62" t="e">
        <f ca="1">IF($I98="B1","",SUM(O98:Z98))</f>
        <v>#NAME?</v>
      </c>
      <c r="AB98" s="63" t="e">
        <f ca="1">IF(AA98=0,"",IFERROR(AA98/AA$19,""))</f>
        <v>#NAME?</v>
      </c>
      <c r="AD98" s="62">
        <v>15919.1351</v>
      </c>
      <c r="AE98" s="63" t="str">
        <f ca="1">IF(AD98=0,"",IFERROR(AD98/AD$19,""))</f>
        <v/>
      </c>
      <c r="AF98" s="64" t="e">
        <f ca="1">IF(AND($AA98="",AD98=""),"",$AA98-AD98)</f>
        <v>#NAME?</v>
      </c>
      <c r="AG98" s="62">
        <v>16567.14</v>
      </c>
      <c r="AH98" s="63" t="str">
        <f ca="1">IF(AG98=0,"",IFERROR(AG98/AG$19,""))</f>
        <v/>
      </c>
      <c r="AI98" s="64" t="e">
        <f ca="1">IF(AND($AA98="",AG98=""),"",$AA98-AG98)</f>
        <v>#NAME?</v>
      </c>
      <c r="AJ98" s="430">
        <f ca="1">IFERROR(AA98/AA$20,0)</f>
        <v>0</v>
      </c>
      <c r="AK98" s="431">
        <f ca="1">IFERROR(AD98/AD$20,0)</f>
        <v>0</v>
      </c>
      <c r="AL98" s="432">
        <f ca="1">IFERROR(AG98/AG$20,0)</f>
        <v>0</v>
      </c>
      <c r="AM98" s="433">
        <f ca="1">+IFERROR(ROUND(($AB98-AE98)*100,2)&amp;" pts.",0)</f>
        <v>0</v>
      </c>
      <c r="AN98" s="438">
        <f ca="1">+IFERROR(ROUND(($AB98-AH98)*100,2)&amp;" pts.",0)</f>
        <v>0</v>
      </c>
    </row>
    <row r="99" spans="1:40" ht="15.75" thickTop="1" x14ac:dyDescent="0.25">
      <c r="A99" s="6" t="s">
        <v>45</v>
      </c>
      <c r="B99" s="7"/>
    </row>
    <row r="100" spans="1:40" x14ac:dyDescent="0.25">
      <c r="A100" s="6" t="s">
        <v>46</v>
      </c>
      <c r="B100" s="7"/>
      <c r="N100" s="26" t="e">
        <f ca="1">N98&amp;" - Check"</f>
        <v>#NAME?</v>
      </c>
      <c r="O100" s="139">
        <f>SUMIF($H$34:$H$74,"400000",O$34:O$74)-SUMIF($H$34:$H$74,"500001",O$34:O$74)-O96</f>
        <v>0</v>
      </c>
      <c r="P100" s="139">
        <f t="shared" ref="P100:AA100" si="54">SUMIF($H$34:$H$74,"400000",P$34:P$74)-SUMIF($H$34:$H$74,"500001",P$34:P$74)-P96</f>
        <v>0</v>
      </c>
      <c r="Q100" s="139">
        <f t="shared" si="54"/>
        <v>0</v>
      </c>
      <c r="R100" s="139">
        <f t="shared" si="54"/>
        <v>0</v>
      </c>
      <c r="S100" s="139">
        <f>SUMIF($H$34:$H$74,"400000",S$34:S$74)-SUMIF($H$34:$H$74,"500001",S$34:S$74)-S96</f>
        <v>0</v>
      </c>
      <c r="T100" s="139">
        <f t="shared" si="54"/>
        <v>0</v>
      </c>
      <c r="U100" s="139">
        <f t="shared" si="54"/>
        <v>0</v>
      </c>
      <c r="V100" s="139">
        <f t="shared" si="54"/>
        <v>0</v>
      </c>
      <c r="W100" s="139">
        <f t="shared" si="54"/>
        <v>0</v>
      </c>
      <c r="X100" s="139">
        <f t="shared" si="54"/>
        <v>0</v>
      </c>
      <c r="Y100" s="139">
        <f t="shared" si="54"/>
        <v>0</v>
      </c>
      <c r="Z100" s="139">
        <f t="shared" si="54"/>
        <v>0</v>
      </c>
      <c r="AA100" s="139" t="e">
        <f t="shared" ca="1" si="54"/>
        <v>#NAME?</v>
      </c>
      <c r="AB100" s="17"/>
      <c r="AD100" s="139">
        <f>SUMIF($H$34:$H$74,"400000",AD$34:AD$74)-SUMIF($H$34:$H$74,"500001",AD$34:AD$74)-AD96</f>
        <v>0</v>
      </c>
      <c r="AE100" s="17"/>
      <c r="AF100" s="21"/>
      <c r="AG100" s="139">
        <f>SUMIF($H$34:$H$74,"400000",AG$34:AG$74)-SUMIF($H$34:$H$74,"500001",AG$34:AG$74)-AG96</f>
        <v>0</v>
      </c>
      <c r="AH100" s="17"/>
      <c r="AI100" s="21"/>
    </row>
    <row r="102" spans="1:40" x14ac:dyDescent="0.25">
      <c r="O102" s="166"/>
      <c r="P102" s="166"/>
      <c r="Q102" s="166"/>
      <c r="R102" s="166"/>
      <c r="S102" s="166"/>
      <c r="T102" s="166"/>
      <c r="U102" s="166"/>
      <c r="V102" s="166"/>
      <c r="W102" s="166"/>
      <c r="X102" s="166"/>
      <c r="Y102" s="166"/>
      <c r="Z102" s="166"/>
      <c r="AA102" s="166"/>
      <c r="AD102" s="166"/>
      <c r="AG102" s="166"/>
    </row>
    <row r="104" spans="1:40" x14ac:dyDescent="0.25">
      <c r="O104" s="166"/>
      <c r="P104" s="166"/>
      <c r="Q104" s="166"/>
      <c r="R104" s="166"/>
      <c r="S104" s="166"/>
      <c r="T104" s="166"/>
      <c r="U104" s="166"/>
      <c r="V104" s="166"/>
      <c r="W104" s="166"/>
      <c r="X104" s="166"/>
      <c r="Y104" s="166"/>
      <c r="Z104" s="166"/>
      <c r="AA104" s="166"/>
      <c r="AD104" s="166"/>
      <c r="AG104" s="166"/>
    </row>
    <row r="107" spans="1:40" x14ac:dyDescent="0.25">
      <c r="J107" s="1"/>
    </row>
    <row r="108" spans="1:40" x14ac:dyDescent="0.25">
      <c r="H108" s="11"/>
      <c r="J108" s="1"/>
    </row>
    <row r="109" spans="1:40" x14ac:dyDescent="0.25">
      <c r="H109" s="11"/>
      <c r="J109" s="1"/>
    </row>
    <row r="110" spans="1:40" x14ac:dyDescent="0.25">
      <c r="H110" s="11"/>
      <c r="J110" s="1"/>
    </row>
    <row r="111" spans="1:40" x14ac:dyDescent="0.25">
      <c r="H111" s="11"/>
      <c r="J111" s="1"/>
    </row>
    <row r="112" spans="1:40" x14ac:dyDescent="0.25">
      <c r="H112" s="11"/>
      <c r="J112" s="1"/>
    </row>
    <row r="113" spans="5:10" x14ac:dyDescent="0.25">
      <c r="H113" s="11"/>
      <c r="J113" s="1"/>
    </row>
    <row r="114" spans="5:10" x14ac:dyDescent="0.25">
      <c r="H114" s="11"/>
      <c r="J114" s="1"/>
    </row>
    <row r="115" spans="5:10" x14ac:dyDescent="0.25">
      <c r="H115" s="11"/>
      <c r="J115" s="1"/>
    </row>
    <row r="116" spans="5:10" x14ac:dyDescent="0.25">
      <c r="H116" s="11"/>
      <c r="J116" s="1"/>
    </row>
    <row r="117" spans="5:10" x14ac:dyDescent="0.25">
      <c r="E117" s="76"/>
      <c r="H117" s="11"/>
      <c r="J117" s="1"/>
    </row>
    <row r="118" spans="5:10" x14ac:dyDescent="0.25">
      <c r="H118" s="11"/>
      <c r="J118" s="1"/>
    </row>
    <row r="119" spans="5:10" x14ac:dyDescent="0.25">
      <c r="H119" s="11"/>
      <c r="J119" s="1"/>
    </row>
    <row r="120" spans="5:10" x14ac:dyDescent="0.25">
      <c r="H120" s="11"/>
      <c r="J120" s="1"/>
    </row>
    <row r="121" spans="5:10" x14ac:dyDescent="0.25">
      <c r="E121" s="76"/>
      <c r="H121" s="11"/>
      <c r="J121" s="1"/>
    </row>
    <row r="122" spans="5:10" x14ac:dyDescent="0.25">
      <c r="H122" s="11"/>
      <c r="J122" s="1"/>
    </row>
    <row r="123" spans="5:10" x14ac:dyDescent="0.25">
      <c r="H123" s="11"/>
      <c r="J123" s="1"/>
    </row>
    <row r="124" spans="5:10" x14ac:dyDescent="0.25">
      <c r="H124" s="11"/>
      <c r="J124" s="1"/>
    </row>
    <row r="125" spans="5:10" x14ac:dyDescent="0.25">
      <c r="H125" s="11"/>
      <c r="J125" s="1"/>
    </row>
    <row r="126" spans="5:10" x14ac:dyDescent="0.25">
      <c r="H126" s="11"/>
      <c r="J126" s="1"/>
    </row>
    <row r="127" spans="5:10" x14ac:dyDescent="0.25">
      <c r="H127" s="11"/>
      <c r="J127" s="1"/>
    </row>
    <row r="128" spans="5:10" x14ac:dyDescent="0.25">
      <c r="H128" s="11"/>
      <c r="J128" s="1"/>
    </row>
    <row r="129" spans="8:10" x14ac:dyDescent="0.25">
      <c r="H129" s="11"/>
      <c r="J129" s="1"/>
    </row>
    <row r="130" spans="8:10" x14ac:dyDescent="0.25">
      <c r="H130" s="11"/>
    </row>
    <row r="170" spans="9:34" x14ac:dyDescent="0.25">
      <c r="J170" s="1"/>
      <c r="K170" s="76"/>
      <c r="L170" s="76"/>
      <c r="M170" s="76"/>
      <c r="O170" s="76"/>
      <c r="P170" s="76"/>
      <c r="Q170" s="76"/>
      <c r="R170" s="76"/>
      <c r="S170" s="76"/>
      <c r="T170" s="76"/>
      <c r="U170" s="76"/>
      <c r="V170" s="76"/>
      <c r="W170" s="76"/>
      <c r="X170" s="76"/>
      <c r="Y170" s="76"/>
      <c r="Z170" s="76"/>
      <c r="AA170" s="76"/>
      <c r="AD170" s="76"/>
      <c r="AF170" s="76"/>
      <c r="AH170" s="76"/>
    </row>
    <row r="171" spans="9:34" x14ac:dyDescent="0.25">
      <c r="I171" s="76"/>
    </row>
    <row r="174" spans="9:34" x14ac:dyDescent="0.25">
      <c r="J174" s="1"/>
      <c r="K174" s="76"/>
      <c r="L174" s="76"/>
      <c r="M174" s="76"/>
      <c r="O174" s="76"/>
      <c r="P174" s="76"/>
      <c r="Q174" s="76"/>
      <c r="R174" s="76"/>
      <c r="S174" s="76"/>
      <c r="T174" s="76"/>
      <c r="U174" s="76"/>
      <c r="V174" s="76"/>
      <c r="W174" s="76"/>
      <c r="X174" s="76"/>
      <c r="Y174" s="76"/>
      <c r="Z174" s="76"/>
      <c r="AA174" s="76"/>
      <c r="AD174" s="76"/>
      <c r="AF174" s="76"/>
      <c r="AH174" s="76"/>
    </row>
    <row r="175" spans="9:34" x14ac:dyDescent="0.25">
      <c r="I175" s="76"/>
    </row>
    <row r="190" spans="7:7" x14ac:dyDescent="0.25">
      <c r="G190" s="76"/>
    </row>
    <row r="194" spans="7:7" x14ac:dyDescent="0.25">
      <c r="G194" s="76"/>
    </row>
  </sheetData>
  <mergeCells count="2">
    <mergeCell ref="AD31:AE31"/>
    <mergeCell ref="AG31:AH31"/>
  </mergeCells>
  <dataValidations disablePrompts="1" count="2">
    <dataValidation type="list" allowBlank="1" sqref="B51 B29" xr:uid="{00000000-0002-0000-4800-000000000000}">
      <formula1>"SELF,ALL,BAS,DEP,BASMEMBERS,MEMBERS,NOEXPAND,GDEP"</formula1>
    </dataValidation>
    <dataValidation type="list" allowBlank="1" sqref="B50 B28" xr:uid="{00000000-0002-0000-4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096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40967" r:id="rId7" name="FPMExcelClientSheetOptionstb1"/>
      </mc:Fallback>
    </mc:AlternateContent>
  </control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6">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8.4257812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423</v>
      </c>
      <c r="C6" s="1" t="s">
        <v>1539</v>
      </c>
      <c r="E6" s="49" t="s">
        <v>423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1655</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1656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IF(SetUp!$O$1=TRUE,"TRAILING12",IF(Z17="CURRENT","ROLLINGFORECAST","PERIODIC"))</f>
        <v>PERIODIC</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1657</v>
      </c>
      <c r="G19" s="18" t="str">
        <f>$B$6</f>
        <v>D1138</v>
      </c>
      <c r="H19" s="18">
        <v>400000</v>
      </c>
      <c r="I19" s="19"/>
      <c r="J19" s="19"/>
      <c r="K19" s="18"/>
      <c r="L19" s="18"/>
      <c r="M19" s="18"/>
      <c r="N19" s="18" t="s">
        <v>1003</v>
      </c>
      <c r="O19" s="20">
        <v>1876.85</v>
      </c>
      <c r="P19" s="20">
        <v>2263.09</v>
      </c>
      <c r="Q19" s="20">
        <v>1369.74</v>
      </c>
      <c r="R19" s="20">
        <v>2075.38</v>
      </c>
      <c r="S19" s="20">
        <v>1530.85</v>
      </c>
      <c r="T19" s="20">
        <v>1673.12</v>
      </c>
      <c r="U19" s="20">
        <v>1042.0899999999999</v>
      </c>
      <c r="V19" s="20">
        <v>785.26</v>
      </c>
      <c r="W19" s="20">
        <v>851.92</v>
      </c>
      <c r="X19" s="20">
        <v>1215.53</v>
      </c>
      <c r="Y19" s="20">
        <v>1518.73</v>
      </c>
      <c r="Z19" s="20">
        <v>-336.23</v>
      </c>
      <c r="AA19" s="20">
        <f>SUM(O19:Z19)</f>
        <v>15866.33</v>
      </c>
      <c r="AB19" s="18"/>
      <c r="AC19" s="18"/>
      <c r="AD19" s="20">
        <v>25008.17</v>
      </c>
      <c r="AE19" s="18"/>
      <c r="AF19" s="18"/>
      <c r="AG19" s="20">
        <v>27966.42</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1658</v>
      </c>
      <c r="I22" s="1"/>
      <c r="J22" s="1"/>
    </row>
    <row r="23" spans="1:40" hidden="1" outlineLevel="1" x14ac:dyDescent="0.25">
      <c r="A23" s="6" t="s">
        <v>47</v>
      </c>
      <c r="B23" s="16" t="s">
        <v>1659</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1539</v>
      </c>
    </row>
    <row r="28" spans="1:40" ht="15.75" x14ac:dyDescent="0.25">
      <c r="A28" s="6" t="s">
        <v>12</v>
      </c>
      <c r="B28" s="7" t="s">
        <v>22</v>
      </c>
      <c r="N28" s="71" t="s">
        <v>1005</v>
      </c>
    </row>
    <row r="29" spans="1:40" ht="15" customHeight="1" x14ac:dyDescent="0.25">
      <c r="A29" s="6" t="s">
        <v>13</v>
      </c>
      <c r="B29" s="7" t="str">
        <f>"DEP(450000) AND "&amp;$E$6&amp;"=Y,400000|DEP(550000) AND "&amp;$E$6&amp;"=Y,500001"</f>
        <v>DEP(450000) AND D1138=Y,400000|DEP(550000) AND D1138=Y,500001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424</v>
      </c>
      <c r="I34" s="161" t="s">
        <v>1058</v>
      </c>
      <c r="J34" s="161" t="s">
        <v>78</v>
      </c>
      <c r="K34" s="68" t="str">
        <f t="shared" ref="K34:K53" si="0">IF(AND(I34&gt;="T5"),"&gt;","")</f>
        <v>&gt;</v>
      </c>
      <c r="L34" s="162">
        <v>410000</v>
      </c>
      <c r="M34" s="162"/>
      <c r="N34" s="162" t="s">
        <v>1660</v>
      </c>
      <c r="O34" s="21">
        <v>393.37</v>
      </c>
      <c r="P34" s="21">
        <v>361.46</v>
      </c>
      <c r="Q34" s="21">
        <v>-117.14</v>
      </c>
      <c r="R34" s="21">
        <v>112.81</v>
      </c>
      <c r="S34" s="21">
        <v>48.9</v>
      </c>
      <c r="T34" s="21">
        <v>59.13</v>
      </c>
      <c r="U34" s="21">
        <v>45.93</v>
      </c>
      <c r="V34" s="21">
        <v>16.059999999999999</v>
      </c>
      <c r="W34" s="21">
        <v>90.26</v>
      </c>
      <c r="X34" s="21">
        <v>124.22</v>
      </c>
      <c r="Y34" s="21">
        <v>60.32</v>
      </c>
      <c r="Z34" s="21">
        <v>66.38</v>
      </c>
      <c r="AA34" s="310">
        <f t="shared" ref="AA34:AA53" si="1">IF($I34="B1","",SUM(O34:Z34))</f>
        <v>1261.6999999999998</v>
      </c>
      <c r="AB34" s="17">
        <f t="shared" ref="AB34:AB53" si="2">IF(AA34=0,"",IFERROR(AA34/AA$19,""))</f>
        <v>7.9520594869765079E-2</v>
      </c>
      <c r="AD34" s="21">
        <v>6149.55</v>
      </c>
      <c r="AE34" s="17">
        <f t="shared" ref="AE34:AE53" si="3">IF(AD34=0,"",IFERROR(AD34/AD$19,""))</f>
        <v>0.24590163934426232</v>
      </c>
      <c r="AF34" s="50">
        <f t="shared" ref="AF34:AF53" si="4">IF(AND($AA34="",AD34=""),"",$AA34-AD34)</f>
        <v>-4887.8500000000004</v>
      </c>
      <c r="AG34" s="21">
        <v>5877.2</v>
      </c>
      <c r="AH34" s="17">
        <f t="shared" ref="AH34:AH53" si="5">IF(AG34=0,"",IFERROR(AG34/AG$19,""))</f>
        <v>0.21015203233020172</v>
      </c>
      <c r="AI34" s="50">
        <f t="shared" ref="AI34:AI53" si="6">IF(AND($AA34="",AG34=""),"",$AA34-AG34)</f>
        <v>-4615.5</v>
      </c>
      <c r="AJ34" s="399">
        <f t="shared" ref="AJ34:AJ53" si="7">IFERROR(AA34/AA$20,0)</f>
        <v>3.1632653061224487E-2</v>
      </c>
      <c r="AK34" s="400">
        <f t="shared" ref="AK34:AK53" si="8">IFERROR(AD34/AD$20,0)</f>
        <v>0.1490691586066468</v>
      </c>
      <c r="AL34" s="401">
        <f t="shared" ref="AL34:AL53" si="9">IFERROR(AG34/AG$20,0)</f>
        <v>0.14225686208065061</v>
      </c>
      <c r="AM34" s="402" t="str">
        <f t="shared" ref="AM34:AM53" si="10">+IFERROR(ROUND(($AB34-AE34)*100,2)&amp;" pts.",0)</f>
        <v>-16.64 pts.</v>
      </c>
      <c r="AN34" s="403" t="str">
        <f t="shared" ref="AN34:AN53" si="11">+IFERROR(ROUND(($AB34-AH34)*100,2)&amp;" pts.",0)</f>
        <v>-13.06 pts.</v>
      </c>
    </row>
    <row r="35" spans="1:40" x14ac:dyDescent="0.25">
      <c r="H35" s="15" t="s">
        <v>425</v>
      </c>
      <c r="I35" s="161" t="s">
        <v>1058</v>
      </c>
      <c r="J35" s="161" t="s">
        <v>78</v>
      </c>
      <c r="K35" s="68" t="str">
        <f t="shared" si="0"/>
        <v>&gt;</v>
      </c>
      <c r="L35" s="162">
        <v>450100</v>
      </c>
      <c r="M35" s="162"/>
      <c r="N35" s="162" t="s">
        <v>1661</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A36" s="4" t="s">
        <v>988</v>
      </c>
      <c r="H36" s="15" t="s">
        <v>426</v>
      </c>
      <c r="I36" s="161" t="s">
        <v>1058</v>
      </c>
      <c r="J36" s="161" t="s">
        <v>78</v>
      </c>
      <c r="K36" s="68" t="str">
        <f t="shared" si="0"/>
        <v>&gt;</v>
      </c>
      <c r="L36" s="162">
        <v>450150</v>
      </c>
      <c r="M36" s="162"/>
      <c r="N36" s="162" t="s">
        <v>1662</v>
      </c>
      <c r="O36" s="21">
        <v>408.48</v>
      </c>
      <c r="P36" s="21">
        <v>1086.6300000000001</v>
      </c>
      <c r="Q36" s="21">
        <v>681.88</v>
      </c>
      <c r="R36" s="21">
        <v>1157.57</v>
      </c>
      <c r="S36" s="21">
        <v>816.95</v>
      </c>
      <c r="T36" s="21">
        <v>863.99</v>
      </c>
      <c r="U36" s="21">
        <v>541.16</v>
      </c>
      <c r="V36" s="21">
        <v>209.2</v>
      </c>
      <c r="W36" s="21">
        <v>491.66</v>
      </c>
      <c r="X36" s="21">
        <v>161.31</v>
      </c>
      <c r="Y36" s="21">
        <v>640.41</v>
      </c>
      <c r="Z36" s="21">
        <v>37.450000000000003</v>
      </c>
      <c r="AA36" s="310">
        <f t="shared" si="1"/>
        <v>7096.69</v>
      </c>
      <c r="AB36" s="17">
        <f t="shared" si="2"/>
        <v>0.44727986875351766</v>
      </c>
      <c r="AD36" s="21">
        <v>6969.49</v>
      </c>
      <c r="AE36" s="17">
        <f t="shared" si="3"/>
        <v>0.27868852459016397</v>
      </c>
      <c r="AF36" s="50">
        <f t="shared" si="4"/>
        <v>127.19999999999982</v>
      </c>
      <c r="AG36" s="21">
        <v>9501.9</v>
      </c>
      <c r="AH36" s="17">
        <f t="shared" si="5"/>
        <v>0.3397610419925039</v>
      </c>
      <c r="AI36" s="50">
        <f t="shared" si="6"/>
        <v>-2405.21</v>
      </c>
      <c r="AJ36" s="399">
        <f t="shared" si="7"/>
        <v>0.17792433435290578</v>
      </c>
      <c r="AK36" s="400">
        <f t="shared" si="8"/>
        <v>0.16894504642086636</v>
      </c>
      <c r="AL36" s="401">
        <f t="shared" si="9"/>
        <v>0.22999225444159363</v>
      </c>
      <c r="AM36" s="402" t="str">
        <f t="shared" si="10"/>
        <v>16.86 pts.</v>
      </c>
      <c r="AN36" s="403" t="str">
        <f t="shared" si="11"/>
        <v>10.75 pts.</v>
      </c>
    </row>
    <row r="37" spans="1:40" x14ac:dyDescent="0.25">
      <c r="H37" s="15" t="s">
        <v>427</v>
      </c>
      <c r="I37" s="161" t="s">
        <v>1058</v>
      </c>
      <c r="J37" s="161" t="s">
        <v>78</v>
      </c>
      <c r="K37" s="68" t="str">
        <f t="shared" si="0"/>
        <v>&gt;</v>
      </c>
      <c r="L37" s="162">
        <v>450200</v>
      </c>
      <c r="M37" s="162"/>
      <c r="N37" s="162" t="s">
        <v>453</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3" t="s">
        <v>0</v>
      </c>
      <c r="B38" s="5" t="s">
        <v>1</v>
      </c>
      <c r="H38" s="15" t="s">
        <v>428</v>
      </c>
      <c r="I38" s="161" t="s">
        <v>1058</v>
      </c>
      <c r="J38" s="161" t="s">
        <v>78</v>
      </c>
      <c r="K38" s="68" t="str">
        <f t="shared" si="0"/>
        <v>&gt;</v>
      </c>
      <c r="L38" s="162">
        <v>450250</v>
      </c>
      <c r="M38" s="162"/>
      <c r="N38" s="162" t="s">
        <v>454</v>
      </c>
      <c r="O38" s="21">
        <v>1075</v>
      </c>
      <c r="P38" s="21">
        <v>815</v>
      </c>
      <c r="Q38" s="21">
        <v>805</v>
      </c>
      <c r="R38" s="21">
        <v>805</v>
      </c>
      <c r="S38" s="21">
        <v>665</v>
      </c>
      <c r="T38" s="21">
        <v>750</v>
      </c>
      <c r="U38" s="21">
        <v>455</v>
      </c>
      <c r="V38" s="21">
        <v>560</v>
      </c>
      <c r="W38" s="21">
        <v>270</v>
      </c>
      <c r="X38" s="21">
        <v>930</v>
      </c>
      <c r="Y38" s="21">
        <v>818</v>
      </c>
      <c r="Z38" s="21">
        <v>-440.06</v>
      </c>
      <c r="AA38" s="310">
        <f t="shared" si="1"/>
        <v>7507.94</v>
      </c>
      <c r="AB38" s="17">
        <f t="shared" si="2"/>
        <v>0.47319953637671719</v>
      </c>
      <c r="AD38" s="21">
        <v>11889.13</v>
      </c>
      <c r="AE38" s="17">
        <f t="shared" si="3"/>
        <v>0.4754098360655738</v>
      </c>
      <c r="AF38" s="50">
        <f t="shared" si="4"/>
        <v>-4381.1899999999996</v>
      </c>
      <c r="AG38" s="21">
        <v>12587.32</v>
      </c>
      <c r="AH38" s="17">
        <f t="shared" si="5"/>
        <v>0.45008692567729441</v>
      </c>
      <c r="AI38" s="50">
        <f t="shared" si="6"/>
        <v>-5079.38</v>
      </c>
      <c r="AJ38" s="399">
        <f t="shared" si="7"/>
        <v>0.18823496966354109</v>
      </c>
      <c r="AK38" s="400">
        <f t="shared" si="8"/>
        <v>0.28820037330618375</v>
      </c>
      <c r="AL38" s="401">
        <f t="shared" si="9"/>
        <v>0.30467444449823305</v>
      </c>
      <c r="AM38" s="402" t="str">
        <f t="shared" si="10"/>
        <v>-0.22 pts.</v>
      </c>
      <c r="AN38" s="403" t="str">
        <f t="shared" si="11"/>
        <v>2.31 pts.</v>
      </c>
    </row>
    <row r="39" spans="1:40" x14ac:dyDescent="0.25">
      <c r="A39" s="6" t="s">
        <v>2</v>
      </c>
      <c r="B39" s="16" t="s">
        <v>1655</v>
      </c>
      <c r="H39" s="15" t="s">
        <v>429</v>
      </c>
      <c r="I39" s="161" t="s">
        <v>1058</v>
      </c>
      <c r="J39" s="161" t="s">
        <v>78</v>
      </c>
      <c r="K39" s="68" t="str">
        <f t="shared" si="0"/>
        <v>&gt;</v>
      </c>
      <c r="L39" s="162">
        <v>450300</v>
      </c>
      <c r="M39" s="162"/>
      <c r="N39" s="162" t="s">
        <v>1663</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6" t="s">
        <v>3</v>
      </c>
      <c r="B40" s="16" t="s">
        <v>1656</v>
      </c>
      <c r="H40" s="15" t="s">
        <v>430</v>
      </c>
      <c r="I40" s="161" t="s">
        <v>1058</v>
      </c>
      <c r="J40" s="161" t="s">
        <v>78</v>
      </c>
      <c r="K40" s="68" t="str">
        <f t="shared" si="0"/>
        <v>&gt;</v>
      </c>
      <c r="L40" s="162">
        <v>450350</v>
      </c>
      <c r="M40" s="162"/>
      <c r="N40" s="162" t="s">
        <v>1664</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A41" s="6" t="s">
        <v>4</v>
      </c>
      <c r="B41" s="16" t="s">
        <v>1667</v>
      </c>
      <c r="H41" s="15" t="s">
        <v>475</v>
      </c>
      <c r="I41" s="161" t="s">
        <v>1009</v>
      </c>
      <c r="J41" s="161" t="s">
        <v>1009</v>
      </c>
      <c r="K41" s="68" t="str">
        <f t="shared" si="0"/>
        <v/>
      </c>
      <c r="L41" s="162">
        <v>450375</v>
      </c>
      <c r="M41" s="162">
        <v>207005</v>
      </c>
      <c r="N41" s="162" t="s">
        <v>1665</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A42" s="6" t="s">
        <v>5</v>
      </c>
      <c r="B42" s="7"/>
      <c r="H42" s="15" t="s">
        <v>476</v>
      </c>
      <c r="I42" s="161" t="s">
        <v>1058</v>
      </c>
      <c r="J42" s="161" t="s">
        <v>78</v>
      </c>
      <c r="K42" s="68" t="str">
        <f t="shared" si="0"/>
        <v>&gt;</v>
      </c>
      <c r="L42" s="162">
        <v>450380</v>
      </c>
      <c r="M42" s="162"/>
      <c r="N42" s="162" t="s">
        <v>489</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A43" s="6" t="s">
        <v>6</v>
      </c>
      <c r="B43" s="7"/>
      <c r="H43" s="15" t="s">
        <v>477</v>
      </c>
      <c r="I43" s="161" t="s">
        <v>1058</v>
      </c>
      <c r="J43" s="161" t="s">
        <v>78</v>
      </c>
      <c r="K43" s="68" t="str">
        <f t="shared" si="0"/>
        <v>&gt;</v>
      </c>
      <c r="L43" s="162">
        <v>450385</v>
      </c>
      <c r="M43" s="162"/>
      <c r="N43" s="162" t="s">
        <v>490</v>
      </c>
      <c r="O43" s="21"/>
      <c r="P43" s="21"/>
      <c r="Q43" s="21"/>
      <c r="R43" s="21"/>
      <c r="S43" s="21"/>
      <c r="T43" s="21"/>
      <c r="U43" s="21"/>
      <c r="V43" s="21"/>
      <c r="W43" s="21"/>
      <c r="X43" s="21"/>
      <c r="Y43" s="21"/>
      <c r="Z43" s="21"/>
      <c r="AA43" s="310">
        <f t="shared" si="1"/>
        <v>0</v>
      </c>
      <c r="AB43" s="17" t="str">
        <f t="shared" si="2"/>
        <v/>
      </c>
      <c r="AD43" s="21"/>
      <c r="AE43" s="17" t="str">
        <f t="shared" si="3"/>
        <v/>
      </c>
      <c r="AF43" s="50">
        <f t="shared" si="4"/>
        <v>0</v>
      </c>
      <c r="AG43" s="21"/>
      <c r="AH43" s="17" t="str">
        <f t="shared" si="5"/>
        <v/>
      </c>
      <c r="AI43" s="50">
        <f t="shared" si="6"/>
        <v>0</v>
      </c>
      <c r="AJ43" s="399">
        <f t="shared" si="7"/>
        <v>0</v>
      </c>
      <c r="AK43" s="400">
        <f t="shared" si="8"/>
        <v>0</v>
      </c>
      <c r="AL43" s="401">
        <f t="shared" si="9"/>
        <v>0</v>
      </c>
      <c r="AM43" s="402">
        <f t="shared" si="10"/>
        <v>0</v>
      </c>
      <c r="AN43" s="403">
        <f t="shared" si="11"/>
        <v>0</v>
      </c>
    </row>
    <row r="44" spans="1:40" x14ac:dyDescent="0.25">
      <c r="A44" s="6" t="s">
        <v>7</v>
      </c>
      <c r="B44" s="16" t="s">
        <v>1658</v>
      </c>
      <c r="H44" s="15" t="s">
        <v>478</v>
      </c>
      <c r="I44" s="161" t="s">
        <v>1058</v>
      </c>
      <c r="J44" s="161" t="s">
        <v>78</v>
      </c>
      <c r="K44" s="68" t="str">
        <f t="shared" si="0"/>
        <v>&gt;</v>
      </c>
      <c r="L44" s="162">
        <v>450390</v>
      </c>
      <c r="M44" s="162"/>
      <c r="N44" s="162" t="s">
        <v>491</v>
      </c>
      <c r="O44" s="21"/>
      <c r="P44" s="21"/>
      <c r="Q44" s="21"/>
      <c r="R44" s="21"/>
      <c r="S44" s="21"/>
      <c r="T44" s="21"/>
      <c r="U44" s="21"/>
      <c r="V44" s="21"/>
      <c r="W44" s="21"/>
      <c r="X44" s="21"/>
      <c r="Y44" s="21"/>
      <c r="Z44" s="21"/>
      <c r="AA44" s="310">
        <f t="shared" si="1"/>
        <v>0</v>
      </c>
      <c r="AB44" s="17" t="str">
        <f t="shared" si="2"/>
        <v/>
      </c>
      <c r="AD44" s="21"/>
      <c r="AE44" s="17" t="str">
        <f t="shared" si="3"/>
        <v/>
      </c>
      <c r="AF44" s="50">
        <f t="shared" si="4"/>
        <v>0</v>
      </c>
      <c r="AG44" s="21"/>
      <c r="AH44" s="17" t="str">
        <f t="shared" si="5"/>
        <v/>
      </c>
      <c r="AI44" s="50">
        <f t="shared" si="6"/>
        <v>0</v>
      </c>
      <c r="AJ44" s="399">
        <f t="shared" si="7"/>
        <v>0</v>
      </c>
      <c r="AK44" s="400">
        <f t="shared" si="8"/>
        <v>0</v>
      </c>
      <c r="AL44" s="401">
        <f t="shared" si="9"/>
        <v>0</v>
      </c>
      <c r="AM44" s="402">
        <f t="shared" si="10"/>
        <v>0</v>
      </c>
      <c r="AN44" s="403">
        <f t="shared" si="11"/>
        <v>0</v>
      </c>
    </row>
    <row r="45" spans="1:40" x14ac:dyDescent="0.25">
      <c r="A45" s="6" t="s">
        <v>47</v>
      </c>
      <c r="B45" s="16" t="s">
        <v>1659</v>
      </c>
      <c r="H45" s="15" t="s">
        <v>479</v>
      </c>
      <c r="I45" s="161" t="s">
        <v>1058</v>
      </c>
      <c r="J45" s="161" t="s">
        <v>78</v>
      </c>
      <c r="K45" s="68" t="str">
        <f t="shared" si="0"/>
        <v>&gt;</v>
      </c>
      <c r="L45" s="162">
        <v>450395</v>
      </c>
      <c r="M45" s="162"/>
      <c r="N45" s="162" t="s">
        <v>492</v>
      </c>
      <c r="O45" s="21"/>
      <c r="P45" s="21"/>
      <c r="Q45" s="21"/>
      <c r="R45" s="21"/>
      <c r="S45" s="21"/>
      <c r="T45" s="21"/>
      <c r="U45" s="21"/>
      <c r="V45" s="21"/>
      <c r="W45" s="21"/>
      <c r="X45" s="21"/>
      <c r="Y45" s="21"/>
      <c r="Z45" s="21"/>
      <c r="AA45" s="310">
        <f t="shared" si="1"/>
        <v>0</v>
      </c>
      <c r="AB45" s="17" t="str">
        <f t="shared" si="2"/>
        <v/>
      </c>
      <c r="AD45" s="21"/>
      <c r="AE45" s="17" t="str">
        <f t="shared" si="3"/>
        <v/>
      </c>
      <c r="AF45" s="50">
        <f t="shared" si="4"/>
        <v>0</v>
      </c>
      <c r="AG45" s="21"/>
      <c r="AH45" s="17" t="str">
        <f t="shared" si="5"/>
        <v/>
      </c>
      <c r="AI45" s="50">
        <f t="shared" si="6"/>
        <v>0</v>
      </c>
      <c r="AJ45" s="399">
        <f t="shared" si="7"/>
        <v>0</v>
      </c>
      <c r="AK45" s="400">
        <f t="shared" si="8"/>
        <v>0</v>
      </c>
      <c r="AL45" s="401">
        <f t="shared" si="9"/>
        <v>0</v>
      </c>
      <c r="AM45" s="402">
        <f t="shared" si="10"/>
        <v>0</v>
      </c>
      <c r="AN45" s="403">
        <f t="shared" si="11"/>
        <v>0</v>
      </c>
    </row>
    <row r="46" spans="1:40" x14ac:dyDescent="0.25">
      <c r="A46" s="6" t="s">
        <v>8</v>
      </c>
      <c r="B46" s="7"/>
      <c r="H46" s="15" t="s">
        <v>431</v>
      </c>
      <c r="I46" s="161" t="s">
        <v>1058</v>
      </c>
      <c r="J46" s="161" t="s">
        <v>78</v>
      </c>
      <c r="K46" s="68" t="str">
        <f t="shared" si="0"/>
        <v>&gt;</v>
      </c>
      <c r="L46" s="162">
        <v>450400</v>
      </c>
      <c r="M46" s="162"/>
      <c r="N46" s="162" t="s">
        <v>456</v>
      </c>
      <c r="O46" s="21"/>
      <c r="P46" s="21"/>
      <c r="Q46" s="21"/>
      <c r="R46" s="21"/>
      <c r="S46" s="21"/>
      <c r="T46" s="21"/>
      <c r="U46" s="21"/>
      <c r="V46" s="21"/>
      <c r="W46" s="21"/>
      <c r="X46" s="21"/>
      <c r="Y46" s="21"/>
      <c r="Z46" s="21"/>
      <c r="AA46" s="310">
        <f t="shared" si="1"/>
        <v>0</v>
      </c>
      <c r="AB46" s="17" t="str">
        <f t="shared" si="2"/>
        <v/>
      </c>
      <c r="AD46" s="21"/>
      <c r="AE46" s="17" t="str">
        <f t="shared" si="3"/>
        <v/>
      </c>
      <c r="AF46" s="50">
        <f t="shared" si="4"/>
        <v>0</v>
      </c>
      <c r="AG46" s="21"/>
      <c r="AH46" s="17" t="str">
        <f t="shared" si="5"/>
        <v/>
      </c>
      <c r="AI46" s="50">
        <f t="shared" si="6"/>
        <v>0</v>
      </c>
      <c r="AJ46" s="399">
        <f t="shared" si="7"/>
        <v>0</v>
      </c>
      <c r="AK46" s="400">
        <f t="shared" si="8"/>
        <v>0</v>
      </c>
      <c r="AL46" s="401">
        <f t="shared" si="9"/>
        <v>0</v>
      </c>
      <c r="AM46" s="402">
        <f t="shared" si="10"/>
        <v>0</v>
      </c>
      <c r="AN46" s="403">
        <f t="shared" si="11"/>
        <v>0</v>
      </c>
    </row>
    <row r="47" spans="1:40" x14ac:dyDescent="0.25">
      <c r="H47" s="15" t="s">
        <v>432</v>
      </c>
      <c r="I47" s="161" t="s">
        <v>1058</v>
      </c>
      <c r="J47" s="161" t="s">
        <v>78</v>
      </c>
      <c r="K47" s="68" t="str">
        <f t="shared" si="0"/>
        <v>&gt;</v>
      </c>
      <c r="L47" s="162">
        <v>450450</v>
      </c>
      <c r="M47" s="162"/>
      <c r="N47" s="162" t="s">
        <v>457</v>
      </c>
      <c r="O47" s="21"/>
      <c r="P47" s="21"/>
      <c r="Q47" s="21"/>
      <c r="R47" s="21"/>
      <c r="S47" s="21"/>
      <c r="T47" s="21"/>
      <c r="U47" s="21"/>
      <c r="V47" s="21"/>
      <c r="W47" s="21"/>
      <c r="X47" s="21"/>
      <c r="Y47" s="21"/>
      <c r="Z47" s="21"/>
      <c r="AA47" s="310">
        <f t="shared" si="1"/>
        <v>0</v>
      </c>
      <c r="AB47" s="17" t="str">
        <f t="shared" si="2"/>
        <v/>
      </c>
      <c r="AD47" s="21"/>
      <c r="AE47" s="17" t="str">
        <f t="shared" si="3"/>
        <v/>
      </c>
      <c r="AF47" s="50">
        <f t="shared" si="4"/>
        <v>0</v>
      </c>
      <c r="AG47" s="21"/>
      <c r="AH47" s="17" t="str">
        <f t="shared" si="5"/>
        <v/>
      </c>
      <c r="AI47" s="50">
        <f t="shared" si="6"/>
        <v>0</v>
      </c>
      <c r="AJ47" s="399">
        <f t="shared" si="7"/>
        <v>0</v>
      </c>
      <c r="AK47" s="400">
        <f t="shared" si="8"/>
        <v>0</v>
      </c>
      <c r="AL47" s="401">
        <f t="shared" si="9"/>
        <v>0</v>
      </c>
      <c r="AM47" s="402">
        <f t="shared" si="10"/>
        <v>0</v>
      </c>
      <c r="AN47" s="403">
        <f t="shared" si="11"/>
        <v>0</v>
      </c>
    </row>
    <row r="48" spans="1:40" x14ac:dyDescent="0.25">
      <c r="A48" s="3" t="s">
        <v>9</v>
      </c>
      <c r="B48" s="5" t="s">
        <v>10</v>
      </c>
      <c r="H48" s="15" t="s">
        <v>433</v>
      </c>
      <c r="I48" s="161" t="s">
        <v>1058</v>
      </c>
      <c r="J48" s="161" t="s">
        <v>78</v>
      </c>
      <c r="K48" s="68" t="str">
        <f t="shared" si="0"/>
        <v>&gt;</v>
      </c>
      <c r="L48" s="162">
        <v>450500</v>
      </c>
      <c r="M48" s="162"/>
      <c r="N48" s="162" t="s">
        <v>458</v>
      </c>
      <c r="O48" s="21"/>
      <c r="P48" s="21"/>
      <c r="Q48" s="21"/>
      <c r="R48" s="21"/>
      <c r="S48" s="21"/>
      <c r="T48" s="21"/>
      <c r="U48" s="21"/>
      <c r="V48" s="21"/>
      <c r="W48" s="21"/>
      <c r="X48" s="21"/>
      <c r="Y48" s="21"/>
      <c r="Z48" s="21"/>
      <c r="AA48" s="310">
        <f t="shared" si="1"/>
        <v>0</v>
      </c>
      <c r="AB48" s="17" t="str">
        <f t="shared" si="2"/>
        <v/>
      </c>
      <c r="AD48" s="21"/>
      <c r="AE48" s="17" t="str">
        <f t="shared" si="3"/>
        <v/>
      </c>
      <c r="AF48" s="50">
        <f t="shared" si="4"/>
        <v>0</v>
      </c>
      <c r="AG48" s="21"/>
      <c r="AH48" s="17" t="str">
        <f t="shared" si="5"/>
        <v/>
      </c>
      <c r="AI48" s="50">
        <f t="shared" si="6"/>
        <v>0</v>
      </c>
      <c r="AJ48" s="399">
        <f t="shared" si="7"/>
        <v>0</v>
      </c>
      <c r="AK48" s="400">
        <f t="shared" si="8"/>
        <v>0</v>
      </c>
      <c r="AL48" s="401">
        <f t="shared" si="9"/>
        <v>0</v>
      </c>
      <c r="AM48" s="402">
        <f t="shared" si="10"/>
        <v>0</v>
      </c>
      <c r="AN48" s="403">
        <f t="shared" si="11"/>
        <v>0</v>
      </c>
    </row>
    <row r="49" spans="1:40" x14ac:dyDescent="0.25">
      <c r="A49" s="6" t="s">
        <v>11</v>
      </c>
      <c r="B49" s="7" t="s">
        <v>21</v>
      </c>
      <c r="H49" s="15" t="s">
        <v>434</v>
      </c>
      <c r="I49" s="161" t="s">
        <v>1058</v>
      </c>
      <c r="J49" s="161" t="s">
        <v>78</v>
      </c>
      <c r="K49" s="68" t="str">
        <f t="shared" si="0"/>
        <v>&gt;</v>
      </c>
      <c r="L49" s="162">
        <v>450550</v>
      </c>
      <c r="M49" s="162"/>
      <c r="N49" s="162" t="s">
        <v>459</v>
      </c>
      <c r="O49" s="21"/>
      <c r="P49" s="21"/>
      <c r="Q49" s="21"/>
      <c r="R49" s="21"/>
      <c r="S49" s="21"/>
      <c r="T49" s="21"/>
      <c r="U49" s="21"/>
      <c r="V49" s="21"/>
      <c r="W49" s="21"/>
      <c r="X49" s="21"/>
      <c r="Y49" s="21"/>
      <c r="Z49" s="21"/>
      <c r="AA49" s="310">
        <f t="shared" si="1"/>
        <v>0</v>
      </c>
      <c r="AB49" s="17" t="str">
        <f t="shared" si="2"/>
        <v/>
      </c>
      <c r="AD49" s="21"/>
      <c r="AE49" s="17" t="str">
        <f t="shared" si="3"/>
        <v/>
      </c>
      <c r="AF49" s="50">
        <f t="shared" si="4"/>
        <v>0</v>
      </c>
      <c r="AG49" s="21"/>
      <c r="AH49" s="17" t="str">
        <f t="shared" si="5"/>
        <v/>
      </c>
      <c r="AI49" s="50">
        <f t="shared" si="6"/>
        <v>0</v>
      </c>
      <c r="AJ49" s="399">
        <f t="shared" si="7"/>
        <v>0</v>
      </c>
      <c r="AK49" s="400">
        <f t="shared" si="8"/>
        <v>0</v>
      </c>
      <c r="AL49" s="401">
        <f t="shared" si="9"/>
        <v>0</v>
      </c>
      <c r="AM49" s="402">
        <f t="shared" si="10"/>
        <v>0</v>
      </c>
      <c r="AN49" s="403">
        <f t="shared" si="11"/>
        <v>0</v>
      </c>
    </row>
    <row r="50" spans="1:40" x14ac:dyDescent="0.25">
      <c r="A50" s="6" t="s">
        <v>12</v>
      </c>
      <c r="B50" s="7" t="s">
        <v>22</v>
      </c>
      <c r="H50" s="15" t="s">
        <v>435</v>
      </c>
      <c r="I50" s="161" t="s">
        <v>1058</v>
      </c>
      <c r="J50" s="161" t="s">
        <v>78</v>
      </c>
      <c r="K50" s="68" t="str">
        <f t="shared" si="0"/>
        <v>&gt;</v>
      </c>
      <c r="L50" s="162">
        <v>450600</v>
      </c>
      <c r="M50" s="162"/>
      <c r="N50" s="162" t="s">
        <v>460</v>
      </c>
      <c r="O50" s="21"/>
      <c r="P50" s="21"/>
      <c r="Q50" s="21"/>
      <c r="R50" s="21"/>
      <c r="S50" s="21"/>
      <c r="T50" s="21"/>
      <c r="U50" s="21"/>
      <c r="V50" s="21"/>
      <c r="W50" s="21"/>
      <c r="X50" s="21"/>
      <c r="Y50" s="21"/>
      <c r="Z50" s="21"/>
      <c r="AA50" s="310">
        <f t="shared" si="1"/>
        <v>0</v>
      </c>
      <c r="AB50" s="17" t="str">
        <f t="shared" si="2"/>
        <v/>
      </c>
      <c r="AD50" s="21"/>
      <c r="AE50" s="17" t="str">
        <f t="shared" si="3"/>
        <v/>
      </c>
      <c r="AF50" s="50">
        <f t="shared" si="4"/>
        <v>0</v>
      </c>
      <c r="AG50" s="21"/>
      <c r="AH50" s="17" t="str">
        <f t="shared" si="5"/>
        <v/>
      </c>
      <c r="AI50" s="50">
        <f t="shared" si="6"/>
        <v>0</v>
      </c>
      <c r="AJ50" s="399">
        <f t="shared" si="7"/>
        <v>0</v>
      </c>
      <c r="AK50" s="400">
        <f t="shared" si="8"/>
        <v>0</v>
      </c>
      <c r="AL50" s="401">
        <f t="shared" si="9"/>
        <v>0</v>
      </c>
      <c r="AM50" s="402">
        <f t="shared" si="10"/>
        <v>0</v>
      </c>
      <c r="AN50" s="403">
        <f t="shared" si="11"/>
        <v>0</v>
      </c>
    </row>
    <row r="51" spans="1:40" x14ac:dyDescent="0.25">
      <c r="A51" s="6" t="s">
        <v>13</v>
      </c>
      <c r="B51" s="7" t="str">
        <f>"DEP(450000) AND "&amp;$E$6&amp;"=Y AND ID&lt;&gt;ALLOW_MOP"</f>
        <v>DEP(450000) AND D1138=Y AND ID&lt;&gt;ALLOW_MOP</v>
      </c>
      <c r="H51" s="15" t="s">
        <v>436</v>
      </c>
      <c r="I51" s="161" t="s">
        <v>1058</v>
      </c>
      <c r="J51" s="161" t="s">
        <v>78</v>
      </c>
      <c r="K51" s="68" t="str">
        <f t="shared" si="0"/>
        <v>&gt;</v>
      </c>
      <c r="L51" s="162">
        <v>450650</v>
      </c>
      <c r="M51" s="162"/>
      <c r="N51" s="162" t="s">
        <v>461</v>
      </c>
      <c r="O51" s="21"/>
      <c r="P51" s="21"/>
      <c r="Q51" s="21"/>
      <c r="R51" s="21"/>
      <c r="S51" s="21"/>
      <c r="T51" s="21"/>
      <c r="U51" s="21"/>
      <c r="V51" s="21"/>
      <c r="W51" s="21"/>
      <c r="X51" s="21"/>
      <c r="Y51" s="21"/>
      <c r="Z51" s="21"/>
      <c r="AA51" s="310">
        <f t="shared" si="1"/>
        <v>0</v>
      </c>
      <c r="AB51" s="17" t="str">
        <f t="shared" si="2"/>
        <v/>
      </c>
      <c r="AD51" s="21"/>
      <c r="AE51" s="17" t="str">
        <f t="shared" si="3"/>
        <v/>
      </c>
      <c r="AF51" s="50">
        <f t="shared" si="4"/>
        <v>0</v>
      </c>
      <c r="AG51" s="21"/>
      <c r="AH51" s="17" t="str">
        <f t="shared" si="5"/>
        <v/>
      </c>
      <c r="AI51" s="50">
        <f t="shared" si="6"/>
        <v>0</v>
      </c>
      <c r="AJ51" s="399">
        <f t="shared" si="7"/>
        <v>0</v>
      </c>
      <c r="AK51" s="400">
        <f t="shared" si="8"/>
        <v>0</v>
      </c>
      <c r="AL51" s="401">
        <f t="shared" si="9"/>
        <v>0</v>
      </c>
      <c r="AM51" s="402">
        <f t="shared" si="10"/>
        <v>0</v>
      </c>
      <c r="AN51" s="403">
        <f t="shared" si="11"/>
        <v>0</v>
      </c>
    </row>
    <row r="52" spans="1:40" x14ac:dyDescent="0.25">
      <c r="A52" s="6" t="s">
        <v>14</v>
      </c>
      <c r="B52" s="7"/>
      <c r="H52" s="15" t="s">
        <v>480</v>
      </c>
      <c r="I52" s="161" t="s">
        <v>1058</v>
      </c>
      <c r="J52" s="161" t="s">
        <v>78</v>
      </c>
      <c r="K52" s="68" t="str">
        <f t="shared" si="0"/>
        <v>&gt;</v>
      </c>
      <c r="L52" s="162"/>
      <c r="M52" s="162"/>
      <c r="N52" s="162" t="s">
        <v>1666</v>
      </c>
      <c r="O52" s="30"/>
      <c r="P52" s="30"/>
      <c r="Q52" s="30"/>
      <c r="R52" s="30"/>
      <c r="S52" s="30"/>
      <c r="T52" s="30"/>
      <c r="U52" s="30"/>
      <c r="V52" s="30"/>
      <c r="W52" s="30"/>
      <c r="X52" s="30"/>
      <c r="Y52" s="30"/>
      <c r="Z52" s="30"/>
      <c r="AA52" s="324">
        <f t="shared" si="1"/>
        <v>0</v>
      </c>
      <c r="AB52" s="31" t="str">
        <f t="shared" si="2"/>
        <v/>
      </c>
      <c r="AD52" s="30"/>
      <c r="AE52" s="31" t="str">
        <f t="shared" si="3"/>
        <v/>
      </c>
      <c r="AF52" s="51">
        <f t="shared" si="4"/>
        <v>0</v>
      </c>
      <c r="AG52" s="30"/>
      <c r="AH52" s="31" t="str">
        <f t="shared" si="5"/>
        <v/>
      </c>
      <c r="AI52" s="51">
        <f t="shared" si="6"/>
        <v>0</v>
      </c>
      <c r="AJ52" s="409">
        <f t="shared" si="7"/>
        <v>0</v>
      </c>
      <c r="AK52" s="410">
        <f t="shared" si="8"/>
        <v>0</v>
      </c>
      <c r="AL52" s="411">
        <f t="shared" si="9"/>
        <v>0</v>
      </c>
      <c r="AM52" s="412">
        <f t="shared" si="10"/>
        <v>0</v>
      </c>
      <c r="AN52" s="413">
        <f t="shared" si="11"/>
        <v>0</v>
      </c>
    </row>
    <row r="53" spans="1:40" x14ac:dyDescent="0.25">
      <c r="A53" s="6" t="s">
        <v>15</v>
      </c>
      <c r="B53" s="7"/>
      <c r="H53" s="15" t="s">
        <v>280</v>
      </c>
      <c r="I53" s="479" t="s">
        <v>1012</v>
      </c>
      <c r="J53" s="479" t="s">
        <v>78</v>
      </c>
      <c r="K53" s="480" t="str">
        <f t="shared" si="0"/>
        <v/>
      </c>
      <c r="L53" s="170">
        <v>400000</v>
      </c>
      <c r="M53" s="170"/>
      <c r="N53" s="170" t="s">
        <v>1003</v>
      </c>
      <c r="O53" s="134">
        <v>1876.85</v>
      </c>
      <c r="P53" s="134">
        <v>2263.09</v>
      </c>
      <c r="Q53" s="134">
        <v>1369.74</v>
      </c>
      <c r="R53" s="134">
        <v>2075.38</v>
      </c>
      <c r="S53" s="134">
        <v>1530.85</v>
      </c>
      <c r="T53" s="134">
        <v>1673.12</v>
      </c>
      <c r="U53" s="134">
        <v>1042.0899999999999</v>
      </c>
      <c r="V53" s="134">
        <v>785.26</v>
      </c>
      <c r="W53" s="134">
        <v>851.92</v>
      </c>
      <c r="X53" s="134">
        <v>1215.53</v>
      </c>
      <c r="Y53" s="134">
        <v>1518.73</v>
      </c>
      <c r="Z53" s="134">
        <v>-336.23</v>
      </c>
      <c r="AA53" s="134">
        <f t="shared" si="1"/>
        <v>15866.33</v>
      </c>
      <c r="AB53" s="135">
        <f t="shared" si="2"/>
        <v>1</v>
      </c>
      <c r="AC53" s="137"/>
      <c r="AD53" s="134">
        <v>25008.17</v>
      </c>
      <c r="AE53" s="135">
        <f t="shared" si="3"/>
        <v>1</v>
      </c>
      <c r="AF53" s="136">
        <f t="shared" si="4"/>
        <v>-9141.8399999999983</v>
      </c>
      <c r="AG53" s="134">
        <v>27966.42</v>
      </c>
      <c r="AH53" s="135">
        <f t="shared" si="5"/>
        <v>1</v>
      </c>
      <c r="AI53" s="136">
        <f t="shared" si="6"/>
        <v>-12100.089999999998</v>
      </c>
      <c r="AJ53" s="360">
        <f t="shared" si="7"/>
        <v>0.39779195707767134</v>
      </c>
      <c r="AK53" s="361">
        <f t="shared" si="8"/>
        <v>0.60621457833369685</v>
      </c>
      <c r="AL53" s="363">
        <f t="shared" si="9"/>
        <v>0.67692356102047724</v>
      </c>
      <c r="AM53" s="405" t="str">
        <f t="shared" si="10"/>
        <v>0 pts.</v>
      </c>
      <c r="AN53" s="406" t="str">
        <f t="shared" si="11"/>
        <v>0 pts.</v>
      </c>
    </row>
    <row r="54" spans="1:40" x14ac:dyDescent="0.25">
      <c r="A54" s="6" t="s">
        <v>16</v>
      </c>
      <c r="B54" s="7"/>
      <c r="O54" s="53"/>
      <c r="P54" s="54"/>
      <c r="Q54" s="54"/>
      <c r="R54" s="54"/>
      <c r="S54" s="54"/>
      <c r="T54" s="54"/>
      <c r="U54" s="54"/>
      <c r="V54" s="54"/>
      <c r="W54" s="54"/>
      <c r="X54" s="54"/>
      <c r="Y54" s="54"/>
      <c r="Z54" s="54"/>
      <c r="AA54" s="54"/>
      <c r="AB54" s="55"/>
      <c r="AD54" s="53"/>
      <c r="AE54" s="54"/>
      <c r="AF54" s="55"/>
      <c r="AG54" s="53"/>
      <c r="AH54" s="54"/>
      <c r="AI54" s="55"/>
    </row>
    <row r="55" spans="1:40" x14ac:dyDescent="0.25">
      <c r="A55" s="6" t="s">
        <v>17</v>
      </c>
      <c r="B55" s="7"/>
      <c r="H55" s="1" t="s">
        <v>281</v>
      </c>
      <c r="I55" s="11" t="s">
        <v>1011</v>
      </c>
      <c r="J55" s="11" t="s">
        <v>78</v>
      </c>
      <c r="N55" s="40" t="s">
        <v>1223</v>
      </c>
      <c r="O55" s="53"/>
      <c r="P55" s="54"/>
      <c r="Q55" s="54"/>
      <c r="R55" s="54"/>
      <c r="S55" s="54"/>
      <c r="T55" s="54"/>
      <c r="U55" s="54"/>
      <c r="V55" s="54"/>
      <c r="W55" s="54"/>
      <c r="X55" s="54"/>
      <c r="Y55" s="54"/>
      <c r="Z55" s="54"/>
      <c r="AA55" s="54"/>
      <c r="AB55" s="55"/>
      <c r="AD55" s="53"/>
      <c r="AE55" s="54"/>
      <c r="AF55" s="55"/>
      <c r="AG55" s="53"/>
      <c r="AH55" s="54"/>
      <c r="AI55" s="55"/>
    </row>
    <row r="56" spans="1:40" x14ac:dyDescent="0.25">
      <c r="G56" s="14"/>
      <c r="H56" s="15" t="s">
        <v>437</v>
      </c>
      <c r="I56" s="161" t="s">
        <v>1058</v>
      </c>
      <c r="J56" s="161" t="s">
        <v>78</v>
      </c>
      <c r="K56" s="68" t="str">
        <f t="shared" ref="K56:K74" si="12">IF(AND(I56&gt;="T5"),"&gt;","")</f>
        <v>&gt;</v>
      </c>
      <c r="L56" s="162">
        <v>510000</v>
      </c>
      <c r="M56" s="162"/>
      <c r="N56" s="162" t="s">
        <v>1668</v>
      </c>
      <c r="O56" s="21">
        <v>354</v>
      </c>
      <c r="P56" s="21">
        <v>166</v>
      </c>
      <c r="Q56" s="21">
        <v>74.489999999999995</v>
      </c>
      <c r="R56" s="21">
        <v>52</v>
      </c>
      <c r="S56" s="21">
        <v>22</v>
      </c>
      <c r="T56" s="21">
        <v>27.08</v>
      </c>
      <c r="U56" s="21">
        <v>21</v>
      </c>
      <c r="V56" s="21">
        <v>7.36</v>
      </c>
      <c r="W56" s="21">
        <v>41</v>
      </c>
      <c r="X56" s="21">
        <v>57</v>
      </c>
      <c r="Y56" s="21">
        <v>28</v>
      </c>
      <c r="Z56" s="21">
        <v>29.7</v>
      </c>
      <c r="AA56" s="310">
        <f t="shared" ref="AA56:AA74" si="13">IF($I56="B1","",SUM(O56:Z56))</f>
        <v>879.63000000000011</v>
      </c>
      <c r="AB56" s="17">
        <v>0.69717841008163595</v>
      </c>
      <c r="AD56" s="21">
        <v>2816.4938999999999</v>
      </c>
      <c r="AE56" s="17">
        <v>0.45800000000000002</v>
      </c>
      <c r="AF56" s="50">
        <f t="shared" ref="AF56:AF74" si="14">IF(AND($AA56="",AD56=""),"",$AA56-AD56)</f>
        <v>-1936.8638999999998</v>
      </c>
      <c r="AG56" s="21">
        <v>3133.9</v>
      </c>
      <c r="AH56" s="17">
        <v>0.53323010957598904</v>
      </c>
      <c r="AI56" s="50">
        <f t="shared" ref="AI56:AI74" si="15">IF(AND($AA56="",AG56=""),"",$AA56-AG56)</f>
        <v>-2254.27</v>
      </c>
      <c r="AJ56" s="399">
        <f t="shared" ref="AJ56:AJ74" si="16">IFERROR(AA56/AA$20,0)</f>
        <v>2.2053602767888484E-2</v>
      </c>
      <c r="AK56" s="400">
        <f t="shared" ref="AK56:AK74" si="17">IFERROR(AD56/AD$20,0)</f>
        <v>6.8273674641844223E-2</v>
      </c>
      <c r="AL56" s="401">
        <f t="shared" ref="AL56:AL74" si="18">IFERROR(AG56/AG$20,0)</f>
        <v>7.585564215520163E-2</v>
      </c>
      <c r="AM56" s="402" t="str">
        <f t="shared" ref="AM56:AM74" si="19">+IFERROR(ROUND(($AB56-AE56)*100,2)&amp;" pts.",0)</f>
        <v>23.92 pts.</v>
      </c>
      <c r="AN56" s="403" t="str">
        <f t="shared" ref="AN56:AN74" si="20">+IFERROR(ROUND(($AB56-AH56)*100,2)&amp;" pts.",0)</f>
        <v>16.39 pts.</v>
      </c>
    </row>
    <row r="57" spans="1:40" x14ac:dyDescent="0.25">
      <c r="A57" s="22" t="s">
        <v>92</v>
      </c>
      <c r="B57" s="23" t="s">
        <v>93</v>
      </c>
      <c r="C57" s="23" t="s">
        <v>94</v>
      </c>
      <c r="D57" s="23" t="s">
        <v>95</v>
      </c>
      <c r="E57" s="23" t="s">
        <v>96</v>
      </c>
      <c r="F57" s="24" t="s">
        <v>97</v>
      </c>
      <c r="H57" s="15" t="s">
        <v>438</v>
      </c>
      <c r="I57" s="161" t="s">
        <v>1009</v>
      </c>
      <c r="J57" s="161" t="s">
        <v>1009</v>
      </c>
      <c r="K57" s="68" t="str">
        <f t="shared" si="12"/>
        <v/>
      </c>
      <c r="L57" s="162">
        <v>550100</v>
      </c>
      <c r="M57" s="162">
        <v>306025</v>
      </c>
      <c r="N57" s="162" t="s">
        <v>1669</v>
      </c>
      <c r="O57" s="21"/>
      <c r="P57" s="21"/>
      <c r="Q57" s="21"/>
      <c r="R57" s="21"/>
      <c r="S57" s="21"/>
      <c r="T57" s="21"/>
      <c r="U57" s="21"/>
      <c r="V57" s="21"/>
      <c r="W57" s="21"/>
      <c r="X57" s="21"/>
      <c r="Y57" s="21"/>
      <c r="Z57" s="21"/>
      <c r="AA57" s="310">
        <f t="shared" si="13"/>
        <v>0</v>
      </c>
      <c r="AB57" s="17"/>
      <c r="AD57" s="21"/>
      <c r="AE57" s="17"/>
      <c r="AF57" s="50">
        <f t="shared" si="14"/>
        <v>0</v>
      </c>
      <c r="AG57" s="21"/>
      <c r="AH57" s="17"/>
      <c r="AI57" s="50">
        <f t="shared" si="15"/>
        <v>0</v>
      </c>
      <c r="AJ57" s="399">
        <f t="shared" si="16"/>
        <v>0</v>
      </c>
      <c r="AK57" s="400">
        <f t="shared" si="17"/>
        <v>0</v>
      </c>
      <c r="AL57" s="401">
        <f t="shared" si="18"/>
        <v>0</v>
      </c>
      <c r="AM57" s="402" t="str">
        <f t="shared" si="19"/>
        <v>0 pts.</v>
      </c>
      <c r="AN57" s="403" t="str">
        <f t="shared" si="20"/>
        <v>0 pts.</v>
      </c>
    </row>
    <row r="58" spans="1:40" x14ac:dyDescent="0.25">
      <c r="H58" s="15" t="s">
        <v>439</v>
      </c>
      <c r="I58" s="161" t="s">
        <v>1009</v>
      </c>
      <c r="J58" s="161" t="s">
        <v>1009</v>
      </c>
      <c r="K58" s="68" t="str">
        <f t="shared" si="12"/>
        <v/>
      </c>
      <c r="L58" s="162">
        <v>550150</v>
      </c>
      <c r="M58" s="162">
        <v>307065</v>
      </c>
      <c r="N58" s="162" t="s">
        <v>1670</v>
      </c>
      <c r="O58" s="21">
        <v>251.01</v>
      </c>
      <c r="P58" s="21">
        <v>871.35</v>
      </c>
      <c r="Q58" s="21">
        <v>1138.6199999999999</v>
      </c>
      <c r="R58" s="21">
        <v>1042.22</v>
      </c>
      <c r="S58" s="21">
        <v>695.65</v>
      </c>
      <c r="T58" s="21">
        <v>673.96</v>
      </c>
      <c r="U58" s="21">
        <v>435.03</v>
      </c>
      <c r="V58" s="21">
        <v>163.18</v>
      </c>
      <c r="W58" s="21">
        <v>383.49</v>
      </c>
      <c r="X58" s="21">
        <v>125.82</v>
      </c>
      <c r="Y58" s="21">
        <v>519.54999999999995</v>
      </c>
      <c r="Z58" s="21">
        <v>29.21</v>
      </c>
      <c r="AA58" s="310">
        <f t="shared" si="13"/>
        <v>6329.0899999999992</v>
      </c>
      <c r="AB58" s="17">
        <v>0.89183689861047899</v>
      </c>
      <c r="AD58" s="21">
        <v>6272.5410000000002</v>
      </c>
      <c r="AE58" s="17">
        <v>0.9</v>
      </c>
      <c r="AF58" s="50">
        <f t="shared" si="14"/>
        <v>56.548999999999069</v>
      </c>
      <c r="AG58" s="21">
        <v>8265.3799999999992</v>
      </c>
      <c r="AH58" s="17">
        <v>0.86986602679464098</v>
      </c>
      <c r="AI58" s="50">
        <f t="shared" si="15"/>
        <v>-1936.29</v>
      </c>
      <c r="AJ58" s="399">
        <f t="shared" si="16"/>
        <v>0.15867948653662939</v>
      </c>
      <c r="AK58" s="400">
        <f t="shared" si="17"/>
        <v>0.15205054177877972</v>
      </c>
      <c r="AL58" s="401">
        <f t="shared" si="18"/>
        <v>0.20006244856465119</v>
      </c>
      <c r="AM58" s="402" t="str">
        <f t="shared" si="19"/>
        <v>-0.82 pts.</v>
      </c>
      <c r="AN58" s="403" t="str">
        <f t="shared" si="20"/>
        <v>2.2 pts.</v>
      </c>
    </row>
    <row r="59" spans="1:40" x14ac:dyDescent="0.25">
      <c r="A59" s="1" t="s">
        <v>105</v>
      </c>
      <c r="C59" s="26" t="s">
        <v>101</v>
      </c>
      <c r="D59" s="1" t="s">
        <v>106</v>
      </c>
      <c r="F59" s="1" t="s">
        <v>98</v>
      </c>
      <c r="H59" s="15" t="s">
        <v>440</v>
      </c>
      <c r="I59" s="161" t="s">
        <v>1009</v>
      </c>
      <c r="J59" s="161" t="s">
        <v>1009</v>
      </c>
      <c r="K59" s="68" t="str">
        <f t="shared" si="12"/>
        <v/>
      </c>
      <c r="L59" s="162">
        <v>550200</v>
      </c>
      <c r="M59" s="162">
        <v>306099</v>
      </c>
      <c r="N59" s="162" t="s">
        <v>1671</v>
      </c>
      <c r="O59" s="21"/>
      <c r="P59" s="21"/>
      <c r="Q59" s="21"/>
      <c r="R59" s="21"/>
      <c r="S59" s="21"/>
      <c r="T59" s="21"/>
      <c r="U59" s="21"/>
      <c r="V59" s="21"/>
      <c r="W59" s="21"/>
      <c r="X59" s="21"/>
      <c r="Y59" s="21"/>
      <c r="Z59" s="21"/>
      <c r="AA59" s="310">
        <f t="shared" si="13"/>
        <v>0</v>
      </c>
      <c r="AB59" s="17"/>
      <c r="AD59" s="21"/>
      <c r="AE59" s="17"/>
      <c r="AF59" s="50">
        <f t="shared" si="14"/>
        <v>0</v>
      </c>
      <c r="AG59" s="21"/>
      <c r="AH59" s="17"/>
      <c r="AI59" s="50">
        <f t="shared" si="15"/>
        <v>0</v>
      </c>
      <c r="AJ59" s="399">
        <f t="shared" si="16"/>
        <v>0</v>
      </c>
      <c r="AK59" s="400">
        <f t="shared" si="17"/>
        <v>0</v>
      </c>
      <c r="AL59" s="401">
        <f t="shared" si="18"/>
        <v>0</v>
      </c>
      <c r="AM59" s="402" t="str">
        <f t="shared" si="19"/>
        <v>0 pts.</v>
      </c>
      <c r="AN59" s="403" t="str">
        <f t="shared" si="20"/>
        <v>0 pts.</v>
      </c>
    </row>
    <row r="60" spans="1:40" x14ac:dyDescent="0.25">
      <c r="A60" s="1" t="s">
        <v>104</v>
      </c>
      <c r="C60" s="26" t="s">
        <v>101</v>
      </c>
      <c r="D60" s="1" t="s">
        <v>106</v>
      </c>
      <c r="F60" s="1" t="s">
        <v>98</v>
      </c>
      <c r="H60" s="15" t="s">
        <v>441</v>
      </c>
      <c r="I60" s="161" t="s">
        <v>1009</v>
      </c>
      <c r="J60" s="161" t="s">
        <v>1009</v>
      </c>
      <c r="K60" s="68" t="str">
        <f t="shared" si="12"/>
        <v/>
      </c>
      <c r="L60" s="162">
        <v>550250</v>
      </c>
      <c r="M60" s="162">
        <v>306055</v>
      </c>
      <c r="N60" s="162" t="s">
        <v>1672</v>
      </c>
      <c r="O60" s="21"/>
      <c r="P60" s="21"/>
      <c r="Q60" s="21"/>
      <c r="R60" s="21"/>
      <c r="S60" s="21"/>
      <c r="T60" s="21"/>
      <c r="U60" s="21"/>
      <c r="V60" s="21"/>
      <c r="W60" s="21"/>
      <c r="X60" s="21"/>
      <c r="Y60" s="21"/>
      <c r="Z60" s="21"/>
      <c r="AA60" s="310">
        <f t="shared" si="13"/>
        <v>0</v>
      </c>
      <c r="AB60" s="17"/>
      <c r="AD60" s="21"/>
      <c r="AE60" s="17"/>
      <c r="AF60" s="50">
        <f t="shared" si="14"/>
        <v>0</v>
      </c>
      <c r="AG60" s="21"/>
      <c r="AH60" s="17"/>
      <c r="AI60" s="50">
        <f t="shared" si="15"/>
        <v>0</v>
      </c>
      <c r="AJ60" s="399">
        <f t="shared" si="16"/>
        <v>0</v>
      </c>
      <c r="AK60" s="400">
        <f t="shared" si="17"/>
        <v>0</v>
      </c>
      <c r="AL60" s="401">
        <f t="shared" si="18"/>
        <v>0</v>
      </c>
      <c r="AM60" s="402" t="str">
        <f t="shared" si="19"/>
        <v>0 pts.</v>
      </c>
      <c r="AN60" s="403" t="str">
        <f t="shared" si="20"/>
        <v>0 pts.</v>
      </c>
    </row>
    <row r="61" spans="1:40" x14ac:dyDescent="0.25">
      <c r="A61" s="1" t="s">
        <v>108</v>
      </c>
      <c r="C61" s="25" t="s">
        <v>101</v>
      </c>
      <c r="D61" s="1" t="s">
        <v>106</v>
      </c>
      <c r="F61" s="1" t="s">
        <v>98</v>
      </c>
      <c r="H61" s="15" t="s">
        <v>442</v>
      </c>
      <c r="I61" s="161" t="s">
        <v>1009</v>
      </c>
      <c r="J61" s="161" t="s">
        <v>1009</v>
      </c>
      <c r="K61" s="68" t="str">
        <f t="shared" si="12"/>
        <v/>
      </c>
      <c r="L61" s="162">
        <v>550300</v>
      </c>
      <c r="M61" s="162">
        <v>305015</v>
      </c>
      <c r="N61" s="162" t="s">
        <v>1673</v>
      </c>
      <c r="O61" s="21"/>
      <c r="P61" s="21"/>
      <c r="Q61" s="21"/>
      <c r="R61" s="21"/>
      <c r="S61" s="21"/>
      <c r="T61" s="21"/>
      <c r="U61" s="21"/>
      <c r="V61" s="21"/>
      <c r="W61" s="21"/>
      <c r="X61" s="21"/>
      <c r="Y61" s="21"/>
      <c r="Z61" s="21"/>
      <c r="AA61" s="310">
        <f t="shared" si="13"/>
        <v>0</v>
      </c>
      <c r="AB61" s="17"/>
      <c r="AD61" s="21"/>
      <c r="AE61" s="17"/>
      <c r="AF61" s="50">
        <f t="shared" si="14"/>
        <v>0</v>
      </c>
      <c r="AG61" s="21"/>
      <c r="AH61" s="17"/>
      <c r="AI61" s="50">
        <f t="shared" si="15"/>
        <v>0</v>
      </c>
      <c r="AJ61" s="399">
        <f t="shared" si="16"/>
        <v>0</v>
      </c>
      <c r="AK61" s="400">
        <f t="shared" si="17"/>
        <v>0</v>
      </c>
      <c r="AL61" s="401">
        <f t="shared" si="18"/>
        <v>0</v>
      </c>
      <c r="AM61" s="402" t="str">
        <f t="shared" si="19"/>
        <v>0 pts.</v>
      </c>
      <c r="AN61" s="403" t="str">
        <f t="shared" si="20"/>
        <v>0 pts.</v>
      </c>
    </row>
    <row r="62" spans="1:40" x14ac:dyDescent="0.25">
      <c r="A62" s="1" t="s">
        <v>108</v>
      </c>
      <c r="C62" s="151" t="s">
        <v>101</v>
      </c>
      <c r="D62" s="1" t="s">
        <v>107</v>
      </c>
      <c r="F62" s="1" t="s">
        <v>99</v>
      </c>
      <c r="H62" s="15" t="s">
        <v>443</v>
      </c>
      <c r="I62" s="161" t="s">
        <v>1009</v>
      </c>
      <c r="J62" s="161" t="s">
        <v>1009</v>
      </c>
      <c r="K62" s="68" t="str">
        <f t="shared" si="12"/>
        <v/>
      </c>
      <c r="L62" s="162">
        <v>550350</v>
      </c>
      <c r="M62" s="162">
        <v>306099</v>
      </c>
      <c r="N62" s="162" t="s">
        <v>1674</v>
      </c>
      <c r="O62" s="21"/>
      <c r="P62" s="21"/>
      <c r="Q62" s="21"/>
      <c r="R62" s="21"/>
      <c r="S62" s="21"/>
      <c r="T62" s="21"/>
      <c r="U62" s="21"/>
      <c r="V62" s="21"/>
      <c r="W62" s="21"/>
      <c r="X62" s="21"/>
      <c r="Y62" s="21"/>
      <c r="Z62" s="21"/>
      <c r="AA62" s="310">
        <f t="shared" si="13"/>
        <v>0</v>
      </c>
      <c r="AB62" s="17"/>
      <c r="AD62" s="21"/>
      <c r="AE62" s="17"/>
      <c r="AF62" s="50">
        <f t="shared" si="14"/>
        <v>0</v>
      </c>
      <c r="AG62" s="21"/>
      <c r="AH62" s="17"/>
      <c r="AI62" s="50">
        <f t="shared" si="15"/>
        <v>0</v>
      </c>
      <c r="AJ62" s="399">
        <f t="shared" si="16"/>
        <v>0</v>
      </c>
      <c r="AK62" s="400">
        <f t="shared" si="17"/>
        <v>0</v>
      </c>
      <c r="AL62" s="401">
        <f t="shared" si="18"/>
        <v>0</v>
      </c>
      <c r="AM62" s="402" t="str">
        <f t="shared" si="19"/>
        <v>0 pts.</v>
      </c>
      <c r="AN62" s="403" t="str">
        <f t="shared" si="20"/>
        <v>0 pts.</v>
      </c>
    </row>
    <row r="63" spans="1:40" x14ac:dyDescent="0.25">
      <c r="H63" s="15" t="s">
        <v>481</v>
      </c>
      <c r="I63" s="161" t="s">
        <v>1009</v>
      </c>
      <c r="J63" s="161" t="s">
        <v>1009</v>
      </c>
      <c r="K63" s="68" t="str">
        <f t="shared" si="12"/>
        <v/>
      </c>
      <c r="L63" s="162">
        <v>550375</v>
      </c>
      <c r="M63" s="162">
        <v>307005</v>
      </c>
      <c r="N63" s="162" t="s">
        <v>1675</v>
      </c>
      <c r="O63" s="21"/>
      <c r="P63" s="21"/>
      <c r="Q63" s="21"/>
      <c r="R63" s="21"/>
      <c r="S63" s="21"/>
      <c r="T63" s="21"/>
      <c r="U63" s="21"/>
      <c r="V63" s="21"/>
      <c r="W63" s="21"/>
      <c r="X63" s="21"/>
      <c r="Y63" s="21"/>
      <c r="Z63" s="21"/>
      <c r="AA63" s="310">
        <f t="shared" si="13"/>
        <v>0</v>
      </c>
      <c r="AB63" s="17"/>
      <c r="AD63" s="21"/>
      <c r="AE63" s="17"/>
      <c r="AF63" s="50">
        <f t="shared" si="14"/>
        <v>0</v>
      </c>
      <c r="AG63" s="21"/>
      <c r="AH63" s="17"/>
      <c r="AI63" s="50">
        <f t="shared" si="15"/>
        <v>0</v>
      </c>
      <c r="AJ63" s="399">
        <f t="shared" si="16"/>
        <v>0</v>
      </c>
      <c r="AK63" s="400">
        <f t="shared" si="17"/>
        <v>0</v>
      </c>
      <c r="AL63" s="401">
        <f t="shared" si="18"/>
        <v>0</v>
      </c>
      <c r="AM63" s="402" t="str">
        <f t="shared" si="19"/>
        <v>0 pts.</v>
      </c>
      <c r="AN63" s="403" t="str">
        <f t="shared" si="20"/>
        <v>0 pts.</v>
      </c>
    </row>
    <row r="64" spans="1:40" x14ac:dyDescent="0.25">
      <c r="C64" s="32"/>
      <c r="H64" s="15" t="s">
        <v>482</v>
      </c>
      <c r="I64" s="161" t="s">
        <v>1009</v>
      </c>
      <c r="J64" s="161" t="s">
        <v>1009</v>
      </c>
      <c r="K64" s="68" t="str">
        <f t="shared" si="12"/>
        <v/>
      </c>
      <c r="L64" s="162">
        <v>550380</v>
      </c>
      <c r="M64" s="162">
        <v>306020</v>
      </c>
      <c r="N64" s="162" t="s">
        <v>1676</v>
      </c>
      <c r="O64" s="21"/>
      <c r="P64" s="21"/>
      <c r="Q64" s="21"/>
      <c r="R64" s="21"/>
      <c r="S64" s="21"/>
      <c r="T64" s="21"/>
      <c r="U64" s="21"/>
      <c r="V64" s="21"/>
      <c r="W64" s="21"/>
      <c r="X64" s="21"/>
      <c r="Y64" s="21"/>
      <c r="Z64" s="21"/>
      <c r="AA64" s="310">
        <f t="shared" si="13"/>
        <v>0</v>
      </c>
      <c r="AB64" s="17"/>
      <c r="AD64" s="21"/>
      <c r="AE64" s="17"/>
      <c r="AF64" s="50">
        <f t="shared" si="14"/>
        <v>0</v>
      </c>
      <c r="AG64" s="21"/>
      <c r="AH64" s="17"/>
      <c r="AI64" s="50">
        <f t="shared" si="15"/>
        <v>0</v>
      </c>
      <c r="AJ64" s="399">
        <f t="shared" si="16"/>
        <v>0</v>
      </c>
      <c r="AK64" s="400">
        <f t="shared" si="17"/>
        <v>0</v>
      </c>
      <c r="AL64" s="401">
        <f t="shared" si="18"/>
        <v>0</v>
      </c>
      <c r="AM64" s="402" t="str">
        <f t="shared" si="19"/>
        <v>0 pts.</v>
      </c>
      <c r="AN64" s="403" t="str">
        <f t="shared" si="20"/>
        <v>0 pts.</v>
      </c>
    </row>
    <row r="65" spans="1:40" x14ac:dyDescent="0.25">
      <c r="A65" s="4" t="s">
        <v>988</v>
      </c>
      <c r="B65" s="1" t="s">
        <v>736</v>
      </c>
      <c r="H65" s="15" t="s">
        <v>483</v>
      </c>
      <c r="I65" s="161" t="s">
        <v>1009</v>
      </c>
      <c r="J65" s="161" t="s">
        <v>1009</v>
      </c>
      <c r="K65" s="68" t="str">
        <f t="shared" si="12"/>
        <v/>
      </c>
      <c r="L65" s="162">
        <v>550385</v>
      </c>
      <c r="M65" s="162">
        <v>306045</v>
      </c>
      <c r="N65" s="162" t="s">
        <v>1677</v>
      </c>
      <c r="O65" s="21"/>
      <c r="P65" s="21"/>
      <c r="Q65" s="21"/>
      <c r="R65" s="21"/>
      <c r="S65" s="21"/>
      <c r="T65" s="21"/>
      <c r="U65" s="21"/>
      <c r="V65" s="21"/>
      <c r="W65" s="21"/>
      <c r="X65" s="21"/>
      <c r="Y65" s="21"/>
      <c r="Z65" s="21"/>
      <c r="AA65" s="310">
        <f t="shared" si="13"/>
        <v>0</v>
      </c>
      <c r="AB65" s="17"/>
      <c r="AD65" s="21"/>
      <c r="AE65" s="17"/>
      <c r="AF65" s="50">
        <f t="shared" si="14"/>
        <v>0</v>
      </c>
      <c r="AG65" s="21"/>
      <c r="AH65" s="17"/>
      <c r="AI65" s="50">
        <f t="shared" si="15"/>
        <v>0</v>
      </c>
      <c r="AJ65" s="399">
        <f t="shared" si="16"/>
        <v>0</v>
      </c>
      <c r="AK65" s="400">
        <f t="shared" si="17"/>
        <v>0</v>
      </c>
      <c r="AL65" s="401">
        <f t="shared" si="18"/>
        <v>0</v>
      </c>
      <c r="AM65" s="402" t="str">
        <f t="shared" si="19"/>
        <v>0 pts.</v>
      </c>
      <c r="AN65" s="403" t="str">
        <f t="shared" si="20"/>
        <v>0 pts.</v>
      </c>
    </row>
    <row r="66" spans="1:40" x14ac:dyDescent="0.25">
      <c r="H66" s="15" t="s">
        <v>484</v>
      </c>
      <c r="I66" s="161" t="s">
        <v>1009</v>
      </c>
      <c r="J66" s="161" t="s">
        <v>1009</v>
      </c>
      <c r="K66" s="68" t="str">
        <f t="shared" si="12"/>
        <v/>
      </c>
      <c r="L66" s="162">
        <v>550390</v>
      </c>
      <c r="M66" s="162">
        <v>306015</v>
      </c>
      <c r="N66" s="162" t="s">
        <v>1678</v>
      </c>
      <c r="O66" s="21"/>
      <c r="P66" s="21"/>
      <c r="Q66" s="21"/>
      <c r="R66" s="21"/>
      <c r="S66" s="21"/>
      <c r="T66" s="21"/>
      <c r="U66" s="21"/>
      <c r="V66" s="21"/>
      <c r="W66" s="21"/>
      <c r="X66" s="21"/>
      <c r="Y66" s="21"/>
      <c r="Z66" s="21"/>
      <c r="AA66" s="310">
        <f t="shared" si="13"/>
        <v>0</v>
      </c>
      <c r="AB66" s="17"/>
      <c r="AD66" s="21"/>
      <c r="AE66" s="17"/>
      <c r="AF66" s="50">
        <f t="shared" si="14"/>
        <v>0</v>
      </c>
      <c r="AG66" s="21"/>
      <c r="AH66" s="17"/>
      <c r="AI66" s="50">
        <f t="shared" si="15"/>
        <v>0</v>
      </c>
      <c r="AJ66" s="399">
        <f t="shared" si="16"/>
        <v>0</v>
      </c>
      <c r="AK66" s="400">
        <f t="shared" si="17"/>
        <v>0</v>
      </c>
      <c r="AL66" s="401">
        <f t="shared" si="18"/>
        <v>0</v>
      </c>
      <c r="AM66" s="402" t="str">
        <f t="shared" si="19"/>
        <v>0 pts.</v>
      </c>
      <c r="AN66" s="403" t="str">
        <f t="shared" si="20"/>
        <v>0 pts.</v>
      </c>
    </row>
    <row r="67" spans="1:40" x14ac:dyDescent="0.25">
      <c r="A67" s="3" t="s">
        <v>0</v>
      </c>
      <c r="B67" s="5" t="s">
        <v>1</v>
      </c>
      <c r="H67" s="15" t="s">
        <v>485</v>
      </c>
      <c r="I67" s="161" t="s">
        <v>1009</v>
      </c>
      <c r="J67" s="161" t="s">
        <v>1009</v>
      </c>
      <c r="K67" s="68" t="str">
        <f t="shared" si="12"/>
        <v/>
      </c>
      <c r="L67" s="162">
        <v>550395</v>
      </c>
      <c r="M67" s="162">
        <v>307010</v>
      </c>
      <c r="N67" s="162" t="s">
        <v>1679</v>
      </c>
      <c r="O67" s="21"/>
      <c r="P67" s="21"/>
      <c r="Q67" s="21"/>
      <c r="R67" s="21"/>
      <c r="S67" s="21"/>
      <c r="T67" s="21"/>
      <c r="U67" s="21"/>
      <c r="V67" s="21"/>
      <c r="W67" s="21"/>
      <c r="X67" s="21"/>
      <c r="Y67" s="21"/>
      <c r="Z67" s="21"/>
      <c r="AA67" s="310">
        <f t="shared" si="13"/>
        <v>0</v>
      </c>
      <c r="AB67" s="17"/>
      <c r="AD67" s="21"/>
      <c r="AE67" s="17"/>
      <c r="AF67" s="50">
        <f t="shared" si="14"/>
        <v>0</v>
      </c>
      <c r="AG67" s="21"/>
      <c r="AH67" s="17"/>
      <c r="AI67" s="50">
        <f t="shared" si="15"/>
        <v>0</v>
      </c>
      <c r="AJ67" s="399">
        <f t="shared" si="16"/>
        <v>0</v>
      </c>
      <c r="AK67" s="400">
        <f t="shared" si="17"/>
        <v>0</v>
      </c>
      <c r="AL67" s="401">
        <f t="shared" si="18"/>
        <v>0</v>
      </c>
      <c r="AM67" s="402" t="str">
        <f t="shared" si="19"/>
        <v>0 pts.</v>
      </c>
      <c r="AN67" s="403" t="str">
        <f t="shared" si="20"/>
        <v>0 pts.</v>
      </c>
    </row>
    <row r="68" spans="1:40" x14ac:dyDescent="0.25">
      <c r="A68" s="6" t="s">
        <v>2</v>
      </c>
      <c r="B68" s="16" t="s">
        <v>1655</v>
      </c>
      <c r="H68" s="15" t="s">
        <v>444</v>
      </c>
      <c r="I68" s="161" t="s">
        <v>1009</v>
      </c>
      <c r="J68" s="161" t="s">
        <v>1009</v>
      </c>
      <c r="K68" s="68" t="str">
        <f t="shared" si="12"/>
        <v/>
      </c>
      <c r="L68" s="162">
        <v>550400</v>
      </c>
      <c r="M68" s="162">
        <v>307014</v>
      </c>
      <c r="N68" s="162" t="s">
        <v>1680</v>
      </c>
      <c r="O68" s="21"/>
      <c r="P68" s="21"/>
      <c r="Q68" s="21"/>
      <c r="R68" s="21"/>
      <c r="S68" s="21"/>
      <c r="T68" s="21"/>
      <c r="U68" s="21"/>
      <c r="V68" s="21"/>
      <c r="W68" s="21"/>
      <c r="X68" s="21"/>
      <c r="Y68" s="21"/>
      <c r="Z68" s="21"/>
      <c r="AA68" s="310">
        <f t="shared" si="13"/>
        <v>0</v>
      </c>
      <c r="AB68" s="17"/>
      <c r="AD68" s="21"/>
      <c r="AE68" s="17"/>
      <c r="AF68" s="50">
        <f t="shared" si="14"/>
        <v>0</v>
      </c>
      <c r="AG68" s="21"/>
      <c r="AH68" s="17"/>
      <c r="AI68" s="50">
        <f t="shared" si="15"/>
        <v>0</v>
      </c>
      <c r="AJ68" s="399">
        <f t="shared" si="16"/>
        <v>0</v>
      </c>
      <c r="AK68" s="400">
        <f t="shared" si="17"/>
        <v>0</v>
      </c>
      <c r="AL68" s="401">
        <f t="shared" si="18"/>
        <v>0</v>
      </c>
      <c r="AM68" s="402" t="str">
        <f t="shared" si="19"/>
        <v>0 pts.</v>
      </c>
      <c r="AN68" s="403" t="str">
        <f t="shared" si="20"/>
        <v>0 pts.</v>
      </c>
    </row>
    <row r="69" spans="1:40" x14ac:dyDescent="0.25">
      <c r="A69" s="6" t="s">
        <v>3</v>
      </c>
      <c r="B69" s="16" t="s">
        <v>1656</v>
      </c>
      <c r="H69" s="15" t="s">
        <v>445</v>
      </c>
      <c r="I69" s="161" t="s">
        <v>1009</v>
      </c>
      <c r="J69" s="161" t="s">
        <v>1009</v>
      </c>
      <c r="K69" s="68" t="str">
        <f t="shared" si="12"/>
        <v/>
      </c>
      <c r="L69" s="162">
        <v>550450</v>
      </c>
      <c r="M69" s="162">
        <v>307015</v>
      </c>
      <c r="N69" s="162" t="s">
        <v>1681</v>
      </c>
      <c r="O69" s="21"/>
      <c r="P69" s="21"/>
      <c r="Q69" s="21"/>
      <c r="R69" s="21"/>
      <c r="S69" s="21"/>
      <c r="T69" s="21"/>
      <c r="U69" s="21"/>
      <c r="V69" s="21"/>
      <c r="W69" s="21"/>
      <c r="X69" s="21"/>
      <c r="Y69" s="21"/>
      <c r="Z69" s="21"/>
      <c r="AA69" s="310">
        <f t="shared" si="13"/>
        <v>0</v>
      </c>
      <c r="AB69" s="17"/>
      <c r="AD69" s="21"/>
      <c r="AE69" s="17"/>
      <c r="AF69" s="50">
        <f t="shared" si="14"/>
        <v>0</v>
      </c>
      <c r="AG69" s="21"/>
      <c r="AH69" s="17"/>
      <c r="AI69" s="50">
        <f t="shared" si="15"/>
        <v>0</v>
      </c>
      <c r="AJ69" s="399">
        <f t="shared" si="16"/>
        <v>0</v>
      </c>
      <c r="AK69" s="400">
        <f t="shared" si="17"/>
        <v>0</v>
      </c>
      <c r="AL69" s="401">
        <f t="shared" si="18"/>
        <v>0</v>
      </c>
      <c r="AM69" s="402" t="str">
        <f t="shared" si="19"/>
        <v>0 pts.</v>
      </c>
      <c r="AN69" s="403" t="str">
        <f t="shared" si="20"/>
        <v>0 pts.</v>
      </c>
    </row>
    <row r="70" spans="1:40" x14ac:dyDescent="0.25">
      <c r="A70" s="6" t="s">
        <v>4</v>
      </c>
      <c r="B70" s="16" t="s">
        <v>1686</v>
      </c>
      <c r="H70" s="15" t="s">
        <v>446</v>
      </c>
      <c r="I70" s="161" t="s">
        <v>1009</v>
      </c>
      <c r="J70" s="161" t="s">
        <v>1009</v>
      </c>
      <c r="K70" s="68" t="str">
        <f t="shared" si="12"/>
        <v/>
      </c>
      <c r="L70" s="162">
        <v>550500</v>
      </c>
      <c r="M70" s="162">
        <v>307016</v>
      </c>
      <c r="N70" s="162" t="s">
        <v>1682</v>
      </c>
      <c r="O70" s="21"/>
      <c r="P70" s="21"/>
      <c r="Q70" s="21"/>
      <c r="R70" s="21"/>
      <c r="S70" s="21"/>
      <c r="T70" s="21"/>
      <c r="U70" s="21"/>
      <c r="V70" s="21"/>
      <c r="W70" s="21"/>
      <c r="X70" s="21"/>
      <c r="Y70" s="21"/>
      <c r="Z70" s="21"/>
      <c r="AA70" s="310">
        <f t="shared" si="13"/>
        <v>0</v>
      </c>
      <c r="AB70" s="17"/>
      <c r="AD70" s="21"/>
      <c r="AE70" s="17"/>
      <c r="AF70" s="50">
        <f t="shared" si="14"/>
        <v>0</v>
      </c>
      <c r="AG70" s="21"/>
      <c r="AH70" s="17"/>
      <c r="AI70" s="50">
        <f t="shared" si="15"/>
        <v>0</v>
      </c>
      <c r="AJ70" s="399">
        <f t="shared" si="16"/>
        <v>0</v>
      </c>
      <c r="AK70" s="400">
        <f t="shared" si="17"/>
        <v>0</v>
      </c>
      <c r="AL70" s="401">
        <f t="shared" si="18"/>
        <v>0</v>
      </c>
      <c r="AM70" s="402" t="str">
        <f t="shared" si="19"/>
        <v>0 pts.</v>
      </c>
      <c r="AN70" s="403" t="str">
        <f t="shared" si="20"/>
        <v>0 pts.</v>
      </c>
    </row>
    <row r="71" spans="1:40" x14ac:dyDescent="0.25">
      <c r="A71" s="6" t="s">
        <v>5</v>
      </c>
      <c r="B71" s="7"/>
      <c r="H71" s="15" t="s">
        <v>447</v>
      </c>
      <c r="I71" s="161" t="s">
        <v>1009</v>
      </c>
      <c r="J71" s="161" t="s">
        <v>1009</v>
      </c>
      <c r="K71" s="68" t="str">
        <f t="shared" si="12"/>
        <v/>
      </c>
      <c r="L71" s="162">
        <v>550550</v>
      </c>
      <c r="M71" s="162">
        <v>307017</v>
      </c>
      <c r="N71" s="162" t="s">
        <v>1683</v>
      </c>
      <c r="O71" s="21"/>
      <c r="P71" s="21"/>
      <c r="Q71" s="21"/>
      <c r="R71" s="21"/>
      <c r="S71" s="21"/>
      <c r="T71" s="21"/>
      <c r="U71" s="21"/>
      <c r="V71" s="21"/>
      <c r="W71" s="21"/>
      <c r="X71" s="21"/>
      <c r="Y71" s="21"/>
      <c r="Z71" s="21"/>
      <c r="AA71" s="310">
        <f t="shared" si="13"/>
        <v>0</v>
      </c>
      <c r="AB71" s="17"/>
      <c r="AD71" s="21"/>
      <c r="AE71" s="17"/>
      <c r="AF71" s="50">
        <f t="shared" si="14"/>
        <v>0</v>
      </c>
      <c r="AG71" s="21"/>
      <c r="AH71" s="17"/>
      <c r="AI71" s="50">
        <f t="shared" si="15"/>
        <v>0</v>
      </c>
      <c r="AJ71" s="399">
        <f t="shared" si="16"/>
        <v>0</v>
      </c>
      <c r="AK71" s="400">
        <f t="shared" si="17"/>
        <v>0</v>
      </c>
      <c r="AL71" s="401">
        <f t="shared" si="18"/>
        <v>0</v>
      </c>
      <c r="AM71" s="402" t="str">
        <f t="shared" si="19"/>
        <v>0 pts.</v>
      </c>
      <c r="AN71" s="403" t="str">
        <f t="shared" si="20"/>
        <v>0 pts.</v>
      </c>
    </row>
    <row r="72" spans="1:40" x14ac:dyDescent="0.25">
      <c r="A72" s="6" t="s">
        <v>6</v>
      </c>
      <c r="B72" s="7"/>
      <c r="H72" s="15" t="s">
        <v>448</v>
      </c>
      <c r="I72" s="161" t="s">
        <v>1009</v>
      </c>
      <c r="J72" s="161" t="s">
        <v>1009</v>
      </c>
      <c r="K72" s="68" t="str">
        <f t="shared" si="12"/>
        <v/>
      </c>
      <c r="L72" s="162">
        <v>550600</v>
      </c>
      <c r="M72" s="162">
        <v>307018</v>
      </c>
      <c r="N72" s="162" t="s">
        <v>1684</v>
      </c>
      <c r="O72" s="21"/>
      <c r="P72" s="21"/>
      <c r="Q72" s="21"/>
      <c r="R72" s="21"/>
      <c r="S72" s="21"/>
      <c r="T72" s="21"/>
      <c r="U72" s="21"/>
      <c r="V72" s="21"/>
      <c r="W72" s="21"/>
      <c r="X72" s="21"/>
      <c r="Y72" s="21"/>
      <c r="Z72" s="21"/>
      <c r="AA72" s="310">
        <f t="shared" si="13"/>
        <v>0</v>
      </c>
      <c r="AB72" s="17"/>
      <c r="AD72" s="21"/>
      <c r="AE72" s="17"/>
      <c r="AF72" s="50">
        <f t="shared" si="14"/>
        <v>0</v>
      </c>
      <c r="AG72" s="21"/>
      <c r="AH72" s="17"/>
      <c r="AI72" s="50">
        <f t="shared" si="15"/>
        <v>0</v>
      </c>
      <c r="AJ72" s="399">
        <f t="shared" si="16"/>
        <v>0</v>
      </c>
      <c r="AK72" s="400">
        <f t="shared" si="17"/>
        <v>0</v>
      </c>
      <c r="AL72" s="401">
        <f t="shared" si="18"/>
        <v>0</v>
      </c>
      <c r="AM72" s="402" t="str">
        <f t="shared" si="19"/>
        <v>0 pts.</v>
      </c>
      <c r="AN72" s="403" t="str">
        <f t="shared" si="20"/>
        <v>0 pts.</v>
      </c>
    </row>
    <row r="73" spans="1:40" x14ac:dyDescent="0.25">
      <c r="A73" s="6" t="s">
        <v>7</v>
      </c>
      <c r="B73" s="7"/>
      <c r="H73" s="15" t="s">
        <v>449</v>
      </c>
      <c r="I73" s="161" t="s">
        <v>1009</v>
      </c>
      <c r="J73" s="161" t="s">
        <v>1009</v>
      </c>
      <c r="K73" s="68" t="str">
        <f t="shared" si="12"/>
        <v/>
      </c>
      <c r="L73" s="162">
        <v>550650</v>
      </c>
      <c r="M73" s="162">
        <v>307019</v>
      </c>
      <c r="N73" s="162" t="s">
        <v>1685</v>
      </c>
      <c r="O73" s="30"/>
      <c r="P73" s="30"/>
      <c r="Q73" s="30"/>
      <c r="R73" s="30"/>
      <c r="S73" s="30"/>
      <c r="T73" s="30"/>
      <c r="U73" s="30"/>
      <c r="V73" s="30"/>
      <c r="W73" s="30"/>
      <c r="X73" s="30"/>
      <c r="Y73" s="30"/>
      <c r="Z73" s="30"/>
      <c r="AA73" s="324">
        <f t="shared" si="13"/>
        <v>0</v>
      </c>
      <c r="AB73" s="31"/>
      <c r="AD73" s="30"/>
      <c r="AE73" s="31"/>
      <c r="AF73" s="51">
        <f t="shared" si="14"/>
        <v>0</v>
      </c>
      <c r="AG73" s="30"/>
      <c r="AH73" s="31"/>
      <c r="AI73" s="51">
        <f t="shared" si="15"/>
        <v>0</v>
      </c>
      <c r="AJ73" s="409">
        <f t="shared" si="16"/>
        <v>0</v>
      </c>
      <c r="AK73" s="410">
        <f t="shared" si="17"/>
        <v>0</v>
      </c>
      <c r="AL73" s="411">
        <f t="shared" si="18"/>
        <v>0</v>
      </c>
      <c r="AM73" s="412" t="str">
        <f t="shared" si="19"/>
        <v>0 pts.</v>
      </c>
      <c r="AN73" s="413" t="str">
        <f t="shared" si="20"/>
        <v>0 pts.</v>
      </c>
    </row>
    <row r="74" spans="1:40" x14ac:dyDescent="0.25">
      <c r="A74" s="6" t="s">
        <v>47</v>
      </c>
      <c r="B74" s="16" t="s">
        <v>1659</v>
      </c>
      <c r="H74" s="15" t="s">
        <v>289</v>
      </c>
      <c r="I74" s="479" t="s">
        <v>1012</v>
      </c>
      <c r="J74" s="479" t="s">
        <v>78</v>
      </c>
      <c r="K74" s="480" t="str">
        <f t="shared" si="12"/>
        <v/>
      </c>
      <c r="L74" s="170">
        <v>500001</v>
      </c>
      <c r="M74" s="170"/>
      <c r="N74" s="170" t="s">
        <v>1232</v>
      </c>
      <c r="O74" s="134">
        <v>605.01</v>
      </c>
      <c r="P74" s="134">
        <v>1037.3499999999999</v>
      </c>
      <c r="Q74" s="134">
        <v>1213.1099999999999</v>
      </c>
      <c r="R74" s="134">
        <v>1094.22</v>
      </c>
      <c r="S74" s="134">
        <v>717.65</v>
      </c>
      <c r="T74" s="134">
        <v>701.04</v>
      </c>
      <c r="U74" s="134">
        <v>456.03</v>
      </c>
      <c r="V74" s="134">
        <v>170.54</v>
      </c>
      <c r="W74" s="134">
        <v>424.49</v>
      </c>
      <c r="X74" s="134">
        <v>182.82</v>
      </c>
      <c r="Y74" s="134">
        <v>547.54999999999995</v>
      </c>
      <c r="Z74" s="134">
        <v>58.91</v>
      </c>
      <c r="AA74" s="134">
        <f t="shared" si="13"/>
        <v>7208.7199999999984</v>
      </c>
      <c r="AB74" s="135">
        <v>0.45434073286008803</v>
      </c>
      <c r="AC74" s="137"/>
      <c r="AD74" s="134">
        <v>9089.0349000000006</v>
      </c>
      <c r="AE74" s="135">
        <v>0.36344262295082003</v>
      </c>
      <c r="AF74" s="136">
        <f t="shared" si="14"/>
        <v>-1880.3149000000021</v>
      </c>
      <c r="AG74" s="134">
        <v>11399.28</v>
      </c>
      <c r="AH74" s="135">
        <v>0.40760597888467698</v>
      </c>
      <c r="AI74" s="136">
        <f t="shared" si="15"/>
        <v>-4190.5600000000022</v>
      </c>
      <c r="AJ74" s="360">
        <f t="shared" si="16"/>
        <v>0.18073308930451784</v>
      </c>
      <c r="AK74" s="361">
        <f t="shared" si="17"/>
        <v>0.22032421642062397</v>
      </c>
      <c r="AL74" s="363">
        <f t="shared" si="18"/>
        <v>0.27591809071985285</v>
      </c>
      <c r="AM74" s="405" t="str">
        <f t="shared" si="19"/>
        <v>9.09 pts.</v>
      </c>
      <c r="AN74" s="406" t="str">
        <f t="shared" si="20"/>
        <v>4.67 pts.</v>
      </c>
    </row>
    <row r="75" spans="1:40" x14ac:dyDescent="0.25">
      <c r="A75" s="6" t="s">
        <v>8</v>
      </c>
      <c r="B75" s="7"/>
      <c r="I75" s="1"/>
      <c r="J75" s="1"/>
      <c r="O75" s="53"/>
      <c r="P75" s="54"/>
      <c r="Q75" s="54"/>
      <c r="R75" s="54"/>
      <c r="S75" s="54"/>
      <c r="T75" s="54"/>
      <c r="U75" s="54"/>
      <c r="V75" s="54"/>
      <c r="W75" s="54"/>
      <c r="X75" s="54"/>
      <c r="Y75" s="54"/>
      <c r="Z75" s="54"/>
      <c r="AA75" s="54"/>
      <c r="AB75" s="55"/>
      <c r="AD75" s="53"/>
      <c r="AE75" s="54"/>
      <c r="AF75" s="55"/>
      <c r="AG75" s="53"/>
      <c r="AH75" s="54"/>
      <c r="AI75" s="55"/>
    </row>
    <row r="76" spans="1:40" x14ac:dyDescent="0.25">
      <c r="H76" s="1" t="s">
        <v>81</v>
      </c>
      <c r="I76" s="1" t="s">
        <v>1012</v>
      </c>
      <c r="J76" s="1" t="s">
        <v>78</v>
      </c>
      <c r="N76" s="40" t="s">
        <v>1118</v>
      </c>
      <c r="O76" s="53"/>
      <c r="P76" s="54"/>
      <c r="Q76" s="54"/>
      <c r="R76" s="54"/>
      <c r="S76" s="54"/>
      <c r="T76" s="54"/>
      <c r="U76" s="54"/>
      <c r="V76" s="54"/>
      <c r="W76" s="54"/>
      <c r="X76" s="54"/>
      <c r="Y76" s="54"/>
      <c r="Z76" s="54"/>
      <c r="AA76" s="54"/>
      <c r="AB76" s="55"/>
      <c r="AD76" s="53"/>
      <c r="AE76" s="54"/>
      <c r="AF76" s="55"/>
      <c r="AG76" s="53"/>
      <c r="AH76" s="54"/>
      <c r="AI76" s="55"/>
    </row>
    <row r="77" spans="1:40" x14ac:dyDescent="0.25">
      <c r="G77" s="1" t="s">
        <v>450</v>
      </c>
      <c r="H77" s="15" t="s">
        <v>424</v>
      </c>
      <c r="I77" s="161" t="s">
        <v>1058</v>
      </c>
      <c r="J77" s="161" t="s">
        <v>78</v>
      </c>
      <c r="K77" s="162"/>
      <c r="L77" s="162"/>
      <c r="M77" s="162"/>
      <c r="N77" s="162" t="str">
        <f t="shared" ref="N77:N94" si="21">G77</f>
        <v>Guest Communication</v>
      </c>
      <c r="O77" s="21">
        <f t="shared" ref="O77:Z77" si="22">IFERROR(O34-O56,"")</f>
        <v>39.370000000000005</v>
      </c>
      <c r="P77" s="21">
        <f t="shared" si="22"/>
        <v>195.45999999999998</v>
      </c>
      <c r="Q77" s="21">
        <f t="shared" si="22"/>
        <v>-191.63</v>
      </c>
      <c r="R77" s="21">
        <f t="shared" si="22"/>
        <v>60.81</v>
      </c>
      <c r="S77" s="21">
        <f t="shared" si="22"/>
        <v>26.9</v>
      </c>
      <c r="T77" s="21">
        <f t="shared" si="22"/>
        <v>32.050000000000004</v>
      </c>
      <c r="U77" s="21">
        <f t="shared" si="22"/>
        <v>24.93</v>
      </c>
      <c r="V77" s="21">
        <f t="shared" si="22"/>
        <v>8.6999999999999993</v>
      </c>
      <c r="W77" s="21">
        <f t="shared" si="22"/>
        <v>49.260000000000005</v>
      </c>
      <c r="X77" s="21">
        <f t="shared" si="22"/>
        <v>67.22</v>
      </c>
      <c r="Y77" s="21">
        <f t="shared" si="22"/>
        <v>32.32</v>
      </c>
      <c r="Z77" s="21">
        <f t="shared" si="22"/>
        <v>36.679999999999993</v>
      </c>
      <c r="AA77" s="310">
        <f t="shared" ref="AA77:AA96" si="23">IF($I77="B1","",SUM(O77:Z77))</f>
        <v>382.07000000000005</v>
      </c>
      <c r="AB77" s="17">
        <f t="shared" ref="AB77:AB94" si="24">IF(AA77=0,"",IFERROR(AA77/AA34,""))</f>
        <v>0.30282158991836422</v>
      </c>
      <c r="AD77" s="21">
        <f t="shared" ref="AD77:AD94" si="25">IFERROR(AD34-AD56,"")</f>
        <v>3333.0561000000002</v>
      </c>
      <c r="AE77" s="17">
        <f t="shared" ref="AE77:AE94" si="26">IF(AD77=0,"",IFERROR(AD77/AD34,""))</f>
        <v>0.54200000000000004</v>
      </c>
      <c r="AF77" s="50">
        <f t="shared" ref="AF77:AF96" si="27">IF(AND($AA77="",AD77=""),"",$AA77-AD77)</f>
        <v>-2950.9861000000001</v>
      </c>
      <c r="AG77" s="21">
        <f t="shared" ref="AG77:AG94" si="28">IFERROR(AG34-AG56,"")</f>
        <v>2743.2999999999997</v>
      </c>
      <c r="AH77" s="17">
        <f t="shared" ref="AH77:AH94" si="29">IF(AG77=0,"",IFERROR(AG77/AG34,""))</f>
        <v>0.4667698904240114</v>
      </c>
      <c r="AI77" s="50">
        <f t="shared" ref="AI77:AI96" si="30">IF(AND($AA77="",AG77=""),"",$AA77-AG77)</f>
        <v>-2361.2299999999996</v>
      </c>
      <c r="AJ77" s="399">
        <f t="shared" ref="AJ77:AJ96" si="31">IFERROR(AA77/AA$20,0)</f>
        <v>9.5790502933360087E-3</v>
      </c>
      <c r="AK77" s="400">
        <f t="shared" ref="AK77:AK96" si="32">IFERROR(AD77/AD$20,0)</f>
        <v>8.0795483964802572E-2</v>
      </c>
      <c r="AL77" s="401">
        <f t="shared" ref="AL77:AL96" si="33">IFERROR(AG77/AG$20,0)</f>
        <v>6.6401219925448993E-2</v>
      </c>
      <c r="AM77" s="402" t="str">
        <f t="shared" ref="AM77:AM96" si="34">+IFERROR(ROUND(($AB77-AE77)*100,2)&amp;" pts.",0)</f>
        <v>-23.92 pts.</v>
      </c>
      <c r="AN77" s="403" t="str">
        <f t="shared" ref="AN77:AN96" si="35">+IFERROR(ROUND(($AB77-AH77)*100,2)&amp;" pts.",0)</f>
        <v>-16.39 pts.</v>
      </c>
    </row>
    <row r="78" spans="1:40" x14ac:dyDescent="0.25">
      <c r="A78" s="3" t="s">
        <v>23</v>
      </c>
      <c r="B78" s="5" t="s">
        <v>24</v>
      </c>
      <c r="G78" s="1" t="s">
        <v>451</v>
      </c>
      <c r="H78" s="15" t="s">
        <v>425</v>
      </c>
      <c r="I78" s="161" t="s">
        <v>1058</v>
      </c>
      <c r="J78" s="161" t="s">
        <v>78</v>
      </c>
      <c r="K78" s="162"/>
      <c r="L78" s="162"/>
      <c r="M78" s="162"/>
      <c r="N78" s="162" t="str">
        <f t="shared" si="21"/>
        <v>Movie</v>
      </c>
      <c r="O78" s="21">
        <f t="shared" ref="O78:Z78" si="36">IFERROR(O35-O57,"")</f>
        <v>0</v>
      </c>
      <c r="P78" s="21">
        <f t="shared" si="36"/>
        <v>0</v>
      </c>
      <c r="Q78" s="21">
        <f t="shared" si="36"/>
        <v>0</v>
      </c>
      <c r="R78" s="21">
        <f t="shared" si="36"/>
        <v>0</v>
      </c>
      <c r="S78" s="21">
        <f t="shared" si="36"/>
        <v>0</v>
      </c>
      <c r="T78" s="21">
        <f t="shared" si="36"/>
        <v>0</v>
      </c>
      <c r="U78" s="21">
        <f t="shared" si="36"/>
        <v>0</v>
      </c>
      <c r="V78" s="21">
        <f t="shared" si="36"/>
        <v>0</v>
      </c>
      <c r="W78" s="21">
        <f t="shared" si="36"/>
        <v>0</v>
      </c>
      <c r="X78" s="21">
        <f t="shared" si="36"/>
        <v>0</v>
      </c>
      <c r="Y78" s="21">
        <f t="shared" si="36"/>
        <v>0</v>
      </c>
      <c r="Z78" s="21">
        <f t="shared" si="36"/>
        <v>0</v>
      </c>
      <c r="AA78" s="310">
        <f t="shared" si="23"/>
        <v>0</v>
      </c>
      <c r="AB78" s="17" t="str">
        <f t="shared" si="24"/>
        <v/>
      </c>
      <c r="AD78" s="21">
        <f t="shared" si="25"/>
        <v>0</v>
      </c>
      <c r="AE78" s="17" t="str">
        <f t="shared" si="26"/>
        <v/>
      </c>
      <c r="AF78" s="50">
        <f t="shared" si="27"/>
        <v>0</v>
      </c>
      <c r="AG78" s="21">
        <f t="shared" si="28"/>
        <v>0</v>
      </c>
      <c r="AH78" s="17" t="str">
        <f t="shared" si="29"/>
        <v/>
      </c>
      <c r="AI78" s="50">
        <f t="shared" si="30"/>
        <v>0</v>
      </c>
      <c r="AJ78" s="399">
        <f t="shared" si="31"/>
        <v>0</v>
      </c>
      <c r="AK78" s="400">
        <f t="shared" si="32"/>
        <v>0</v>
      </c>
      <c r="AL78" s="401">
        <f t="shared" si="33"/>
        <v>0</v>
      </c>
      <c r="AM78" s="402">
        <f t="shared" si="34"/>
        <v>0</v>
      </c>
      <c r="AN78" s="403">
        <f t="shared" si="35"/>
        <v>0</v>
      </c>
    </row>
    <row r="79" spans="1:40" x14ac:dyDescent="0.25">
      <c r="A79" s="6" t="s">
        <v>25</v>
      </c>
      <c r="B79" s="7"/>
      <c r="G79" s="1" t="s">
        <v>452</v>
      </c>
      <c r="H79" s="15" t="s">
        <v>426</v>
      </c>
      <c r="I79" s="161" t="s">
        <v>1058</v>
      </c>
      <c r="J79" s="161" t="s">
        <v>78</v>
      </c>
      <c r="K79" s="162"/>
      <c r="L79" s="162"/>
      <c r="M79" s="162"/>
      <c r="N79" s="162" t="str">
        <f t="shared" si="21"/>
        <v>Guest Laundry</v>
      </c>
      <c r="O79" s="21">
        <f t="shared" ref="O79:Z79" si="37">IFERROR(O36-O58,"")</f>
        <v>157.47000000000003</v>
      </c>
      <c r="P79" s="21">
        <f t="shared" si="37"/>
        <v>215.28000000000009</v>
      </c>
      <c r="Q79" s="21">
        <f t="shared" si="37"/>
        <v>-456.7399999999999</v>
      </c>
      <c r="R79" s="21">
        <f t="shared" si="37"/>
        <v>115.34999999999991</v>
      </c>
      <c r="S79" s="21">
        <f t="shared" si="37"/>
        <v>121.30000000000007</v>
      </c>
      <c r="T79" s="21">
        <f t="shared" si="37"/>
        <v>190.02999999999997</v>
      </c>
      <c r="U79" s="21">
        <f t="shared" si="37"/>
        <v>106.13</v>
      </c>
      <c r="V79" s="21">
        <f t="shared" si="37"/>
        <v>46.019999999999982</v>
      </c>
      <c r="W79" s="21">
        <f t="shared" si="37"/>
        <v>108.17000000000002</v>
      </c>
      <c r="X79" s="21">
        <f t="shared" si="37"/>
        <v>35.490000000000009</v>
      </c>
      <c r="Y79" s="21">
        <f t="shared" si="37"/>
        <v>120.86000000000001</v>
      </c>
      <c r="Z79" s="21">
        <f t="shared" si="37"/>
        <v>8.240000000000002</v>
      </c>
      <c r="AA79" s="310">
        <f t="shared" si="23"/>
        <v>767.60000000000025</v>
      </c>
      <c r="AB79" s="17">
        <f t="shared" si="24"/>
        <v>0.10816310138952107</v>
      </c>
      <c r="AD79" s="21">
        <f t="shared" si="25"/>
        <v>696.94899999999961</v>
      </c>
      <c r="AE79" s="17">
        <f t="shared" si="26"/>
        <v>9.999999999999995E-2</v>
      </c>
      <c r="AF79" s="50">
        <f t="shared" si="27"/>
        <v>70.651000000000636</v>
      </c>
      <c r="AG79" s="21">
        <f t="shared" si="28"/>
        <v>1236.5200000000004</v>
      </c>
      <c r="AH79" s="17">
        <f t="shared" si="29"/>
        <v>0.13013397320535897</v>
      </c>
      <c r="AI79" s="50">
        <f t="shared" si="30"/>
        <v>-468.92000000000019</v>
      </c>
      <c r="AJ79" s="399">
        <f t="shared" si="31"/>
        <v>1.9244847816276393E-2</v>
      </c>
      <c r="AK79" s="400">
        <f t="shared" si="32"/>
        <v>1.6894504642086628E-2</v>
      </c>
      <c r="AL79" s="401">
        <f t="shared" si="33"/>
        <v>2.9929805876942453E-2</v>
      </c>
      <c r="AM79" s="402" t="str">
        <f t="shared" si="34"/>
        <v>0.82 pts.</v>
      </c>
      <c r="AN79" s="403" t="str">
        <f t="shared" si="35"/>
        <v>-2.2 pts.</v>
      </c>
    </row>
    <row r="80" spans="1:40" x14ac:dyDescent="0.25">
      <c r="A80" s="6" t="s">
        <v>26</v>
      </c>
      <c r="B80" s="7"/>
      <c r="G80" s="1" t="s">
        <v>453</v>
      </c>
      <c r="H80" s="15" t="s">
        <v>427</v>
      </c>
      <c r="I80" s="161" t="s">
        <v>1058</v>
      </c>
      <c r="J80" s="161" t="s">
        <v>78</v>
      </c>
      <c r="K80" s="162"/>
      <c r="L80" s="162"/>
      <c r="M80" s="162"/>
      <c r="N80" s="162" t="str">
        <f t="shared" si="21"/>
        <v>In Room Fax</v>
      </c>
      <c r="O80" s="21">
        <f t="shared" ref="O80:Z80" si="38">IFERROR(O37-O59,"")</f>
        <v>0</v>
      </c>
      <c r="P80" s="21">
        <f t="shared" si="38"/>
        <v>0</v>
      </c>
      <c r="Q80" s="21">
        <f t="shared" si="38"/>
        <v>0</v>
      </c>
      <c r="R80" s="21">
        <f t="shared" si="38"/>
        <v>0</v>
      </c>
      <c r="S80" s="21">
        <f t="shared" si="38"/>
        <v>0</v>
      </c>
      <c r="T80" s="21">
        <f t="shared" si="38"/>
        <v>0</v>
      </c>
      <c r="U80" s="21">
        <f t="shared" si="38"/>
        <v>0</v>
      </c>
      <c r="V80" s="21">
        <f t="shared" si="38"/>
        <v>0</v>
      </c>
      <c r="W80" s="21">
        <f t="shared" si="38"/>
        <v>0</v>
      </c>
      <c r="X80" s="21">
        <f t="shared" si="38"/>
        <v>0</v>
      </c>
      <c r="Y80" s="21">
        <f t="shared" si="38"/>
        <v>0</v>
      </c>
      <c r="Z80" s="21">
        <f t="shared" si="38"/>
        <v>0</v>
      </c>
      <c r="AA80" s="310">
        <f t="shared" si="23"/>
        <v>0</v>
      </c>
      <c r="AB80" s="17" t="str">
        <f t="shared" si="24"/>
        <v/>
      </c>
      <c r="AD80" s="21">
        <f t="shared" si="25"/>
        <v>0</v>
      </c>
      <c r="AE80" s="17" t="str">
        <f t="shared" si="26"/>
        <v/>
      </c>
      <c r="AF80" s="50">
        <f t="shared" si="27"/>
        <v>0</v>
      </c>
      <c r="AG80" s="21">
        <f t="shared" si="28"/>
        <v>0</v>
      </c>
      <c r="AH80" s="17" t="str">
        <f t="shared" si="29"/>
        <v/>
      </c>
      <c r="AI80" s="50">
        <f t="shared" si="30"/>
        <v>0</v>
      </c>
      <c r="AJ80" s="399">
        <f t="shared" si="31"/>
        <v>0</v>
      </c>
      <c r="AK80" s="400">
        <f t="shared" si="32"/>
        <v>0</v>
      </c>
      <c r="AL80" s="401">
        <f t="shared" si="33"/>
        <v>0</v>
      </c>
      <c r="AM80" s="402">
        <f t="shared" si="34"/>
        <v>0</v>
      </c>
      <c r="AN80" s="403">
        <f t="shared" si="35"/>
        <v>0</v>
      </c>
    </row>
    <row r="81" spans="1:40" x14ac:dyDescent="0.25">
      <c r="A81" s="6" t="s">
        <v>27</v>
      </c>
      <c r="B81" s="7"/>
      <c r="G81" s="1" t="s">
        <v>454</v>
      </c>
      <c r="H81" s="15" t="s">
        <v>428</v>
      </c>
      <c r="I81" s="161" t="s">
        <v>1058</v>
      </c>
      <c r="J81" s="161" t="s">
        <v>78</v>
      </c>
      <c r="K81" s="162"/>
      <c r="L81" s="162"/>
      <c r="M81" s="162"/>
      <c r="N81" s="162" t="str">
        <f t="shared" si="21"/>
        <v>In Room Items</v>
      </c>
      <c r="O81" s="21">
        <f t="shared" ref="O81:Z81" si="39">IFERROR(O38-O60,"")</f>
        <v>1075</v>
      </c>
      <c r="P81" s="21">
        <f t="shared" si="39"/>
        <v>815</v>
      </c>
      <c r="Q81" s="21">
        <f t="shared" si="39"/>
        <v>805</v>
      </c>
      <c r="R81" s="21">
        <f t="shared" si="39"/>
        <v>805</v>
      </c>
      <c r="S81" s="21">
        <f t="shared" si="39"/>
        <v>665</v>
      </c>
      <c r="T81" s="21">
        <f t="shared" si="39"/>
        <v>750</v>
      </c>
      <c r="U81" s="21">
        <f t="shared" si="39"/>
        <v>455</v>
      </c>
      <c r="V81" s="21">
        <f t="shared" si="39"/>
        <v>560</v>
      </c>
      <c r="W81" s="21">
        <f t="shared" si="39"/>
        <v>270</v>
      </c>
      <c r="X81" s="21">
        <f t="shared" si="39"/>
        <v>930</v>
      </c>
      <c r="Y81" s="21">
        <f t="shared" si="39"/>
        <v>818</v>
      </c>
      <c r="Z81" s="21">
        <f t="shared" si="39"/>
        <v>-440.06</v>
      </c>
      <c r="AA81" s="310">
        <f t="shared" si="23"/>
        <v>7507.94</v>
      </c>
      <c r="AB81" s="17">
        <f t="shared" si="24"/>
        <v>1</v>
      </c>
      <c r="AD81" s="21">
        <f t="shared" si="25"/>
        <v>11889.13</v>
      </c>
      <c r="AE81" s="17">
        <f t="shared" si="26"/>
        <v>1</v>
      </c>
      <c r="AF81" s="50">
        <f t="shared" si="27"/>
        <v>-4381.1899999999996</v>
      </c>
      <c r="AG81" s="21">
        <f t="shared" si="28"/>
        <v>12587.32</v>
      </c>
      <c r="AH81" s="17">
        <f t="shared" si="29"/>
        <v>1</v>
      </c>
      <c r="AI81" s="50">
        <f t="shared" si="30"/>
        <v>-5079.38</v>
      </c>
      <c r="AJ81" s="399">
        <f t="shared" si="31"/>
        <v>0.18823496966354109</v>
      </c>
      <c r="AK81" s="400">
        <f t="shared" si="32"/>
        <v>0.28820037330618375</v>
      </c>
      <c r="AL81" s="401">
        <f t="shared" si="33"/>
        <v>0.30467444449823305</v>
      </c>
      <c r="AM81" s="402" t="str">
        <f t="shared" si="34"/>
        <v>0 pts.</v>
      </c>
      <c r="AN81" s="403" t="str">
        <f t="shared" si="35"/>
        <v>0 pts.</v>
      </c>
    </row>
    <row r="82" spans="1:40" x14ac:dyDescent="0.25">
      <c r="A82" s="6" t="s">
        <v>28</v>
      </c>
      <c r="B82" s="7"/>
      <c r="G82" s="1" t="s">
        <v>455</v>
      </c>
      <c r="H82" s="15" t="s">
        <v>429</v>
      </c>
      <c r="I82" s="161" t="s">
        <v>1058</v>
      </c>
      <c r="J82" s="161" t="s">
        <v>78</v>
      </c>
      <c r="K82" s="162"/>
      <c r="L82" s="162"/>
      <c r="M82" s="162"/>
      <c r="N82" s="162" t="str">
        <f t="shared" si="21"/>
        <v>Massage</v>
      </c>
      <c r="O82" s="21">
        <f t="shared" ref="O82:Z82" si="40">IFERROR(O39-O61,"")</f>
        <v>0</v>
      </c>
      <c r="P82" s="21">
        <f t="shared" si="40"/>
        <v>0</v>
      </c>
      <c r="Q82" s="21">
        <f t="shared" si="40"/>
        <v>0</v>
      </c>
      <c r="R82" s="21">
        <f t="shared" si="40"/>
        <v>0</v>
      </c>
      <c r="S82" s="21">
        <f t="shared" si="40"/>
        <v>0</v>
      </c>
      <c r="T82" s="21">
        <f t="shared" si="40"/>
        <v>0</v>
      </c>
      <c r="U82" s="21">
        <f t="shared" si="40"/>
        <v>0</v>
      </c>
      <c r="V82" s="21">
        <f t="shared" si="40"/>
        <v>0</v>
      </c>
      <c r="W82" s="21">
        <f t="shared" si="40"/>
        <v>0</v>
      </c>
      <c r="X82" s="21">
        <f t="shared" si="40"/>
        <v>0</v>
      </c>
      <c r="Y82" s="21">
        <f t="shared" si="40"/>
        <v>0</v>
      </c>
      <c r="Z82" s="21">
        <f t="shared" si="40"/>
        <v>0</v>
      </c>
      <c r="AA82" s="310">
        <f t="shared" si="23"/>
        <v>0</v>
      </c>
      <c r="AB82" s="17" t="str">
        <f t="shared" si="24"/>
        <v/>
      </c>
      <c r="AD82" s="21">
        <f t="shared" si="25"/>
        <v>0</v>
      </c>
      <c r="AE82" s="17" t="str">
        <f t="shared" si="26"/>
        <v/>
      </c>
      <c r="AF82" s="50">
        <f t="shared" si="27"/>
        <v>0</v>
      </c>
      <c r="AG82" s="21">
        <f t="shared" si="28"/>
        <v>0</v>
      </c>
      <c r="AH82" s="17" t="str">
        <f t="shared" si="29"/>
        <v/>
      </c>
      <c r="AI82" s="50">
        <f t="shared" si="30"/>
        <v>0</v>
      </c>
      <c r="AJ82" s="399">
        <f t="shared" si="31"/>
        <v>0</v>
      </c>
      <c r="AK82" s="400">
        <f t="shared" si="32"/>
        <v>0</v>
      </c>
      <c r="AL82" s="401">
        <f t="shared" si="33"/>
        <v>0</v>
      </c>
      <c r="AM82" s="402">
        <f t="shared" si="34"/>
        <v>0</v>
      </c>
      <c r="AN82" s="403">
        <f t="shared" si="35"/>
        <v>0</v>
      </c>
    </row>
    <row r="83" spans="1:40" x14ac:dyDescent="0.25">
      <c r="A83" s="6" t="s">
        <v>29</v>
      </c>
      <c r="B83" s="7"/>
      <c r="G83" s="1" t="s">
        <v>487</v>
      </c>
      <c r="H83" s="15" t="s">
        <v>430</v>
      </c>
      <c r="I83" s="161" t="s">
        <v>1058</v>
      </c>
      <c r="J83" s="161" t="s">
        <v>78</v>
      </c>
      <c r="K83" s="162"/>
      <c r="L83" s="162"/>
      <c r="M83" s="162"/>
      <c r="N83" s="162" t="str">
        <f t="shared" si="21"/>
        <v>Gym Pass</v>
      </c>
      <c r="O83" s="21">
        <f t="shared" ref="O83:Z83" si="41">IFERROR(O40-O62,"")</f>
        <v>0</v>
      </c>
      <c r="P83" s="21">
        <f t="shared" si="41"/>
        <v>0</v>
      </c>
      <c r="Q83" s="21">
        <f t="shared" si="41"/>
        <v>0</v>
      </c>
      <c r="R83" s="21">
        <f t="shared" si="41"/>
        <v>0</v>
      </c>
      <c r="S83" s="21">
        <f t="shared" si="41"/>
        <v>0</v>
      </c>
      <c r="T83" s="21">
        <f t="shared" si="41"/>
        <v>0</v>
      </c>
      <c r="U83" s="21">
        <f t="shared" si="41"/>
        <v>0</v>
      </c>
      <c r="V83" s="21">
        <f t="shared" si="41"/>
        <v>0</v>
      </c>
      <c r="W83" s="21">
        <f t="shared" si="41"/>
        <v>0</v>
      </c>
      <c r="X83" s="21">
        <f t="shared" si="41"/>
        <v>0</v>
      </c>
      <c r="Y83" s="21">
        <f t="shared" si="41"/>
        <v>0</v>
      </c>
      <c r="Z83" s="21">
        <f t="shared" si="41"/>
        <v>0</v>
      </c>
      <c r="AA83" s="310">
        <f t="shared" si="23"/>
        <v>0</v>
      </c>
      <c r="AB83" s="17" t="str">
        <f t="shared" si="24"/>
        <v/>
      </c>
      <c r="AD83" s="21">
        <f t="shared" si="25"/>
        <v>0</v>
      </c>
      <c r="AE83" s="17" t="str">
        <f t="shared" si="26"/>
        <v/>
      </c>
      <c r="AF83" s="50">
        <f t="shared" si="27"/>
        <v>0</v>
      </c>
      <c r="AG83" s="21">
        <f t="shared" si="28"/>
        <v>0</v>
      </c>
      <c r="AH83" s="17" t="str">
        <f t="shared" si="29"/>
        <v/>
      </c>
      <c r="AI83" s="50">
        <f t="shared" si="30"/>
        <v>0</v>
      </c>
      <c r="AJ83" s="399">
        <f t="shared" si="31"/>
        <v>0</v>
      </c>
      <c r="AK83" s="400">
        <f t="shared" si="32"/>
        <v>0</v>
      </c>
      <c r="AL83" s="401">
        <f t="shared" si="33"/>
        <v>0</v>
      </c>
      <c r="AM83" s="402">
        <f t="shared" si="34"/>
        <v>0</v>
      </c>
      <c r="AN83" s="403">
        <f t="shared" si="35"/>
        <v>0</v>
      </c>
    </row>
    <row r="84" spans="1:40" x14ac:dyDescent="0.25">
      <c r="A84" s="6" t="s">
        <v>30</v>
      </c>
      <c r="B84" s="7" t="s">
        <v>78</v>
      </c>
      <c r="G84" s="1" t="s">
        <v>488</v>
      </c>
      <c r="H84" s="15" t="s">
        <v>475</v>
      </c>
      <c r="I84" s="161" t="s">
        <v>1009</v>
      </c>
      <c r="J84" s="161" t="s">
        <v>1009</v>
      </c>
      <c r="K84" s="162"/>
      <c r="L84" s="162"/>
      <c r="M84" s="162"/>
      <c r="N84" s="162" t="str">
        <f t="shared" si="21"/>
        <v>Shared Facilities &amp; Services</v>
      </c>
      <c r="O84" s="21">
        <f t="shared" ref="O84:Z84" si="42">IFERROR(O41-O63,"")</f>
        <v>0</v>
      </c>
      <c r="P84" s="21">
        <f t="shared" si="42"/>
        <v>0</v>
      </c>
      <c r="Q84" s="21">
        <f t="shared" si="42"/>
        <v>0</v>
      </c>
      <c r="R84" s="21">
        <f t="shared" si="42"/>
        <v>0</v>
      </c>
      <c r="S84" s="21">
        <f t="shared" si="42"/>
        <v>0</v>
      </c>
      <c r="T84" s="21">
        <f t="shared" si="42"/>
        <v>0</v>
      </c>
      <c r="U84" s="21">
        <f t="shared" si="42"/>
        <v>0</v>
      </c>
      <c r="V84" s="21">
        <f t="shared" si="42"/>
        <v>0</v>
      </c>
      <c r="W84" s="21">
        <f t="shared" si="42"/>
        <v>0</v>
      </c>
      <c r="X84" s="21">
        <f t="shared" si="42"/>
        <v>0</v>
      </c>
      <c r="Y84" s="21">
        <f t="shared" si="42"/>
        <v>0</v>
      </c>
      <c r="Z84" s="21">
        <f t="shared" si="42"/>
        <v>0</v>
      </c>
      <c r="AA84" s="310">
        <f t="shared" si="23"/>
        <v>0</v>
      </c>
      <c r="AB84" s="17" t="str">
        <f t="shared" si="24"/>
        <v/>
      </c>
      <c r="AD84" s="21">
        <f t="shared" si="25"/>
        <v>0</v>
      </c>
      <c r="AE84" s="17" t="str">
        <f t="shared" si="26"/>
        <v/>
      </c>
      <c r="AF84" s="50">
        <f t="shared" si="27"/>
        <v>0</v>
      </c>
      <c r="AG84" s="21">
        <f t="shared" si="28"/>
        <v>0</v>
      </c>
      <c r="AH84" s="17" t="str">
        <f t="shared" si="29"/>
        <v/>
      </c>
      <c r="AI84" s="50">
        <f t="shared" si="30"/>
        <v>0</v>
      </c>
      <c r="AJ84" s="399">
        <f t="shared" si="31"/>
        <v>0</v>
      </c>
      <c r="AK84" s="400">
        <f t="shared" si="32"/>
        <v>0</v>
      </c>
      <c r="AL84" s="401">
        <f t="shared" si="33"/>
        <v>0</v>
      </c>
      <c r="AM84" s="402">
        <f t="shared" si="34"/>
        <v>0</v>
      </c>
      <c r="AN84" s="403">
        <f t="shared" si="35"/>
        <v>0</v>
      </c>
    </row>
    <row r="85" spans="1:40" x14ac:dyDescent="0.25">
      <c r="A85" s="6" t="s">
        <v>31</v>
      </c>
      <c r="B85" s="7" t="s">
        <v>78</v>
      </c>
      <c r="G85" s="1" t="s">
        <v>489</v>
      </c>
      <c r="H85" s="15" t="s">
        <v>476</v>
      </c>
      <c r="I85" s="161" t="s">
        <v>1058</v>
      </c>
      <c r="J85" s="161" t="s">
        <v>78</v>
      </c>
      <c r="K85" s="162"/>
      <c r="L85" s="162"/>
      <c r="M85" s="162"/>
      <c r="N85" s="162" t="str">
        <f t="shared" si="21"/>
        <v>Retail Kiosk</v>
      </c>
      <c r="O85" s="21">
        <f t="shared" ref="O85:Z85" si="43">IFERROR(O42-O64,"")</f>
        <v>0</v>
      </c>
      <c r="P85" s="21">
        <f t="shared" si="43"/>
        <v>0</v>
      </c>
      <c r="Q85" s="21">
        <f t="shared" si="43"/>
        <v>0</v>
      </c>
      <c r="R85" s="21">
        <f t="shared" si="43"/>
        <v>0</v>
      </c>
      <c r="S85" s="21">
        <f t="shared" si="43"/>
        <v>0</v>
      </c>
      <c r="T85" s="21">
        <f t="shared" si="43"/>
        <v>0</v>
      </c>
      <c r="U85" s="21">
        <f t="shared" si="43"/>
        <v>0</v>
      </c>
      <c r="V85" s="21">
        <f t="shared" si="43"/>
        <v>0</v>
      </c>
      <c r="W85" s="21">
        <f t="shared" si="43"/>
        <v>0</v>
      </c>
      <c r="X85" s="21">
        <f t="shared" si="43"/>
        <v>0</v>
      </c>
      <c r="Y85" s="21">
        <f t="shared" si="43"/>
        <v>0</v>
      </c>
      <c r="Z85" s="21">
        <f t="shared" si="43"/>
        <v>0</v>
      </c>
      <c r="AA85" s="310">
        <f t="shared" si="23"/>
        <v>0</v>
      </c>
      <c r="AB85" s="17" t="str">
        <f t="shared" si="24"/>
        <v/>
      </c>
      <c r="AD85" s="21">
        <f t="shared" si="25"/>
        <v>0</v>
      </c>
      <c r="AE85" s="17" t="str">
        <f t="shared" si="26"/>
        <v/>
      </c>
      <c r="AF85" s="50">
        <f t="shared" si="27"/>
        <v>0</v>
      </c>
      <c r="AG85" s="21">
        <f t="shared" si="28"/>
        <v>0</v>
      </c>
      <c r="AH85" s="17" t="str">
        <f t="shared" si="29"/>
        <v/>
      </c>
      <c r="AI85" s="50">
        <f t="shared" si="30"/>
        <v>0</v>
      </c>
      <c r="AJ85" s="399">
        <f t="shared" si="31"/>
        <v>0</v>
      </c>
      <c r="AK85" s="400">
        <f t="shared" si="32"/>
        <v>0</v>
      </c>
      <c r="AL85" s="401">
        <f t="shared" si="33"/>
        <v>0</v>
      </c>
      <c r="AM85" s="402">
        <f t="shared" si="34"/>
        <v>0</v>
      </c>
      <c r="AN85" s="403">
        <f t="shared" si="35"/>
        <v>0</v>
      </c>
    </row>
    <row r="86" spans="1:40" x14ac:dyDescent="0.25">
      <c r="A86" s="6" t="s">
        <v>32</v>
      </c>
      <c r="B86" s="7"/>
      <c r="G86" s="1" t="s">
        <v>490</v>
      </c>
      <c r="H86" s="15" t="s">
        <v>477</v>
      </c>
      <c r="I86" s="161" t="s">
        <v>1058</v>
      </c>
      <c r="J86" s="161" t="s">
        <v>78</v>
      </c>
      <c r="K86" s="162"/>
      <c r="L86" s="162"/>
      <c r="M86" s="162"/>
      <c r="N86" s="162" t="str">
        <f t="shared" si="21"/>
        <v>Vending Machines</v>
      </c>
      <c r="O86" s="21">
        <f t="shared" ref="O86:Z86" si="44">IFERROR(O43-O65,"")</f>
        <v>0</v>
      </c>
      <c r="P86" s="21">
        <f t="shared" si="44"/>
        <v>0</v>
      </c>
      <c r="Q86" s="21">
        <f t="shared" si="44"/>
        <v>0</v>
      </c>
      <c r="R86" s="21">
        <f t="shared" si="44"/>
        <v>0</v>
      </c>
      <c r="S86" s="21">
        <f t="shared" si="44"/>
        <v>0</v>
      </c>
      <c r="T86" s="21">
        <f t="shared" si="44"/>
        <v>0</v>
      </c>
      <c r="U86" s="21">
        <f t="shared" si="44"/>
        <v>0</v>
      </c>
      <c r="V86" s="21">
        <f t="shared" si="44"/>
        <v>0</v>
      </c>
      <c r="W86" s="21">
        <f t="shared" si="44"/>
        <v>0</v>
      </c>
      <c r="X86" s="21">
        <f t="shared" si="44"/>
        <v>0</v>
      </c>
      <c r="Y86" s="21">
        <f t="shared" si="44"/>
        <v>0</v>
      </c>
      <c r="Z86" s="21">
        <f t="shared" si="44"/>
        <v>0</v>
      </c>
      <c r="AA86" s="310">
        <f t="shared" si="23"/>
        <v>0</v>
      </c>
      <c r="AB86" s="17" t="str">
        <f t="shared" si="24"/>
        <v/>
      </c>
      <c r="AD86" s="21">
        <f t="shared" si="25"/>
        <v>0</v>
      </c>
      <c r="AE86" s="17" t="str">
        <f t="shared" si="26"/>
        <v/>
      </c>
      <c r="AF86" s="50">
        <f t="shared" si="27"/>
        <v>0</v>
      </c>
      <c r="AG86" s="21">
        <f t="shared" si="28"/>
        <v>0</v>
      </c>
      <c r="AH86" s="17" t="str">
        <f t="shared" si="29"/>
        <v/>
      </c>
      <c r="AI86" s="50">
        <f t="shared" si="30"/>
        <v>0</v>
      </c>
      <c r="AJ86" s="399">
        <f t="shared" si="31"/>
        <v>0</v>
      </c>
      <c r="AK86" s="400">
        <f t="shared" si="32"/>
        <v>0</v>
      </c>
      <c r="AL86" s="401">
        <f t="shared" si="33"/>
        <v>0</v>
      </c>
      <c r="AM86" s="402">
        <f t="shared" si="34"/>
        <v>0</v>
      </c>
      <c r="AN86" s="403">
        <f t="shared" si="35"/>
        <v>0</v>
      </c>
    </row>
    <row r="87" spans="1:40" x14ac:dyDescent="0.25">
      <c r="A87" s="6" t="s">
        <v>33</v>
      </c>
      <c r="B87" s="7"/>
      <c r="G87" s="1" t="s">
        <v>491</v>
      </c>
      <c r="H87" s="15" t="s">
        <v>478</v>
      </c>
      <c r="I87" s="161" t="s">
        <v>1058</v>
      </c>
      <c r="J87" s="161" t="s">
        <v>78</v>
      </c>
      <c r="K87" s="162"/>
      <c r="L87" s="162"/>
      <c r="M87" s="162"/>
      <c r="N87" s="162" t="str">
        <f t="shared" si="21"/>
        <v>Laundry Machines</v>
      </c>
      <c r="O87" s="21">
        <f t="shared" ref="O87:Z87" si="45">IFERROR(O44-O66,"")</f>
        <v>0</v>
      </c>
      <c r="P87" s="21">
        <f t="shared" si="45"/>
        <v>0</v>
      </c>
      <c r="Q87" s="21">
        <f t="shared" si="45"/>
        <v>0</v>
      </c>
      <c r="R87" s="21">
        <f t="shared" si="45"/>
        <v>0</v>
      </c>
      <c r="S87" s="21">
        <f t="shared" si="45"/>
        <v>0</v>
      </c>
      <c r="T87" s="21">
        <f t="shared" si="45"/>
        <v>0</v>
      </c>
      <c r="U87" s="21">
        <f t="shared" si="45"/>
        <v>0</v>
      </c>
      <c r="V87" s="21">
        <f t="shared" si="45"/>
        <v>0</v>
      </c>
      <c r="W87" s="21">
        <f t="shared" si="45"/>
        <v>0</v>
      </c>
      <c r="X87" s="21">
        <f t="shared" si="45"/>
        <v>0</v>
      </c>
      <c r="Y87" s="21">
        <f t="shared" si="45"/>
        <v>0</v>
      </c>
      <c r="Z87" s="21">
        <f t="shared" si="45"/>
        <v>0</v>
      </c>
      <c r="AA87" s="310">
        <f t="shared" si="23"/>
        <v>0</v>
      </c>
      <c r="AB87" s="17" t="str">
        <f t="shared" si="24"/>
        <v/>
      </c>
      <c r="AD87" s="21">
        <f t="shared" si="25"/>
        <v>0</v>
      </c>
      <c r="AE87" s="17" t="str">
        <f t="shared" si="26"/>
        <v/>
      </c>
      <c r="AF87" s="50">
        <f t="shared" si="27"/>
        <v>0</v>
      </c>
      <c r="AG87" s="21">
        <f t="shared" si="28"/>
        <v>0</v>
      </c>
      <c r="AH87" s="17" t="str">
        <f t="shared" si="29"/>
        <v/>
      </c>
      <c r="AI87" s="50">
        <f t="shared" si="30"/>
        <v>0</v>
      </c>
      <c r="AJ87" s="399">
        <f t="shared" si="31"/>
        <v>0</v>
      </c>
      <c r="AK87" s="400">
        <f t="shared" si="32"/>
        <v>0</v>
      </c>
      <c r="AL87" s="401">
        <f t="shared" si="33"/>
        <v>0</v>
      </c>
      <c r="AM87" s="402">
        <f t="shared" si="34"/>
        <v>0</v>
      </c>
      <c r="AN87" s="403">
        <f t="shared" si="35"/>
        <v>0</v>
      </c>
    </row>
    <row r="88" spans="1:40" x14ac:dyDescent="0.25">
      <c r="A88" s="6" t="s">
        <v>34</v>
      </c>
      <c r="B88" s="7"/>
      <c r="G88" s="1" t="s">
        <v>492</v>
      </c>
      <c r="H88" s="15" t="s">
        <v>479</v>
      </c>
      <c r="I88" s="161" t="s">
        <v>1058</v>
      </c>
      <c r="J88" s="161" t="s">
        <v>78</v>
      </c>
      <c r="K88" s="162"/>
      <c r="L88" s="162"/>
      <c r="M88" s="162"/>
      <c r="N88" s="162" t="str">
        <f t="shared" si="21"/>
        <v>Occasional F&amp;B</v>
      </c>
      <c r="O88" s="21">
        <f t="shared" ref="O88:Z88" si="46">IFERROR(O45-O67,"")</f>
        <v>0</v>
      </c>
      <c r="P88" s="21">
        <f t="shared" si="46"/>
        <v>0</v>
      </c>
      <c r="Q88" s="21">
        <f t="shared" si="46"/>
        <v>0</v>
      </c>
      <c r="R88" s="21">
        <f t="shared" si="46"/>
        <v>0</v>
      </c>
      <c r="S88" s="21">
        <f t="shared" si="46"/>
        <v>0</v>
      </c>
      <c r="T88" s="21">
        <f t="shared" si="46"/>
        <v>0</v>
      </c>
      <c r="U88" s="21">
        <f t="shared" si="46"/>
        <v>0</v>
      </c>
      <c r="V88" s="21">
        <f t="shared" si="46"/>
        <v>0</v>
      </c>
      <c r="W88" s="21">
        <f t="shared" si="46"/>
        <v>0</v>
      </c>
      <c r="X88" s="21">
        <f t="shared" si="46"/>
        <v>0</v>
      </c>
      <c r="Y88" s="21">
        <f t="shared" si="46"/>
        <v>0</v>
      </c>
      <c r="Z88" s="21">
        <f t="shared" si="46"/>
        <v>0</v>
      </c>
      <c r="AA88" s="310">
        <f t="shared" si="23"/>
        <v>0</v>
      </c>
      <c r="AB88" s="17" t="str">
        <f t="shared" si="24"/>
        <v/>
      </c>
      <c r="AD88" s="21">
        <f t="shared" si="25"/>
        <v>0</v>
      </c>
      <c r="AE88" s="17" t="str">
        <f t="shared" si="26"/>
        <v/>
      </c>
      <c r="AF88" s="50">
        <f t="shared" si="27"/>
        <v>0</v>
      </c>
      <c r="AG88" s="21">
        <f t="shared" si="28"/>
        <v>0</v>
      </c>
      <c r="AH88" s="17" t="str">
        <f t="shared" si="29"/>
        <v/>
      </c>
      <c r="AI88" s="50">
        <f t="shared" si="30"/>
        <v>0</v>
      </c>
      <c r="AJ88" s="399">
        <f t="shared" si="31"/>
        <v>0</v>
      </c>
      <c r="AK88" s="400">
        <f t="shared" si="32"/>
        <v>0</v>
      </c>
      <c r="AL88" s="401">
        <f t="shared" si="33"/>
        <v>0</v>
      </c>
      <c r="AM88" s="402">
        <f t="shared" si="34"/>
        <v>0</v>
      </c>
      <c r="AN88" s="403">
        <f t="shared" si="35"/>
        <v>0</v>
      </c>
    </row>
    <row r="89" spans="1:40" x14ac:dyDescent="0.25">
      <c r="A89" s="6" t="s">
        <v>35</v>
      </c>
      <c r="B89" s="7"/>
      <c r="G89" s="1" t="s">
        <v>456</v>
      </c>
      <c r="H89" s="15" t="s">
        <v>431</v>
      </c>
      <c r="I89" s="161" t="s">
        <v>1058</v>
      </c>
      <c r="J89" s="161" t="s">
        <v>78</v>
      </c>
      <c r="K89" s="162"/>
      <c r="L89" s="162"/>
      <c r="M89" s="162"/>
      <c r="N89" s="162" t="str">
        <f t="shared" si="21"/>
        <v>Other 1</v>
      </c>
      <c r="O89" s="21">
        <f t="shared" ref="O89:Z89" si="47">IFERROR(O46-O68,"")</f>
        <v>0</v>
      </c>
      <c r="P89" s="21">
        <f t="shared" si="47"/>
        <v>0</v>
      </c>
      <c r="Q89" s="21">
        <f t="shared" si="47"/>
        <v>0</v>
      </c>
      <c r="R89" s="21">
        <f t="shared" si="47"/>
        <v>0</v>
      </c>
      <c r="S89" s="21">
        <f t="shared" si="47"/>
        <v>0</v>
      </c>
      <c r="T89" s="21">
        <f t="shared" si="47"/>
        <v>0</v>
      </c>
      <c r="U89" s="21">
        <f t="shared" si="47"/>
        <v>0</v>
      </c>
      <c r="V89" s="21">
        <f t="shared" si="47"/>
        <v>0</v>
      </c>
      <c r="W89" s="21">
        <f t="shared" si="47"/>
        <v>0</v>
      </c>
      <c r="X89" s="21">
        <f t="shared" si="47"/>
        <v>0</v>
      </c>
      <c r="Y89" s="21">
        <f t="shared" si="47"/>
        <v>0</v>
      </c>
      <c r="Z89" s="21">
        <f t="shared" si="47"/>
        <v>0</v>
      </c>
      <c r="AA89" s="310">
        <f t="shared" si="23"/>
        <v>0</v>
      </c>
      <c r="AB89" s="17" t="str">
        <f t="shared" si="24"/>
        <v/>
      </c>
      <c r="AD89" s="21">
        <f t="shared" si="25"/>
        <v>0</v>
      </c>
      <c r="AE89" s="17" t="str">
        <f t="shared" si="26"/>
        <v/>
      </c>
      <c r="AF89" s="50">
        <f t="shared" si="27"/>
        <v>0</v>
      </c>
      <c r="AG89" s="21">
        <f t="shared" si="28"/>
        <v>0</v>
      </c>
      <c r="AH89" s="17" t="str">
        <f t="shared" si="29"/>
        <v/>
      </c>
      <c r="AI89" s="50">
        <f t="shared" si="30"/>
        <v>0</v>
      </c>
      <c r="AJ89" s="399">
        <f t="shared" si="31"/>
        <v>0</v>
      </c>
      <c r="AK89" s="400">
        <f t="shared" si="32"/>
        <v>0</v>
      </c>
      <c r="AL89" s="401">
        <f t="shared" si="33"/>
        <v>0</v>
      </c>
      <c r="AM89" s="402">
        <f t="shared" si="34"/>
        <v>0</v>
      </c>
      <c r="AN89" s="403">
        <f t="shared" si="35"/>
        <v>0</v>
      </c>
    </row>
    <row r="90" spans="1:40" x14ac:dyDescent="0.25">
      <c r="A90" s="6" t="s">
        <v>36</v>
      </c>
      <c r="B90" s="7"/>
      <c r="G90" s="1" t="s">
        <v>457</v>
      </c>
      <c r="H90" s="15" t="s">
        <v>432</v>
      </c>
      <c r="I90" s="161" t="s">
        <v>1058</v>
      </c>
      <c r="J90" s="161" t="s">
        <v>78</v>
      </c>
      <c r="K90" s="162"/>
      <c r="L90" s="162"/>
      <c r="M90" s="162"/>
      <c r="N90" s="162" t="str">
        <f t="shared" si="21"/>
        <v>Other 2</v>
      </c>
      <c r="O90" s="21">
        <f t="shared" ref="O90:Z90" si="48">IFERROR(O47-O69,"")</f>
        <v>0</v>
      </c>
      <c r="P90" s="21">
        <f t="shared" si="48"/>
        <v>0</v>
      </c>
      <c r="Q90" s="21">
        <f t="shared" si="48"/>
        <v>0</v>
      </c>
      <c r="R90" s="21">
        <f t="shared" si="48"/>
        <v>0</v>
      </c>
      <c r="S90" s="21">
        <f t="shared" si="48"/>
        <v>0</v>
      </c>
      <c r="T90" s="21">
        <f t="shared" si="48"/>
        <v>0</v>
      </c>
      <c r="U90" s="21">
        <f t="shared" si="48"/>
        <v>0</v>
      </c>
      <c r="V90" s="21">
        <f t="shared" si="48"/>
        <v>0</v>
      </c>
      <c r="W90" s="21">
        <f t="shared" si="48"/>
        <v>0</v>
      </c>
      <c r="X90" s="21">
        <f t="shared" si="48"/>
        <v>0</v>
      </c>
      <c r="Y90" s="21">
        <f t="shared" si="48"/>
        <v>0</v>
      </c>
      <c r="Z90" s="21">
        <f t="shared" si="48"/>
        <v>0</v>
      </c>
      <c r="AA90" s="310">
        <f t="shared" si="23"/>
        <v>0</v>
      </c>
      <c r="AB90" s="17" t="str">
        <f t="shared" si="24"/>
        <v/>
      </c>
      <c r="AD90" s="21">
        <f t="shared" si="25"/>
        <v>0</v>
      </c>
      <c r="AE90" s="17" t="str">
        <f t="shared" si="26"/>
        <v/>
      </c>
      <c r="AF90" s="50">
        <f t="shared" si="27"/>
        <v>0</v>
      </c>
      <c r="AG90" s="21">
        <f t="shared" si="28"/>
        <v>0</v>
      </c>
      <c r="AH90" s="17" t="str">
        <f t="shared" si="29"/>
        <v/>
      </c>
      <c r="AI90" s="50">
        <f t="shared" si="30"/>
        <v>0</v>
      </c>
      <c r="AJ90" s="399">
        <f t="shared" si="31"/>
        <v>0</v>
      </c>
      <c r="AK90" s="400">
        <f t="shared" si="32"/>
        <v>0</v>
      </c>
      <c r="AL90" s="401">
        <f t="shared" si="33"/>
        <v>0</v>
      </c>
      <c r="AM90" s="402">
        <f t="shared" si="34"/>
        <v>0</v>
      </c>
      <c r="AN90" s="403">
        <f t="shared" si="35"/>
        <v>0</v>
      </c>
    </row>
    <row r="91" spans="1:40" x14ac:dyDescent="0.25">
      <c r="A91" s="6" t="s">
        <v>37</v>
      </c>
      <c r="B91" s="7"/>
      <c r="G91" s="1" t="s">
        <v>458</v>
      </c>
      <c r="H91" s="15" t="s">
        <v>433</v>
      </c>
      <c r="I91" s="161" t="s">
        <v>1058</v>
      </c>
      <c r="J91" s="161" t="s">
        <v>78</v>
      </c>
      <c r="K91" s="162"/>
      <c r="L91" s="162"/>
      <c r="M91" s="162"/>
      <c r="N91" s="162" t="str">
        <f t="shared" si="21"/>
        <v>Other 3</v>
      </c>
      <c r="O91" s="21">
        <f t="shared" ref="O91:Z91" si="49">IFERROR(O48-O70,"")</f>
        <v>0</v>
      </c>
      <c r="P91" s="21">
        <f t="shared" si="49"/>
        <v>0</v>
      </c>
      <c r="Q91" s="21">
        <f t="shared" si="49"/>
        <v>0</v>
      </c>
      <c r="R91" s="21">
        <f t="shared" si="49"/>
        <v>0</v>
      </c>
      <c r="S91" s="21">
        <f t="shared" si="49"/>
        <v>0</v>
      </c>
      <c r="T91" s="21">
        <f t="shared" si="49"/>
        <v>0</v>
      </c>
      <c r="U91" s="21">
        <f t="shared" si="49"/>
        <v>0</v>
      </c>
      <c r="V91" s="21">
        <f t="shared" si="49"/>
        <v>0</v>
      </c>
      <c r="W91" s="21">
        <f t="shared" si="49"/>
        <v>0</v>
      </c>
      <c r="X91" s="21">
        <f t="shared" si="49"/>
        <v>0</v>
      </c>
      <c r="Y91" s="21">
        <f t="shared" si="49"/>
        <v>0</v>
      </c>
      <c r="Z91" s="21">
        <f t="shared" si="49"/>
        <v>0</v>
      </c>
      <c r="AA91" s="310">
        <f t="shared" si="23"/>
        <v>0</v>
      </c>
      <c r="AB91" s="17" t="str">
        <f t="shared" si="24"/>
        <v/>
      </c>
      <c r="AD91" s="21">
        <f t="shared" si="25"/>
        <v>0</v>
      </c>
      <c r="AE91" s="17" t="str">
        <f t="shared" si="26"/>
        <v/>
      </c>
      <c r="AF91" s="50">
        <f t="shared" si="27"/>
        <v>0</v>
      </c>
      <c r="AG91" s="21">
        <f t="shared" si="28"/>
        <v>0</v>
      </c>
      <c r="AH91" s="17" t="str">
        <f t="shared" si="29"/>
        <v/>
      </c>
      <c r="AI91" s="50">
        <f t="shared" si="30"/>
        <v>0</v>
      </c>
      <c r="AJ91" s="399">
        <f t="shared" si="31"/>
        <v>0</v>
      </c>
      <c r="AK91" s="400">
        <f t="shared" si="32"/>
        <v>0</v>
      </c>
      <c r="AL91" s="401">
        <f t="shared" si="33"/>
        <v>0</v>
      </c>
      <c r="AM91" s="402">
        <f t="shared" si="34"/>
        <v>0</v>
      </c>
      <c r="AN91" s="403">
        <f t="shared" si="35"/>
        <v>0</v>
      </c>
    </row>
    <row r="92" spans="1:40" x14ac:dyDescent="0.25">
      <c r="A92" s="6" t="s">
        <v>38</v>
      </c>
      <c r="B92" s="7"/>
      <c r="G92" s="1" t="s">
        <v>459</v>
      </c>
      <c r="H92" s="15" t="s">
        <v>434</v>
      </c>
      <c r="I92" s="161" t="s">
        <v>1058</v>
      </c>
      <c r="J92" s="161" t="s">
        <v>78</v>
      </c>
      <c r="K92" s="162"/>
      <c r="L92" s="162"/>
      <c r="M92" s="162"/>
      <c r="N92" s="162" t="str">
        <f t="shared" si="21"/>
        <v>Other 4</v>
      </c>
      <c r="O92" s="21">
        <f t="shared" ref="O92:Z92" si="50">IFERROR(O49-O71,"")</f>
        <v>0</v>
      </c>
      <c r="P92" s="21">
        <f t="shared" si="50"/>
        <v>0</v>
      </c>
      <c r="Q92" s="21">
        <f t="shared" si="50"/>
        <v>0</v>
      </c>
      <c r="R92" s="21">
        <f t="shared" si="50"/>
        <v>0</v>
      </c>
      <c r="S92" s="21">
        <f t="shared" si="50"/>
        <v>0</v>
      </c>
      <c r="T92" s="21">
        <f t="shared" si="50"/>
        <v>0</v>
      </c>
      <c r="U92" s="21">
        <f t="shared" si="50"/>
        <v>0</v>
      </c>
      <c r="V92" s="21">
        <f t="shared" si="50"/>
        <v>0</v>
      </c>
      <c r="W92" s="21">
        <f t="shared" si="50"/>
        <v>0</v>
      </c>
      <c r="X92" s="21">
        <f t="shared" si="50"/>
        <v>0</v>
      </c>
      <c r="Y92" s="21">
        <f t="shared" si="50"/>
        <v>0</v>
      </c>
      <c r="Z92" s="21">
        <f t="shared" si="50"/>
        <v>0</v>
      </c>
      <c r="AA92" s="310">
        <f t="shared" si="23"/>
        <v>0</v>
      </c>
      <c r="AB92" s="17" t="str">
        <f t="shared" si="24"/>
        <v/>
      </c>
      <c r="AD92" s="21">
        <f t="shared" si="25"/>
        <v>0</v>
      </c>
      <c r="AE92" s="17" t="str">
        <f t="shared" si="26"/>
        <v/>
      </c>
      <c r="AF92" s="50">
        <f t="shared" si="27"/>
        <v>0</v>
      </c>
      <c r="AG92" s="21">
        <f t="shared" si="28"/>
        <v>0</v>
      </c>
      <c r="AH92" s="17" t="str">
        <f t="shared" si="29"/>
        <v/>
      </c>
      <c r="AI92" s="50">
        <f t="shared" si="30"/>
        <v>0</v>
      </c>
      <c r="AJ92" s="399">
        <f t="shared" si="31"/>
        <v>0</v>
      </c>
      <c r="AK92" s="400">
        <f t="shared" si="32"/>
        <v>0</v>
      </c>
      <c r="AL92" s="401">
        <f t="shared" si="33"/>
        <v>0</v>
      </c>
      <c r="AM92" s="402">
        <f t="shared" si="34"/>
        <v>0</v>
      </c>
      <c r="AN92" s="403">
        <f t="shared" si="35"/>
        <v>0</v>
      </c>
    </row>
    <row r="93" spans="1:40" x14ac:dyDescent="0.25">
      <c r="A93" s="6" t="s">
        <v>39</v>
      </c>
      <c r="B93" s="7"/>
      <c r="G93" s="1" t="s">
        <v>460</v>
      </c>
      <c r="H93" s="15" t="s">
        <v>435</v>
      </c>
      <c r="I93" s="161" t="s">
        <v>1058</v>
      </c>
      <c r="J93" s="161" t="s">
        <v>78</v>
      </c>
      <c r="K93" s="162"/>
      <c r="L93" s="162"/>
      <c r="M93" s="162"/>
      <c r="N93" s="162" t="str">
        <f t="shared" si="21"/>
        <v>Other 5</v>
      </c>
      <c r="O93" s="21">
        <f t="shared" ref="O93:Z93" si="51">IFERROR(O50-O72,"")</f>
        <v>0</v>
      </c>
      <c r="P93" s="21">
        <f t="shared" si="51"/>
        <v>0</v>
      </c>
      <c r="Q93" s="21">
        <f t="shared" si="51"/>
        <v>0</v>
      </c>
      <c r="R93" s="21">
        <f t="shared" si="51"/>
        <v>0</v>
      </c>
      <c r="S93" s="21">
        <f t="shared" si="51"/>
        <v>0</v>
      </c>
      <c r="T93" s="21">
        <f t="shared" si="51"/>
        <v>0</v>
      </c>
      <c r="U93" s="21">
        <f t="shared" si="51"/>
        <v>0</v>
      </c>
      <c r="V93" s="21">
        <f t="shared" si="51"/>
        <v>0</v>
      </c>
      <c r="W93" s="21">
        <f t="shared" si="51"/>
        <v>0</v>
      </c>
      <c r="X93" s="21">
        <f t="shared" si="51"/>
        <v>0</v>
      </c>
      <c r="Y93" s="21">
        <f t="shared" si="51"/>
        <v>0</v>
      </c>
      <c r="Z93" s="21">
        <f t="shared" si="51"/>
        <v>0</v>
      </c>
      <c r="AA93" s="310">
        <f t="shared" si="23"/>
        <v>0</v>
      </c>
      <c r="AB93" s="17" t="str">
        <f t="shared" si="24"/>
        <v/>
      </c>
      <c r="AD93" s="21">
        <f t="shared" si="25"/>
        <v>0</v>
      </c>
      <c r="AE93" s="17" t="str">
        <f t="shared" si="26"/>
        <v/>
      </c>
      <c r="AF93" s="50">
        <f t="shared" si="27"/>
        <v>0</v>
      </c>
      <c r="AG93" s="21">
        <f t="shared" si="28"/>
        <v>0</v>
      </c>
      <c r="AH93" s="17" t="str">
        <f t="shared" si="29"/>
        <v/>
      </c>
      <c r="AI93" s="50">
        <f t="shared" si="30"/>
        <v>0</v>
      </c>
      <c r="AJ93" s="399">
        <f t="shared" si="31"/>
        <v>0</v>
      </c>
      <c r="AK93" s="400">
        <f t="shared" si="32"/>
        <v>0</v>
      </c>
      <c r="AL93" s="401">
        <f t="shared" si="33"/>
        <v>0</v>
      </c>
      <c r="AM93" s="402">
        <f t="shared" si="34"/>
        <v>0</v>
      </c>
      <c r="AN93" s="403">
        <f t="shared" si="35"/>
        <v>0</v>
      </c>
    </row>
    <row r="94" spans="1:40" x14ac:dyDescent="0.25">
      <c r="A94" s="6" t="s">
        <v>40</v>
      </c>
      <c r="B94" s="7"/>
      <c r="G94" s="1" t="s">
        <v>461</v>
      </c>
      <c r="H94" s="15" t="s">
        <v>436</v>
      </c>
      <c r="I94" s="161" t="s">
        <v>1058</v>
      </c>
      <c r="J94" s="161" t="s">
        <v>78</v>
      </c>
      <c r="K94" s="162"/>
      <c r="L94" s="162"/>
      <c r="M94" s="162"/>
      <c r="N94" s="162" t="str">
        <f t="shared" si="21"/>
        <v>Other 6</v>
      </c>
      <c r="O94" s="21">
        <f t="shared" ref="O94:Z94" si="52">IFERROR(O51-O73,"")</f>
        <v>0</v>
      </c>
      <c r="P94" s="21">
        <f t="shared" si="52"/>
        <v>0</v>
      </c>
      <c r="Q94" s="21">
        <f t="shared" si="52"/>
        <v>0</v>
      </c>
      <c r="R94" s="21">
        <f t="shared" si="52"/>
        <v>0</v>
      </c>
      <c r="S94" s="21">
        <f t="shared" si="52"/>
        <v>0</v>
      </c>
      <c r="T94" s="21">
        <f t="shared" si="52"/>
        <v>0</v>
      </c>
      <c r="U94" s="21">
        <f t="shared" si="52"/>
        <v>0</v>
      </c>
      <c r="V94" s="21">
        <f t="shared" si="52"/>
        <v>0</v>
      </c>
      <c r="W94" s="21">
        <f t="shared" si="52"/>
        <v>0</v>
      </c>
      <c r="X94" s="21">
        <f t="shared" si="52"/>
        <v>0</v>
      </c>
      <c r="Y94" s="21">
        <f t="shared" si="52"/>
        <v>0</v>
      </c>
      <c r="Z94" s="21">
        <f t="shared" si="52"/>
        <v>0</v>
      </c>
      <c r="AA94" s="310">
        <f t="shared" si="23"/>
        <v>0</v>
      </c>
      <c r="AB94" s="17" t="str">
        <f t="shared" si="24"/>
        <v/>
      </c>
      <c r="AD94" s="21">
        <f t="shared" si="25"/>
        <v>0</v>
      </c>
      <c r="AE94" s="17" t="str">
        <f t="shared" si="26"/>
        <v/>
      </c>
      <c r="AF94" s="50">
        <f t="shared" si="27"/>
        <v>0</v>
      </c>
      <c r="AG94" s="21">
        <f t="shared" si="28"/>
        <v>0</v>
      </c>
      <c r="AH94" s="17" t="str">
        <f t="shared" si="29"/>
        <v/>
      </c>
      <c r="AI94" s="50">
        <f t="shared" si="30"/>
        <v>0</v>
      </c>
      <c r="AJ94" s="399">
        <f t="shared" si="31"/>
        <v>0</v>
      </c>
      <c r="AK94" s="400">
        <f t="shared" si="32"/>
        <v>0</v>
      </c>
      <c r="AL94" s="401">
        <f t="shared" si="33"/>
        <v>0</v>
      </c>
      <c r="AM94" s="402">
        <f t="shared" si="34"/>
        <v>0</v>
      </c>
      <c r="AN94" s="403">
        <f t="shared" si="35"/>
        <v>0</v>
      </c>
    </row>
    <row r="95" spans="1:40" x14ac:dyDescent="0.25">
      <c r="A95" s="6" t="s">
        <v>41</v>
      </c>
      <c r="B95" s="7"/>
      <c r="H95" s="15" t="s">
        <v>480</v>
      </c>
      <c r="I95" s="161" t="s">
        <v>1058</v>
      </c>
      <c r="J95" s="161" t="s">
        <v>78</v>
      </c>
      <c r="K95" s="162"/>
      <c r="L95" s="162"/>
      <c r="M95" s="162"/>
      <c r="N95" s="162" t="s">
        <v>1666</v>
      </c>
      <c r="O95" s="21"/>
      <c r="P95" s="21"/>
      <c r="Q95" s="21"/>
      <c r="R95" s="21"/>
      <c r="S95" s="21"/>
      <c r="T95" s="21"/>
      <c r="U95" s="21"/>
      <c r="V95" s="21"/>
      <c r="W95" s="21"/>
      <c r="X95" s="21"/>
      <c r="Y95" s="21"/>
      <c r="Z95" s="21"/>
      <c r="AA95" s="310">
        <f t="shared" si="23"/>
        <v>0</v>
      </c>
      <c r="AB95" s="17"/>
      <c r="AD95" s="21"/>
      <c r="AE95" s="17"/>
      <c r="AF95" s="50">
        <f t="shared" si="27"/>
        <v>0</v>
      </c>
      <c r="AG95" s="21"/>
      <c r="AH95" s="17"/>
      <c r="AI95" s="50">
        <f t="shared" si="30"/>
        <v>0</v>
      </c>
      <c r="AJ95" s="409">
        <f t="shared" si="31"/>
        <v>0</v>
      </c>
      <c r="AK95" s="410">
        <f t="shared" si="32"/>
        <v>0</v>
      </c>
      <c r="AL95" s="411">
        <f t="shared" si="33"/>
        <v>0</v>
      </c>
      <c r="AM95" s="412" t="str">
        <f t="shared" si="34"/>
        <v>0 pts.</v>
      </c>
      <c r="AN95" s="413" t="str">
        <f t="shared" si="35"/>
        <v>0 pts.</v>
      </c>
    </row>
    <row r="96" spans="1:40" x14ac:dyDescent="0.25">
      <c r="A96" s="6" t="s">
        <v>42</v>
      </c>
      <c r="B96" s="7"/>
      <c r="H96" s="15"/>
      <c r="I96" s="161"/>
      <c r="J96" s="161"/>
      <c r="K96" s="162"/>
      <c r="L96" s="162"/>
      <c r="M96" s="162"/>
      <c r="N96" s="8" t="s">
        <v>462</v>
      </c>
      <c r="O96" s="134">
        <f t="shared" ref="O96:Z96" si="53">SUM(O77:O95)</f>
        <v>1271.8400000000001</v>
      </c>
      <c r="P96" s="134">
        <f t="shared" si="53"/>
        <v>1225.74</v>
      </c>
      <c r="Q96" s="134">
        <f t="shared" si="53"/>
        <v>156.63000000000011</v>
      </c>
      <c r="R96" s="134">
        <f t="shared" si="53"/>
        <v>981.15999999999985</v>
      </c>
      <c r="S96" s="134">
        <f t="shared" si="53"/>
        <v>813.2</v>
      </c>
      <c r="T96" s="134">
        <f t="shared" si="53"/>
        <v>972.07999999999993</v>
      </c>
      <c r="U96" s="134">
        <f t="shared" si="53"/>
        <v>586.05999999999995</v>
      </c>
      <c r="V96" s="134">
        <f t="shared" si="53"/>
        <v>614.72</v>
      </c>
      <c r="W96" s="134">
        <f t="shared" si="53"/>
        <v>427.43</v>
      </c>
      <c r="X96" s="134">
        <f t="shared" si="53"/>
        <v>1032.71</v>
      </c>
      <c r="Y96" s="134">
        <f t="shared" si="53"/>
        <v>971.18000000000006</v>
      </c>
      <c r="Z96" s="134">
        <f t="shared" si="53"/>
        <v>-395.14</v>
      </c>
      <c r="AA96" s="134">
        <f t="shared" si="23"/>
        <v>8657.61</v>
      </c>
      <c r="AB96" s="135">
        <f>IF(AA96=0,"",IFERROR(AA96/AA19,""))</f>
        <v>0.54565926713991209</v>
      </c>
      <c r="AC96" s="137"/>
      <c r="AD96" s="134">
        <f>SUM(AD77:AD95)</f>
        <v>15919.1351</v>
      </c>
      <c r="AE96" s="135">
        <f>IF(AD96=0,"",IFERROR(AD96/AD19,""))</f>
        <v>0.63655737704918036</v>
      </c>
      <c r="AF96" s="136">
        <f t="shared" si="27"/>
        <v>-7261.5250999999989</v>
      </c>
      <c r="AG96" s="134">
        <f>SUM(AG77:AG95)</f>
        <v>16567.14</v>
      </c>
      <c r="AH96" s="135">
        <f>IF(AG96=0,"",IFERROR(AG96/AG19,""))</f>
        <v>0.59239402111532335</v>
      </c>
      <c r="AI96" s="136">
        <f t="shared" si="30"/>
        <v>-7909.5299999999988</v>
      </c>
      <c r="AJ96" s="392">
        <f t="shared" si="31"/>
        <v>0.2170588677731535</v>
      </c>
      <c r="AK96" s="393">
        <f t="shared" si="32"/>
        <v>0.38589036191307297</v>
      </c>
      <c r="AL96" s="394">
        <f t="shared" si="33"/>
        <v>0.40100547030062444</v>
      </c>
      <c r="AM96" s="395" t="str">
        <f t="shared" si="34"/>
        <v>-9.09 pts.</v>
      </c>
      <c r="AN96" s="437" t="str">
        <f t="shared" si="35"/>
        <v>-4.67 pts.</v>
      </c>
    </row>
    <row r="97" spans="1:40" x14ac:dyDescent="0.25">
      <c r="A97" s="6" t="s">
        <v>43</v>
      </c>
      <c r="B97" s="7"/>
      <c r="I97" s="1"/>
      <c r="J97" s="1"/>
    </row>
    <row r="98" spans="1:40" ht="15.75" thickBot="1" x14ac:dyDescent="0.3">
      <c r="A98" s="6" t="s">
        <v>44</v>
      </c>
      <c r="B98" s="7"/>
      <c r="H98" s="15" t="s">
        <v>81</v>
      </c>
      <c r="I98" s="27" t="s">
        <v>1012</v>
      </c>
      <c r="J98" s="27" t="s">
        <v>78</v>
      </c>
      <c r="K98" s="25"/>
      <c r="L98" s="25"/>
      <c r="M98" s="25"/>
      <c r="N98" s="25" t="s">
        <v>1118</v>
      </c>
      <c r="O98" s="62">
        <v>1271.8399999999999</v>
      </c>
      <c r="P98" s="62">
        <v>1225.74</v>
      </c>
      <c r="Q98" s="62">
        <v>156.63</v>
      </c>
      <c r="R98" s="62">
        <v>981.16</v>
      </c>
      <c r="S98" s="62">
        <v>813.2</v>
      </c>
      <c r="T98" s="62">
        <v>972.08</v>
      </c>
      <c r="U98" s="62">
        <v>586.05999999999995</v>
      </c>
      <c r="V98" s="62">
        <v>614.72</v>
      </c>
      <c r="W98" s="62">
        <v>427.43</v>
      </c>
      <c r="X98" s="62">
        <v>1032.71</v>
      </c>
      <c r="Y98" s="62">
        <v>971.18</v>
      </c>
      <c r="Z98" s="62">
        <v>-395.14</v>
      </c>
      <c r="AA98" s="62">
        <f>IF($I98="B1","",SUM(O98:Z98))</f>
        <v>8657.61</v>
      </c>
      <c r="AB98" s="63">
        <f>IF(AA98=0,"",IFERROR(AA98/AA$19,""))</f>
        <v>0.54565926713991209</v>
      </c>
      <c r="AD98" s="62">
        <v>15919.1351</v>
      </c>
      <c r="AE98" s="63">
        <f>IF(AD98=0,"",IFERROR(AD98/AD$19,""))</f>
        <v>0.63655737704918036</v>
      </c>
      <c r="AF98" s="64">
        <f>IF(AND($AA98="",AD98=""),"",$AA98-AD98)</f>
        <v>-7261.5250999999989</v>
      </c>
      <c r="AG98" s="62">
        <v>16567.14</v>
      </c>
      <c r="AH98" s="63">
        <f>IF(AG98=0,"",IFERROR(AG98/AG$19,""))</f>
        <v>0.59239402111532335</v>
      </c>
      <c r="AI98" s="64">
        <f>IF(AND($AA98="",AG98=""),"",$AA98-AG98)</f>
        <v>-7909.5299999999988</v>
      </c>
      <c r="AJ98" s="430">
        <f>IFERROR(AA98/AA$20,0)</f>
        <v>0.2170588677731535</v>
      </c>
      <c r="AK98" s="431">
        <f>IFERROR(AD98/AD$20,0)</f>
        <v>0.38589036191307297</v>
      </c>
      <c r="AL98" s="432">
        <f>IFERROR(AG98/AG$20,0)</f>
        <v>0.40100547030062444</v>
      </c>
      <c r="AM98" s="433" t="str">
        <f>+IFERROR(ROUND(($AB98-AE98)*100,2)&amp;" pts.",0)</f>
        <v>-9.09 pts.</v>
      </c>
      <c r="AN98" s="438" t="str">
        <f>+IFERROR(ROUND(($AB98-AH98)*100,2)&amp;" pts.",0)</f>
        <v>-4.67 pts.</v>
      </c>
    </row>
    <row r="99" spans="1:40" ht="15.75" thickTop="1" x14ac:dyDescent="0.25">
      <c r="A99" s="6" t="s">
        <v>45</v>
      </c>
      <c r="B99" s="7"/>
    </row>
    <row r="100" spans="1:40" x14ac:dyDescent="0.25">
      <c r="A100" s="6" t="s">
        <v>46</v>
      </c>
      <c r="B100" s="7"/>
      <c r="N100" s="26" t="str">
        <f>N98&amp;" - Check"</f>
        <v>Department Profit (Loss) - Check</v>
      </c>
      <c r="O100" s="139">
        <f t="shared" ref="O100:AA100" si="54">SUMIF($H$34:$H$74,"400000",O$34:O$74)-SUMIF($H$34:$H$74,"500001",O$34:O$74)-O96</f>
        <v>0</v>
      </c>
      <c r="P100" s="139">
        <f t="shared" si="54"/>
        <v>0</v>
      </c>
      <c r="Q100" s="139">
        <f t="shared" si="54"/>
        <v>0</v>
      </c>
      <c r="R100" s="139">
        <f t="shared" si="54"/>
        <v>0</v>
      </c>
      <c r="S100" s="139">
        <f t="shared" si="54"/>
        <v>0</v>
      </c>
      <c r="T100" s="139">
        <f t="shared" si="54"/>
        <v>0</v>
      </c>
      <c r="U100" s="139">
        <f t="shared" si="54"/>
        <v>0</v>
      </c>
      <c r="V100" s="139">
        <f t="shared" si="54"/>
        <v>0</v>
      </c>
      <c r="W100" s="139">
        <f t="shared" si="54"/>
        <v>0</v>
      </c>
      <c r="X100" s="139">
        <f t="shared" si="54"/>
        <v>0</v>
      </c>
      <c r="Y100" s="139">
        <f t="shared" si="54"/>
        <v>0</v>
      </c>
      <c r="Z100" s="139">
        <f t="shared" si="54"/>
        <v>0</v>
      </c>
      <c r="AA100" s="139">
        <f t="shared" si="54"/>
        <v>0</v>
      </c>
      <c r="AB100" s="17"/>
      <c r="AD100" s="139">
        <f>SUMIF($H$34:$H$74,"400000",AD$34:AD$74)-SUMIF($H$34:$H$74,"500001",AD$34:AD$74)-AD96</f>
        <v>0</v>
      </c>
      <c r="AE100" s="17"/>
      <c r="AF100" s="21"/>
      <c r="AG100" s="139">
        <f>SUMIF($H$34:$H$74,"400000",AG$34:AG$74)-SUMIF($H$34:$H$74,"500001",AG$34:AG$74)-AG96</f>
        <v>0</v>
      </c>
      <c r="AH100" s="17"/>
      <c r="AI100" s="21"/>
    </row>
    <row r="102" spans="1:40" x14ac:dyDescent="0.25">
      <c r="O102" s="166"/>
      <c r="P102" s="166"/>
      <c r="Q102" s="166"/>
      <c r="R102" s="166"/>
      <c r="S102" s="166"/>
      <c r="T102" s="166"/>
      <c r="U102" s="166"/>
      <c r="V102" s="166"/>
      <c r="W102" s="166"/>
      <c r="X102" s="166"/>
      <c r="Y102" s="166"/>
      <c r="Z102" s="166"/>
      <c r="AA102" s="166"/>
      <c r="AD102" s="166"/>
      <c r="AG102" s="166"/>
    </row>
    <row r="104" spans="1:40" x14ac:dyDescent="0.25">
      <c r="O104" s="166"/>
      <c r="P104" s="166"/>
      <c r="Q104" s="166"/>
      <c r="R104" s="166"/>
      <c r="S104" s="166"/>
      <c r="T104" s="166"/>
      <c r="U104" s="166"/>
      <c r="V104" s="166"/>
      <c r="W104" s="166"/>
      <c r="X104" s="166"/>
      <c r="Y104" s="166"/>
      <c r="Z104" s="166"/>
      <c r="AA104" s="166"/>
      <c r="AD104" s="166"/>
      <c r="AG104" s="166"/>
    </row>
    <row r="107" spans="1:40" x14ac:dyDescent="0.25">
      <c r="J107" s="1"/>
    </row>
    <row r="108" spans="1:40" x14ac:dyDescent="0.25">
      <c r="H108" s="11"/>
      <c r="J108" s="1"/>
    </row>
    <row r="109" spans="1:40" x14ac:dyDescent="0.25">
      <c r="H109" s="11"/>
      <c r="J109" s="1"/>
    </row>
    <row r="110" spans="1:40" x14ac:dyDescent="0.25">
      <c r="H110" s="11"/>
      <c r="J110" s="1"/>
    </row>
    <row r="111" spans="1:40" x14ac:dyDescent="0.25">
      <c r="H111" s="11"/>
      <c r="J111" s="1"/>
    </row>
    <row r="112" spans="1:40" x14ac:dyDescent="0.25">
      <c r="H112" s="11"/>
      <c r="J112" s="1"/>
    </row>
    <row r="113" spans="5:10" x14ac:dyDescent="0.25">
      <c r="H113" s="11"/>
      <c r="J113" s="1"/>
    </row>
    <row r="114" spans="5:10" x14ac:dyDescent="0.25">
      <c r="H114" s="11"/>
      <c r="J114" s="1"/>
    </row>
    <row r="115" spans="5:10" x14ac:dyDescent="0.25">
      <c r="H115" s="11"/>
      <c r="J115" s="1"/>
    </row>
    <row r="116" spans="5:10" x14ac:dyDescent="0.25">
      <c r="H116" s="11"/>
      <c r="J116" s="1"/>
    </row>
    <row r="117" spans="5:10" x14ac:dyDescent="0.25">
      <c r="E117" s="76"/>
      <c r="H117" s="11"/>
      <c r="J117" s="1"/>
    </row>
    <row r="118" spans="5:10" x14ac:dyDescent="0.25">
      <c r="H118" s="11"/>
      <c r="J118" s="1"/>
    </row>
    <row r="119" spans="5:10" x14ac:dyDescent="0.25">
      <c r="H119" s="11"/>
      <c r="J119" s="1"/>
    </row>
    <row r="120" spans="5:10" x14ac:dyDescent="0.25">
      <c r="H120" s="11"/>
      <c r="J120" s="1"/>
    </row>
    <row r="121" spans="5:10" x14ac:dyDescent="0.25">
      <c r="E121" s="76"/>
      <c r="H121" s="11"/>
      <c r="J121" s="1"/>
    </row>
    <row r="122" spans="5:10" x14ac:dyDescent="0.25">
      <c r="H122" s="11"/>
      <c r="J122" s="1"/>
    </row>
    <row r="123" spans="5:10" x14ac:dyDescent="0.25">
      <c r="H123" s="11"/>
      <c r="J123" s="1"/>
    </row>
    <row r="124" spans="5:10" x14ac:dyDescent="0.25">
      <c r="H124" s="11"/>
      <c r="J124" s="1"/>
    </row>
    <row r="125" spans="5:10" x14ac:dyDescent="0.25">
      <c r="H125" s="11"/>
      <c r="J125" s="1"/>
    </row>
    <row r="126" spans="5:10" x14ac:dyDescent="0.25">
      <c r="H126" s="11"/>
      <c r="J126" s="1"/>
    </row>
    <row r="127" spans="5:10" x14ac:dyDescent="0.25">
      <c r="H127" s="11"/>
      <c r="J127" s="1"/>
    </row>
    <row r="128" spans="5:10" x14ac:dyDescent="0.25">
      <c r="H128" s="11"/>
      <c r="J128" s="1"/>
    </row>
    <row r="129" spans="8:10" x14ac:dyDescent="0.25">
      <c r="H129" s="11"/>
      <c r="J129" s="1"/>
    </row>
    <row r="130" spans="8:10" x14ac:dyDescent="0.25">
      <c r="H130" s="11"/>
    </row>
    <row r="170" spans="9:34" x14ac:dyDescent="0.25">
      <c r="J170" s="1"/>
      <c r="K170" s="76"/>
      <c r="L170" s="76"/>
      <c r="M170" s="76"/>
      <c r="O170" s="76"/>
      <c r="P170" s="76"/>
      <c r="Q170" s="76"/>
      <c r="R170" s="76"/>
      <c r="S170" s="76"/>
      <c r="T170" s="76"/>
      <c r="U170" s="76"/>
      <c r="V170" s="76"/>
      <c r="W170" s="76"/>
      <c r="X170" s="76"/>
      <c r="Y170" s="76"/>
      <c r="Z170" s="76"/>
      <c r="AA170" s="76"/>
      <c r="AD170" s="76"/>
      <c r="AF170" s="76"/>
      <c r="AH170" s="76"/>
    </row>
    <row r="171" spans="9:34" x14ac:dyDescent="0.25">
      <c r="I171" s="76"/>
    </row>
    <row r="174" spans="9:34" x14ac:dyDescent="0.25">
      <c r="J174" s="1"/>
      <c r="K174" s="76"/>
      <c r="L174" s="76"/>
      <c r="M174" s="76"/>
      <c r="O174" s="76"/>
      <c r="P174" s="76"/>
      <c r="Q174" s="76"/>
      <c r="R174" s="76"/>
      <c r="S174" s="76"/>
      <c r="T174" s="76"/>
      <c r="U174" s="76"/>
      <c r="V174" s="76"/>
      <c r="W174" s="76"/>
      <c r="X174" s="76"/>
      <c r="Y174" s="76"/>
      <c r="Z174" s="76"/>
      <c r="AA174" s="76"/>
      <c r="AD174" s="76"/>
      <c r="AF174" s="76"/>
      <c r="AH174" s="76"/>
    </row>
    <row r="175" spans="9:34" x14ac:dyDescent="0.25">
      <c r="I175" s="76"/>
    </row>
    <row r="190" spans="7:7" x14ac:dyDescent="0.25">
      <c r="G190" s="76"/>
    </row>
    <row r="194" spans="7:7" x14ac:dyDescent="0.25">
      <c r="G194" s="76"/>
    </row>
  </sheetData>
  <mergeCells count="2">
    <mergeCell ref="AD31:AE31"/>
    <mergeCell ref="AG31:AH31"/>
  </mergeCells>
  <dataValidations count="2">
    <dataValidation type="list" allowBlank="1" sqref="B50 B28" xr:uid="{00000000-0002-0000-4900-000000000000}">
      <formula1>"ACCOUNT,BUSINESSUNIT,CATEGORY,DATASRC,DEPARTMENT,INTCO,MEASURES,RPTCURRENCY,TIME"</formula1>
    </dataValidation>
    <dataValidation type="list" allowBlank="1" sqref="B51 B29" xr:uid="{00000000-0002-0000-4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7621"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7621" r:id="rId5" name="FPMExcelClientSheetOptionstb1"/>
      </mc:Fallback>
    </mc:AlternateContent>
  </controls>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52" sqref="O52"/>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472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_xll.EVRNG(H34:H50)</f>
        <v>#NAME?</v>
      </c>
      <c r="G19" s="18" t="str">
        <f>$B$6</f>
        <v>D_ROI_CON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_xll.EVRNG(A36:F41)</f>
        <v>#NAME?</v>
      </c>
      <c r="I22" s="1"/>
      <c r="J22" s="1"/>
    </row>
    <row r="23" spans="1:40" hidden="1" outlineLevel="1" x14ac:dyDescent="0.25">
      <c r="A23" s="6" t="s">
        <v>47</v>
      </c>
      <c r="B23" s="7" t="e">
        <f ca="1">_xll.EVRNG($A$45:$B$66)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"DEP(455000)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640</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323"/>
      <c r="P34" s="324"/>
      <c r="Q34" s="324"/>
      <c r="R34" s="324"/>
      <c r="S34" s="324"/>
      <c r="T34" s="324"/>
      <c r="U34" s="324"/>
      <c r="V34" s="324"/>
      <c r="W34" s="324"/>
      <c r="X34" s="324"/>
      <c r="Y34" s="324"/>
      <c r="Z34" s="324"/>
      <c r="AA34" s="324" t="e">
        <f t="shared" ref="AA34:AA50" ca="1" si="0">IF($I34="B1","",SUM(O34:Z34))</f>
        <v>#NAME?</v>
      </c>
      <c r="AB34" s="325" t="e">
        <f t="shared" ref="AB34:AB50" ca="1" si="1">IF(AA34=0,"",IFERROR(AA34/AA$19,""))</f>
        <v>#NAME?</v>
      </c>
      <c r="AC34" s="290"/>
      <c r="AD34" s="324"/>
      <c r="AE34" s="325" t="str">
        <f t="shared" ref="AE34:AE50" si="2">IF(AD34=0,"",IFERROR(AD34/AD$19,""))</f>
        <v/>
      </c>
      <c r="AF34" s="326" t="e">
        <f t="shared" ref="AF34:AF50" ca="1" si="3">IF(AND($AA34="",AD34=""),"",$AA34-AD34)</f>
        <v>#NAME?</v>
      </c>
      <c r="AG34" s="324"/>
      <c r="AH34" s="325" t="str">
        <f>IF(AG34=0,"",IFERROR(AG34/AG$19,""))</f>
        <v/>
      </c>
      <c r="AI34" s="327"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641</v>
      </c>
      <c r="I35" s="161" t="e">
        <f ca="1">_xll.EVPRO($B$1,$H35,"STYLE")</f>
        <v>#NAME?</v>
      </c>
      <c r="J35" s="161" t="e">
        <f ca="1">_xll.EVPRO($B$1,$H35,"CALC")</f>
        <v>#NAME?</v>
      </c>
      <c r="K35" s="68" t="e">
        <f t="shared" ref="K35:K50" ca="1" si="4">IF(AND(I35&gt;="T5"),"&gt;","")</f>
        <v>#NAME?</v>
      </c>
      <c r="L35" s="162" t="e">
        <f ca="1">_xll.EVPRO($B$1,H35,"JDEID")</f>
        <v>#NAME?</v>
      </c>
      <c r="M35" s="162" t="e">
        <f ca="1">IF(AND(I35="N",J35="N"),_xll.EVPRO($B$1,H35,"PSFTID"),"")</f>
        <v>#NAME?</v>
      </c>
      <c r="N35" s="162" t="e">
        <f ca="1">IF(_xll.EVDES(H35,$B$1)="#NODATA","",_xll.EVDES(H35,$B$1))</f>
        <v>#NAME?</v>
      </c>
      <c r="O35" s="323">
        <v>3250.88</v>
      </c>
      <c r="P35" s="324">
        <v>3335.11</v>
      </c>
      <c r="Q35" s="324">
        <v>7336.89</v>
      </c>
      <c r="R35" s="324">
        <v>1345.48</v>
      </c>
      <c r="S35" s="324">
        <v>877.71</v>
      </c>
      <c r="T35" s="324">
        <v>1941.78</v>
      </c>
      <c r="U35" s="324">
        <v>3095</v>
      </c>
      <c r="V35" s="324">
        <v>6147.08</v>
      </c>
      <c r="W35" s="324">
        <v>1468.98</v>
      </c>
      <c r="X35" s="324">
        <v>-5953.48</v>
      </c>
      <c r="Y35" s="324">
        <v>-3943.63</v>
      </c>
      <c r="Z35" s="324">
        <v>-9113.09</v>
      </c>
      <c r="AA35" s="324" t="e">
        <f t="shared" ca="1" si="0"/>
        <v>#NAME?</v>
      </c>
      <c r="AB35" s="325" t="e">
        <f t="shared" ca="1" si="1"/>
        <v>#NAME?</v>
      </c>
      <c r="AC35" s="290"/>
      <c r="AD35" s="324">
        <v>87227</v>
      </c>
      <c r="AE35" s="325" t="str">
        <f t="shared" ca="1" si="2"/>
        <v/>
      </c>
      <c r="AF35" s="326" t="e">
        <f t="shared" ca="1" si="3"/>
        <v>#NAME?</v>
      </c>
      <c r="AG35" s="324">
        <v>34347.71</v>
      </c>
      <c r="AH35" s="325" t="str">
        <f t="shared" ref="AH35:AH50" ca="1" si="5">IF(AG35=0,"",IFERROR(AG35/AG$19,""))</f>
        <v/>
      </c>
      <c r="AI35" s="327" t="e">
        <f t="shared" ref="AI35:AI50" ca="1" si="6">IF(AND($AA35="",AG35=""),"",$AA35-AG35)</f>
        <v>#NAME?</v>
      </c>
      <c r="AJ35" s="399">
        <f t="shared" ref="AJ35:AJ50" ca="1" si="7">IFERROR(AA35/AA$20,0)</f>
        <v>0</v>
      </c>
      <c r="AK35" s="400">
        <f t="shared" ref="AK35:AK50" ca="1" si="8">IFERROR(AD35/AD$20,0)</f>
        <v>0</v>
      </c>
      <c r="AL35" s="401">
        <f t="shared" ref="AL35:AL50" ca="1" si="9">IFERROR(AG35/AG$20,0)</f>
        <v>0</v>
      </c>
      <c r="AM35" s="402">
        <f t="shared" ref="AM35:AM50" ca="1" si="10">+IFERROR(ROUND(($AB35-AE35)*100,2)&amp;" pts.",0)</f>
        <v>0</v>
      </c>
      <c r="AN35" s="403">
        <f t="shared" ref="AN35:AN50" ca="1" si="11">+IFERROR(ROUND(($AB35-AH35)*100,2)&amp;" pts.",0)</f>
        <v>0</v>
      </c>
    </row>
    <row r="36" spans="1:40" x14ac:dyDescent="0.25">
      <c r="H36" s="15" t="s">
        <v>642</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323"/>
      <c r="P36" s="324"/>
      <c r="Q36" s="324"/>
      <c r="R36" s="324"/>
      <c r="S36" s="324"/>
      <c r="T36" s="324">
        <v>3705.66</v>
      </c>
      <c r="U36" s="324"/>
      <c r="V36" s="324"/>
      <c r="W36" s="324"/>
      <c r="X36" s="324"/>
      <c r="Y36" s="324"/>
      <c r="Z36" s="324"/>
      <c r="AA36" s="324" t="e">
        <f t="shared" ca="1" si="0"/>
        <v>#NAME?</v>
      </c>
      <c r="AB36" s="325" t="e">
        <f t="shared" ca="1" si="1"/>
        <v>#NAME?</v>
      </c>
      <c r="AC36" s="290"/>
      <c r="AD36" s="324">
        <v>3491</v>
      </c>
      <c r="AE36" s="325" t="str">
        <f t="shared" ca="1" si="2"/>
        <v/>
      </c>
      <c r="AF36" s="326" t="e">
        <f t="shared" ca="1" si="3"/>
        <v>#NAME?</v>
      </c>
      <c r="AG36" s="324">
        <v>3491.17</v>
      </c>
      <c r="AH36" s="325" t="str">
        <f t="shared" ca="1" si="5"/>
        <v/>
      </c>
      <c r="AI36" s="327" t="e">
        <f t="shared" ca="1" si="6"/>
        <v>#NAME?</v>
      </c>
      <c r="AJ36" s="399">
        <f t="shared" ca="1" si="7"/>
        <v>0</v>
      </c>
      <c r="AK36" s="400">
        <f t="shared" ca="1" si="8"/>
        <v>0</v>
      </c>
      <c r="AL36" s="401">
        <f t="shared" ca="1" si="9"/>
        <v>0</v>
      </c>
      <c r="AM36" s="402">
        <f t="shared" ca="1" si="10"/>
        <v>0</v>
      </c>
      <c r="AN36" s="403">
        <f t="shared" ca="1" si="11"/>
        <v>0</v>
      </c>
    </row>
    <row r="37" spans="1:40" x14ac:dyDescent="0.25">
      <c r="A37" s="1" t="s">
        <v>209</v>
      </c>
      <c r="B37" s="1" t="s">
        <v>21</v>
      </c>
      <c r="C37" s="74"/>
      <c r="D37" s="1" t="s">
        <v>590</v>
      </c>
      <c r="F37" s="1" t="s">
        <v>99</v>
      </c>
      <c r="H37" s="15" t="s">
        <v>643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23"/>
      <c r="P37" s="324">
        <v>6117.54</v>
      </c>
      <c r="Q37" s="324"/>
      <c r="R37" s="324"/>
      <c r="S37" s="324"/>
      <c r="T37" s="324"/>
      <c r="U37" s="324"/>
      <c r="V37" s="324"/>
      <c r="W37" s="324"/>
      <c r="X37" s="324"/>
      <c r="Y37" s="324"/>
      <c r="Z37" s="324"/>
      <c r="AA37" s="324" t="e">
        <f t="shared" ca="1" si="0"/>
        <v>#NAME?</v>
      </c>
      <c r="AB37" s="325" t="e">
        <f t="shared" ca="1" si="1"/>
        <v>#NAME?</v>
      </c>
      <c r="AC37" s="290"/>
      <c r="AD37" s="324"/>
      <c r="AE37" s="325" t="str">
        <f t="shared" si="2"/>
        <v/>
      </c>
      <c r="AF37" s="326" t="e">
        <f t="shared" ca="1" si="3"/>
        <v>#NAME?</v>
      </c>
      <c r="AG37" s="324"/>
      <c r="AH37" s="325" t="str">
        <f t="shared" si="5"/>
        <v/>
      </c>
      <c r="AI37" s="327"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644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23">
        <v>13865.08</v>
      </c>
      <c r="P38" s="324">
        <v>79.94</v>
      </c>
      <c r="Q38" s="324">
        <v>2611.1799999999998</v>
      </c>
      <c r="R38" s="324">
        <v>829.84</v>
      </c>
      <c r="S38" s="324">
        <v>777.18</v>
      </c>
      <c r="T38" s="324">
        <v>112.98</v>
      </c>
      <c r="U38" s="324">
        <v>662.05</v>
      </c>
      <c r="V38" s="324"/>
      <c r="W38" s="324">
        <v>141.49</v>
      </c>
      <c r="X38" s="324">
        <v>155.91999999999999</v>
      </c>
      <c r="Y38" s="324">
        <v>5044.38</v>
      </c>
      <c r="Z38" s="324">
        <v>579.79</v>
      </c>
      <c r="AA38" s="324" t="e">
        <f t="shared" ca="1" si="0"/>
        <v>#NAME?</v>
      </c>
      <c r="AB38" s="325" t="e">
        <f t="shared" ca="1" si="1"/>
        <v>#NAME?</v>
      </c>
      <c r="AC38" s="290"/>
      <c r="AD38" s="324">
        <v>36352</v>
      </c>
      <c r="AE38" s="325" t="str">
        <f t="shared" ca="1" si="2"/>
        <v/>
      </c>
      <c r="AF38" s="326" t="e">
        <f t="shared" ca="1" si="3"/>
        <v>#NAME?</v>
      </c>
      <c r="AG38" s="324">
        <v>42378.54</v>
      </c>
      <c r="AH38" s="325" t="str">
        <f t="shared" ca="1" si="5"/>
        <v/>
      </c>
      <c r="AI38" s="327"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645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25" t="s">
        <v>101</v>
      </c>
      <c r="D40" s="1" t="s">
        <v>106</v>
      </c>
      <c r="F40" s="1" t="s">
        <v>98</v>
      </c>
      <c r="H40" s="15" t="s">
        <v>646</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23"/>
      <c r="P40" s="324"/>
      <c r="Q40" s="324"/>
      <c r="R40" s="324"/>
      <c r="S40" s="324"/>
      <c r="T40" s="324"/>
      <c r="U40" s="324"/>
      <c r="V40" s="324"/>
      <c r="W40" s="324"/>
      <c r="X40" s="324"/>
      <c r="Y40" s="324"/>
      <c r="Z40" s="324"/>
      <c r="AA40" s="324" t="e">
        <f t="shared" ca="1" si="0"/>
        <v>#NAME?</v>
      </c>
      <c r="AB40" s="325" t="e">
        <f t="shared" ca="1" si="1"/>
        <v>#NAME?</v>
      </c>
      <c r="AC40" s="290"/>
      <c r="AD40" s="324"/>
      <c r="AE40" s="325" t="str">
        <f t="shared" si="2"/>
        <v/>
      </c>
      <c r="AF40" s="326" t="e">
        <f t="shared" ca="1" si="3"/>
        <v>#NAME?</v>
      </c>
      <c r="AG40" s="324">
        <v>0</v>
      </c>
      <c r="AH40" s="325" t="str">
        <f t="shared" si="5"/>
        <v/>
      </c>
      <c r="AI40" s="327" t="e">
        <f t="shared" ca="1" si="6"/>
        <v>#NAME?</v>
      </c>
      <c r="AJ40" s="399">
        <f t="shared" ca="1" si="7"/>
        <v>0</v>
      </c>
      <c r="AK40" s="400">
        <f t="shared" ca="1" si="8"/>
        <v>0</v>
      </c>
      <c r="AL40" s="401">
        <f t="shared" ca="1" si="9"/>
        <v>0</v>
      </c>
      <c r="AM40" s="402">
        <f t="shared" ca="1" si="10"/>
        <v>0</v>
      </c>
      <c r="AN40" s="403">
        <f t="shared" ca="1" si="11"/>
        <v>0</v>
      </c>
    </row>
    <row r="41" spans="1:40" x14ac:dyDescent="0.25">
      <c r="A41" s="1" t="s">
        <v>108</v>
      </c>
      <c r="C41" s="151" t="s">
        <v>101</v>
      </c>
      <c r="D41" s="1" t="s">
        <v>107</v>
      </c>
      <c r="F41" s="1" t="s">
        <v>99</v>
      </c>
      <c r="H41" s="15" t="s">
        <v>647</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323"/>
      <c r="P41" s="324"/>
      <c r="Q41" s="324"/>
      <c r="R41" s="324"/>
      <c r="S41" s="324"/>
      <c r="T41" s="324"/>
      <c r="U41" s="324"/>
      <c r="V41" s="324"/>
      <c r="W41" s="324"/>
      <c r="X41" s="324"/>
      <c r="Y41" s="324"/>
      <c r="Z41" s="324"/>
      <c r="AA41" s="324" t="e">
        <f t="shared" ca="1" si="0"/>
        <v>#NAME?</v>
      </c>
      <c r="AB41" s="325" t="e">
        <f t="shared" ca="1" si="1"/>
        <v>#NAME?</v>
      </c>
      <c r="AC41" s="290"/>
      <c r="AD41" s="324"/>
      <c r="AE41" s="325" t="str">
        <f t="shared" si="2"/>
        <v/>
      </c>
      <c r="AF41" s="326" t="e">
        <f t="shared" ca="1" si="3"/>
        <v>#NAME?</v>
      </c>
      <c r="AG41" s="324"/>
      <c r="AH41" s="325" t="str">
        <f t="shared" si="5"/>
        <v/>
      </c>
      <c r="AI41" s="327" t="e">
        <f t="shared" ca="1" si="6"/>
        <v>#NAME?</v>
      </c>
      <c r="AJ41" s="399">
        <f t="shared" ca="1" si="7"/>
        <v>0</v>
      </c>
      <c r="AK41" s="400">
        <f t="shared" ca="1" si="8"/>
        <v>0</v>
      </c>
      <c r="AL41" s="401">
        <f t="shared" ca="1" si="9"/>
        <v>0</v>
      </c>
      <c r="AM41" s="402">
        <f t="shared" ca="1" si="10"/>
        <v>0</v>
      </c>
      <c r="AN41" s="403">
        <f t="shared" ca="1" si="11"/>
        <v>0</v>
      </c>
    </row>
    <row r="42" spans="1:40" x14ac:dyDescent="0.25">
      <c r="H42" s="15" t="s">
        <v>648</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23"/>
      <c r="P42" s="324"/>
      <c r="Q42" s="324"/>
      <c r="R42" s="324"/>
      <c r="S42" s="324"/>
      <c r="T42" s="324"/>
      <c r="U42" s="324"/>
      <c r="V42" s="324"/>
      <c r="W42" s="324"/>
      <c r="X42" s="324"/>
      <c r="Y42" s="324"/>
      <c r="Z42" s="324"/>
      <c r="AA42" s="324" t="e">
        <f t="shared" ca="1" si="0"/>
        <v>#NAME?</v>
      </c>
      <c r="AB42" s="325" t="e">
        <f t="shared" ca="1" si="1"/>
        <v>#NAME?</v>
      </c>
      <c r="AC42" s="290"/>
      <c r="AD42" s="324"/>
      <c r="AE42" s="325" t="str">
        <f t="shared" si="2"/>
        <v/>
      </c>
      <c r="AF42" s="326" t="e">
        <f t="shared" ca="1" si="3"/>
        <v>#NAME?</v>
      </c>
      <c r="AG42" s="324"/>
      <c r="AH42" s="325" t="str">
        <f t="shared" si="5"/>
        <v/>
      </c>
      <c r="AI42" s="327" t="e">
        <f t="shared" ca="1" si="6"/>
        <v>#NAME?</v>
      </c>
      <c r="AJ42" s="399">
        <f t="shared" ca="1" si="7"/>
        <v>0</v>
      </c>
      <c r="AK42" s="400">
        <f t="shared" ca="1" si="8"/>
        <v>0</v>
      </c>
      <c r="AL42" s="401">
        <f t="shared" ca="1" si="9"/>
        <v>0</v>
      </c>
      <c r="AM42" s="402">
        <f t="shared" ca="1" si="10"/>
        <v>0</v>
      </c>
      <c r="AN42" s="403">
        <f t="shared" ca="1" si="11"/>
        <v>0</v>
      </c>
    </row>
    <row r="43" spans="1:40" x14ac:dyDescent="0.25">
      <c r="H43" s="15" t="s">
        <v>649</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23"/>
      <c r="P43" s="324"/>
      <c r="Q43" s="324"/>
      <c r="R43" s="324"/>
      <c r="S43" s="324"/>
      <c r="T43" s="324"/>
      <c r="U43" s="324"/>
      <c r="V43" s="324"/>
      <c r="W43" s="324"/>
      <c r="X43" s="324"/>
      <c r="Y43" s="324"/>
      <c r="Z43" s="324"/>
      <c r="AA43" s="324" t="e">
        <f t="shared" ca="1" si="0"/>
        <v>#NAME?</v>
      </c>
      <c r="AB43" s="325" t="e">
        <f t="shared" ca="1" si="1"/>
        <v>#NAME?</v>
      </c>
      <c r="AC43" s="290"/>
      <c r="AD43" s="324"/>
      <c r="AE43" s="325" t="str">
        <f t="shared" si="2"/>
        <v/>
      </c>
      <c r="AF43" s="326" t="e">
        <f t="shared" ca="1" si="3"/>
        <v>#NAME?</v>
      </c>
      <c r="AG43" s="324"/>
      <c r="AH43" s="325" t="str">
        <f t="shared" si="5"/>
        <v/>
      </c>
      <c r="AI43" s="327" t="e">
        <f t="shared" ca="1" si="6"/>
        <v>#NAME?</v>
      </c>
      <c r="AJ43" s="399">
        <f t="shared" ca="1" si="7"/>
        <v>0</v>
      </c>
      <c r="AK43" s="400">
        <f t="shared" ca="1" si="8"/>
        <v>0</v>
      </c>
      <c r="AL43" s="401">
        <f t="shared" ca="1" si="9"/>
        <v>0</v>
      </c>
      <c r="AM43" s="402">
        <f t="shared" ca="1" si="10"/>
        <v>0</v>
      </c>
      <c r="AN43" s="403">
        <f t="shared" ca="1" si="11"/>
        <v>0</v>
      </c>
    </row>
    <row r="44" spans="1:40" x14ac:dyDescent="0.25">
      <c r="A44" s="3" t="s">
        <v>23</v>
      </c>
      <c r="B44" s="5" t="s">
        <v>24</v>
      </c>
      <c r="H44" s="15" t="s">
        <v>650</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23"/>
      <c r="P44" s="324"/>
      <c r="Q44" s="324"/>
      <c r="R44" s="324"/>
      <c r="S44" s="324"/>
      <c r="T44" s="324"/>
      <c r="U44" s="324"/>
      <c r="V44" s="324"/>
      <c r="W44" s="324"/>
      <c r="X44" s="324"/>
      <c r="Y44" s="324"/>
      <c r="Z44" s="324"/>
      <c r="AA44" s="324" t="e">
        <f t="shared" ca="1" si="0"/>
        <v>#NAME?</v>
      </c>
      <c r="AB44" s="325" t="e">
        <f t="shared" ca="1" si="1"/>
        <v>#NAME?</v>
      </c>
      <c r="AC44" s="290"/>
      <c r="AD44" s="324"/>
      <c r="AE44" s="325" t="str">
        <f t="shared" si="2"/>
        <v/>
      </c>
      <c r="AF44" s="326" t="e">
        <f t="shared" ca="1" si="3"/>
        <v>#NAME?</v>
      </c>
      <c r="AG44" s="324"/>
      <c r="AH44" s="325" t="str">
        <f t="shared" si="5"/>
        <v/>
      </c>
      <c r="AI44" s="327" t="e">
        <f t="shared" ca="1" si="6"/>
        <v>#NAME?</v>
      </c>
      <c r="AJ44" s="399">
        <f t="shared" ca="1" si="7"/>
        <v>0</v>
      </c>
      <c r="AK44" s="400">
        <f t="shared" ca="1" si="8"/>
        <v>0</v>
      </c>
      <c r="AL44" s="401">
        <f t="shared" ca="1" si="9"/>
        <v>0</v>
      </c>
      <c r="AM44" s="402">
        <f t="shared" ca="1" si="10"/>
        <v>0</v>
      </c>
      <c r="AN44" s="403">
        <f t="shared" ca="1" si="11"/>
        <v>0</v>
      </c>
    </row>
    <row r="45" spans="1:40" ht="14.25" customHeight="1" x14ac:dyDescent="0.25">
      <c r="A45" s="6" t="s">
        <v>25</v>
      </c>
      <c r="B45" s="7"/>
      <c r="H45" s="15" t="s">
        <v>651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t="shared" ca="1" si="0"/>
        <v>#NAME?</v>
      </c>
      <c r="AB45" s="325" t="e">
        <f t="shared" ca="1" si="1"/>
        <v>#NAME?</v>
      </c>
      <c r="AC45" s="290"/>
      <c r="AD45" s="324">
        <v>2547</v>
      </c>
      <c r="AE45" s="325" t="str">
        <f t="shared" ca="1" si="2"/>
        <v/>
      </c>
      <c r="AF45" s="326" t="e">
        <f t="shared" ca="1" si="3"/>
        <v>#NAME?</v>
      </c>
      <c r="AG45" s="324">
        <v>1385.89</v>
      </c>
      <c r="AH45" s="325" t="str">
        <f t="shared" ca="1" si="5"/>
        <v/>
      </c>
      <c r="AI45" s="327" t="e">
        <f t="shared" ca="1" si="6"/>
        <v>#NAME?</v>
      </c>
      <c r="AJ45" s="399">
        <f t="shared" ca="1" si="7"/>
        <v>0</v>
      </c>
      <c r="AK45" s="400">
        <f t="shared" ca="1" si="8"/>
        <v>0</v>
      </c>
      <c r="AL45" s="401">
        <f t="shared" ca="1" si="9"/>
        <v>0</v>
      </c>
      <c r="AM45" s="402">
        <f t="shared" ca="1" si="10"/>
        <v>0</v>
      </c>
      <c r="AN45" s="403">
        <f t="shared" ca="1" si="11"/>
        <v>0</v>
      </c>
    </row>
    <row r="46" spans="1:40" x14ac:dyDescent="0.25">
      <c r="A46" s="6" t="s">
        <v>26</v>
      </c>
      <c r="B46" s="7"/>
      <c r="H46" s="15" t="s">
        <v>652</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v>85148.62</v>
      </c>
      <c r="P46" s="324">
        <v>77734.19</v>
      </c>
      <c r="Q46" s="324">
        <v>80834.67</v>
      </c>
      <c r="R46" s="324">
        <v>77784.679999999993</v>
      </c>
      <c r="S46" s="324">
        <v>76640.33</v>
      </c>
      <c r="T46" s="324">
        <v>83193.48</v>
      </c>
      <c r="U46" s="324">
        <v>76589.990000000005</v>
      </c>
      <c r="V46" s="324">
        <v>88878.98</v>
      </c>
      <c r="W46" s="324">
        <v>70317.23</v>
      </c>
      <c r="X46" s="324">
        <v>79356.679999999993</v>
      </c>
      <c r="Y46" s="324">
        <v>78483.48</v>
      </c>
      <c r="Z46" s="324">
        <v>85358.2</v>
      </c>
      <c r="AA46" s="324" t="e">
        <f t="shared" ca="1" si="0"/>
        <v>#NAME?</v>
      </c>
      <c r="AB46" s="325" t="e">
        <f t="shared" ca="1" si="1"/>
        <v>#NAME?</v>
      </c>
      <c r="AC46" s="290"/>
      <c r="AD46" s="324">
        <v>1120161.04</v>
      </c>
      <c r="AE46" s="325" t="str">
        <f t="shared" ca="1" si="2"/>
        <v/>
      </c>
      <c r="AF46" s="326" t="e">
        <f t="shared" ca="1" si="3"/>
        <v>#NAME?</v>
      </c>
      <c r="AG46" s="324">
        <v>872206.68</v>
      </c>
      <c r="AH46" s="325" t="str">
        <f t="shared" ca="1" si="5"/>
        <v/>
      </c>
      <c r="AI46" s="327" t="e">
        <f t="shared" ca="1" si="6"/>
        <v>#NAME?</v>
      </c>
      <c r="AJ46" s="399">
        <f t="shared" ca="1" si="7"/>
        <v>0</v>
      </c>
      <c r="AK46" s="400">
        <f t="shared" ca="1" si="8"/>
        <v>0</v>
      </c>
      <c r="AL46" s="401">
        <f t="shared" ca="1" si="9"/>
        <v>0</v>
      </c>
      <c r="AM46" s="402">
        <f t="shared" ca="1" si="10"/>
        <v>0</v>
      </c>
      <c r="AN46" s="403">
        <f t="shared" ca="1" si="11"/>
        <v>0</v>
      </c>
    </row>
    <row r="47" spans="1:40" x14ac:dyDescent="0.25">
      <c r="A47" s="6" t="s">
        <v>27</v>
      </c>
      <c r="B47" s="7"/>
      <c r="H47" s="15" t="s">
        <v>653</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23"/>
      <c r="P47" s="324"/>
      <c r="Q47" s="324"/>
      <c r="R47" s="324"/>
      <c r="S47" s="324"/>
      <c r="T47" s="324"/>
      <c r="U47" s="324"/>
      <c r="V47" s="324"/>
      <c r="W47" s="324"/>
      <c r="X47" s="324"/>
      <c r="Y47" s="324"/>
      <c r="Z47" s="324"/>
      <c r="AA47" s="324" t="e">
        <f t="shared" ca="1" si="0"/>
        <v>#NAME?</v>
      </c>
      <c r="AB47" s="325" t="e">
        <f t="shared" ca="1" si="1"/>
        <v>#NAME?</v>
      </c>
      <c r="AC47" s="290"/>
      <c r="AD47" s="324"/>
      <c r="AE47" s="325" t="str">
        <f t="shared" si="2"/>
        <v/>
      </c>
      <c r="AF47" s="326" t="e">
        <f t="shared" ca="1" si="3"/>
        <v>#NAME?</v>
      </c>
      <c r="AG47" s="324"/>
      <c r="AH47" s="325" t="str">
        <f t="shared" si="5"/>
        <v/>
      </c>
      <c r="AI47" s="327" t="e">
        <f t="shared" ca="1" si="6"/>
        <v>#NAME?</v>
      </c>
      <c r="AJ47" s="399">
        <f t="shared" ca="1" si="7"/>
        <v>0</v>
      </c>
      <c r="AK47" s="400">
        <f t="shared" ca="1" si="8"/>
        <v>0</v>
      </c>
      <c r="AL47" s="401">
        <f t="shared" ca="1" si="9"/>
        <v>0</v>
      </c>
      <c r="AM47" s="402">
        <f t="shared" ca="1" si="10"/>
        <v>0</v>
      </c>
      <c r="AN47" s="403">
        <f t="shared" ca="1" si="11"/>
        <v>0</v>
      </c>
    </row>
    <row r="48" spans="1:40" x14ac:dyDescent="0.25">
      <c r="A48" s="6" t="s">
        <v>28</v>
      </c>
      <c r="B48" s="7"/>
      <c r="H48" s="15" t="s">
        <v>654</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23"/>
      <c r="P48" s="324"/>
      <c r="Q48" s="324"/>
      <c r="R48" s="324"/>
      <c r="S48" s="324"/>
      <c r="T48" s="324"/>
      <c r="U48" s="324"/>
      <c r="V48" s="324"/>
      <c r="W48" s="324"/>
      <c r="X48" s="324"/>
      <c r="Y48" s="324"/>
      <c r="Z48" s="324"/>
      <c r="AA48" s="324" t="e">
        <f t="shared" ca="1" si="0"/>
        <v>#NAME?</v>
      </c>
      <c r="AB48" s="325" t="e">
        <f t="shared" ca="1" si="1"/>
        <v>#NAME?</v>
      </c>
      <c r="AC48" s="290"/>
      <c r="AD48" s="324"/>
      <c r="AE48" s="325" t="str">
        <f t="shared" si="2"/>
        <v/>
      </c>
      <c r="AF48" s="326" t="e">
        <f t="shared" ca="1" si="3"/>
        <v>#NAME?</v>
      </c>
      <c r="AG48" s="324"/>
      <c r="AH48" s="325" t="str">
        <f t="shared" si="5"/>
        <v/>
      </c>
      <c r="AI48" s="327" t="e">
        <f t="shared" ca="1" si="6"/>
        <v>#NAME?</v>
      </c>
      <c r="AJ48" s="399">
        <f t="shared" ca="1" si="7"/>
        <v>0</v>
      </c>
      <c r="AK48" s="400">
        <f t="shared" ca="1" si="8"/>
        <v>0</v>
      </c>
      <c r="AL48" s="401">
        <f t="shared" ca="1" si="9"/>
        <v>0</v>
      </c>
      <c r="AM48" s="402">
        <f t="shared" ca="1" si="10"/>
        <v>0</v>
      </c>
      <c r="AN48" s="403">
        <f t="shared" ca="1" si="11"/>
        <v>0</v>
      </c>
    </row>
    <row r="49" spans="1:40" x14ac:dyDescent="0.25">
      <c r="A49" s="6" t="s">
        <v>29</v>
      </c>
      <c r="B49" s="7"/>
      <c r="H49" s="15" t="s">
        <v>655</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323"/>
      <c r="P49" s="324"/>
      <c r="Q49" s="324"/>
      <c r="R49" s="324"/>
      <c r="S49" s="324"/>
      <c r="T49" s="324"/>
      <c r="U49" s="324"/>
      <c r="V49" s="324"/>
      <c r="W49" s="324"/>
      <c r="X49" s="324"/>
      <c r="Y49" s="324"/>
      <c r="Z49" s="324"/>
      <c r="AA49" s="324" t="e">
        <f t="shared" ca="1" si="0"/>
        <v>#NAME?</v>
      </c>
      <c r="AB49" s="325" t="e">
        <f t="shared" ca="1" si="1"/>
        <v>#NAME?</v>
      </c>
      <c r="AC49" s="290"/>
      <c r="AD49" s="324"/>
      <c r="AE49" s="325" t="str">
        <f t="shared" si="2"/>
        <v/>
      </c>
      <c r="AF49" s="326" t="e">
        <f t="shared" ca="1" si="3"/>
        <v>#NAME?</v>
      </c>
      <c r="AG49" s="324"/>
      <c r="AH49" s="325" t="str">
        <f t="shared" si="5"/>
        <v/>
      </c>
      <c r="AI49" s="327" t="e">
        <f t="shared" ca="1" si="6"/>
        <v>#NAME?</v>
      </c>
      <c r="AJ49" s="409">
        <f t="shared" ca="1" si="7"/>
        <v>0</v>
      </c>
      <c r="AK49" s="410">
        <f t="shared" ca="1" si="8"/>
        <v>0</v>
      </c>
      <c r="AL49" s="411">
        <f t="shared" ca="1" si="9"/>
        <v>0</v>
      </c>
      <c r="AM49" s="412">
        <f t="shared" ca="1" si="10"/>
        <v>0</v>
      </c>
      <c r="AN49" s="413">
        <f t="shared" ca="1" si="11"/>
        <v>0</v>
      </c>
    </row>
    <row r="50" spans="1:40" x14ac:dyDescent="0.25">
      <c r="A50" s="6" t="s">
        <v>30</v>
      </c>
      <c r="B50" s="7" t="s">
        <v>78</v>
      </c>
      <c r="H50" s="15" t="s">
        <v>280</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224">
        <v>102264.58</v>
      </c>
      <c r="P50" s="134">
        <v>87266.78</v>
      </c>
      <c r="Q50" s="134">
        <v>90782.74</v>
      </c>
      <c r="R50" s="134">
        <v>79960</v>
      </c>
      <c r="S50" s="134">
        <v>78295.22</v>
      </c>
      <c r="T50" s="134">
        <v>88953.9</v>
      </c>
      <c r="U50" s="134">
        <v>80347.039999999994</v>
      </c>
      <c r="V50" s="134">
        <v>95026.06</v>
      </c>
      <c r="W50" s="134">
        <v>71927.7</v>
      </c>
      <c r="X50" s="134">
        <v>73559.12</v>
      </c>
      <c r="Y50" s="134">
        <v>79584.23</v>
      </c>
      <c r="Z50" s="134">
        <v>76824.899999999994</v>
      </c>
      <c r="AA50" s="134" t="e">
        <f t="shared" ca="1" si="0"/>
        <v>#NAME?</v>
      </c>
      <c r="AB50" s="135" t="e">
        <f t="shared" ca="1" si="1"/>
        <v>#NAME?</v>
      </c>
      <c r="AC50" s="137"/>
      <c r="AD50" s="134">
        <v>1249778.04</v>
      </c>
      <c r="AE50" s="135" t="str">
        <f t="shared" ca="1" si="2"/>
        <v/>
      </c>
      <c r="AF50" s="136" t="e">
        <f t="shared" ca="1" si="3"/>
        <v>#NAME?</v>
      </c>
      <c r="AG50" s="134">
        <v>953809.99</v>
      </c>
      <c r="AH50" s="135" t="str">
        <f t="shared" ca="1" si="5"/>
        <v/>
      </c>
      <c r="AI50" s="291" t="e">
        <f t="shared" ca="1" si="6"/>
        <v>#NAME?</v>
      </c>
      <c r="AJ50" s="360">
        <f t="shared" ca="1" si="7"/>
        <v>0</v>
      </c>
      <c r="AK50" s="361">
        <f t="shared" ca="1" si="8"/>
        <v>0</v>
      </c>
      <c r="AL50" s="363">
        <f t="shared" ca="1" si="9"/>
        <v>0</v>
      </c>
      <c r="AM50" s="405">
        <f t="shared" ca="1" si="10"/>
        <v>0</v>
      </c>
      <c r="AN50" s="406">
        <f t="shared" ca="1" si="11"/>
        <v>0</v>
      </c>
    </row>
    <row r="51" spans="1:40" x14ac:dyDescent="0.25">
      <c r="A51" s="6" t="s">
        <v>31</v>
      </c>
      <c r="B51" s="7" t="s">
        <v>78</v>
      </c>
      <c r="I51" s="1"/>
      <c r="J51" s="1"/>
    </row>
    <row r="52" spans="1:40" ht="15.75" thickBot="1" x14ac:dyDescent="0.3">
      <c r="A52" s="6" t="s">
        <v>32</v>
      </c>
      <c r="B52" s="7"/>
      <c r="H52" s="15" t="s">
        <v>81</v>
      </c>
      <c r="I52" s="27" t="e">
        <f ca="1">_xll.EVPRO($B$1,$H52,"STYLE")</f>
        <v>#NAME?</v>
      </c>
      <c r="J52" s="27" t="e">
        <f ca="1">_xll.EVPRO($B$1,$H52,"CALC")</f>
        <v>#NAME?</v>
      </c>
      <c r="K52" s="25"/>
      <c r="L52" s="25"/>
      <c r="M52" s="25"/>
      <c r="N52" s="25" t="e">
        <f ca="1">IF(_xll.EVDES(H52,$B$1)="#NODATA","",_xll.EVDES(H52,$B$1))</f>
        <v>#NAME?</v>
      </c>
      <c r="O52" s="62" t="e">
        <f ca="1">_xll.EVGTS($B$1,1,$B$3,$B$5,$B$7,$B$9,O$16,O$17,O$18,$B$6,$H52)</f>
        <v>#NAME?</v>
      </c>
      <c r="P52" s="62" t="e">
        <f ca="1">_xll.EVGTS($B$1,1,$B$3,$B$5,$B$7,$B$9,P$16,P$17,P$18,$B$6,$H52)</f>
        <v>#NAME?</v>
      </c>
      <c r="Q52" s="62" t="e">
        <f ca="1">_xll.EVGTS($B$1,1,$B$3,$B$5,$B$7,$B$9,Q$16,Q$17,Q$18,$B$6,$H52)</f>
        <v>#NAME?</v>
      </c>
      <c r="R52" s="62" t="e">
        <f ca="1">_xll.EVGTS($B$1,1,$B$3,$B$5,$B$7,$B$9,R$16,R$17,R$18,$B$6,$H52)</f>
        <v>#NAME?</v>
      </c>
      <c r="S52" s="62" t="e">
        <f ca="1">_xll.EVGTS($B$1,1,$B$3,$B$5,$B$7,$B$9,S$16,S$17,S$18,$B$6,$H52)</f>
        <v>#NAME?</v>
      </c>
      <c r="T52" s="62" t="e">
        <f ca="1">_xll.EVGTS($B$1,1,$B$3,$B$5,$B$7,$B$9,T$16,T$17,T$18,$B$6,$H52)</f>
        <v>#NAME?</v>
      </c>
      <c r="U52" s="62" t="e">
        <f ca="1">_xll.EVGTS($B$1,1,$B$3,$B$5,$B$7,$B$9,U$16,U$17,U$18,$B$6,$H52)</f>
        <v>#NAME?</v>
      </c>
      <c r="V52" s="62" t="e">
        <f ca="1">_xll.EVGTS($B$1,1,$B$3,$B$5,$B$7,$B$9,V$16,V$17,V$18,$B$6,$H52)</f>
        <v>#NAME?</v>
      </c>
      <c r="W52" s="62" t="e">
        <f ca="1">_xll.EVGTS($B$1,1,$B$3,$B$5,$B$7,$B$9,W$16,W$17,W$18,$B$6,$H52)</f>
        <v>#NAME?</v>
      </c>
      <c r="X52" s="62" t="e">
        <f ca="1">_xll.EVGTS($B$1,1,$B$3,$B$5,$B$7,$B$9,X$16,X$17,X$18,$B$6,$H52)</f>
        <v>#NAME?</v>
      </c>
      <c r="Y52" s="62" t="e">
        <f ca="1">_xll.EVGTS($B$1,1,$B$3,$B$5,$B$7,$B$9,Y$16,Y$17,Y$18,$B$6,$H52)</f>
        <v>#NAME?</v>
      </c>
      <c r="Z52" s="62" t="e">
        <f ca="1">_xll.EVGTS($B$1,1,$B$3,$B$5,$B$7,$B$9,Z$16,Z$17,Z$18,$B$6,$H52)</f>
        <v>#NAME?</v>
      </c>
      <c r="AA52" s="62" t="e">
        <f ca="1">IF($I52="B1","",SUM(O52:Z52))</f>
        <v>#NAME?</v>
      </c>
      <c r="AB52" s="63" t="e">
        <f ca="1">IF(AA52=0,"",IFERROR(AA52/AA$19,""))</f>
        <v>#NAME?</v>
      </c>
      <c r="AD52" s="62" t="e">
        <f ca="1">_xll.EVGTS($B$1,1,$B$3,$B$5,$B$7,$B$9,AD$16,AD$17,AD$18,$B$6,$H52)</f>
        <v>#NAME?</v>
      </c>
      <c r="AE52" s="63" t="e">
        <f ca="1">IF(AD52=0,"",IFERROR(AD52/AD$19,""))</f>
        <v>#NAME?</v>
      </c>
      <c r="AF52" s="64" t="e">
        <f ca="1">IF(AND($AA52="",AD52=""),"",$AA52-AD52)</f>
        <v>#NAME?</v>
      </c>
      <c r="AG52" s="62" t="e">
        <f ca="1">_xll.EVGTS($B$1,1,$B$3,$B$5,$B$7,$B$9,AG$16,AG$17,AG$18,$B$6,$H52)</f>
        <v>#NAME?</v>
      </c>
      <c r="AH52" s="63" t="e">
        <f ca="1">IF(AG52=0,"",IFERROR(AG52/AG$19,""))</f>
        <v>#NAME?</v>
      </c>
      <c r="AI52" s="64" t="e">
        <f ca="1">IF(AND($AA52="",AG52=""),"",$AA52-AG52)</f>
        <v>#NAME?</v>
      </c>
      <c r="AJ52" s="430">
        <f ca="1">IFERROR(AA52/AA$20,0)</f>
        <v>0</v>
      </c>
      <c r="AK52" s="431">
        <f ca="1">IFERROR(AD52/AD$20,0)</f>
        <v>0</v>
      </c>
      <c r="AL52" s="432">
        <f ca="1">IFERROR(AG52/AG$20,0)</f>
        <v>0</v>
      </c>
      <c r="AM52" s="433">
        <f ca="1">+IFERROR(ROUND(($AB52-AE52)*100,2)&amp;" pts.",0)</f>
        <v>0</v>
      </c>
      <c r="AN52" s="438">
        <f ca="1">+IFERROR(ROUND(($AB52-AH52)*100,2)&amp;" pts.",0)</f>
        <v>0</v>
      </c>
    </row>
    <row r="53" spans="1:40" ht="15.75" thickTop="1" x14ac:dyDescent="0.25">
      <c r="A53" s="6" t="s">
        <v>33</v>
      </c>
      <c r="B53" s="7"/>
    </row>
    <row r="54" spans="1:40" x14ac:dyDescent="0.25">
      <c r="A54" s="6" t="s">
        <v>34</v>
      </c>
      <c r="B54" s="7"/>
      <c r="N54" s="26" t="e">
        <f ca="1">N52&amp;" - Check"</f>
        <v>#NAME?</v>
      </c>
      <c r="O54" s="139" t="e">
        <f t="shared" ref="O54:AA54" ca="1" si="12">SUMIF($H$34:$H$50,"400000",O$34:O$50)-O52</f>
        <v>#NAME?</v>
      </c>
      <c r="P54" s="139" t="e">
        <f t="shared" ca="1" si="12"/>
        <v>#NAME?</v>
      </c>
      <c r="Q54" s="139" t="e">
        <f t="shared" ca="1" si="12"/>
        <v>#NAME?</v>
      </c>
      <c r="R54" s="139" t="e">
        <f t="shared" ca="1" si="12"/>
        <v>#NAME?</v>
      </c>
      <c r="S54" s="139" t="e">
        <f t="shared" ca="1" si="12"/>
        <v>#NAME?</v>
      </c>
      <c r="T54" s="139" t="e">
        <f t="shared" ca="1" si="12"/>
        <v>#NAME?</v>
      </c>
      <c r="U54" s="139" t="e">
        <f t="shared" ca="1" si="12"/>
        <v>#NAME?</v>
      </c>
      <c r="V54" s="139" t="e">
        <f t="shared" ca="1" si="12"/>
        <v>#NAME?</v>
      </c>
      <c r="W54" s="139" t="e">
        <f t="shared" ca="1" si="12"/>
        <v>#NAME?</v>
      </c>
      <c r="X54" s="139" t="e">
        <f t="shared" ca="1" si="12"/>
        <v>#NAME?</v>
      </c>
      <c r="Y54" s="139" t="e">
        <f t="shared" ca="1" si="12"/>
        <v>#NAME?</v>
      </c>
      <c r="Z54" s="139" t="e">
        <f t="shared" ca="1" si="12"/>
        <v>#NAME?</v>
      </c>
      <c r="AA54" s="139" t="e">
        <f t="shared" ca="1" si="12"/>
        <v>#NAME?</v>
      </c>
      <c r="AB54" s="17"/>
      <c r="AD54" s="139" t="e">
        <f ca="1">SUMIF($H$34:$H$50,"400000",AD$34:AD$50)-AD52</f>
        <v>#NAME?</v>
      </c>
      <c r="AE54" s="139"/>
      <c r="AF54" s="21"/>
      <c r="AG54" s="139" t="e">
        <f ca="1">SUMIF($H$34:$H$50,"400000",AG$34:AG$50)-AG52</f>
        <v>#NAME?</v>
      </c>
      <c r="AH54" s="17"/>
      <c r="AI54" s="21"/>
    </row>
    <row r="55" spans="1:40" x14ac:dyDescent="0.25">
      <c r="A55" s="6" t="s">
        <v>35</v>
      </c>
      <c r="B55" s="7"/>
    </row>
    <row r="56" spans="1:40" x14ac:dyDescent="0.25">
      <c r="A56" s="6" t="s">
        <v>36</v>
      </c>
      <c r="B56" s="7"/>
      <c r="O56" s="166"/>
      <c r="P56" s="166"/>
      <c r="Q56" s="166"/>
      <c r="R56" s="166"/>
      <c r="S56" s="166"/>
      <c r="T56" s="166"/>
      <c r="U56" s="166"/>
      <c r="V56" s="166"/>
      <c r="W56" s="166"/>
      <c r="X56" s="166"/>
      <c r="Y56" s="166"/>
      <c r="Z56" s="166"/>
      <c r="AA56" s="166"/>
      <c r="AD56" s="166"/>
      <c r="AG56" s="166"/>
    </row>
    <row r="57" spans="1:40" x14ac:dyDescent="0.25">
      <c r="A57" s="6" t="s">
        <v>37</v>
      </c>
      <c r="B57" s="7"/>
    </row>
    <row r="58" spans="1:40" x14ac:dyDescent="0.25">
      <c r="A58" s="6" t="s">
        <v>38</v>
      </c>
      <c r="B58" s="7"/>
      <c r="O58" s="166"/>
      <c r="P58" s="166"/>
      <c r="Q58" s="166"/>
      <c r="R58" s="166"/>
      <c r="S58" s="166"/>
      <c r="T58" s="166"/>
      <c r="U58" s="166"/>
      <c r="V58" s="166"/>
      <c r="W58" s="166"/>
      <c r="X58" s="166"/>
      <c r="Y58" s="166"/>
      <c r="Z58" s="166"/>
      <c r="AA58" s="166"/>
      <c r="AD58" s="166"/>
      <c r="AG58" s="166"/>
    </row>
    <row r="59" spans="1:40" x14ac:dyDescent="0.25">
      <c r="A59" s="6" t="s">
        <v>39</v>
      </c>
      <c r="B59" s="7"/>
    </row>
    <row r="60" spans="1:40" x14ac:dyDescent="0.25">
      <c r="A60" s="6" t="s">
        <v>40</v>
      </c>
      <c r="B60" s="7"/>
    </row>
    <row r="61" spans="1:40" x14ac:dyDescent="0.25">
      <c r="A61" s="6" t="s">
        <v>41</v>
      </c>
      <c r="B61" s="7"/>
      <c r="J61" s="1"/>
    </row>
    <row r="62" spans="1:40" x14ac:dyDescent="0.25">
      <c r="A62" s="6" t="s">
        <v>42</v>
      </c>
      <c r="B62" s="7"/>
      <c r="H62" s="11"/>
      <c r="J62" s="1"/>
    </row>
    <row r="63" spans="1:40" x14ac:dyDescent="0.25">
      <c r="A63" s="6" t="s">
        <v>43</v>
      </c>
      <c r="B63" s="7"/>
      <c r="H63" s="11"/>
      <c r="J63" s="1"/>
    </row>
    <row r="64" spans="1:40" x14ac:dyDescent="0.25">
      <c r="A64" s="6" t="s">
        <v>44</v>
      </c>
      <c r="B64" s="7"/>
      <c r="H64" s="11"/>
      <c r="J64" s="1"/>
    </row>
    <row r="65" spans="1:10" x14ac:dyDescent="0.25">
      <c r="A65" s="6" t="s">
        <v>45</v>
      </c>
      <c r="B65" s="7"/>
      <c r="H65" s="11"/>
      <c r="J65" s="1"/>
    </row>
    <row r="66" spans="1:10" x14ac:dyDescent="0.25">
      <c r="A66" s="6" t="s">
        <v>46</v>
      </c>
      <c r="B66" s="7"/>
      <c r="H66" s="11"/>
      <c r="J66" s="1"/>
    </row>
    <row r="67" spans="1:10" x14ac:dyDescent="0.25">
      <c r="C67" s="32"/>
      <c r="H67" s="11"/>
      <c r="J67" s="1"/>
    </row>
    <row r="68" spans="1:10" x14ac:dyDescent="0.25">
      <c r="C68" s="32"/>
      <c r="H68" s="11"/>
      <c r="J68" s="1"/>
    </row>
    <row r="69" spans="1:10" x14ac:dyDescent="0.25">
      <c r="H69" s="11"/>
      <c r="J69" s="1"/>
    </row>
    <row r="70" spans="1:10" x14ac:dyDescent="0.25">
      <c r="H70" s="11"/>
      <c r="J70" s="1"/>
    </row>
    <row r="71" spans="1:10" x14ac:dyDescent="0.25">
      <c r="H71" s="11"/>
      <c r="J71" s="1"/>
    </row>
    <row r="72" spans="1:10" x14ac:dyDescent="0.25">
      <c r="H72" s="11"/>
      <c r="J72" s="1"/>
    </row>
    <row r="73" spans="1:10" x14ac:dyDescent="0.25">
      <c r="H73" s="11"/>
      <c r="J73" s="1"/>
    </row>
    <row r="74" spans="1:10" x14ac:dyDescent="0.25">
      <c r="H74" s="11"/>
      <c r="J74" s="1"/>
    </row>
    <row r="75" spans="1:10" x14ac:dyDescent="0.25">
      <c r="H75" s="11"/>
      <c r="J75" s="1"/>
    </row>
    <row r="76" spans="1:10" x14ac:dyDescent="0.25">
      <c r="H76" s="11"/>
      <c r="J76" s="1"/>
    </row>
    <row r="77" spans="1:10" x14ac:dyDescent="0.25">
      <c r="H77" s="11"/>
      <c r="J77" s="1"/>
    </row>
    <row r="78" spans="1:10" x14ac:dyDescent="0.25">
      <c r="H78" s="11"/>
      <c r="J78" s="1"/>
    </row>
    <row r="79" spans="1:10" x14ac:dyDescent="0.25">
      <c r="H79" s="11"/>
      <c r="J79" s="1"/>
    </row>
    <row r="80" spans="1:10" x14ac:dyDescent="0.25">
      <c r="H80" s="11"/>
      <c r="J80" s="1"/>
    </row>
    <row r="81" spans="8:10" x14ac:dyDescent="0.25">
      <c r="H81" s="11"/>
      <c r="J81" s="1"/>
    </row>
    <row r="82" spans="8:10" x14ac:dyDescent="0.25">
      <c r="H82" s="11"/>
      <c r="J82" s="1"/>
    </row>
    <row r="83" spans="8:10" x14ac:dyDescent="0.25">
      <c r="H83" s="11"/>
      <c r="J83" s="1"/>
    </row>
    <row r="84" spans="8:10" x14ac:dyDescent="0.25">
      <c r="H84" s="11"/>
    </row>
    <row r="100" spans="5:5" x14ac:dyDescent="0.25">
      <c r="E100" s="76"/>
    </row>
    <row r="104" spans="5:5" x14ac:dyDescent="0.25">
      <c r="E104" s="76"/>
    </row>
    <row r="124" spans="9:34" x14ac:dyDescent="0.25">
      <c r="J124" s="1"/>
      <c r="K124" s="76"/>
      <c r="L124" s="76"/>
      <c r="M124" s="76"/>
      <c r="O124" s="76"/>
      <c r="P124" s="76"/>
      <c r="Q124" s="76"/>
      <c r="R124" s="76"/>
      <c r="S124" s="76"/>
      <c r="T124" s="76"/>
      <c r="U124" s="76"/>
      <c r="V124" s="76"/>
      <c r="W124" s="76"/>
      <c r="X124" s="76"/>
      <c r="Y124" s="76"/>
      <c r="Z124" s="76"/>
      <c r="AA124" s="76"/>
      <c r="AD124" s="76"/>
      <c r="AF124" s="76"/>
      <c r="AH124" s="76"/>
    </row>
    <row r="125" spans="9:34" x14ac:dyDescent="0.25">
      <c r="I125" s="76"/>
    </row>
    <row r="128" spans="9:34" x14ac:dyDescent="0.25">
      <c r="J128" s="1"/>
      <c r="K128" s="76"/>
      <c r="L128" s="76"/>
      <c r="M128" s="76"/>
      <c r="O128" s="76"/>
      <c r="P128" s="76"/>
      <c r="Q128" s="76"/>
      <c r="R128" s="76"/>
      <c r="S128" s="76"/>
      <c r="T128" s="76"/>
      <c r="U128" s="76"/>
      <c r="V128" s="76"/>
      <c r="W128" s="76"/>
      <c r="X128" s="76"/>
      <c r="Y128" s="76"/>
      <c r="Z128" s="76"/>
      <c r="AA128" s="76"/>
      <c r="AD128" s="76"/>
      <c r="AF128" s="76"/>
      <c r="AH128" s="76"/>
    </row>
    <row r="129" spans="9:9" x14ac:dyDescent="0.25">
      <c r="I129" s="76"/>
    </row>
    <row r="157" spans="7:7" x14ac:dyDescent="0.25">
      <c r="G157" s="76"/>
    </row>
    <row r="161" spans="7:7" x14ac:dyDescent="0.25">
      <c r="G161" s="76"/>
    </row>
  </sheetData>
  <mergeCells count="2">
    <mergeCell ref="AD31:AE31"/>
    <mergeCell ref="AG31:AH31"/>
  </mergeCells>
  <dataValidations disablePrompts="1" count="2">
    <dataValidation type="list" allowBlank="1" sqref="B28" xr:uid="{00000000-0002-0000-4A00-000000000000}">
      <formula1>"ACCOUNT,BUSINESSUNIT,CATEGORY,DATASRC,DEPARTMENT,INTCO,MEASURES,RPTCURRENCY,TIME"</formula1>
    </dataValidation>
    <dataValidation type="list" allowBlank="1" sqref="B29" xr:uid="{00000000-0002-0000-4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20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1206" r:id="rId7" name="FPMExcelClientSheetOptionstb1"/>
      </mc:Fallback>
    </mc:AlternateContent>
  </controls>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7">
    <pageSetUpPr fitToPage="1"/>
  </sheetPr>
  <dimension ref="A1:AO161"/>
  <sheetViews>
    <sheetView tabSelected="1"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5" sqref="O34:T35"/>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472</v>
      </c>
      <c r="C6" s="1" t="s">
        <v>1022</v>
      </c>
      <c r="E6" s="49" t="s">
        <v>1687</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M13" s="11"/>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1688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1689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1690</v>
      </c>
      <c r="G19" s="18" t="str">
        <f>$B$6</f>
        <v>D_ROI_CON</v>
      </c>
      <c r="H19" s="18">
        <v>400000</v>
      </c>
      <c r="I19" s="19"/>
      <c r="J19" s="19"/>
      <c r="K19" s="18"/>
      <c r="L19" s="18"/>
      <c r="M19" s="18"/>
      <c r="N19" s="18" t="s">
        <v>1003</v>
      </c>
      <c r="O19" s="20">
        <v>102264.58</v>
      </c>
      <c r="P19" s="20">
        <v>87266.78</v>
      </c>
      <c r="Q19" s="20">
        <v>90782.74</v>
      </c>
      <c r="R19" s="20">
        <v>79960</v>
      </c>
      <c r="S19" s="20">
        <v>78295.22</v>
      </c>
      <c r="T19" s="20">
        <v>88953.9</v>
      </c>
      <c r="U19" s="20">
        <v>80347.039999999994</v>
      </c>
      <c r="V19" s="20">
        <v>95026.06</v>
      </c>
      <c r="W19" s="20">
        <v>71927.7</v>
      </c>
      <c r="X19" s="20">
        <v>73559.12</v>
      </c>
      <c r="Y19" s="20">
        <v>79584.23</v>
      </c>
      <c r="Z19" s="20">
        <v>76824.899999999994</v>
      </c>
      <c r="AA19" s="20">
        <f>SUM(O19:Z19)</f>
        <v>1004792.27</v>
      </c>
      <c r="AB19" s="18"/>
      <c r="AC19" s="18"/>
      <c r="AD19" s="20">
        <v>1249778.04</v>
      </c>
      <c r="AE19" s="18"/>
      <c r="AF19" s="18"/>
      <c r="AG19" s="20">
        <v>953809.99</v>
      </c>
      <c r="AH19" s="18"/>
      <c r="AI19" s="18"/>
    </row>
    <row r="20" spans="1:40" hidden="1" outlineLevel="1" x14ac:dyDescent="0.25">
      <c r="A20" s="6" t="s">
        <v>5</v>
      </c>
      <c r="B20" s="7"/>
      <c r="G20" s="18" t="s">
        <v>749</v>
      </c>
      <c r="H20" s="18">
        <v>900200</v>
      </c>
      <c r="I20" s="19"/>
      <c r="J20" s="19"/>
      <c r="K20" s="18"/>
      <c r="L20" s="19"/>
      <c r="M20" s="19"/>
      <c r="N20" s="18" t="s">
        <v>1053</v>
      </c>
      <c r="O20" s="20">
        <v>3881</v>
      </c>
      <c r="P20" s="20">
        <v>3519</v>
      </c>
      <c r="Q20" s="20">
        <v>3762</v>
      </c>
      <c r="R20" s="20">
        <v>3457</v>
      </c>
      <c r="S20" s="20">
        <v>3164</v>
      </c>
      <c r="T20" s="20">
        <v>3405</v>
      </c>
      <c r="U20" s="20">
        <v>3379</v>
      </c>
      <c r="V20" s="20">
        <v>2992</v>
      </c>
      <c r="W20" s="20">
        <v>2680</v>
      </c>
      <c r="X20" s="20">
        <v>3199</v>
      </c>
      <c r="Y20" s="20">
        <v>2979</v>
      </c>
      <c r="Z20" s="20">
        <v>3469</v>
      </c>
      <c r="AA20" s="20">
        <f>SUM(O20:Z20)</f>
        <v>39886</v>
      </c>
      <c r="AB20" s="18"/>
      <c r="AC20" s="18"/>
      <c r="AD20" s="20">
        <v>41253</v>
      </c>
      <c r="AE20" s="18"/>
      <c r="AF20" s="18"/>
      <c r="AG20" s="20">
        <v>41314</v>
      </c>
      <c r="AH20" s="18"/>
      <c r="AI20" s="18"/>
    </row>
    <row r="21" spans="1:40" hidden="1" outlineLevel="1" x14ac:dyDescent="0.25">
      <c r="A21" s="6" t="s">
        <v>6</v>
      </c>
      <c r="B21" s="7"/>
      <c r="I21" s="1"/>
      <c r="J21" s="1"/>
    </row>
    <row r="22" spans="1:40" hidden="1" outlineLevel="1" x14ac:dyDescent="0.25">
      <c r="A22" s="6" t="s">
        <v>7</v>
      </c>
      <c r="B22" s="16" t="s">
        <v>1691</v>
      </c>
      <c r="I22" s="1"/>
      <c r="J22" s="1"/>
    </row>
    <row r="23" spans="1:40" hidden="1" outlineLevel="1" x14ac:dyDescent="0.25">
      <c r="A23" s="6" t="s">
        <v>47</v>
      </c>
      <c r="B23" s="16" t="s">
        <v>1692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1022</v>
      </c>
    </row>
    <row r="28" spans="1:40" ht="15.75" x14ac:dyDescent="0.25">
      <c r="A28" s="6" t="s">
        <v>12</v>
      </c>
      <c r="B28" s="7" t="s">
        <v>22</v>
      </c>
      <c r="N28" s="71" t="s">
        <v>1005</v>
      </c>
    </row>
    <row r="29" spans="1:40" ht="15" customHeight="1" x14ac:dyDescent="0.25">
      <c r="A29" s="6" t="s">
        <v>13</v>
      </c>
      <c r="B29" s="7" t="str">
        <f>"DEP(455000) AND "&amp;$E$6&amp;"=Y,400000"</f>
        <v>DEP(455000) AND D1139=Y,400000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69</v>
      </c>
      <c r="I33" s="11" t="s">
        <v>1011</v>
      </c>
      <c r="J33" s="11" t="s">
        <v>78</v>
      </c>
      <c r="N33" s="40" t="s">
        <v>1019</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640</v>
      </c>
      <c r="I34" s="161" t="s">
        <v>1058</v>
      </c>
      <c r="J34" s="161" t="s">
        <v>78</v>
      </c>
      <c r="K34" s="68" t="str">
        <f t="shared" ref="K34:K50" si="0">IF(AND(I34&gt;="T5"),"&gt;","")</f>
        <v>&gt;</v>
      </c>
      <c r="L34" s="162">
        <v>455100</v>
      </c>
      <c r="M34" s="162"/>
      <c r="N34" s="162" t="s">
        <v>1693</v>
      </c>
      <c r="O34" s="323"/>
      <c r="P34" s="324"/>
      <c r="Q34" s="324"/>
      <c r="R34" s="324"/>
      <c r="S34" s="324"/>
      <c r="T34" s="324"/>
      <c r="U34" s="324"/>
      <c r="V34" s="324"/>
      <c r="W34" s="324"/>
      <c r="X34" s="324"/>
      <c r="Y34" s="324"/>
      <c r="Z34" s="324"/>
      <c r="AA34" s="324">
        <f t="shared" ref="AA34:AA50" si="1">IF($I34="B1","",SUM(O34:Z34))</f>
        <v>0</v>
      </c>
      <c r="AB34" s="325" t="str">
        <f t="shared" ref="AB34:AB50" si="2">IF(AA34=0,"",IFERROR(AA34/AA$19,""))</f>
        <v/>
      </c>
      <c r="AC34" s="290"/>
      <c r="AD34" s="324"/>
      <c r="AE34" s="325" t="str">
        <f t="shared" ref="AE34:AE50" si="3">IF(AD34=0,"",IFERROR(AD34/AD$19,""))</f>
        <v/>
      </c>
      <c r="AF34" s="326">
        <f t="shared" ref="AF34:AF50" si="4">IF(AND($AA34="",AD34=""),"",$AA34-AD34)</f>
        <v>0</v>
      </c>
      <c r="AG34" s="324"/>
      <c r="AH34" s="325" t="str">
        <f t="shared" ref="AH34:AH50" si="5">IF(AG34=0,"",IFERROR(AG34/AG$19,""))</f>
        <v/>
      </c>
      <c r="AI34" s="327">
        <f t="shared" ref="AI34:AI50" si="6">IF(AND($AA34="",AG34=""),"",$AA34-AG34)</f>
        <v>0</v>
      </c>
      <c r="AJ34" s="399">
        <f t="shared" ref="AJ34:AJ50" si="7">IFERROR(AA34/AA$20,0)</f>
        <v>0</v>
      </c>
      <c r="AK34" s="400">
        <f t="shared" ref="AK34:AK50" si="8">IFERROR(AD34/AD$20,0)</f>
        <v>0</v>
      </c>
      <c r="AL34" s="401">
        <f t="shared" ref="AL34:AL50" si="9">IFERROR(AG34/AG$20,0)</f>
        <v>0</v>
      </c>
      <c r="AM34" s="402">
        <f t="shared" ref="AM34:AM50" si="10">+IFERROR(ROUND(($AB34-AE34)*100,2)&amp;" pts.",0)</f>
        <v>0</v>
      </c>
      <c r="AN34" s="403">
        <f t="shared" ref="AN34:AN50" si="11">+IFERROR(ROUND(($AB34-AH34)*100,2)&amp;" pts.",0)</f>
        <v>0</v>
      </c>
    </row>
    <row r="35" spans="1:40" x14ac:dyDescent="0.25">
      <c r="A35" s="22" t="s">
        <v>92</v>
      </c>
      <c r="B35" s="23" t="s">
        <v>93</v>
      </c>
      <c r="C35" s="23" t="s">
        <v>94</v>
      </c>
      <c r="D35" s="23" t="s">
        <v>95</v>
      </c>
      <c r="E35" s="23" t="s">
        <v>96</v>
      </c>
      <c r="F35" s="24" t="s">
        <v>97</v>
      </c>
      <c r="H35" s="15" t="s">
        <v>641</v>
      </c>
      <c r="I35" s="161" t="s">
        <v>1058</v>
      </c>
      <c r="J35" s="161" t="s">
        <v>78</v>
      </c>
      <c r="K35" s="68" t="str">
        <f t="shared" si="0"/>
        <v>&gt;</v>
      </c>
      <c r="L35" s="162">
        <v>455200</v>
      </c>
      <c r="M35" s="162"/>
      <c r="N35" s="162" t="s">
        <v>1109</v>
      </c>
      <c r="O35" s="323">
        <v>3250.88</v>
      </c>
      <c r="P35" s="324">
        <v>3335.11</v>
      </c>
      <c r="Q35" s="324">
        <v>7336.89</v>
      </c>
      <c r="R35" s="324">
        <v>1345.48</v>
      </c>
      <c r="S35" s="324">
        <v>877.71</v>
      </c>
      <c r="T35" s="324">
        <v>1941.78</v>
      </c>
      <c r="U35" s="324">
        <v>3095</v>
      </c>
      <c r="V35" s="324">
        <v>6147.08</v>
      </c>
      <c r="W35" s="324">
        <v>1468.98</v>
      </c>
      <c r="X35" s="324">
        <v>-5953.48</v>
      </c>
      <c r="Y35" s="324">
        <v>-3943.63</v>
      </c>
      <c r="Z35" s="324">
        <v>-9113.09</v>
      </c>
      <c r="AA35" s="324">
        <f t="shared" si="1"/>
        <v>9788.7099999999991</v>
      </c>
      <c r="AB35" s="325">
        <f t="shared" si="2"/>
        <v>9.7420235925979003E-3</v>
      </c>
      <c r="AC35" s="290"/>
      <c r="AD35" s="324">
        <v>87227</v>
      </c>
      <c r="AE35" s="325">
        <f t="shared" si="3"/>
        <v>6.9793993179780939E-2</v>
      </c>
      <c r="AF35" s="326">
        <f t="shared" si="4"/>
        <v>-77438.290000000008</v>
      </c>
      <c r="AG35" s="324">
        <v>34347.71</v>
      </c>
      <c r="AH35" s="325">
        <f t="shared" si="5"/>
        <v>3.6011061280664503E-2</v>
      </c>
      <c r="AI35" s="327">
        <f t="shared" si="6"/>
        <v>-24559</v>
      </c>
      <c r="AJ35" s="399">
        <f t="shared" si="7"/>
        <v>0.24541718898861753</v>
      </c>
      <c r="AK35" s="400">
        <f t="shared" si="8"/>
        <v>2.1144401619276172</v>
      </c>
      <c r="AL35" s="401">
        <f t="shared" si="9"/>
        <v>0.83138185602943315</v>
      </c>
      <c r="AM35" s="402" t="str">
        <f t="shared" si="10"/>
        <v>-6.01 pts.</v>
      </c>
      <c r="AN35" s="403" t="str">
        <f t="shared" si="11"/>
        <v>-2.63 pts.</v>
      </c>
    </row>
    <row r="36" spans="1:40" x14ac:dyDescent="0.25">
      <c r="H36" s="15" t="s">
        <v>642</v>
      </c>
      <c r="I36" s="161" t="s">
        <v>1009</v>
      </c>
      <c r="J36" s="161" t="s">
        <v>1009</v>
      </c>
      <c r="K36" s="68" t="str">
        <f t="shared" si="0"/>
        <v/>
      </c>
      <c r="L36" s="162">
        <v>455250</v>
      </c>
      <c r="M36" s="162">
        <v>206088</v>
      </c>
      <c r="N36" s="162" t="s">
        <v>1694</v>
      </c>
      <c r="O36" s="323"/>
      <c r="P36" s="324"/>
      <c r="Q36" s="324"/>
      <c r="R36" s="324"/>
      <c r="S36" s="324"/>
      <c r="T36" s="324">
        <v>3705.66</v>
      </c>
      <c r="U36" s="324"/>
      <c r="V36" s="324"/>
      <c r="W36" s="324"/>
      <c r="X36" s="324"/>
      <c r="Y36" s="324"/>
      <c r="Z36" s="324"/>
      <c r="AA36" s="324">
        <f t="shared" si="1"/>
        <v>3705.66</v>
      </c>
      <c r="AB36" s="325">
        <f t="shared" si="2"/>
        <v>3.6879861744955498E-3</v>
      </c>
      <c r="AC36" s="290"/>
      <c r="AD36" s="324">
        <v>3491</v>
      </c>
      <c r="AE36" s="325">
        <f t="shared" si="3"/>
        <v>2.7932959999841249E-3</v>
      </c>
      <c r="AF36" s="326">
        <f t="shared" si="4"/>
        <v>214.65999999999985</v>
      </c>
      <c r="AG36" s="324">
        <v>3491.17</v>
      </c>
      <c r="AH36" s="325">
        <f t="shared" si="5"/>
        <v>3.6602363537836294E-3</v>
      </c>
      <c r="AI36" s="327">
        <f t="shared" si="6"/>
        <v>214.48999999999978</v>
      </c>
      <c r="AJ36" s="399">
        <f t="shared" si="7"/>
        <v>9.2906282906282903E-2</v>
      </c>
      <c r="AK36" s="400">
        <f t="shared" si="8"/>
        <v>8.462414854677236E-2</v>
      </c>
      <c r="AL36" s="401">
        <f t="shared" si="9"/>
        <v>8.4503316067192719E-2</v>
      </c>
      <c r="AM36" s="402" t="str">
        <f t="shared" si="10"/>
        <v>0.09 pts.</v>
      </c>
      <c r="AN36" s="403" t="str">
        <f t="shared" si="11"/>
        <v>0 pts.</v>
      </c>
    </row>
    <row r="37" spans="1:40" x14ac:dyDescent="0.25">
      <c r="A37" s="1" t="s">
        <v>209</v>
      </c>
      <c r="B37" s="1" t="s">
        <v>21</v>
      </c>
      <c r="C37" s="74"/>
      <c r="D37" s="1" t="s">
        <v>590</v>
      </c>
      <c r="F37" s="1" t="s">
        <v>99</v>
      </c>
      <c r="H37" s="15" t="s">
        <v>643</v>
      </c>
      <c r="I37" s="161" t="s">
        <v>1058</v>
      </c>
      <c r="J37" s="161" t="s">
        <v>78</v>
      </c>
      <c r="K37" s="68" t="str">
        <f t="shared" si="0"/>
        <v>&gt;</v>
      </c>
      <c r="L37" s="162">
        <v>455300</v>
      </c>
      <c r="M37" s="162"/>
      <c r="N37" s="162" t="s">
        <v>1695</v>
      </c>
      <c r="O37" s="323"/>
      <c r="P37" s="324">
        <v>6117.54</v>
      </c>
      <c r="Q37" s="324"/>
      <c r="R37" s="324"/>
      <c r="S37" s="324"/>
      <c r="T37" s="324"/>
      <c r="U37" s="324"/>
      <c r="V37" s="324"/>
      <c r="W37" s="324"/>
      <c r="X37" s="324"/>
      <c r="Y37" s="324"/>
      <c r="Z37" s="324"/>
      <c r="AA37" s="324">
        <f t="shared" si="1"/>
        <v>6117.54</v>
      </c>
      <c r="AB37" s="325">
        <f t="shared" si="2"/>
        <v>6.0883629210244624E-3</v>
      </c>
      <c r="AC37" s="290"/>
      <c r="AD37" s="324"/>
      <c r="AE37" s="325" t="str">
        <f t="shared" si="3"/>
        <v/>
      </c>
      <c r="AF37" s="326">
        <f t="shared" si="4"/>
        <v>6117.54</v>
      </c>
      <c r="AG37" s="324"/>
      <c r="AH37" s="325" t="str">
        <f t="shared" si="5"/>
        <v/>
      </c>
      <c r="AI37" s="327">
        <f t="shared" si="6"/>
        <v>6117.54</v>
      </c>
      <c r="AJ37" s="399">
        <f t="shared" si="7"/>
        <v>0.15337562051847767</v>
      </c>
      <c r="AK37" s="400">
        <f t="shared" si="8"/>
        <v>0</v>
      </c>
      <c r="AL37" s="401">
        <f t="shared" si="9"/>
        <v>0</v>
      </c>
      <c r="AM37" s="402">
        <f t="shared" si="10"/>
        <v>0</v>
      </c>
      <c r="AN37" s="403">
        <f t="shared" si="11"/>
        <v>0</v>
      </c>
    </row>
    <row r="38" spans="1:40" x14ac:dyDescent="0.25">
      <c r="A38" s="1" t="s">
        <v>105</v>
      </c>
      <c r="C38" s="26" t="s">
        <v>101</v>
      </c>
      <c r="D38" s="1" t="s">
        <v>106</v>
      </c>
      <c r="F38" s="1" t="s">
        <v>98</v>
      </c>
      <c r="H38" s="15" t="s">
        <v>644</v>
      </c>
      <c r="I38" s="161" t="s">
        <v>1058</v>
      </c>
      <c r="J38" s="161" t="s">
        <v>78</v>
      </c>
      <c r="K38" s="68" t="str">
        <f t="shared" si="0"/>
        <v>&gt;</v>
      </c>
      <c r="L38" s="162">
        <v>455400</v>
      </c>
      <c r="M38" s="162"/>
      <c r="N38" s="162" t="s">
        <v>1696</v>
      </c>
      <c r="O38" s="323">
        <v>13865.08</v>
      </c>
      <c r="P38" s="324">
        <v>79.94</v>
      </c>
      <c r="Q38" s="324">
        <v>2611.1799999999998</v>
      </c>
      <c r="R38" s="324">
        <v>829.84</v>
      </c>
      <c r="S38" s="324">
        <v>777.18</v>
      </c>
      <c r="T38" s="324">
        <v>112.98</v>
      </c>
      <c r="U38" s="324">
        <v>662.05</v>
      </c>
      <c r="V38" s="324"/>
      <c r="W38" s="324">
        <v>141.49</v>
      </c>
      <c r="X38" s="324">
        <v>155.91999999999999</v>
      </c>
      <c r="Y38" s="324">
        <v>5044.38</v>
      </c>
      <c r="Z38" s="324">
        <v>579.79</v>
      </c>
      <c r="AA38" s="324">
        <f t="shared" si="1"/>
        <v>24859.83</v>
      </c>
      <c r="AB38" s="325">
        <f t="shared" si="2"/>
        <v>2.4741263186668427E-2</v>
      </c>
      <c r="AC38" s="290"/>
      <c r="AD38" s="324">
        <v>36352</v>
      </c>
      <c r="AE38" s="325">
        <f t="shared" si="3"/>
        <v>2.9086764878665974E-2</v>
      </c>
      <c r="AF38" s="326">
        <f t="shared" si="4"/>
        <v>-11492.169999999998</v>
      </c>
      <c r="AG38" s="324">
        <v>42378.54</v>
      </c>
      <c r="AH38" s="325">
        <f t="shared" si="5"/>
        <v>4.4430799052545045E-2</v>
      </c>
      <c r="AI38" s="327">
        <f t="shared" si="6"/>
        <v>-17518.71</v>
      </c>
      <c r="AJ38" s="399">
        <f t="shared" si="7"/>
        <v>0.62327207541493257</v>
      </c>
      <c r="AK38" s="400">
        <f t="shared" si="8"/>
        <v>0.88119651904103946</v>
      </c>
      <c r="AL38" s="401">
        <f t="shared" si="9"/>
        <v>1.025767052330929</v>
      </c>
      <c r="AM38" s="402" t="str">
        <f t="shared" si="10"/>
        <v>-0.43 pts.</v>
      </c>
      <c r="AN38" s="403" t="str">
        <f t="shared" si="11"/>
        <v>-1.97 pts.</v>
      </c>
    </row>
    <row r="39" spans="1:40" x14ac:dyDescent="0.25">
      <c r="A39" s="1" t="s">
        <v>104</v>
      </c>
      <c r="C39" s="26" t="s">
        <v>101</v>
      </c>
      <c r="D39" s="1" t="s">
        <v>106</v>
      </c>
      <c r="F39" s="1" t="s">
        <v>98</v>
      </c>
      <c r="H39" s="15" t="s">
        <v>645</v>
      </c>
      <c r="I39" s="161" t="s">
        <v>1009</v>
      </c>
      <c r="J39" s="161" t="s">
        <v>1009</v>
      </c>
      <c r="K39" s="68" t="str">
        <f t="shared" si="0"/>
        <v/>
      </c>
      <c r="L39" s="162">
        <v>455500</v>
      </c>
      <c r="M39" s="162">
        <v>206065</v>
      </c>
      <c r="N39" s="162" t="s">
        <v>1697</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399">
        <f t="shared" si="7"/>
        <v>0</v>
      </c>
      <c r="AK39" s="400">
        <f t="shared" si="8"/>
        <v>0</v>
      </c>
      <c r="AL39" s="401">
        <f t="shared" si="9"/>
        <v>0</v>
      </c>
      <c r="AM39" s="402">
        <f t="shared" si="10"/>
        <v>0</v>
      </c>
      <c r="AN39" s="403">
        <f t="shared" si="11"/>
        <v>0</v>
      </c>
    </row>
    <row r="40" spans="1:40" x14ac:dyDescent="0.25">
      <c r="A40" s="1" t="s">
        <v>108</v>
      </c>
      <c r="C40" s="25" t="s">
        <v>101</v>
      </c>
      <c r="D40" s="1" t="s">
        <v>106</v>
      </c>
      <c r="F40" s="1" t="s">
        <v>98</v>
      </c>
      <c r="H40" s="15" t="s">
        <v>646</v>
      </c>
      <c r="I40" s="161" t="s">
        <v>1009</v>
      </c>
      <c r="J40" s="161" t="s">
        <v>1009</v>
      </c>
      <c r="K40" s="68" t="str">
        <f t="shared" si="0"/>
        <v/>
      </c>
      <c r="L40" s="162">
        <v>455510</v>
      </c>
      <c r="M40" s="162">
        <v>207065</v>
      </c>
      <c r="N40" s="162" t="s">
        <v>1662</v>
      </c>
      <c r="O40" s="323"/>
      <c r="P40" s="324"/>
      <c r="Q40" s="324"/>
      <c r="R40" s="324"/>
      <c r="S40" s="324"/>
      <c r="T40" s="324"/>
      <c r="U40" s="324"/>
      <c r="V40" s="324"/>
      <c r="W40" s="324"/>
      <c r="X40" s="324"/>
      <c r="Y40" s="324"/>
      <c r="Z40" s="324"/>
      <c r="AA40" s="324">
        <f t="shared" si="1"/>
        <v>0</v>
      </c>
      <c r="AB40" s="325" t="str">
        <f t="shared" si="2"/>
        <v/>
      </c>
      <c r="AC40" s="290"/>
      <c r="AD40" s="324"/>
      <c r="AE40" s="325" t="str">
        <f t="shared" si="3"/>
        <v/>
      </c>
      <c r="AF40" s="326">
        <f t="shared" si="4"/>
        <v>0</v>
      </c>
      <c r="AG40" s="324">
        <v>0</v>
      </c>
      <c r="AH40" s="325" t="str">
        <f t="shared" si="5"/>
        <v/>
      </c>
      <c r="AI40" s="327">
        <f t="shared" si="6"/>
        <v>0</v>
      </c>
      <c r="AJ40" s="399">
        <f t="shared" si="7"/>
        <v>0</v>
      </c>
      <c r="AK40" s="400">
        <f t="shared" si="8"/>
        <v>0</v>
      </c>
      <c r="AL40" s="401">
        <f t="shared" si="9"/>
        <v>0</v>
      </c>
      <c r="AM40" s="402">
        <f t="shared" si="10"/>
        <v>0</v>
      </c>
      <c r="AN40" s="403">
        <f t="shared" si="11"/>
        <v>0</v>
      </c>
    </row>
    <row r="41" spans="1:40" x14ac:dyDescent="0.25">
      <c r="A41" s="1" t="s">
        <v>108</v>
      </c>
      <c r="C41" s="151" t="s">
        <v>101</v>
      </c>
      <c r="D41" s="1" t="s">
        <v>107</v>
      </c>
      <c r="F41" s="1" t="s">
        <v>99</v>
      </c>
      <c r="H41" s="15" t="s">
        <v>647</v>
      </c>
      <c r="I41" s="161" t="s">
        <v>1009</v>
      </c>
      <c r="J41" s="161" t="s">
        <v>1009</v>
      </c>
      <c r="K41" s="68" t="str">
        <f t="shared" si="0"/>
        <v/>
      </c>
      <c r="L41" s="162">
        <v>455550</v>
      </c>
      <c r="M41" s="162">
        <v>207070</v>
      </c>
      <c r="N41" s="162" t="s">
        <v>1698</v>
      </c>
      <c r="O41" s="323"/>
      <c r="P41" s="324"/>
      <c r="Q41" s="324"/>
      <c r="R41" s="324"/>
      <c r="S41" s="324"/>
      <c r="T41" s="324"/>
      <c r="U41" s="324"/>
      <c r="V41" s="324"/>
      <c r="W41" s="324"/>
      <c r="X41" s="324"/>
      <c r="Y41" s="324"/>
      <c r="Z41" s="324"/>
      <c r="AA41" s="324">
        <f t="shared" si="1"/>
        <v>0</v>
      </c>
      <c r="AB41" s="325" t="str">
        <f t="shared" si="2"/>
        <v/>
      </c>
      <c r="AC41" s="290"/>
      <c r="AD41" s="324"/>
      <c r="AE41" s="325" t="str">
        <f t="shared" si="3"/>
        <v/>
      </c>
      <c r="AF41" s="326">
        <f t="shared" si="4"/>
        <v>0</v>
      </c>
      <c r="AG41" s="324"/>
      <c r="AH41" s="325" t="str">
        <f t="shared" si="5"/>
        <v/>
      </c>
      <c r="AI41" s="327">
        <f t="shared" si="6"/>
        <v>0</v>
      </c>
      <c r="AJ41" s="399">
        <f t="shared" si="7"/>
        <v>0</v>
      </c>
      <c r="AK41" s="400">
        <f t="shared" si="8"/>
        <v>0</v>
      </c>
      <c r="AL41" s="401">
        <f t="shared" si="9"/>
        <v>0</v>
      </c>
      <c r="AM41" s="402">
        <f t="shared" si="10"/>
        <v>0</v>
      </c>
      <c r="AN41" s="403">
        <f t="shared" si="11"/>
        <v>0</v>
      </c>
    </row>
    <row r="42" spans="1:40" x14ac:dyDescent="0.25">
      <c r="H42" s="15" t="s">
        <v>648</v>
      </c>
      <c r="I42" s="161" t="s">
        <v>1009</v>
      </c>
      <c r="J42" s="161" t="s">
        <v>1009</v>
      </c>
      <c r="K42" s="68" t="str">
        <f t="shared" si="0"/>
        <v/>
      </c>
      <c r="L42" s="162">
        <v>455560</v>
      </c>
      <c r="M42" s="162">
        <v>207075</v>
      </c>
      <c r="N42" s="162" t="s">
        <v>1699</v>
      </c>
      <c r="O42" s="323"/>
      <c r="P42" s="324"/>
      <c r="Q42" s="324"/>
      <c r="R42" s="324"/>
      <c r="S42" s="324"/>
      <c r="T42" s="324"/>
      <c r="U42" s="324"/>
      <c r="V42" s="324"/>
      <c r="W42" s="324"/>
      <c r="X42" s="324"/>
      <c r="Y42" s="324"/>
      <c r="Z42" s="324"/>
      <c r="AA42" s="324">
        <f t="shared" si="1"/>
        <v>0</v>
      </c>
      <c r="AB42" s="325" t="str">
        <f t="shared" si="2"/>
        <v/>
      </c>
      <c r="AC42" s="290"/>
      <c r="AD42" s="324"/>
      <c r="AE42" s="325" t="str">
        <f t="shared" si="3"/>
        <v/>
      </c>
      <c r="AF42" s="326">
        <f t="shared" si="4"/>
        <v>0</v>
      </c>
      <c r="AG42" s="324"/>
      <c r="AH42" s="325" t="str">
        <f t="shared" si="5"/>
        <v/>
      </c>
      <c r="AI42" s="327">
        <f t="shared" si="6"/>
        <v>0</v>
      </c>
      <c r="AJ42" s="399">
        <f t="shared" si="7"/>
        <v>0</v>
      </c>
      <c r="AK42" s="400">
        <f t="shared" si="8"/>
        <v>0</v>
      </c>
      <c r="AL42" s="401">
        <f t="shared" si="9"/>
        <v>0</v>
      </c>
      <c r="AM42" s="402">
        <f t="shared" si="10"/>
        <v>0</v>
      </c>
      <c r="AN42" s="403">
        <f t="shared" si="11"/>
        <v>0</v>
      </c>
    </row>
    <row r="43" spans="1:40" x14ac:dyDescent="0.25">
      <c r="H43" s="15" t="s">
        <v>649</v>
      </c>
      <c r="I43" s="161" t="s">
        <v>1009</v>
      </c>
      <c r="J43" s="161" t="s">
        <v>1009</v>
      </c>
      <c r="K43" s="68" t="str">
        <f t="shared" si="0"/>
        <v/>
      </c>
      <c r="L43" s="162">
        <v>455565</v>
      </c>
      <c r="M43" s="162">
        <v>207080</v>
      </c>
      <c r="N43" s="162" t="s">
        <v>1700</v>
      </c>
      <c r="O43" s="323"/>
      <c r="P43" s="324"/>
      <c r="Q43" s="324"/>
      <c r="R43" s="324"/>
      <c r="S43" s="324"/>
      <c r="T43" s="324"/>
      <c r="U43" s="324"/>
      <c r="V43" s="324"/>
      <c r="W43" s="324"/>
      <c r="X43" s="324"/>
      <c r="Y43" s="324"/>
      <c r="Z43" s="324"/>
      <c r="AA43" s="324">
        <f t="shared" si="1"/>
        <v>0</v>
      </c>
      <c r="AB43" s="325" t="str">
        <f t="shared" si="2"/>
        <v/>
      </c>
      <c r="AC43" s="290"/>
      <c r="AD43" s="324"/>
      <c r="AE43" s="325" t="str">
        <f t="shared" si="3"/>
        <v/>
      </c>
      <c r="AF43" s="326">
        <f t="shared" si="4"/>
        <v>0</v>
      </c>
      <c r="AG43" s="324"/>
      <c r="AH43" s="325" t="str">
        <f t="shared" si="5"/>
        <v/>
      </c>
      <c r="AI43" s="327">
        <f t="shared" si="6"/>
        <v>0</v>
      </c>
      <c r="AJ43" s="399">
        <f t="shared" si="7"/>
        <v>0</v>
      </c>
      <c r="AK43" s="400">
        <f t="shared" si="8"/>
        <v>0</v>
      </c>
      <c r="AL43" s="401">
        <f t="shared" si="9"/>
        <v>0</v>
      </c>
      <c r="AM43" s="402">
        <f t="shared" si="10"/>
        <v>0</v>
      </c>
      <c r="AN43" s="403">
        <f t="shared" si="11"/>
        <v>0</v>
      </c>
    </row>
    <row r="44" spans="1:40" x14ac:dyDescent="0.25">
      <c r="A44" s="3" t="s">
        <v>23</v>
      </c>
      <c r="B44" s="5" t="s">
        <v>24</v>
      </c>
      <c r="H44" s="15" t="s">
        <v>650</v>
      </c>
      <c r="I44" s="161" t="s">
        <v>1009</v>
      </c>
      <c r="J44" s="161" t="s">
        <v>1009</v>
      </c>
      <c r="K44" s="68" t="str">
        <f t="shared" si="0"/>
        <v/>
      </c>
      <c r="L44" s="162">
        <v>455570</v>
      </c>
      <c r="M44" s="162" t="s">
        <v>1294</v>
      </c>
      <c r="N44" s="162" t="s">
        <v>1701</v>
      </c>
      <c r="O44" s="323"/>
      <c r="P44" s="324"/>
      <c r="Q44" s="324"/>
      <c r="R44" s="324"/>
      <c r="S44" s="324"/>
      <c r="T44" s="324"/>
      <c r="U44" s="324"/>
      <c r="V44" s="324"/>
      <c r="W44" s="324"/>
      <c r="X44" s="324"/>
      <c r="Y44" s="324"/>
      <c r="Z44" s="324"/>
      <c r="AA44" s="324">
        <f t="shared" si="1"/>
        <v>0</v>
      </c>
      <c r="AB44" s="325" t="str">
        <f t="shared" si="2"/>
        <v/>
      </c>
      <c r="AC44" s="290"/>
      <c r="AD44" s="324"/>
      <c r="AE44" s="325" t="str">
        <f t="shared" si="3"/>
        <v/>
      </c>
      <c r="AF44" s="326">
        <f t="shared" si="4"/>
        <v>0</v>
      </c>
      <c r="AG44" s="324"/>
      <c r="AH44" s="325" t="str">
        <f t="shared" si="5"/>
        <v/>
      </c>
      <c r="AI44" s="327">
        <f t="shared" si="6"/>
        <v>0</v>
      </c>
      <c r="AJ44" s="399">
        <f t="shared" si="7"/>
        <v>0</v>
      </c>
      <c r="AK44" s="400">
        <f t="shared" si="8"/>
        <v>0</v>
      </c>
      <c r="AL44" s="401">
        <f t="shared" si="9"/>
        <v>0</v>
      </c>
      <c r="AM44" s="402">
        <f t="shared" si="10"/>
        <v>0</v>
      </c>
      <c r="AN44" s="403">
        <f t="shared" si="11"/>
        <v>0</v>
      </c>
    </row>
    <row r="45" spans="1:40" ht="14.25" customHeight="1" x14ac:dyDescent="0.25">
      <c r="A45" s="6" t="s">
        <v>25</v>
      </c>
      <c r="B45" s="7"/>
      <c r="H45" s="15" t="s">
        <v>651</v>
      </c>
      <c r="I45" s="161" t="s">
        <v>1058</v>
      </c>
      <c r="J45" s="161" t="s">
        <v>78</v>
      </c>
      <c r="K45" s="68" t="str">
        <f t="shared" si="0"/>
        <v>&gt;</v>
      </c>
      <c r="L45" s="162">
        <v>455575</v>
      </c>
      <c r="M45" s="162"/>
      <c r="N45" s="162" t="s">
        <v>1702</v>
      </c>
      <c r="O45" s="323"/>
      <c r="P45" s="324"/>
      <c r="Q45" s="324"/>
      <c r="R45" s="324"/>
      <c r="S45" s="324"/>
      <c r="T45" s="324"/>
      <c r="U45" s="324"/>
      <c r="V45" s="324"/>
      <c r="W45" s="324"/>
      <c r="X45" s="324"/>
      <c r="Y45" s="324"/>
      <c r="Z45" s="324"/>
      <c r="AA45" s="324">
        <f t="shared" si="1"/>
        <v>0</v>
      </c>
      <c r="AB45" s="325" t="str">
        <f t="shared" si="2"/>
        <v/>
      </c>
      <c r="AC45" s="290"/>
      <c r="AD45" s="324">
        <v>2547</v>
      </c>
      <c r="AE45" s="325">
        <f t="shared" si="3"/>
        <v>2.037961876814542E-3</v>
      </c>
      <c r="AF45" s="326">
        <f t="shared" si="4"/>
        <v>-2547</v>
      </c>
      <c r="AG45" s="324">
        <v>1385.89</v>
      </c>
      <c r="AH45" s="325">
        <f t="shared" si="5"/>
        <v>1.4530042823309075E-3</v>
      </c>
      <c r="AI45" s="327">
        <f t="shared" si="6"/>
        <v>-1385.89</v>
      </c>
      <c r="AJ45" s="399">
        <f t="shared" si="7"/>
        <v>0</v>
      </c>
      <c r="AK45" s="400">
        <f t="shared" si="8"/>
        <v>6.174096429350593E-2</v>
      </c>
      <c r="AL45" s="401">
        <f t="shared" si="9"/>
        <v>3.3545287311807136E-2</v>
      </c>
      <c r="AM45" s="402">
        <f t="shared" si="10"/>
        <v>0</v>
      </c>
      <c r="AN45" s="403">
        <f t="shared" si="11"/>
        <v>0</v>
      </c>
    </row>
    <row r="46" spans="1:40" x14ac:dyDescent="0.25">
      <c r="A46" s="6" t="s">
        <v>26</v>
      </c>
      <c r="B46" s="7"/>
      <c r="H46" s="15" t="s">
        <v>652</v>
      </c>
      <c r="I46" s="161" t="s">
        <v>1009</v>
      </c>
      <c r="J46" s="161" t="s">
        <v>1009</v>
      </c>
      <c r="K46" s="68" t="str">
        <f t="shared" si="0"/>
        <v/>
      </c>
      <c r="L46" s="162">
        <v>455580</v>
      </c>
      <c r="M46" s="162">
        <v>207095</v>
      </c>
      <c r="N46" s="162" t="s">
        <v>1703</v>
      </c>
      <c r="O46" s="323">
        <v>85148.62</v>
      </c>
      <c r="P46" s="324">
        <v>77734.19</v>
      </c>
      <c r="Q46" s="324">
        <v>80834.67</v>
      </c>
      <c r="R46" s="324">
        <v>77784.679999999993</v>
      </c>
      <c r="S46" s="324">
        <v>76640.33</v>
      </c>
      <c r="T46" s="324">
        <v>83193.48</v>
      </c>
      <c r="U46" s="324">
        <v>76589.990000000005</v>
      </c>
      <c r="V46" s="324">
        <v>88878.98</v>
      </c>
      <c r="W46" s="324">
        <v>70317.23</v>
      </c>
      <c r="X46" s="324">
        <v>79356.679999999993</v>
      </c>
      <c r="Y46" s="324">
        <v>78483.48</v>
      </c>
      <c r="Z46" s="324">
        <v>85358.2</v>
      </c>
      <c r="AA46" s="324">
        <f t="shared" si="1"/>
        <v>960320.5299999998</v>
      </c>
      <c r="AB46" s="325">
        <f t="shared" si="2"/>
        <v>0.95574036412521346</v>
      </c>
      <c r="AC46" s="290"/>
      <c r="AD46" s="324">
        <v>1120161.04</v>
      </c>
      <c r="AE46" s="325">
        <f t="shared" si="3"/>
        <v>0.89628798406475441</v>
      </c>
      <c r="AF46" s="326">
        <f t="shared" si="4"/>
        <v>-159840.51000000024</v>
      </c>
      <c r="AG46" s="324">
        <v>872206.68</v>
      </c>
      <c r="AH46" s="325">
        <f t="shared" si="5"/>
        <v>0.91444489903067594</v>
      </c>
      <c r="AI46" s="327">
        <f t="shared" si="6"/>
        <v>88113.849999999744</v>
      </c>
      <c r="AJ46" s="399">
        <f t="shared" si="7"/>
        <v>24.076631650203073</v>
      </c>
      <c r="AK46" s="400">
        <f t="shared" si="8"/>
        <v>27.153444355562019</v>
      </c>
      <c r="AL46" s="401">
        <f t="shared" si="9"/>
        <v>21.111649319843153</v>
      </c>
      <c r="AM46" s="402" t="str">
        <f t="shared" si="10"/>
        <v>5.95 pts.</v>
      </c>
      <c r="AN46" s="403" t="str">
        <f t="shared" si="11"/>
        <v>4.13 pts.</v>
      </c>
    </row>
    <row r="47" spans="1:40" x14ac:dyDescent="0.25">
      <c r="A47" s="6" t="s">
        <v>27</v>
      </c>
      <c r="B47" s="7"/>
      <c r="H47" s="15" t="s">
        <v>653</v>
      </c>
      <c r="I47" s="161" t="s">
        <v>1009</v>
      </c>
      <c r="J47" s="161" t="s">
        <v>1009</v>
      </c>
      <c r="K47" s="68" t="str">
        <f t="shared" si="0"/>
        <v/>
      </c>
      <c r="L47" s="162">
        <v>455600</v>
      </c>
      <c r="M47" s="162">
        <v>290040</v>
      </c>
      <c r="N47" s="162" t="s">
        <v>1704</v>
      </c>
      <c r="O47" s="323"/>
      <c r="P47" s="324"/>
      <c r="Q47" s="324"/>
      <c r="R47" s="324"/>
      <c r="S47" s="324"/>
      <c r="T47" s="324"/>
      <c r="U47" s="324"/>
      <c r="V47" s="324"/>
      <c r="W47" s="324"/>
      <c r="X47" s="324"/>
      <c r="Y47" s="324"/>
      <c r="Z47" s="324"/>
      <c r="AA47" s="324">
        <f t="shared" si="1"/>
        <v>0</v>
      </c>
      <c r="AB47" s="325" t="str">
        <f t="shared" si="2"/>
        <v/>
      </c>
      <c r="AC47" s="290"/>
      <c r="AD47" s="324"/>
      <c r="AE47" s="325" t="str">
        <f t="shared" si="3"/>
        <v/>
      </c>
      <c r="AF47" s="326">
        <f t="shared" si="4"/>
        <v>0</v>
      </c>
      <c r="AG47" s="324"/>
      <c r="AH47" s="325" t="str">
        <f t="shared" si="5"/>
        <v/>
      </c>
      <c r="AI47" s="327">
        <f t="shared" si="6"/>
        <v>0</v>
      </c>
      <c r="AJ47" s="399">
        <f t="shared" si="7"/>
        <v>0</v>
      </c>
      <c r="AK47" s="400">
        <f t="shared" si="8"/>
        <v>0</v>
      </c>
      <c r="AL47" s="401">
        <f t="shared" si="9"/>
        <v>0</v>
      </c>
      <c r="AM47" s="402">
        <f t="shared" si="10"/>
        <v>0</v>
      </c>
      <c r="AN47" s="403">
        <f t="shared" si="11"/>
        <v>0</v>
      </c>
    </row>
    <row r="48" spans="1:40" x14ac:dyDescent="0.25">
      <c r="A48" s="6" t="s">
        <v>28</v>
      </c>
      <c r="B48" s="7"/>
      <c r="H48" s="15" t="s">
        <v>654</v>
      </c>
      <c r="I48" s="161" t="s">
        <v>1009</v>
      </c>
      <c r="J48" s="161" t="s">
        <v>1009</v>
      </c>
      <c r="K48" s="68" t="str">
        <f t="shared" si="0"/>
        <v/>
      </c>
      <c r="L48" s="162">
        <v>455610</v>
      </c>
      <c r="M48" s="162" t="s">
        <v>1294</v>
      </c>
      <c r="N48" s="162" t="s">
        <v>1665</v>
      </c>
      <c r="O48" s="323"/>
      <c r="P48" s="324"/>
      <c r="Q48" s="324"/>
      <c r="R48" s="324"/>
      <c r="S48" s="324"/>
      <c r="T48" s="324"/>
      <c r="U48" s="324"/>
      <c r="V48" s="324"/>
      <c r="W48" s="324"/>
      <c r="X48" s="324"/>
      <c r="Y48" s="324"/>
      <c r="Z48" s="324"/>
      <c r="AA48" s="324">
        <f t="shared" si="1"/>
        <v>0</v>
      </c>
      <c r="AB48" s="325" t="str">
        <f t="shared" si="2"/>
        <v/>
      </c>
      <c r="AC48" s="290"/>
      <c r="AD48" s="324"/>
      <c r="AE48" s="325" t="str">
        <f t="shared" si="3"/>
        <v/>
      </c>
      <c r="AF48" s="326">
        <f t="shared" si="4"/>
        <v>0</v>
      </c>
      <c r="AG48" s="324"/>
      <c r="AH48" s="325" t="str">
        <f t="shared" si="5"/>
        <v/>
      </c>
      <c r="AI48" s="327">
        <f t="shared" si="6"/>
        <v>0</v>
      </c>
      <c r="AJ48" s="399">
        <f t="shared" si="7"/>
        <v>0</v>
      </c>
      <c r="AK48" s="400">
        <f t="shared" si="8"/>
        <v>0</v>
      </c>
      <c r="AL48" s="401">
        <f t="shared" si="9"/>
        <v>0</v>
      </c>
      <c r="AM48" s="402">
        <f t="shared" si="10"/>
        <v>0</v>
      </c>
      <c r="AN48" s="403">
        <f t="shared" si="11"/>
        <v>0</v>
      </c>
    </row>
    <row r="49" spans="1:40" x14ac:dyDescent="0.25">
      <c r="A49" s="6" t="s">
        <v>29</v>
      </c>
      <c r="B49" s="7"/>
      <c r="H49" s="15" t="s">
        <v>655</v>
      </c>
      <c r="I49" s="161" t="s">
        <v>1009</v>
      </c>
      <c r="J49" s="161" t="s">
        <v>1009</v>
      </c>
      <c r="K49" s="68" t="str">
        <f t="shared" si="0"/>
        <v/>
      </c>
      <c r="L49" s="162">
        <v>455650</v>
      </c>
      <c r="M49" s="162">
        <v>290098</v>
      </c>
      <c r="N49" s="162" t="s">
        <v>586</v>
      </c>
      <c r="O49" s="323"/>
      <c r="P49" s="324"/>
      <c r="Q49" s="324"/>
      <c r="R49" s="324"/>
      <c r="S49" s="324"/>
      <c r="T49" s="324"/>
      <c r="U49" s="324"/>
      <c r="V49" s="324"/>
      <c r="W49" s="324"/>
      <c r="X49" s="324"/>
      <c r="Y49" s="324"/>
      <c r="Z49" s="324"/>
      <c r="AA49" s="324">
        <f t="shared" si="1"/>
        <v>0</v>
      </c>
      <c r="AB49" s="325" t="str">
        <f t="shared" si="2"/>
        <v/>
      </c>
      <c r="AC49" s="290"/>
      <c r="AD49" s="324"/>
      <c r="AE49" s="325" t="str">
        <f t="shared" si="3"/>
        <v/>
      </c>
      <c r="AF49" s="326">
        <f t="shared" si="4"/>
        <v>0</v>
      </c>
      <c r="AG49" s="324"/>
      <c r="AH49" s="325" t="str">
        <f t="shared" si="5"/>
        <v/>
      </c>
      <c r="AI49" s="327">
        <f t="shared" si="6"/>
        <v>0</v>
      </c>
      <c r="AJ49" s="409">
        <f t="shared" si="7"/>
        <v>0</v>
      </c>
      <c r="AK49" s="410">
        <f t="shared" si="8"/>
        <v>0</v>
      </c>
      <c r="AL49" s="411">
        <f t="shared" si="9"/>
        <v>0</v>
      </c>
      <c r="AM49" s="412">
        <f t="shared" si="10"/>
        <v>0</v>
      </c>
      <c r="AN49" s="413">
        <f t="shared" si="11"/>
        <v>0</v>
      </c>
    </row>
    <row r="50" spans="1:40" x14ac:dyDescent="0.25">
      <c r="A50" s="6" t="s">
        <v>30</v>
      </c>
      <c r="B50" s="7" t="s">
        <v>78</v>
      </c>
      <c r="H50" s="15" t="s">
        <v>280</v>
      </c>
      <c r="I50" s="479" t="s">
        <v>1012</v>
      </c>
      <c r="J50" s="479" t="s">
        <v>78</v>
      </c>
      <c r="K50" s="480" t="str">
        <f t="shared" si="0"/>
        <v/>
      </c>
      <c r="L50" s="170">
        <v>400000</v>
      </c>
      <c r="M50" s="170"/>
      <c r="N50" s="170" t="s">
        <v>1003</v>
      </c>
      <c r="O50" s="224">
        <v>102264.58</v>
      </c>
      <c r="P50" s="134">
        <v>87266.78</v>
      </c>
      <c r="Q50" s="134">
        <v>90782.74</v>
      </c>
      <c r="R50" s="134">
        <v>79960</v>
      </c>
      <c r="S50" s="134">
        <v>78295.22</v>
      </c>
      <c r="T50" s="134">
        <v>88953.9</v>
      </c>
      <c r="U50" s="134">
        <v>80347.039999999994</v>
      </c>
      <c r="V50" s="134">
        <v>95026.06</v>
      </c>
      <c r="W50" s="134">
        <v>71927.7</v>
      </c>
      <c r="X50" s="134">
        <v>73559.12</v>
      </c>
      <c r="Y50" s="134">
        <v>79584.23</v>
      </c>
      <c r="Z50" s="134">
        <v>76824.899999999994</v>
      </c>
      <c r="AA50" s="134">
        <f t="shared" si="1"/>
        <v>1004792.27</v>
      </c>
      <c r="AB50" s="135">
        <f t="shared" si="2"/>
        <v>1</v>
      </c>
      <c r="AC50" s="137"/>
      <c r="AD50" s="134">
        <v>1249778.04</v>
      </c>
      <c r="AE50" s="135">
        <f t="shared" si="3"/>
        <v>1</v>
      </c>
      <c r="AF50" s="136">
        <f t="shared" si="4"/>
        <v>-244985.77000000002</v>
      </c>
      <c r="AG50" s="134">
        <v>953809.99</v>
      </c>
      <c r="AH50" s="135">
        <f t="shared" si="5"/>
        <v>1</v>
      </c>
      <c r="AI50" s="291">
        <f t="shared" si="6"/>
        <v>50982.280000000028</v>
      </c>
      <c r="AJ50" s="360">
        <f t="shared" si="7"/>
        <v>25.191602818031392</v>
      </c>
      <c r="AK50" s="361">
        <f t="shared" si="8"/>
        <v>30.295446149370957</v>
      </c>
      <c r="AL50" s="363">
        <f t="shared" si="9"/>
        <v>23.086846831582513</v>
      </c>
      <c r="AM50" s="405" t="str">
        <f t="shared" si="10"/>
        <v>0 pts.</v>
      </c>
      <c r="AN50" s="406" t="str">
        <f t="shared" si="11"/>
        <v>0 pts.</v>
      </c>
    </row>
    <row r="51" spans="1:40" x14ac:dyDescent="0.25">
      <c r="A51" s="6" t="s">
        <v>31</v>
      </c>
      <c r="B51" s="7" t="s">
        <v>78</v>
      </c>
      <c r="I51" s="1"/>
      <c r="J51" s="1"/>
    </row>
    <row r="52" spans="1:40" ht="15.75" thickBot="1" x14ac:dyDescent="0.3">
      <c r="A52" s="6" t="s">
        <v>32</v>
      </c>
      <c r="B52" s="7"/>
      <c r="H52" s="15" t="s">
        <v>81</v>
      </c>
      <c r="I52" s="27" t="s">
        <v>1012</v>
      </c>
      <c r="J52" s="27" t="s">
        <v>78</v>
      </c>
      <c r="K52" s="25"/>
      <c r="L52" s="25"/>
      <c r="M52" s="25"/>
      <c r="N52" s="25" t="s">
        <v>1118</v>
      </c>
      <c r="O52" s="62">
        <v>102264.58</v>
      </c>
      <c r="P52" s="62">
        <v>87266.78</v>
      </c>
      <c r="Q52" s="62">
        <v>90782.74</v>
      </c>
      <c r="R52" s="62">
        <v>79960</v>
      </c>
      <c r="S52" s="62">
        <v>78295.22</v>
      </c>
      <c r="T52" s="62">
        <v>88953.9</v>
      </c>
      <c r="U52" s="62">
        <v>80347.039999999994</v>
      </c>
      <c r="V52" s="62">
        <v>95026.06</v>
      </c>
      <c r="W52" s="62">
        <v>71927.7</v>
      </c>
      <c r="X52" s="62">
        <v>73559.12</v>
      </c>
      <c r="Y52" s="62">
        <v>79584.23</v>
      </c>
      <c r="Z52" s="62">
        <v>76824.899999999994</v>
      </c>
      <c r="AA52" s="62">
        <f>IF($I52="B1","",SUM(O52:Z52))</f>
        <v>1004792.27</v>
      </c>
      <c r="AB52" s="63">
        <f>IF(AA52=0,"",IFERROR(AA52/AA$19,""))</f>
        <v>1</v>
      </c>
      <c r="AD52" s="62">
        <v>1249778.04</v>
      </c>
      <c r="AE52" s="63">
        <f>IF(AD52=0,"",IFERROR(AD52/AD$19,""))</f>
        <v>1</v>
      </c>
      <c r="AF52" s="64">
        <f>IF(AND($AA52="",AD52=""),"",$AA52-AD52)</f>
        <v>-244985.77000000002</v>
      </c>
      <c r="AG52" s="62">
        <v>953809.99</v>
      </c>
      <c r="AH52" s="63">
        <f>IF(AG52=0,"",IFERROR(AG52/AG$19,""))</f>
        <v>1</v>
      </c>
      <c r="AI52" s="64">
        <f>IF(AND($AA52="",AG52=""),"",$AA52-AG52)</f>
        <v>50982.280000000028</v>
      </c>
      <c r="AJ52" s="430">
        <f>IFERROR(AA52/AA$20,0)</f>
        <v>25.191602818031392</v>
      </c>
      <c r="AK52" s="431">
        <f>IFERROR(AD52/AD$20,0)</f>
        <v>30.295446149370957</v>
      </c>
      <c r="AL52" s="432">
        <f>IFERROR(AG52/AG$20,0)</f>
        <v>23.086846831582513</v>
      </c>
      <c r="AM52" s="433" t="str">
        <f>+IFERROR(ROUND(($AB52-AE52)*100,2)&amp;" pts.",0)</f>
        <v>0 pts.</v>
      </c>
      <c r="AN52" s="438" t="str">
        <f>+IFERROR(ROUND(($AB52-AH52)*100,2)&amp;" pts.",0)</f>
        <v>0 pts.</v>
      </c>
    </row>
    <row r="53" spans="1:40" ht="15.75" thickTop="1" x14ac:dyDescent="0.25">
      <c r="A53" s="6" t="s">
        <v>33</v>
      </c>
      <c r="B53" s="7"/>
    </row>
    <row r="54" spans="1:40" x14ac:dyDescent="0.25">
      <c r="A54" s="6" t="s">
        <v>34</v>
      </c>
      <c r="B54" s="7"/>
      <c r="N54" s="26" t="str">
        <f>N52&amp;" - Check"</f>
        <v>Department Profit (Loss) - Check</v>
      </c>
      <c r="O54" s="139">
        <f t="shared" ref="O54:AA54" si="12">SUMIF($H$34:$H$50,"400000",O$34:O$50)-O52</f>
        <v>0</v>
      </c>
      <c r="P54" s="139">
        <f t="shared" si="12"/>
        <v>0</v>
      </c>
      <c r="Q54" s="139">
        <f t="shared" si="12"/>
        <v>0</v>
      </c>
      <c r="R54" s="139">
        <f t="shared" si="12"/>
        <v>0</v>
      </c>
      <c r="S54" s="139">
        <f t="shared" si="12"/>
        <v>0</v>
      </c>
      <c r="T54" s="139">
        <f t="shared" si="12"/>
        <v>0</v>
      </c>
      <c r="U54" s="139">
        <f t="shared" si="12"/>
        <v>0</v>
      </c>
      <c r="V54" s="139">
        <f t="shared" si="12"/>
        <v>0</v>
      </c>
      <c r="W54" s="139">
        <f t="shared" si="12"/>
        <v>0</v>
      </c>
      <c r="X54" s="139">
        <f t="shared" si="12"/>
        <v>0</v>
      </c>
      <c r="Y54" s="139">
        <f t="shared" si="12"/>
        <v>0</v>
      </c>
      <c r="Z54" s="139">
        <f t="shared" si="12"/>
        <v>0</v>
      </c>
      <c r="AA54" s="139">
        <f t="shared" si="12"/>
        <v>0</v>
      </c>
      <c r="AB54" s="17"/>
      <c r="AD54" s="139">
        <f>SUMIF($H$34:$H$50,"400000",AD$34:AD$50)-AD52</f>
        <v>0</v>
      </c>
      <c r="AE54" s="139"/>
      <c r="AF54" s="21"/>
      <c r="AG54" s="139">
        <f>SUMIF($H$34:$H$50,"400000",AG$34:AG$50)-AG52</f>
        <v>0</v>
      </c>
      <c r="AH54" s="17"/>
      <c r="AI54" s="21"/>
    </row>
    <row r="55" spans="1:40" x14ac:dyDescent="0.25">
      <c r="A55" s="6" t="s">
        <v>35</v>
      </c>
      <c r="B55" s="7"/>
    </row>
    <row r="56" spans="1:40" x14ac:dyDescent="0.25">
      <c r="A56" s="6" t="s">
        <v>36</v>
      </c>
      <c r="B56" s="7"/>
      <c r="O56" s="166"/>
      <c r="P56" s="166"/>
      <c r="Q56" s="166"/>
      <c r="R56" s="166"/>
      <c r="S56" s="166"/>
      <c r="T56" s="166"/>
      <c r="U56" s="166"/>
      <c r="V56" s="166"/>
      <c r="W56" s="166"/>
      <c r="X56" s="166"/>
      <c r="Y56" s="166"/>
      <c r="Z56" s="166"/>
      <c r="AA56" s="166"/>
      <c r="AD56" s="166"/>
      <c r="AG56" s="166"/>
    </row>
    <row r="57" spans="1:40" x14ac:dyDescent="0.25">
      <c r="A57" s="6" t="s">
        <v>37</v>
      </c>
      <c r="B57" s="7"/>
    </row>
    <row r="58" spans="1:40" x14ac:dyDescent="0.25">
      <c r="A58" s="6" t="s">
        <v>38</v>
      </c>
      <c r="B58" s="7"/>
      <c r="O58" s="166"/>
      <c r="P58" s="166"/>
      <c r="Q58" s="166"/>
      <c r="R58" s="166"/>
      <c r="S58" s="166"/>
      <c r="T58" s="166"/>
      <c r="U58" s="166"/>
      <c r="V58" s="166"/>
      <c r="W58" s="166"/>
      <c r="X58" s="166"/>
      <c r="Y58" s="166"/>
      <c r="Z58" s="166"/>
      <c r="AA58" s="166"/>
      <c r="AD58" s="166"/>
      <c r="AG58" s="166"/>
    </row>
    <row r="59" spans="1:40" x14ac:dyDescent="0.25">
      <c r="A59" s="6" t="s">
        <v>39</v>
      </c>
      <c r="B59" s="7"/>
    </row>
    <row r="60" spans="1:40" x14ac:dyDescent="0.25">
      <c r="A60" s="6" t="s">
        <v>40</v>
      </c>
      <c r="B60" s="7"/>
    </row>
    <row r="61" spans="1:40" x14ac:dyDescent="0.25">
      <c r="A61" s="6" t="s">
        <v>41</v>
      </c>
      <c r="B61" s="7"/>
      <c r="J61" s="1"/>
    </row>
    <row r="62" spans="1:40" x14ac:dyDescent="0.25">
      <c r="A62" s="6" t="s">
        <v>42</v>
      </c>
      <c r="B62" s="7"/>
      <c r="H62" s="11"/>
      <c r="J62" s="1"/>
    </row>
    <row r="63" spans="1:40" x14ac:dyDescent="0.25">
      <c r="A63" s="6" t="s">
        <v>43</v>
      </c>
      <c r="B63" s="7"/>
      <c r="H63" s="11"/>
      <c r="J63" s="1"/>
    </row>
    <row r="64" spans="1:40" x14ac:dyDescent="0.25">
      <c r="A64" s="6" t="s">
        <v>44</v>
      </c>
      <c r="B64" s="7"/>
      <c r="H64" s="11"/>
      <c r="J64" s="1"/>
    </row>
    <row r="65" spans="1:10" x14ac:dyDescent="0.25">
      <c r="A65" s="6" t="s">
        <v>45</v>
      </c>
      <c r="B65" s="7"/>
      <c r="H65" s="11"/>
      <c r="J65" s="1"/>
    </row>
    <row r="66" spans="1:10" x14ac:dyDescent="0.25">
      <c r="A66" s="6" t="s">
        <v>46</v>
      </c>
      <c r="B66" s="7"/>
      <c r="H66" s="11"/>
      <c r="J66" s="1"/>
    </row>
    <row r="67" spans="1:10" x14ac:dyDescent="0.25">
      <c r="C67" s="32"/>
      <c r="H67" s="11"/>
      <c r="J67" s="1"/>
    </row>
    <row r="68" spans="1:10" x14ac:dyDescent="0.25">
      <c r="C68" s="32"/>
      <c r="H68" s="11"/>
      <c r="J68" s="1"/>
    </row>
    <row r="69" spans="1:10" x14ac:dyDescent="0.25">
      <c r="H69" s="11"/>
      <c r="J69" s="1"/>
    </row>
    <row r="70" spans="1:10" x14ac:dyDescent="0.25">
      <c r="H70" s="11"/>
      <c r="J70" s="1"/>
    </row>
    <row r="71" spans="1:10" x14ac:dyDescent="0.25">
      <c r="H71" s="11"/>
      <c r="J71" s="1"/>
    </row>
    <row r="72" spans="1:10" x14ac:dyDescent="0.25">
      <c r="H72" s="11"/>
      <c r="J72" s="1"/>
    </row>
    <row r="73" spans="1:10" x14ac:dyDescent="0.25">
      <c r="H73" s="11"/>
      <c r="J73" s="1"/>
    </row>
    <row r="74" spans="1:10" x14ac:dyDescent="0.25">
      <c r="H74" s="11"/>
      <c r="J74" s="1"/>
    </row>
    <row r="75" spans="1:10" x14ac:dyDescent="0.25">
      <c r="H75" s="11"/>
      <c r="J75" s="1"/>
    </row>
    <row r="76" spans="1:10" x14ac:dyDescent="0.25">
      <c r="H76" s="11"/>
      <c r="J76" s="1"/>
    </row>
    <row r="77" spans="1:10" x14ac:dyDescent="0.25">
      <c r="H77" s="11"/>
      <c r="J77" s="1"/>
    </row>
    <row r="78" spans="1:10" x14ac:dyDescent="0.25">
      <c r="H78" s="11"/>
      <c r="J78" s="1"/>
    </row>
    <row r="79" spans="1:10" x14ac:dyDescent="0.25">
      <c r="H79" s="11"/>
      <c r="J79" s="1"/>
    </row>
    <row r="80" spans="1:10" x14ac:dyDescent="0.25">
      <c r="H80" s="11"/>
      <c r="J80" s="1"/>
    </row>
    <row r="81" spans="8:10" x14ac:dyDescent="0.25">
      <c r="H81" s="11"/>
      <c r="J81" s="1"/>
    </row>
    <row r="82" spans="8:10" x14ac:dyDescent="0.25">
      <c r="H82" s="11"/>
      <c r="J82" s="1"/>
    </row>
    <row r="83" spans="8:10" x14ac:dyDescent="0.25">
      <c r="H83" s="11"/>
      <c r="J83" s="1"/>
    </row>
    <row r="84" spans="8:10" x14ac:dyDescent="0.25">
      <c r="H84" s="11"/>
    </row>
    <row r="100" spans="5:5" x14ac:dyDescent="0.25">
      <c r="E100" s="76"/>
    </row>
    <row r="104" spans="5:5" x14ac:dyDescent="0.25">
      <c r="E104" s="76"/>
    </row>
    <row r="124" spans="9:34" x14ac:dyDescent="0.25">
      <c r="J124" s="1"/>
      <c r="K124" s="76"/>
      <c r="L124" s="76"/>
      <c r="M124" s="76"/>
      <c r="O124" s="76"/>
      <c r="P124" s="76"/>
      <c r="Q124" s="76"/>
      <c r="R124" s="76"/>
      <c r="S124" s="76"/>
      <c r="T124" s="76"/>
      <c r="U124" s="76"/>
      <c r="V124" s="76"/>
      <c r="W124" s="76"/>
      <c r="X124" s="76"/>
      <c r="Y124" s="76"/>
      <c r="Z124" s="76"/>
      <c r="AA124" s="76"/>
      <c r="AD124" s="76"/>
      <c r="AF124" s="76"/>
      <c r="AH124" s="76"/>
    </row>
    <row r="125" spans="9:34" x14ac:dyDescent="0.25">
      <c r="I125" s="76"/>
    </row>
    <row r="128" spans="9:34" x14ac:dyDescent="0.25">
      <c r="J128" s="1"/>
      <c r="K128" s="76"/>
      <c r="L128" s="76"/>
      <c r="M128" s="76"/>
      <c r="O128" s="76"/>
      <c r="P128" s="76"/>
      <c r="Q128" s="76"/>
      <c r="R128" s="76"/>
      <c r="S128" s="76"/>
      <c r="T128" s="76"/>
      <c r="U128" s="76"/>
      <c r="V128" s="76"/>
      <c r="W128" s="76"/>
      <c r="X128" s="76"/>
      <c r="Y128" s="76"/>
      <c r="Z128" s="76"/>
      <c r="AA128" s="76"/>
      <c r="AD128" s="76"/>
      <c r="AF128" s="76"/>
      <c r="AH128" s="76"/>
    </row>
    <row r="129" spans="9:9" x14ac:dyDescent="0.25">
      <c r="I129" s="76"/>
    </row>
    <row r="157" spans="7:7" x14ac:dyDescent="0.25">
      <c r="G157" s="76"/>
    </row>
    <row r="161" spans="7:7" x14ac:dyDescent="0.25">
      <c r="G161" s="76"/>
    </row>
  </sheetData>
  <mergeCells count="2">
    <mergeCell ref="AD31:AE31"/>
    <mergeCell ref="AG31:AH31"/>
  </mergeCells>
  <dataValidations count="2">
    <dataValidation type="list" allowBlank="1" sqref="B29" xr:uid="{00000000-0002-0000-4B00-000000000000}">
      <formula1>"SELF,ALL,BAS,DEP,BASMEMBERS,MEMBERS,NOEXPAND,GDEP"</formula1>
    </dataValidation>
    <dataValidation type="list" allowBlank="1" sqref="B28" xr:uid="{00000000-0002-0000-4B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864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8644" r:id="rId5" name="FPMExcelClientSheetOptionstb1"/>
      </mc:Fallback>
    </mc:AlternateContent>
  </controls>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22">
    <tabColor theme="2" tint="-0.499984740745262"/>
    <pageSetUpPr fitToPage="1"/>
  </sheetPr>
  <dimension ref="A1:AO10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497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_xll.EVDRE($B$1,A17:B24,A27:C33)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_xll.EVRNG(G35:H36,G38:H47,G50:H66)</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C26" s="5" t="s">
        <v>357</v>
      </c>
      <c r="N26" s="65" t="e">
        <f ca="1">IF(_xll.EVDES(B3,$B$1)="#NODATA","",_xll.EVDES(B3,$B$1))</f>
        <v>#NAME?</v>
      </c>
    </row>
    <row r="27" spans="1:40" ht="18" x14ac:dyDescent="0.25">
      <c r="A27" s="6" t="s">
        <v>11</v>
      </c>
      <c r="B27" s="7" t="s">
        <v>21</v>
      </c>
      <c r="C27" s="7" t="s">
        <v>21</v>
      </c>
      <c r="N27" s="70" t="e">
        <f ca="1">IF(_xll.EVDES(B6,$B$1)="#NODATA","",_xll.EVDES(B6,$B$1)&amp;" Department")</f>
        <v>#NAME?</v>
      </c>
    </row>
    <row r="28" spans="1:40" ht="15.75" x14ac:dyDescent="0.25">
      <c r="A28" s="6" t="s">
        <v>12</v>
      </c>
      <c r="B28" s="7" t="s">
        <v>52</v>
      </c>
      <c r="C28" s="7" t="s">
        <v>22</v>
      </c>
      <c r="N28" s="71" t="e">
        <f ca="1">"For the Period ended"&amp;" "&amp;IF(_xll.EVDES($B$10,$B$1)="#NODATA","",_xll.EVDES($B$10,$B$1))</f>
        <v>#NAME?</v>
      </c>
    </row>
    <row r="29" spans="1:40" ht="15" customHeight="1" x14ac:dyDescent="0.25">
      <c r="A29" s="6" t="s">
        <v>13</v>
      </c>
      <c r="B29" s="7" t="s">
        <v>738</v>
      </c>
      <c r="C29" s="7" t="s">
        <v>735</v>
      </c>
      <c r="N29" s="71" t="e">
        <f ca="1">_xll.EVDES(B9,B1)</f>
        <v>#NAME?</v>
      </c>
    </row>
    <row r="30" spans="1:40" x14ac:dyDescent="0.25">
      <c r="A30" s="6" t="s">
        <v>14</v>
      </c>
      <c r="B30" s="16"/>
      <c r="C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C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C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C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G35" s="15" t="s">
        <v>497</v>
      </c>
      <c r="H35" s="15" t="s">
        <v>855</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v>29161.759999999998</v>
      </c>
      <c r="P35" s="38">
        <v>26671.35</v>
      </c>
      <c r="Q35" s="38">
        <v>28222.69</v>
      </c>
      <c r="R35" s="38">
        <v>13745.65</v>
      </c>
      <c r="S35" s="38">
        <v>24982.3</v>
      </c>
      <c r="T35" s="38">
        <v>29766.34</v>
      </c>
      <c r="U35" s="38">
        <v>20149.759999999998</v>
      </c>
      <c r="V35" s="38">
        <v>24456.5</v>
      </c>
      <c r="W35" s="38">
        <v>27370.33</v>
      </c>
      <c r="X35" s="38">
        <v>31291.57</v>
      </c>
      <c r="Y35" s="38">
        <v>28165.32</v>
      </c>
      <c r="Z35" s="38">
        <v>26305.73</v>
      </c>
      <c r="AA35" s="310" t="e">
        <f t="shared" ref="AA35:AA47" ca="1" si="0">IF($I35="B1","",SUM(O35:Z35))</f>
        <v>#NAME?</v>
      </c>
      <c r="AB35" s="39" t="e">
        <f ca="1">IF(AA35=0,"",IFERROR(AA35/AA$19,""))</f>
        <v>#NAME?</v>
      </c>
      <c r="AD35" s="21">
        <v>333244.02043869102</v>
      </c>
      <c r="AE35" s="17" t="str">
        <f ca="1">IF(AD35=0,"",IFERROR(AD35/AD$19,""))</f>
        <v/>
      </c>
      <c r="AF35" s="50" t="e">
        <f ca="1">IF(AND($AA35="",AD35=""),"",$AA35-AD35)</f>
        <v>#NAME?</v>
      </c>
      <c r="AG35" s="21">
        <v>329788.32</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G36" s="15"/>
      <c r="H36" s="149"/>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10" t="e">
        <f t="shared" ca="1" si="0"/>
        <v>#NAME?</v>
      </c>
      <c r="AB36" s="39" t="e">
        <f ca="1">IF(AA36=0,"",IFERROR(AA36/AA$19,""))</f>
        <v>#NAME?</v>
      </c>
      <c r="AD36" s="21"/>
      <c r="AE36" s="17" t="str">
        <f>IF(AD36=0,"",IFERROR(AD36/AD$19,""))</f>
        <v/>
      </c>
      <c r="AF36" s="50" t="e">
        <f ca="1">IF(AND($AA36="",AD36=""),"",$AA36-AD36)</f>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G37" s="15" t="s">
        <v>497</v>
      </c>
      <c r="H37" s="149" t="s">
        <v>75</v>
      </c>
      <c r="I37" s="161" t="e">
        <f ca="1">_xll.EVPRO($B$1,$H37,"STYLE")</f>
        <v>#NAME?</v>
      </c>
      <c r="J37" s="161" t="e">
        <f ca="1">_xll.EVPRO($B$1,$H37,"CALC")</f>
        <v>#NAME?</v>
      </c>
      <c r="K37" s="68" t="e">
        <f ca="1">IF(AND(I37&gt;="T3"),"&gt;","")</f>
        <v>#NAME?</v>
      </c>
      <c r="L37" s="162" t="e">
        <f ca="1">_xll.EVPRO($B$1,H37,"JDEID")</f>
        <v>#NAME?</v>
      </c>
      <c r="M37" s="162" t="e">
        <f ca="1">IF(AND(I37="N",J37="N"),_xll.EVPRO($B$1,H37,"PSFTID"),"")</f>
        <v>#NAME?</v>
      </c>
      <c r="N37" s="8" t="e">
        <f ca="1">IF(_xll.EVDES(H37,$B$1)="#NODATA","",_xll.EVDES(H37,$B$1))</f>
        <v>#NAME?</v>
      </c>
      <c r="O37" s="38"/>
      <c r="P37" s="38"/>
      <c r="Q37" s="38"/>
      <c r="R37" s="38"/>
      <c r="S37" s="38"/>
      <c r="T37" s="38"/>
      <c r="U37" s="38"/>
      <c r="V37" s="38"/>
      <c r="W37" s="38"/>
      <c r="X37" s="38"/>
      <c r="Y37" s="38"/>
      <c r="Z37" s="38"/>
      <c r="AA37" s="38" t="e">
        <f t="shared" ca="1" si="0"/>
        <v>#NAME?</v>
      </c>
      <c r="AB37" s="39"/>
      <c r="AD37" s="21"/>
      <c r="AE37" s="17"/>
      <c r="AF37" s="50"/>
      <c r="AG37" s="21"/>
      <c r="AH37" s="17"/>
      <c r="AI37" s="50"/>
      <c r="AJ37" s="399">
        <f ca="1">IFERROR(AA37/AA$20,0)</f>
        <v>0</v>
      </c>
      <c r="AK37" s="400">
        <f ca="1">IFERROR(AD37/AD$20,0)</f>
        <v>0</v>
      </c>
      <c r="AL37" s="401">
        <f ca="1">IFERROR(AG37/AG$20,0)</f>
        <v>0</v>
      </c>
      <c r="AM37" s="402" t="str">
        <f>+IFERROR(ROUND(($AB37-AE37)*100,2)&amp;" pts.",0)</f>
        <v>0 pts.</v>
      </c>
      <c r="AN37" s="403" t="str">
        <f>+IFERROR(ROUND(($AB37-AH37)*100,2)&amp;" pts.",0)</f>
        <v>0 pts.</v>
      </c>
    </row>
    <row r="38" spans="1:40" x14ac:dyDescent="0.25">
      <c r="A38" s="1" t="s">
        <v>100</v>
      </c>
      <c r="C38" s="8" t="s">
        <v>101</v>
      </c>
      <c r="D38" s="1" t="s">
        <v>106</v>
      </c>
      <c r="F38" s="1" t="s">
        <v>98</v>
      </c>
      <c r="G38" s="15" t="s">
        <v>497</v>
      </c>
      <c r="H38" s="149" t="s">
        <v>846</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7256.81</v>
      </c>
      <c r="P38" s="47">
        <v>8586.27</v>
      </c>
      <c r="Q38" s="47">
        <v>7219.78</v>
      </c>
      <c r="R38" s="47">
        <v>9225.25</v>
      </c>
      <c r="S38" s="47">
        <v>11684.85</v>
      </c>
      <c r="T38" s="47">
        <v>12889.08</v>
      </c>
      <c r="U38" s="47">
        <v>13319.98</v>
      </c>
      <c r="V38" s="47">
        <v>13572.44</v>
      </c>
      <c r="W38" s="47">
        <v>11854.86</v>
      </c>
      <c r="X38" s="47">
        <v>12507.08</v>
      </c>
      <c r="Y38" s="47">
        <v>10200.5</v>
      </c>
      <c r="Z38" s="47">
        <v>9781.48</v>
      </c>
      <c r="AA38" s="47" t="e">
        <f t="shared" ca="1" si="0"/>
        <v>#NAME?</v>
      </c>
      <c r="AB38" s="48" t="e">
        <f t="shared" ref="AB38:AB47" ca="1" si="1">IF(AA38=0,"",IFERROR(AA38/AA$19,""))</f>
        <v>#NAME?</v>
      </c>
      <c r="AD38" s="30">
        <v>117821.428571429</v>
      </c>
      <c r="AE38" s="31" t="str">
        <f t="shared" ref="AE38:AE47" ca="1" si="2">IF(AD38=0,"",IFERROR(AD38/AD$19,""))</f>
        <v/>
      </c>
      <c r="AF38" s="51" t="e">
        <f t="shared" ref="AF38:AF47" ca="1" si="3">IF(AND($AA38="",AD38=""),"",$AA38-AD38)</f>
        <v>#NAME?</v>
      </c>
      <c r="AG38" s="30">
        <v>98563.62</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G39" s="15" t="s">
        <v>497</v>
      </c>
      <c r="H39" s="149" t="s">
        <v>847</v>
      </c>
      <c r="I39" s="161" t="e">
        <f ca="1">_xll.EVPRO($B$1,$H39,"STYLE")</f>
        <v>#NAME?</v>
      </c>
      <c r="J39" s="161" t="e">
        <f ca="1">_xll.EVPRO($B$1,$H39,"CALC")</f>
        <v>#NAME?</v>
      </c>
      <c r="K39" s="68" t="e">
        <f t="shared" ref="K39:K47" ca="1" si="4">IF(AND(I39&gt;="T3"),"&gt;","")</f>
        <v>#NAME?</v>
      </c>
      <c r="L39" s="162" t="e">
        <f ca="1">_xll.EVPRO($B$1,H39,"JDEID")</f>
        <v>#NAME?</v>
      </c>
      <c r="M39" s="162" t="e">
        <f ca="1">IF(AND(I39="N",J39="N"),_xll.EVPRO($B$1,H39,"PSFTID"),"")</f>
        <v>#NAME?</v>
      </c>
      <c r="N39" s="162" t="e">
        <f ca="1">IF(_xll.EVDES(H39,$B$1)="#NODATA","",_xll.EVDES(H39,$B$1))</f>
        <v>#NAME?</v>
      </c>
      <c r="O39" s="47"/>
      <c r="P39" s="47"/>
      <c r="Q39" s="47"/>
      <c r="R39" s="47"/>
      <c r="S39" s="47"/>
      <c r="T39" s="47"/>
      <c r="U39" s="47"/>
      <c r="V39" s="47"/>
      <c r="W39" s="47"/>
      <c r="X39" s="47"/>
      <c r="Y39" s="47"/>
      <c r="Z39" s="47"/>
      <c r="AA39" s="47" t="e">
        <f t="shared" ca="1" si="0"/>
        <v>#NAME?</v>
      </c>
      <c r="AB39" s="48" t="e">
        <f t="shared" ca="1" si="1"/>
        <v>#NAME?</v>
      </c>
      <c r="AD39" s="30"/>
      <c r="AE39" s="31" t="str">
        <f t="shared" si="2"/>
        <v/>
      </c>
      <c r="AF39" s="51" t="e">
        <f t="shared" ca="1" si="3"/>
        <v>#NAME?</v>
      </c>
      <c r="AG39" s="30">
        <v>3161.29</v>
      </c>
      <c r="AH39" s="31" t="str">
        <f t="shared" ref="AH39:AH47" ca="1" si="5">IF(AG39=0,"",IFERROR(AG39/AG$19,""))</f>
        <v/>
      </c>
      <c r="AI39" s="51" t="e">
        <f t="shared" ref="AI39:AI47" ca="1" si="6">IF(AND($AA39="",AG39=""),"",$AA39-AG39)</f>
        <v>#NAME?</v>
      </c>
      <c r="AJ39" s="409">
        <f t="shared" ref="AJ39:AJ47" ca="1" si="7">IFERROR(AA39/AA$20,0)</f>
        <v>0</v>
      </c>
      <c r="AK39" s="410">
        <f t="shared" ref="AK39:AK47" ca="1" si="8">IFERROR(AD39/AD$20,0)</f>
        <v>0</v>
      </c>
      <c r="AL39" s="411">
        <f t="shared" ref="AL39:AL47" ca="1" si="9">IFERROR(AG39/AG$20,0)</f>
        <v>0</v>
      </c>
      <c r="AM39" s="412">
        <f t="shared" ref="AM39:AM47" ca="1" si="10">+IFERROR(ROUND(($AB39-AE39)*100,2)&amp;" pts.",0)</f>
        <v>0</v>
      </c>
      <c r="AN39" s="413">
        <f t="shared" ref="AN39:AN47" ca="1" si="11">+IFERROR(ROUND(($AB39-AH39)*100,2)&amp;" pts.",0)</f>
        <v>0</v>
      </c>
    </row>
    <row r="40" spans="1:40" x14ac:dyDescent="0.25">
      <c r="A40" s="1" t="s">
        <v>109</v>
      </c>
      <c r="C40" s="151" t="s">
        <v>101</v>
      </c>
      <c r="D40" s="1" t="s">
        <v>107</v>
      </c>
      <c r="F40" s="1" t="s">
        <v>99</v>
      </c>
      <c r="G40" s="15" t="s">
        <v>497</v>
      </c>
      <c r="H40" s="149" t="s">
        <v>848</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134">
        <v>36418.57</v>
      </c>
      <c r="P40" s="134">
        <v>35257.620000000003</v>
      </c>
      <c r="Q40" s="134">
        <v>35442.47</v>
      </c>
      <c r="R40" s="134">
        <v>22970.9</v>
      </c>
      <c r="S40" s="134">
        <v>36667.15</v>
      </c>
      <c r="T40" s="134">
        <v>42655.42</v>
      </c>
      <c r="U40" s="134">
        <v>33469.74</v>
      </c>
      <c r="V40" s="134">
        <v>38028.94</v>
      </c>
      <c r="W40" s="134">
        <v>39225.19</v>
      </c>
      <c r="X40" s="134">
        <v>43798.65</v>
      </c>
      <c r="Y40" s="134">
        <v>38365.82</v>
      </c>
      <c r="Z40" s="134">
        <v>36087.21</v>
      </c>
      <c r="AA40" s="134" t="e">
        <f t="shared" ca="1" si="0"/>
        <v>#NAME?</v>
      </c>
      <c r="AB40" s="135" t="e">
        <f t="shared" ca="1" si="1"/>
        <v>#NAME?</v>
      </c>
      <c r="AC40" s="137"/>
      <c r="AD40" s="134">
        <v>451065.44901012001</v>
      </c>
      <c r="AE40" s="135" t="str">
        <f t="shared" ca="1" si="2"/>
        <v/>
      </c>
      <c r="AF40" s="136" t="e">
        <f t="shared" ca="1" si="3"/>
        <v>#NAME?</v>
      </c>
      <c r="AG40" s="134">
        <v>431513.23</v>
      </c>
      <c r="AH40" s="135" t="str">
        <f t="shared" ca="1" si="5"/>
        <v/>
      </c>
      <c r="AI40" s="136" t="e">
        <f t="shared" ca="1" si="6"/>
        <v>#NAME?</v>
      </c>
      <c r="AJ40" s="360">
        <f t="shared" ca="1" si="7"/>
        <v>0</v>
      </c>
      <c r="AK40" s="361">
        <f t="shared" ca="1" si="8"/>
        <v>0</v>
      </c>
      <c r="AL40" s="363">
        <f t="shared" ca="1" si="9"/>
        <v>0</v>
      </c>
      <c r="AM40" s="405">
        <f t="shared" ca="1" si="10"/>
        <v>0</v>
      </c>
      <c r="AN40" s="406">
        <f t="shared" ca="1" si="11"/>
        <v>0</v>
      </c>
    </row>
    <row r="41" spans="1:40" x14ac:dyDescent="0.25">
      <c r="A41" s="1" t="s">
        <v>110</v>
      </c>
      <c r="C41" s="25" t="s">
        <v>101</v>
      </c>
      <c r="D41" s="1" t="s">
        <v>106</v>
      </c>
      <c r="F41" s="1" t="s">
        <v>98</v>
      </c>
      <c r="G41" s="15" t="s">
        <v>497</v>
      </c>
      <c r="H41" s="149" t="s">
        <v>849</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v>4313.99</v>
      </c>
      <c r="P41" s="47">
        <v>-1997.63</v>
      </c>
      <c r="Q41" s="47">
        <v>-2185.54</v>
      </c>
      <c r="R41" s="47">
        <v>5323.68</v>
      </c>
      <c r="S41" s="47">
        <v>500</v>
      </c>
      <c r="T41" s="47"/>
      <c r="U41" s="47"/>
      <c r="V41" s="47"/>
      <c r="W41" s="47"/>
      <c r="X41" s="47">
        <v>5957.29</v>
      </c>
      <c r="Y41" s="47">
        <v>5957.29</v>
      </c>
      <c r="Z41" s="47">
        <v>5957.29</v>
      </c>
      <c r="AA41" s="47" t="e">
        <f t="shared" ca="1" si="0"/>
        <v>#NAME?</v>
      </c>
      <c r="AB41" s="48" t="e">
        <f t="shared" ca="1" si="1"/>
        <v>#NAME?</v>
      </c>
      <c r="AD41" s="47">
        <v>94147.067892092105</v>
      </c>
      <c r="AE41" s="48" t="str">
        <f t="shared" ca="1" si="2"/>
        <v/>
      </c>
      <c r="AF41" s="150" t="e">
        <f t="shared" ca="1" si="3"/>
        <v>#NAME?</v>
      </c>
      <c r="AG41" s="47">
        <v>117788.7</v>
      </c>
      <c r="AH41" s="48" t="str">
        <f t="shared" ca="1" si="5"/>
        <v/>
      </c>
      <c r="AI41" s="150" t="e">
        <f t="shared" ca="1" si="6"/>
        <v>#NAME?</v>
      </c>
      <c r="AJ41" s="420">
        <f t="shared" ca="1" si="7"/>
        <v>0</v>
      </c>
      <c r="AK41" s="421">
        <f t="shared" ca="1" si="8"/>
        <v>0</v>
      </c>
      <c r="AL41" s="422">
        <f t="shared" ca="1" si="9"/>
        <v>0</v>
      </c>
      <c r="AM41" s="423">
        <f t="shared" ca="1" si="10"/>
        <v>0</v>
      </c>
      <c r="AN41" s="424">
        <f t="shared" ca="1" si="11"/>
        <v>0</v>
      </c>
    </row>
    <row r="42" spans="1:40" x14ac:dyDescent="0.25">
      <c r="A42" s="1" t="s">
        <v>110</v>
      </c>
      <c r="C42" s="29" t="s">
        <v>101</v>
      </c>
      <c r="D42" s="1" t="s">
        <v>107</v>
      </c>
      <c r="F42" s="1" t="s">
        <v>99</v>
      </c>
      <c r="G42" s="15" t="s">
        <v>497</v>
      </c>
      <c r="H42" s="149" t="s">
        <v>850</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40732.559999999998</v>
      </c>
      <c r="P42" s="134">
        <v>33259.99</v>
      </c>
      <c r="Q42" s="134">
        <v>33256.93</v>
      </c>
      <c r="R42" s="134">
        <v>28294.58</v>
      </c>
      <c r="S42" s="134">
        <v>37167.15</v>
      </c>
      <c r="T42" s="134">
        <v>42655.42</v>
      </c>
      <c r="U42" s="134">
        <v>33469.74</v>
      </c>
      <c r="V42" s="134">
        <v>38028.94</v>
      </c>
      <c r="W42" s="134">
        <v>39225.19</v>
      </c>
      <c r="X42" s="134">
        <v>49755.94</v>
      </c>
      <c r="Y42" s="134">
        <v>44323.11</v>
      </c>
      <c r="Z42" s="134">
        <v>42044.5</v>
      </c>
      <c r="AA42" s="134" t="e">
        <f t="shared" ca="1" si="0"/>
        <v>#NAME?</v>
      </c>
      <c r="AB42" s="135" t="e">
        <f t="shared" ca="1" si="1"/>
        <v>#NAME?</v>
      </c>
      <c r="AC42" s="137"/>
      <c r="AD42" s="134">
        <v>545212.51690221205</v>
      </c>
      <c r="AE42" s="135" t="str">
        <f t="shared" ca="1" si="2"/>
        <v/>
      </c>
      <c r="AF42" s="136" t="e">
        <f t="shared" ca="1" si="3"/>
        <v>#NAME?</v>
      </c>
      <c r="AG42" s="134">
        <v>549301.93000000005</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G43" s="15" t="s">
        <v>497</v>
      </c>
      <c r="H43" s="149" t="s">
        <v>851</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2816.43</v>
      </c>
      <c r="P43" s="47">
        <v>3504.96</v>
      </c>
      <c r="Q43" s="47">
        <v>3474.02</v>
      </c>
      <c r="R43" s="47">
        <v>2118.35</v>
      </c>
      <c r="S43" s="47">
        <v>2588.63</v>
      </c>
      <c r="T43" s="47">
        <v>3168.43</v>
      </c>
      <c r="U43" s="47">
        <v>2533.81</v>
      </c>
      <c r="V43" s="47">
        <v>3071.09</v>
      </c>
      <c r="W43" s="47">
        <v>3145.31</v>
      </c>
      <c r="X43" s="47">
        <v>3815.34</v>
      </c>
      <c r="Y43" s="47">
        <v>3491.18</v>
      </c>
      <c r="Z43" s="47">
        <v>3920.39</v>
      </c>
      <c r="AA43" s="47" t="e">
        <f t="shared" ca="1" si="0"/>
        <v>#NAME?</v>
      </c>
      <c r="AB43" s="48" t="e">
        <f t="shared" ca="1" si="1"/>
        <v>#NAME?</v>
      </c>
      <c r="AD43" s="47">
        <v>41619.548344239302</v>
      </c>
      <c r="AE43" s="48" t="str">
        <f t="shared" ca="1" si="2"/>
        <v/>
      </c>
      <c r="AF43" s="150" t="e">
        <f t="shared" ca="1" si="3"/>
        <v>#NAME?</v>
      </c>
      <c r="AG43" s="47">
        <v>39976.49</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G44" s="15" t="s">
        <v>497</v>
      </c>
      <c r="H44" s="149" t="s">
        <v>852</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3600.07</v>
      </c>
      <c r="P44" s="47">
        <v>3604.73</v>
      </c>
      <c r="Q44" s="47">
        <v>3797.5</v>
      </c>
      <c r="R44" s="47">
        <v>2556.9899999999998</v>
      </c>
      <c r="S44" s="47">
        <v>7625.02</v>
      </c>
      <c r="T44" s="47">
        <v>1726.45</v>
      </c>
      <c r="U44" s="47">
        <v>4429.2700000000004</v>
      </c>
      <c r="V44" s="47">
        <v>3089.23</v>
      </c>
      <c r="W44" s="47">
        <v>6226.76</v>
      </c>
      <c r="X44" s="47">
        <v>3913.1</v>
      </c>
      <c r="Y44" s="47">
        <v>5395.75</v>
      </c>
      <c r="Z44" s="47">
        <v>2179.69</v>
      </c>
      <c r="AA44" s="47" t="e">
        <f t="shared" ca="1" si="0"/>
        <v>#NAME?</v>
      </c>
      <c r="AB44" s="48" t="e">
        <f t="shared" ca="1" si="1"/>
        <v>#NAME?</v>
      </c>
      <c r="AD44" s="30">
        <v>39077.045725966404</v>
      </c>
      <c r="AE44" s="31" t="str">
        <f t="shared" ca="1" si="2"/>
        <v/>
      </c>
      <c r="AF44" s="51" t="e">
        <f t="shared" ca="1" si="3"/>
        <v>#NAME?</v>
      </c>
      <c r="AG44" s="30">
        <v>35442.980000000003</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736</v>
      </c>
      <c r="G45" s="15" t="s">
        <v>497</v>
      </c>
      <c r="H45" s="149" t="s">
        <v>853</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5761.56</v>
      </c>
      <c r="P45" s="47">
        <v>5649.85</v>
      </c>
      <c r="Q45" s="47">
        <v>6167.57</v>
      </c>
      <c r="R45" s="47">
        <v>4738.57</v>
      </c>
      <c r="S45" s="47">
        <v>5955.2</v>
      </c>
      <c r="T45" s="47">
        <v>5737.47</v>
      </c>
      <c r="U45" s="47">
        <v>5705.49</v>
      </c>
      <c r="V45" s="47">
        <v>5747.19</v>
      </c>
      <c r="W45" s="47">
        <v>6494.97</v>
      </c>
      <c r="X45" s="47">
        <v>7055.02</v>
      </c>
      <c r="Y45" s="47">
        <v>7005.38</v>
      </c>
      <c r="Z45" s="47">
        <v>6500.87</v>
      </c>
      <c r="AA45" s="47" t="e">
        <f t="shared" ca="1" si="0"/>
        <v>#NAME?</v>
      </c>
      <c r="AB45" s="48" t="e">
        <f t="shared" ca="1" si="1"/>
        <v>#NAME?</v>
      </c>
      <c r="AD45" s="30">
        <v>43533.922595391603</v>
      </c>
      <c r="AE45" s="31" t="str">
        <f t="shared" ca="1" si="2"/>
        <v/>
      </c>
      <c r="AF45" s="51" t="e">
        <f t="shared" ca="1" si="3"/>
        <v>#NAME?</v>
      </c>
      <c r="AG45" s="30">
        <v>42216.26</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G46" s="15" t="s">
        <v>497</v>
      </c>
      <c r="H46" s="149" t="s">
        <v>854</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12178.06</v>
      </c>
      <c r="P46" s="36">
        <v>12759.54</v>
      </c>
      <c r="Q46" s="36">
        <v>13439.09</v>
      </c>
      <c r="R46" s="36">
        <v>9413.91</v>
      </c>
      <c r="S46" s="36">
        <v>16168.85</v>
      </c>
      <c r="T46" s="36">
        <v>10632.35</v>
      </c>
      <c r="U46" s="36">
        <v>12668.57</v>
      </c>
      <c r="V46" s="36">
        <v>11907.51</v>
      </c>
      <c r="W46" s="36">
        <v>15867.04</v>
      </c>
      <c r="X46" s="36">
        <v>14783.46</v>
      </c>
      <c r="Y46" s="36">
        <v>15892.31</v>
      </c>
      <c r="Z46" s="36">
        <v>12600.95</v>
      </c>
      <c r="AA46" s="36" t="e">
        <f t="shared" ca="1" si="0"/>
        <v>#NAME?</v>
      </c>
      <c r="AB46" s="37" t="e">
        <f t="shared" ca="1" si="1"/>
        <v>#NAME?</v>
      </c>
      <c r="AC46" s="35"/>
      <c r="AD46" s="36">
        <v>124230.516665597</v>
      </c>
      <c r="AE46" s="37" t="str">
        <f t="shared" ca="1" si="2"/>
        <v/>
      </c>
      <c r="AF46" s="58" t="e">
        <f t="shared" ca="1" si="3"/>
        <v>#NAME?</v>
      </c>
      <c r="AG46" s="36">
        <v>117635.73</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G47" s="15" t="s">
        <v>497</v>
      </c>
      <c r="H47" s="149"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52910.62</v>
      </c>
      <c r="P47" s="36">
        <v>46019.53</v>
      </c>
      <c r="Q47" s="36">
        <v>46696.02</v>
      </c>
      <c r="R47" s="36">
        <v>37708.49</v>
      </c>
      <c r="S47" s="36">
        <v>53336</v>
      </c>
      <c r="T47" s="36">
        <v>53287.77</v>
      </c>
      <c r="U47" s="36">
        <v>46138.31</v>
      </c>
      <c r="V47" s="36">
        <v>49936.45</v>
      </c>
      <c r="W47" s="36">
        <v>55092.23</v>
      </c>
      <c r="X47" s="36">
        <v>64539.4</v>
      </c>
      <c r="Y47" s="36">
        <v>60215.42</v>
      </c>
      <c r="Z47" s="36">
        <v>54645.45</v>
      </c>
      <c r="AA47" s="36" t="e">
        <f t="shared" ca="1" si="0"/>
        <v>#NAME?</v>
      </c>
      <c r="AB47" s="37" t="e">
        <f t="shared" ca="1" si="1"/>
        <v>#NAME?</v>
      </c>
      <c r="AC47" s="35"/>
      <c r="AD47" s="36">
        <v>669443.03356780997</v>
      </c>
      <c r="AE47" s="37" t="str">
        <f t="shared" ca="1" si="2"/>
        <v/>
      </c>
      <c r="AF47" s="58" t="e">
        <f t="shared" ca="1" si="3"/>
        <v>#NAME?</v>
      </c>
      <c r="AG47" s="36">
        <v>666937.66</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G48" s="25"/>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G49" s="14"/>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_xll.EVRNG(G67:H71)</f>
        <v>#NAME?</v>
      </c>
      <c r="G50" s="15" t="s">
        <v>828</v>
      </c>
      <c r="H50" s="15" t="s">
        <v>829</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c r="P50" s="21">
        <v>400</v>
      </c>
      <c r="Q50" s="21">
        <v>250</v>
      </c>
      <c r="R50" s="21">
        <v>-43</v>
      </c>
      <c r="S50" s="21">
        <v>91.15</v>
      </c>
      <c r="T50" s="21"/>
      <c r="U50" s="21"/>
      <c r="V50" s="21"/>
      <c r="W50" s="21">
        <v>-3</v>
      </c>
      <c r="X50" s="21"/>
      <c r="Y50" s="21"/>
      <c r="Z50" s="21"/>
      <c r="AA50" s="21" t="e">
        <f t="shared" ref="AA50:AA68" ca="1" si="12">IF($I50="B1","",SUM(O50:Z50))</f>
        <v>#NAME?</v>
      </c>
      <c r="AB50" s="17" t="e">
        <f t="shared" ref="AB50:AB68" ca="1" si="13">IF(AA50=0,"",IFERROR(AA50/AA$19,""))</f>
        <v>#NAME?</v>
      </c>
      <c r="AD50" s="21">
        <v>845</v>
      </c>
      <c r="AE50" s="17" t="str">
        <f t="shared" ref="AE50:AE68" ca="1" si="14">IF(AD50=0,"",IFERROR(AD50/AD$19,""))</f>
        <v/>
      </c>
      <c r="AF50" s="50" t="e">
        <f t="shared" ref="AF50:AF68" ca="1" si="15">IF(AND($AA50="",AD50=""),"",$AA50-AD50)</f>
        <v>#NAME?</v>
      </c>
      <c r="AG50" s="21">
        <v>247.05</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G51" s="15" t="s">
        <v>828</v>
      </c>
      <c r="H51" s="15" t="s">
        <v>830</v>
      </c>
      <c r="I51" s="161" t="e">
        <f ca="1">_xll.EVPRO($B$1,$H51,"STYLE")</f>
        <v>#NAME?</v>
      </c>
      <c r="J51" s="161" t="e">
        <f ca="1">_xll.EVPRO($B$1,$H51,"CALC")</f>
        <v>#NAME?</v>
      </c>
      <c r="K51" s="68" t="e">
        <f t="shared" ref="K51:K66" ca="1" si="16">IF(AND(I51&gt;="T3"),"&gt;","")</f>
        <v>#NAME?</v>
      </c>
      <c r="L51" s="162" t="e">
        <f ca="1">_xll.EVPRO($B$1,H51,"JDEID")</f>
        <v>#NAME?</v>
      </c>
      <c r="M51" s="162" t="e">
        <f ca="1">IF(AND(I51="N",J51="N"),_xll.EVPRO($B$1,H51,"PSFTID"),"")</f>
        <v>#NAME?</v>
      </c>
      <c r="N51" s="162" t="e">
        <f ca="1">IF(_xll.EVDES(H51,$B$1)="#NODATA","",_xll.EVDES(H51,$B$1))</f>
        <v>#NAME?</v>
      </c>
      <c r="O51" s="21">
        <v>52.91</v>
      </c>
      <c r="P51" s="21">
        <v>110</v>
      </c>
      <c r="Q51" s="21">
        <v>121.56</v>
      </c>
      <c r="R51" s="21">
        <v>78.7</v>
      </c>
      <c r="S51" s="21">
        <v>216.74</v>
      </c>
      <c r="T51" s="21">
        <v>60.51</v>
      </c>
      <c r="U51" s="21">
        <v>132.85</v>
      </c>
      <c r="V51" s="21">
        <v>80.87</v>
      </c>
      <c r="W51" s="21">
        <v>124.55</v>
      </c>
      <c r="X51" s="21">
        <v>35.590000000000003</v>
      </c>
      <c r="Y51" s="21">
        <v>69.55</v>
      </c>
      <c r="Z51" s="21">
        <v>114.65</v>
      </c>
      <c r="AA51" s="21" t="e">
        <f t="shared" ca="1" si="12"/>
        <v>#NAME?</v>
      </c>
      <c r="AB51" s="17" t="e">
        <f t="shared" ca="1" si="13"/>
        <v>#NAME?</v>
      </c>
      <c r="AD51" s="21">
        <v>1331</v>
      </c>
      <c r="AE51" s="17" t="str">
        <f t="shared" ca="1" si="14"/>
        <v/>
      </c>
      <c r="AF51" s="50" t="e">
        <f t="shared" ca="1" si="15"/>
        <v>#NAME?</v>
      </c>
      <c r="AG51" s="21">
        <v>1082.07</v>
      </c>
      <c r="AH51" s="17" t="str">
        <f t="shared" ref="AH51:AH66" ca="1" si="17">IF(AG51=0,"",IFERROR(AG51/AG$19,""))</f>
        <v/>
      </c>
      <c r="AI51" s="50" t="e">
        <f t="shared" ref="AI51:AI66" ca="1" si="18">IF(AND($AA51="",AG51=""),"",$AA51-AG51)</f>
        <v>#NAME?</v>
      </c>
      <c r="AJ51" s="399">
        <f t="shared" ref="AJ51:AJ66" ca="1" si="19">IFERROR(AA51/AA$20,0)</f>
        <v>0</v>
      </c>
      <c r="AK51" s="400">
        <f t="shared" ref="AK51:AK66" ca="1" si="20">IFERROR(AD51/AD$20,0)</f>
        <v>0</v>
      </c>
      <c r="AL51" s="401">
        <f t="shared" ref="AL51:AL66" ca="1" si="21">IFERROR(AG51/AG$20,0)</f>
        <v>0</v>
      </c>
      <c r="AM51" s="402">
        <f t="shared" ref="AM51:AM66" ca="1" si="22">+IFERROR(ROUND(($AB51-AE51)*100,2)&amp;" pts.",0)</f>
        <v>0</v>
      </c>
      <c r="AN51" s="403">
        <f t="shared" ref="AN51:AN66" ca="1" si="23">+IFERROR(ROUND(($AB51-AH51)*100,2)&amp;" pts.",0)</f>
        <v>0</v>
      </c>
    </row>
    <row r="52" spans="1:40" x14ac:dyDescent="0.25">
      <c r="A52" s="6" t="s">
        <v>6</v>
      </c>
      <c r="B52" s="7"/>
      <c r="G52" s="15" t="s">
        <v>828</v>
      </c>
      <c r="H52" s="15" t="s">
        <v>831</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v>1075.1600000000001</v>
      </c>
      <c r="P52" s="21">
        <v>2000</v>
      </c>
      <c r="Q52" s="21"/>
      <c r="R52" s="21"/>
      <c r="S52" s="21">
        <v>300</v>
      </c>
      <c r="T52" s="21">
        <v>138.75</v>
      </c>
      <c r="U52" s="21"/>
      <c r="V52" s="21"/>
      <c r="W52" s="21"/>
      <c r="X52" s="21"/>
      <c r="Y52" s="21">
        <v>27.9</v>
      </c>
      <c r="Z52" s="21">
        <v>70</v>
      </c>
      <c r="AA52" s="21" t="e">
        <f t="shared" ca="1" si="12"/>
        <v>#NAME?</v>
      </c>
      <c r="AB52" s="17" t="e">
        <f t="shared" ca="1" si="13"/>
        <v>#NAME?</v>
      </c>
      <c r="AD52" s="21">
        <v>2450</v>
      </c>
      <c r="AE52" s="17" t="str">
        <f t="shared" ca="1" si="14"/>
        <v/>
      </c>
      <c r="AF52" s="50" t="e">
        <f t="shared" ca="1" si="15"/>
        <v>#NAME?</v>
      </c>
      <c r="AG52" s="21">
        <v>2519.69</v>
      </c>
      <c r="AH52" s="17" t="str">
        <f t="shared" ca="1"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G53" s="15" t="s">
        <v>828</v>
      </c>
      <c r="H53" s="15" t="s">
        <v>832</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v>51.33</v>
      </c>
      <c r="P53" s="21">
        <v>257.74</v>
      </c>
      <c r="Q53" s="21">
        <v>183.41</v>
      </c>
      <c r="R53" s="21">
        <v>66.33</v>
      </c>
      <c r="S53" s="21">
        <v>175.86</v>
      </c>
      <c r="T53" s="21">
        <v>181.57</v>
      </c>
      <c r="U53" s="21">
        <v>294.20999999999998</v>
      </c>
      <c r="V53" s="21">
        <v>3.35</v>
      </c>
      <c r="W53" s="21">
        <v>196.41</v>
      </c>
      <c r="X53" s="21">
        <v>40.96</v>
      </c>
      <c r="Y53" s="21">
        <v>323.37</v>
      </c>
      <c r="Z53" s="21">
        <v>300</v>
      </c>
      <c r="AA53" s="21" t="e">
        <f t="shared" ca="1" si="12"/>
        <v>#NAME?</v>
      </c>
      <c r="AB53" s="17" t="e">
        <f t="shared" ca="1" si="13"/>
        <v>#NAME?</v>
      </c>
      <c r="AD53" s="21">
        <v>2505</v>
      </c>
      <c r="AE53" s="17" t="str">
        <f t="shared" ca="1" si="14"/>
        <v/>
      </c>
      <c r="AF53" s="50" t="e">
        <f t="shared" ca="1" si="15"/>
        <v>#NAME?</v>
      </c>
      <c r="AG53" s="21">
        <v>3395.07</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G54" s="15" t="s">
        <v>828</v>
      </c>
      <c r="H54" s="15" t="s">
        <v>833</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v>93.75</v>
      </c>
      <c r="P54" s="21">
        <v>93.75</v>
      </c>
      <c r="Q54" s="21">
        <v>93.75</v>
      </c>
      <c r="R54" s="21">
        <v>93.75</v>
      </c>
      <c r="S54" s="21">
        <v>93.75</v>
      </c>
      <c r="T54" s="21">
        <v>93.75</v>
      </c>
      <c r="U54" s="21">
        <v>96.59</v>
      </c>
      <c r="V54" s="21">
        <v>96.56</v>
      </c>
      <c r="W54" s="21">
        <v>1917.56</v>
      </c>
      <c r="X54" s="21">
        <v>426.56</v>
      </c>
      <c r="Y54" s="21">
        <v>426.56</v>
      </c>
      <c r="Z54" s="21">
        <v>426.56</v>
      </c>
      <c r="AA54" s="21" t="e">
        <f t="shared" ca="1" si="12"/>
        <v>#NAME?</v>
      </c>
      <c r="AB54" s="17" t="e">
        <f t="shared" ca="1" si="13"/>
        <v>#NAME?</v>
      </c>
      <c r="AD54" s="21">
        <v>4536</v>
      </c>
      <c r="AE54" s="17" t="str">
        <f t="shared" ca="1" si="14"/>
        <v/>
      </c>
      <c r="AF54" s="50" t="e">
        <f t="shared" ca="1" si="15"/>
        <v>#NAME?</v>
      </c>
      <c r="AG54" s="21">
        <v>1125</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G55" s="15" t="s">
        <v>828</v>
      </c>
      <c r="H55" s="15" t="s">
        <v>834</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c r="P55" s="21"/>
      <c r="Q55" s="21"/>
      <c r="R55" s="21">
        <v>1784.77</v>
      </c>
      <c r="S55" s="21">
        <v>275.89999999999998</v>
      </c>
      <c r="T55" s="21"/>
      <c r="U55" s="21"/>
      <c r="V55" s="21">
        <v>149.56</v>
      </c>
      <c r="W55" s="21"/>
      <c r="X55" s="21">
        <v>42.82</v>
      </c>
      <c r="Y55" s="21">
        <v>35.64</v>
      </c>
      <c r="Z55" s="21">
        <v>77.510000000000005</v>
      </c>
      <c r="AA55" s="21" t="e">
        <f t="shared" ca="1" si="12"/>
        <v>#NAME?</v>
      </c>
      <c r="AB55" s="17" t="e">
        <f t="shared" ca="1" si="13"/>
        <v>#NAME?</v>
      </c>
      <c r="AD55" s="21">
        <v>1581</v>
      </c>
      <c r="AE55" s="17" t="str">
        <f t="shared" ca="1" si="14"/>
        <v/>
      </c>
      <c r="AF55" s="50" t="e">
        <f t="shared" ca="1" si="15"/>
        <v>#NAME?</v>
      </c>
      <c r="AG55" s="21">
        <v>1664.45</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G56" s="15" t="s">
        <v>828</v>
      </c>
      <c r="H56" s="15" t="s">
        <v>835</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c r="P56" s="21"/>
      <c r="Q56" s="21"/>
      <c r="R56" s="21">
        <v>173.99</v>
      </c>
      <c r="S56" s="21">
        <v>379.79</v>
      </c>
      <c r="T56" s="21"/>
      <c r="U56" s="21">
        <v>12.94</v>
      </c>
      <c r="V56" s="21">
        <v>-80.040000000000006</v>
      </c>
      <c r="W56" s="21">
        <v>60.9</v>
      </c>
      <c r="X56" s="21">
        <v>19.97</v>
      </c>
      <c r="Y56" s="21">
        <v>10.9</v>
      </c>
      <c r="Z56" s="21"/>
      <c r="AA56" s="21" t="e">
        <f t="shared" ca="1" si="12"/>
        <v>#NAME?</v>
      </c>
      <c r="AB56" s="17" t="e">
        <f t="shared" ca="1" si="13"/>
        <v>#NAME?</v>
      </c>
      <c r="AD56" s="21">
        <v>1129</v>
      </c>
      <c r="AE56" s="17" t="str">
        <f t="shared" ca="1" si="14"/>
        <v/>
      </c>
      <c r="AF56" s="50" t="e">
        <f t="shared" ca="1" si="15"/>
        <v>#NAME?</v>
      </c>
      <c r="AG56" s="21">
        <v>1255.3900000000001</v>
      </c>
      <c r="AH56" s="17" t="str">
        <f t="shared" ca="1"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G57" s="15" t="s">
        <v>828</v>
      </c>
      <c r="H57" s="15" t="s">
        <v>836</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v>41202.79</v>
      </c>
      <c r="P57" s="21">
        <v>45670.47</v>
      </c>
      <c r="Q57" s="21">
        <v>39321.53</v>
      </c>
      <c r="R57" s="21">
        <v>32802.67</v>
      </c>
      <c r="S57" s="21">
        <v>28802.11</v>
      </c>
      <c r="T57" s="21">
        <v>25471.72</v>
      </c>
      <c r="U57" s="21">
        <v>20815.28</v>
      </c>
      <c r="V57" s="21">
        <v>20123.34</v>
      </c>
      <c r="W57" s="21">
        <v>19398.900000000001</v>
      </c>
      <c r="X57" s="21">
        <v>22155.83</v>
      </c>
      <c r="Y57" s="21">
        <v>28107.95</v>
      </c>
      <c r="Z57" s="21">
        <v>35353.769999999997</v>
      </c>
      <c r="AA57" s="21" t="e">
        <f t="shared" ca="1" si="12"/>
        <v>#NAME?</v>
      </c>
      <c r="AB57" s="17" t="e">
        <f t="shared" ca="1" si="13"/>
        <v>#NAME?</v>
      </c>
      <c r="AD57" s="21">
        <v>460732.36072661902</v>
      </c>
      <c r="AE57" s="17" t="str">
        <f t="shared" ca="1" si="14"/>
        <v/>
      </c>
      <c r="AF57" s="50" t="e">
        <f t="shared" ca="1" si="15"/>
        <v>#NAME?</v>
      </c>
      <c r="AG57" s="21">
        <v>407223.67</v>
      </c>
      <c r="AH57" s="17" t="str">
        <f t="shared" ca="1"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G58" s="15" t="s">
        <v>828</v>
      </c>
      <c r="H58" s="15" t="s">
        <v>837</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v>1497.65</v>
      </c>
      <c r="P58" s="21">
        <v>1115.29</v>
      </c>
      <c r="Q58" s="21">
        <v>1004.87</v>
      </c>
      <c r="R58" s="21">
        <v>1145.92</v>
      </c>
      <c r="S58" s="21">
        <v>1884.04</v>
      </c>
      <c r="T58" s="21">
        <v>1949.79</v>
      </c>
      <c r="U58" s="21">
        <v>1419.94</v>
      </c>
      <c r="V58" s="21">
        <v>1727.71</v>
      </c>
      <c r="W58" s="21">
        <v>2535.8000000000002</v>
      </c>
      <c r="X58" s="21">
        <v>1869.47</v>
      </c>
      <c r="Y58" s="21">
        <v>1465.92</v>
      </c>
      <c r="Z58" s="21">
        <v>862.77</v>
      </c>
      <c r="AA58" s="21" t="e">
        <f t="shared" ca="1" si="12"/>
        <v>#NAME?</v>
      </c>
      <c r="AB58" s="17" t="e">
        <f t="shared" ca="1" si="13"/>
        <v>#NAME?</v>
      </c>
      <c r="AD58" s="21">
        <v>19948</v>
      </c>
      <c r="AE58" s="17" t="str">
        <f t="shared" ca="1" si="14"/>
        <v/>
      </c>
      <c r="AF58" s="50" t="e">
        <f t="shared" ca="1" si="15"/>
        <v>#NAME?</v>
      </c>
      <c r="AG58" s="21">
        <v>20779.12</v>
      </c>
      <c r="AH58" s="17" t="str">
        <f t="shared" ca="1"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G59" s="15" t="s">
        <v>828</v>
      </c>
      <c r="H59" s="15" t="s">
        <v>838</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v>1832.01</v>
      </c>
      <c r="P59" s="21">
        <v>1677.62</v>
      </c>
      <c r="Q59" s="21">
        <v>1177.93</v>
      </c>
      <c r="R59" s="21">
        <v>2082.21</v>
      </c>
      <c r="S59" s="21">
        <v>1190.3</v>
      </c>
      <c r="T59" s="21">
        <v>1129.99</v>
      </c>
      <c r="U59" s="21">
        <v>1144.82</v>
      </c>
      <c r="V59" s="21">
        <v>1200.3699999999999</v>
      </c>
      <c r="W59" s="21">
        <v>2092.61</v>
      </c>
      <c r="X59" s="21">
        <v>2206.16</v>
      </c>
      <c r="Y59" s="21">
        <v>2159.87</v>
      </c>
      <c r="Z59" s="21">
        <v>1696.55</v>
      </c>
      <c r="AA59" s="21" t="e">
        <f t="shared" ca="1" si="12"/>
        <v>#NAME?</v>
      </c>
      <c r="AB59" s="17" t="e">
        <f t="shared" ca="1" si="13"/>
        <v>#NAME?</v>
      </c>
      <c r="AD59" s="21">
        <v>24215</v>
      </c>
      <c r="AE59" s="17" t="str">
        <f t="shared" ca="1" si="14"/>
        <v/>
      </c>
      <c r="AF59" s="50" t="e">
        <f t="shared" ca="1" si="15"/>
        <v>#NAME?</v>
      </c>
      <c r="AG59" s="21">
        <v>22652.98</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G60" s="15" t="s">
        <v>828</v>
      </c>
      <c r="H60" s="15" t="s">
        <v>839</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v>552.46</v>
      </c>
      <c r="P60" s="21">
        <v>261.8</v>
      </c>
      <c r="Q60" s="21">
        <v>254.56</v>
      </c>
      <c r="R60" s="21">
        <v>201.92</v>
      </c>
      <c r="S60" s="21">
        <v>655.42</v>
      </c>
      <c r="T60" s="21">
        <v>201.92</v>
      </c>
      <c r="U60" s="21">
        <v>201.92</v>
      </c>
      <c r="V60" s="21">
        <v>201.92</v>
      </c>
      <c r="W60" s="21">
        <v>510.78</v>
      </c>
      <c r="X60" s="21">
        <v>864.36</v>
      </c>
      <c r="Y60" s="21">
        <v>210.86</v>
      </c>
      <c r="Z60" s="21">
        <v>205.54</v>
      </c>
      <c r="AA60" s="21" t="e">
        <f t="shared" ca="1" si="12"/>
        <v>#NAME?</v>
      </c>
      <c r="AB60" s="17" t="e">
        <f t="shared" ca="1" si="13"/>
        <v>#NAME?</v>
      </c>
      <c r="AD60" s="21">
        <v>2979.9999999995998</v>
      </c>
      <c r="AE60" s="17" t="str">
        <f t="shared" ca="1" si="14"/>
        <v/>
      </c>
      <c r="AF60" s="50" t="e">
        <f t="shared" ca="1" si="15"/>
        <v>#NAME?</v>
      </c>
      <c r="AG60" s="21">
        <v>2424.0700000000002</v>
      </c>
      <c r="AH60" s="17" t="str">
        <f t="shared" ca="1"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G61" s="15" t="s">
        <v>828</v>
      </c>
      <c r="H61" s="15" t="s">
        <v>840</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c r="P61" s="21"/>
      <c r="Q61" s="21"/>
      <c r="R61" s="21"/>
      <c r="S61" s="21"/>
      <c r="T61" s="21"/>
      <c r="U61" s="21"/>
      <c r="V61" s="21"/>
      <c r="W61" s="21"/>
      <c r="X61" s="21"/>
      <c r="Y61" s="21"/>
      <c r="Z61" s="21"/>
      <c r="AA61" s="21" t="e">
        <f t="shared" ca="1" si="12"/>
        <v>#NAME?</v>
      </c>
      <c r="AB61" s="17" t="e">
        <f t="shared" ca="1" si="13"/>
        <v>#NAME?</v>
      </c>
      <c r="AD61" s="21">
        <v>975</v>
      </c>
      <c r="AE61" s="17" t="str">
        <f t="shared" ca="1" si="14"/>
        <v/>
      </c>
      <c r="AF61" s="50" t="e">
        <f t="shared" ca="1" si="15"/>
        <v>#NAME?</v>
      </c>
      <c r="AG61" s="21"/>
      <c r="AH61" s="17" t="str">
        <f t="shared"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G62" s="15" t="s">
        <v>828</v>
      </c>
      <c r="H62" s="15" t="s">
        <v>841</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c r="P62" s="21"/>
      <c r="Q62" s="21">
        <v>781.85</v>
      </c>
      <c r="R62" s="21">
        <v>563</v>
      </c>
      <c r="S62" s="21">
        <v>2095.5</v>
      </c>
      <c r="T62" s="21">
        <v>830.94</v>
      </c>
      <c r="U62" s="21">
        <v>3739.85</v>
      </c>
      <c r="V62" s="21">
        <v>2475.81</v>
      </c>
      <c r="W62" s="21">
        <v>8105.29</v>
      </c>
      <c r="X62" s="21">
        <v>4279.57</v>
      </c>
      <c r="Y62" s="21">
        <v>1121.6600000000001</v>
      </c>
      <c r="Z62" s="21"/>
      <c r="AA62" s="21" t="e">
        <f t="shared" ca="1" si="12"/>
        <v>#NAME?</v>
      </c>
      <c r="AB62" s="17" t="e">
        <f t="shared" ca="1" si="13"/>
        <v>#NAME?</v>
      </c>
      <c r="AD62" s="21">
        <v>10916</v>
      </c>
      <c r="AE62" s="17" t="str">
        <f t="shared" ca="1" si="14"/>
        <v/>
      </c>
      <c r="AF62" s="50" t="e">
        <f t="shared" ca="1" si="15"/>
        <v>#NAME?</v>
      </c>
      <c r="AG62" s="21">
        <v>20359.310000000001</v>
      </c>
      <c r="AH62" s="17" t="str">
        <f t="shared" ca="1"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G63" s="15" t="s">
        <v>828</v>
      </c>
      <c r="H63" s="15" t="s">
        <v>842</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c r="P63" s="21"/>
      <c r="Q63" s="21"/>
      <c r="R63" s="21"/>
      <c r="S63" s="21"/>
      <c r="T63" s="21">
        <v>63.85</v>
      </c>
      <c r="U63" s="21">
        <v>1600</v>
      </c>
      <c r="V63" s="21"/>
      <c r="W63" s="21"/>
      <c r="X63" s="21"/>
      <c r="Y63" s="21"/>
      <c r="Z63" s="21"/>
      <c r="AA63" s="21" t="e">
        <f t="shared" ca="1" si="12"/>
        <v>#NAME?</v>
      </c>
      <c r="AB63" s="17" t="e">
        <f t="shared" ca="1" si="13"/>
        <v>#NAME?</v>
      </c>
      <c r="AD63" s="21">
        <v>1733.04</v>
      </c>
      <c r="AE63" s="17" t="str">
        <f t="shared" ca="1" si="14"/>
        <v/>
      </c>
      <c r="AF63" s="50" t="e">
        <f t="shared" ca="1" si="15"/>
        <v>#NAME?</v>
      </c>
      <c r="AG63" s="21">
        <v>1870</v>
      </c>
      <c r="AH63" s="17" t="str">
        <f t="shared" ca="1"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G64" s="15" t="s">
        <v>828</v>
      </c>
      <c r="H64" s="15" t="s">
        <v>843</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v>366.7</v>
      </c>
      <c r="P64" s="21">
        <v>365.92</v>
      </c>
      <c r="Q64" s="21">
        <v>364.36</v>
      </c>
      <c r="R64" s="21"/>
      <c r="S64" s="21">
        <v>355.78</v>
      </c>
      <c r="T64" s="21">
        <v>370.26</v>
      </c>
      <c r="U64" s="21">
        <v>778.32</v>
      </c>
      <c r="V64" s="21">
        <v>371.64</v>
      </c>
      <c r="W64" s="21">
        <v>380.98</v>
      </c>
      <c r="X64" s="21">
        <v>377.63</v>
      </c>
      <c r="Y64" s="21">
        <v>375.98</v>
      </c>
      <c r="Z64" s="21">
        <v>406.93</v>
      </c>
      <c r="AA64" s="21" t="e">
        <f t="shared" ca="1" si="12"/>
        <v>#NAME?</v>
      </c>
      <c r="AB64" s="17" t="e">
        <f t="shared" ca="1" si="13"/>
        <v>#NAME?</v>
      </c>
      <c r="AD64" s="21">
        <v>6764</v>
      </c>
      <c r="AE64" s="17" t="str">
        <f t="shared" ca="1" si="14"/>
        <v/>
      </c>
      <c r="AF64" s="50" t="e">
        <f t="shared" ca="1" si="15"/>
        <v>#NAME?</v>
      </c>
      <c r="AG64" s="21">
        <v>5009.16</v>
      </c>
      <c r="AH64" s="17" t="str">
        <f t="shared" ca="1"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G65" s="15" t="s">
        <v>828</v>
      </c>
      <c r="H65" s="15" t="s">
        <v>844</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t="e">
        <f t="shared" ca="1" si="12"/>
        <v>#NAME?</v>
      </c>
      <c r="AB65" s="17" t="e">
        <f t="shared" ca="1" si="13"/>
        <v>#NAME?</v>
      </c>
      <c r="AD65" s="21"/>
      <c r="AE65" s="17" t="str">
        <f t="shared" si="14"/>
        <v/>
      </c>
      <c r="AF65" s="50" t="e">
        <f t="shared" ca="1" si="15"/>
        <v>#NAME?</v>
      </c>
      <c r="AG65" s="21">
        <v>9.9999999999909103E-3</v>
      </c>
      <c r="AH65" s="17" t="str">
        <f t="shared" ca="1"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G66" s="15" t="s">
        <v>828</v>
      </c>
      <c r="H66" s="15" t="s">
        <v>845</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v>9669.68</v>
      </c>
      <c r="P66" s="21">
        <v>9767.4599999999991</v>
      </c>
      <c r="Q66" s="21">
        <v>9720.16</v>
      </c>
      <c r="R66" s="21">
        <v>9720.16</v>
      </c>
      <c r="S66" s="21">
        <v>4651.5</v>
      </c>
      <c r="T66" s="21">
        <v>5876.28</v>
      </c>
      <c r="U66" s="21">
        <v>5497.78</v>
      </c>
      <c r="V66" s="21">
        <v>4618.3999999999996</v>
      </c>
      <c r="W66" s="21">
        <v>3887.92</v>
      </c>
      <c r="X66" s="21">
        <v>4946.21</v>
      </c>
      <c r="Y66" s="21">
        <v>5625.21</v>
      </c>
      <c r="Z66" s="21">
        <v>8470.24</v>
      </c>
      <c r="AA66" s="21" t="e">
        <f t="shared" ca="1" si="12"/>
        <v>#NAME?</v>
      </c>
      <c r="AB66" s="17" t="e">
        <f t="shared" ca="1" si="13"/>
        <v>#NAME?</v>
      </c>
      <c r="AD66" s="21">
        <v>106348.16344814999</v>
      </c>
      <c r="AE66" s="17" t="str">
        <f t="shared" ca="1" si="14"/>
        <v/>
      </c>
      <c r="AF66" s="50" t="e">
        <f t="shared" ca="1" si="15"/>
        <v>#NAME?</v>
      </c>
      <c r="AG66" s="21">
        <v>94615.56</v>
      </c>
      <c r="AH66" s="17" t="str">
        <f t="shared" ca="1"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G67" s="15" t="s">
        <v>498</v>
      </c>
      <c r="H67" s="15" t="s">
        <v>79</v>
      </c>
      <c r="I67" s="27" t="e">
        <f ca="1">_xll.EVPRO($B$1,$H67,"STYLE")</f>
        <v>#NAME?</v>
      </c>
      <c r="J67" s="27" t="e">
        <f ca="1">_xll.EVPRO($B$1,$H67,"CALC")</f>
        <v>#NAME?</v>
      </c>
      <c r="K67" s="68"/>
      <c r="L67" s="162"/>
      <c r="M67" s="162"/>
      <c r="N67" s="162" t="e">
        <f ca="1">IF(_xll.EVDES(G67,$B$1)="#NODATA","",_xll.EVDES(G67,$B$1))</f>
        <v>#NAME?</v>
      </c>
      <c r="O67" s="21">
        <v>6575.14</v>
      </c>
      <c r="P67" s="21">
        <v>-531.1</v>
      </c>
      <c r="Q67" s="21">
        <v>4685.5600000000004</v>
      </c>
      <c r="R67" s="21">
        <v>7760.73</v>
      </c>
      <c r="S67" s="21">
        <v>4092.09</v>
      </c>
      <c r="T67" s="21">
        <v>3931.5</v>
      </c>
      <c r="U67" s="21">
        <v>1115.73</v>
      </c>
      <c r="V67" s="21">
        <v>2914.92</v>
      </c>
      <c r="W67" s="21">
        <v>6704.35</v>
      </c>
      <c r="X67" s="21">
        <v>4155.53</v>
      </c>
      <c r="Y67" s="21">
        <v>5753.27</v>
      </c>
      <c r="Z67" s="21">
        <v>6962.69</v>
      </c>
      <c r="AA67" s="21" t="e">
        <f t="shared" ca="1" si="12"/>
        <v>#NAME?</v>
      </c>
      <c r="AB67" s="17" t="e">
        <f t="shared" ca="1" si="13"/>
        <v>#NAME?</v>
      </c>
      <c r="AD67" s="21">
        <v>62676</v>
      </c>
      <c r="AE67" s="17" t="str">
        <f t="shared" ca="1" si="14"/>
        <v/>
      </c>
      <c r="AF67" s="50" t="e">
        <f t="shared" ca="1" si="15"/>
        <v>#NAME?</v>
      </c>
      <c r="AG67" s="21">
        <v>93003.55</v>
      </c>
      <c r="AH67" s="17" t="str">
        <f ca="1">IF(AG67=0,"",IFERROR(AG67/AG$19,""))</f>
        <v/>
      </c>
      <c r="AI67" s="50" t="e">
        <f ca="1">IF(AND($AA67="",AG67=""),"",$AA67-AG67)</f>
        <v>#NAME?</v>
      </c>
      <c r="AJ67" s="409">
        <f ca="1">IFERROR(AA67/AA$20,0)</f>
        <v>0</v>
      </c>
      <c r="AK67" s="410">
        <f ca="1">IFERROR(AD67/AD$20,0)</f>
        <v>0</v>
      </c>
      <c r="AL67" s="411">
        <f ca="1">IFERROR(AG67/AG$20,0)</f>
        <v>0</v>
      </c>
      <c r="AM67" s="412">
        <f ca="1">+IFERROR(ROUND(($AB67-AE67)*100,2)&amp;" pts.",0)</f>
        <v>0</v>
      </c>
      <c r="AN67" s="413">
        <f ca="1">+IFERROR(ROUND(($AB67-AH67)*100,2)&amp;" pts.",0)</f>
        <v>0</v>
      </c>
    </row>
    <row r="68" spans="1:40" x14ac:dyDescent="0.25">
      <c r="A68" s="6" t="s">
        <v>34</v>
      </c>
      <c r="B68" s="7"/>
      <c r="G68" s="15" t="s">
        <v>497</v>
      </c>
      <c r="H68" s="15" t="s">
        <v>79</v>
      </c>
      <c r="I68" s="27" t="e">
        <f ca="1">_xll.EVPRO($B$1,$H68,"STYLE")</f>
        <v>#NAME?</v>
      </c>
      <c r="J68" s="27" t="e">
        <f ca="1">_xll.EVPRO($B$1,$H68,"CALC")</f>
        <v>#NAME?</v>
      </c>
      <c r="K68" s="26"/>
      <c r="N68" s="25" t="e">
        <f ca="1">IF(_xll.EVDES(H68,$B$1)="#NODATA","",_xll.EVDES(H68,$B$1))</f>
        <v>#NAME?</v>
      </c>
      <c r="O68" s="33">
        <v>62969.58</v>
      </c>
      <c r="P68" s="33">
        <v>61188.95</v>
      </c>
      <c r="Q68" s="33">
        <v>57959.54</v>
      </c>
      <c r="R68" s="33">
        <v>56431.15</v>
      </c>
      <c r="S68" s="33">
        <v>45259.93</v>
      </c>
      <c r="T68" s="33">
        <v>40300.83</v>
      </c>
      <c r="U68" s="33">
        <v>36850.230000000003</v>
      </c>
      <c r="V68" s="33">
        <v>33884.410000000003</v>
      </c>
      <c r="W68" s="33">
        <v>45913.05</v>
      </c>
      <c r="X68" s="33">
        <v>41420.660000000003</v>
      </c>
      <c r="Y68" s="33">
        <v>45714.64</v>
      </c>
      <c r="Z68" s="33">
        <v>54947.21</v>
      </c>
      <c r="AA68" s="33" t="e">
        <f t="shared" ca="1" si="12"/>
        <v>#NAME?</v>
      </c>
      <c r="AB68" s="34" t="e">
        <f t="shared" ca="1" si="13"/>
        <v>#NAME?</v>
      </c>
      <c r="AD68" s="33">
        <v>711664.56417476898</v>
      </c>
      <c r="AE68" s="34" t="str">
        <f t="shared" ca="1" si="14"/>
        <v/>
      </c>
      <c r="AF68" s="52" t="e">
        <f t="shared" ca="1" si="15"/>
        <v>#NAME?</v>
      </c>
      <c r="AG68" s="33">
        <v>679226.15</v>
      </c>
      <c r="AH68" s="34" t="str">
        <f ca="1">IF(AG68=0,"",IFERROR(AG68/AG$19,""))</f>
        <v/>
      </c>
      <c r="AI68" s="52" t="e">
        <f ca="1">IF(AND($AA68="",AG68=""),"",$AA68-AG68)</f>
        <v>#NAME?</v>
      </c>
      <c r="AJ68" s="415">
        <f ca="1">IFERROR(AA68/AA$20,0)</f>
        <v>0</v>
      </c>
      <c r="AK68" s="416">
        <f ca="1">IFERROR(AD68/AD$20,0)</f>
        <v>0</v>
      </c>
      <c r="AL68" s="417">
        <f ca="1">IFERROR(AG68/AG$20,0)</f>
        <v>0</v>
      </c>
      <c r="AM68" s="418">
        <f ca="1">+IFERROR(ROUND(($AB68-AE68)*100,2)&amp;" pts.",0)</f>
        <v>0</v>
      </c>
      <c r="AN68" s="436">
        <f ca="1">+IFERROR(ROUND(($AB68-AH68)*100,2)&amp;" pts.",0)</f>
        <v>0</v>
      </c>
    </row>
    <row r="69" spans="1:40" x14ac:dyDescent="0.25">
      <c r="A69" s="6" t="s">
        <v>35</v>
      </c>
      <c r="B69" s="7"/>
    </row>
    <row r="70" spans="1:40" x14ac:dyDescent="0.25">
      <c r="A70" s="6" t="s">
        <v>36</v>
      </c>
      <c r="B70" s="7"/>
      <c r="G70" s="15" t="s">
        <v>497</v>
      </c>
      <c r="H70" s="15" t="s">
        <v>80</v>
      </c>
      <c r="I70" s="27" t="e">
        <f ca="1">_xll.EVPRO($B$1,$H70,"STYLE")</f>
        <v>#NAME?</v>
      </c>
      <c r="J70" s="27" t="e">
        <f ca="1">_xll.EVPRO($B$1,$H70,"CALC")</f>
        <v>#NAME?</v>
      </c>
      <c r="K70" s="25"/>
      <c r="N70" s="25" t="e">
        <f ca="1">IF(_xll.EVDES(H70,$B$1)="#NODATA","",_xll.EVDES(H70,$B$1))</f>
        <v>#NAME?</v>
      </c>
      <c r="O70" s="36">
        <v>115880.2</v>
      </c>
      <c r="P70" s="36">
        <v>107208.48</v>
      </c>
      <c r="Q70" s="36">
        <v>104655.56</v>
      </c>
      <c r="R70" s="36">
        <v>94139.64</v>
      </c>
      <c r="S70" s="36">
        <v>98595.93</v>
      </c>
      <c r="T70" s="36">
        <v>93588.6</v>
      </c>
      <c r="U70" s="36">
        <v>82988.539999999994</v>
      </c>
      <c r="V70" s="36">
        <v>83820.86</v>
      </c>
      <c r="W70" s="36">
        <v>101005.28</v>
      </c>
      <c r="X70" s="36">
        <v>105960.06</v>
      </c>
      <c r="Y70" s="36">
        <v>105930.06</v>
      </c>
      <c r="Z70" s="36">
        <v>109592.66</v>
      </c>
      <c r="AA70" s="36" t="e">
        <f ca="1">IF($I70="B1","",SUM(O70:Z70))</f>
        <v>#NAME?</v>
      </c>
      <c r="AB70" s="37" t="e">
        <f ca="1">IF(AA70=0,"",IFERROR(AA70/AA$19,""))</f>
        <v>#NAME?</v>
      </c>
      <c r="AD70" s="36">
        <v>1381107.5977425801</v>
      </c>
      <c r="AE70" s="37" t="str">
        <f ca="1">IF(AD70=0,"",IFERROR(AD70/AD$19,""))</f>
        <v/>
      </c>
      <c r="AF70" s="59" t="e">
        <f ca="1">IF(AND($AA70="",AD70=""),"",$AA70-AD70)</f>
        <v>#NAME?</v>
      </c>
      <c r="AG70" s="60">
        <v>1346163.81</v>
      </c>
      <c r="AH70" s="61" t="str">
        <f ca="1">IF(AG70=0,"",IFERROR(AG70/AG$19,""))</f>
        <v/>
      </c>
      <c r="AI70" s="59" t="e">
        <f ca="1">IF(AND($AA70="",AG70=""),"",$AA70-AG70)</f>
        <v>#NAME?</v>
      </c>
      <c r="AJ70" s="392">
        <f ca="1">IFERROR(AA70/AA$20,0)</f>
        <v>0</v>
      </c>
      <c r="AK70" s="393">
        <f ca="1">IFERROR(AD70/AD$20,0)</f>
        <v>0</v>
      </c>
      <c r="AL70" s="394">
        <f ca="1">IFERROR(AG70/AG$20,0)</f>
        <v>0</v>
      </c>
      <c r="AM70" s="395">
        <f ca="1">+IFERROR(ROUND(($AB70-AE70)*100,2)&amp;" pts.",0)</f>
        <v>0</v>
      </c>
      <c r="AN70" s="437">
        <f ca="1">+IFERROR(ROUND(($AB70-AH70)*100,2)&amp;" pts.",0)</f>
        <v>0</v>
      </c>
    </row>
    <row r="71" spans="1:40" ht="15.75" thickBot="1" x14ac:dyDescent="0.3">
      <c r="A71" s="6" t="s">
        <v>37</v>
      </c>
      <c r="B71" s="7"/>
      <c r="G71" s="15" t="s">
        <v>497</v>
      </c>
      <c r="H71" s="15" t="s">
        <v>81</v>
      </c>
      <c r="I71" s="27" t="e">
        <f ca="1">_xll.EVPRO($B$1,$H71,"STYLE")</f>
        <v>#NAME?</v>
      </c>
      <c r="J71" s="27" t="e">
        <f ca="1">_xll.EVPRO($B$1,$H71,"CALC")</f>
        <v>#NAME?</v>
      </c>
      <c r="K71" s="25"/>
      <c r="N71" s="25" t="e">
        <f ca="1">IF(_xll.EVDES(H71,$B$1)="#NODATA","",_xll.EVDES(H71,$B$1))</f>
        <v>#NAME?</v>
      </c>
      <c r="O71" s="62">
        <v>-115880.2</v>
      </c>
      <c r="P71" s="62">
        <v>-107208.48</v>
      </c>
      <c r="Q71" s="62">
        <v>-104655.56</v>
      </c>
      <c r="R71" s="62">
        <v>-94139.64</v>
      </c>
      <c r="S71" s="62">
        <v>-98595.93</v>
      </c>
      <c r="T71" s="62">
        <v>-93588.6</v>
      </c>
      <c r="U71" s="62">
        <v>-82988.539999999994</v>
      </c>
      <c r="V71" s="62">
        <v>-83820.86</v>
      </c>
      <c r="W71" s="62">
        <v>-101005.28</v>
      </c>
      <c r="X71" s="62">
        <v>-105960.06</v>
      </c>
      <c r="Y71" s="62">
        <v>-105930.06</v>
      </c>
      <c r="Z71" s="62">
        <v>-109592.66</v>
      </c>
      <c r="AA71" s="62" t="e">
        <f ca="1">IF($I71="B1","",SUM(O71:Z71))</f>
        <v>#NAME?</v>
      </c>
      <c r="AB71" s="63" t="e">
        <f ca="1">IF(AA71=0,"",IFERROR(AA71/AA$19,""))</f>
        <v>#NAME?</v>
      </c>
      <c r="AD71" s="62">
        <v>-1381107.5977425801</v>
      </c>
      <c r="AE71" s="63" t="str">
        <f ca="1">IF(AD71=0,"",IFERROR(AD71/AD$19,""))</f>
        <v/>
      </c>
      <c r="AF71" s="64" t="e">
        <f ca="1">IF(AND($AA71="",AD71=""),"",$AA71-AD71)</f>
        <v>#NAME?</v>
      </c>
      <c r="AG71" s="62">
        <v>-1346163.81</v>
      </c>
      <c r="AH71" s="63" t="str">
        <f ca="1">IF(AG71=0,"",IFERROR(AG71/AG$19,""))</f>
        <v/>
      </c>
      <c r="AI71" s="64" t="e">
        <f ca="1">IF(AND($AA71="",AG71=""),"",$AA71-AG71)</f>
        <v>#NAME?</v>
      </c>
      <c r="AJ71" s="430">
        <f ca="1">IFERROR(AA71/AA$20,0)</f>
        <v>0</v>
      </c>
      <c r="AK71" s="431">
        <f ca="1">IFERROR(AD71/AD$20,0)</f>
        <v>0</v>
      </c>
      <c r="AL71" s="432">
        <f ca="1">IFERROR(AG71/AG$20,0)</f>
        <v>0</v>
      </c>
      <c r="AM71" s="433">
        <f ca="1">+IFERROR(ROUND(($AB71-AE71)*100,2)&amp;" pts.",0)</f>
        <v>0</v>
      </c>
      <c r="AN71" s="438">
        <f ca="1">+IFERROR(ROUND(($AB71-AH71)*100,2)&amp;" pts.",0)</f>
        <v>0</v>
      </c>
    </row>
    <row r="72" spans="1:40" ht="15.75" thickTop="1" x14ac:dyDescent="0.25">
      <c r="A72" s="6" t="s">
        <v>38</v>
      </c>
      <c r="B72" s="7"/>
    </row>
    <row r="73" spans="1:40" x14ac:dyDescent="0.25">
      <c r="A73" s="6" t="s">
        <v>39</v>
      </c>
      <c r="B73" s="7"/>
      <c r="N73" s="26" t="e">
        <f ca="1">N70&amp;" - Check"</f>
        <v>#NAME?</v>
      </c>
      <c r="O73" s="139">
        <f t="shared" ref="O73:AA73" si="24">SUMIF($H$33:$H$71,"600000",O$33:O$71)+SUMIFS(O$33:O$71,$G$33:$G$71,"D_AG_CON",$H$33:$H$71,"700000")-SUMIF($H$33:$H$71,"TOTDEPTEXP",O$33:O$71)</f>
        <v>0</v>
      </c>
      <c r="P73" s="139">
        <f t="shared" si="24"/>
        <v>0</v>
      </c>
      <c r="Q73" s="139">
        <f t="shared" si="24"/>
        <v>0</v>
      </c>
      <c r="R73" s="139">
        <f t="shared" si="24"/>
        <v>0</v>
      </c>
      <c r="S73" s="139">
        <f t="shared" si="24"/>
        <v>0</v>
      </c>
      <c r="T73" s="139">
        <f t="shared" si="24"/>
        <v>0</v>
      </c>
      <c r="U73" s="139">
        <f t="shared" si="24"/>
        <v>0</v>
      </c>
      <c r="V73" s="139">
        <f t="shared" si="24"/>
        <v>0</v>
      </c>
      <c r="W73" s="139">
        <f t="shared" si="24"/>
        <v>0</v>
      </c>
      <c r="X73" s="139">
        <f t="shared" si="24"/>
        <v>0</v>
      </c>
      <c r="Y73" s="139">
        <f t="shared" si="24"/>
        <v>0</v>
      </c>
      <c r="Z73" s="139">
        <f t="shared" si="24"/>
        <v>0</v>
      </c>
      <c r="AA73" s="139" t="e">
        <f t="shared" ca="1" si="24"/>
        <v>#NAME?</v>
      </c>
      <c r="AB73" s="17"/>
      <c r="AD73" s="139">
        <f>SUMIF($H$33:$H$71,"600000",AD$33:AD$71)+SUMIFS(AD$33:AD$71,$G$33:$G$71,"D_AG_CON",$H$33:$H$71,"700000")-SUMIF($H$33:$H$71,"TOTDEPTEXP",AD$33:AD$71)</f>
        <v>0</v>
      </c>
      <c r="AE73" s="17"/>
      <c r="AF73" s="21"/>
      <c r="AG73" s="139">
        <f>SUMIF($H$33:$H$71,"600000",AG$33:AG$71)+SUMIFS(AG$33:AG$71,$G$33:$G$71,"D_AG_CON",$H$33:$H$71,"700000")-SUMIF($H$33:$H$71,"TOTDEPTEXP",AG$33:AG$71)</f>
        <v>0</v>
      </c>
      <c r="AH73" s="17"/>
      <c r="AI73" s="21"/>
    </row>
    <row r="74" spans="1:40" x14ac:dyDescent="0.25">
      <c r="A74" s="6" t="s">
        <v>40</v>
      </c>
      <c r="B74" s="7"/>
      <c r="N74" s="26" t="e">
        <f ca="1">N71&amp;" - Check"</f>
        <v>#NAME?</v>
      </c>
      <c r="O74" s="139">
        <f t="shared" ref="O74:AA74" si="25">SUMIF($H$33:$H$71,"TOTDEPTEXP",O$33:O$71)+SUMIF($H$33:$H$71,"TOTDEPTPL",O$33:O$71)</f>
        <v>0</v>
      </c>
      <c r="P74" s="139">
        <f t="shared" si="25"/>
        <v>0</v>
      </c>
      <c r="Q74" s="139">
        <f t="shared" si="25"/>
        <v>0</v>
      </c>
      <c r="R74" s="139">
        <f t="shared" si="25"/>
        <v>0</v>
      </c>
      <c r="S74" s="139">
        <f t="shared" si="25"/>
        <v>0</v>
      </c>
      <c r="T74" s="139">
        <f t="shared" si="25"/>
        <v>0</v>
      </c>
      <c r="U74" s="139">
        <f t="shared" si="25"/>
        <v>0</v>
      </c>
      <c r="V74" s="139">
        <f t="shared" si="25"/>
        <v>0</v>
      </c>
      <c r="W74" s="139">
        <f t="shared" si="25"/>
        <v>0</v>
      </c>
      <c r="X74" s="139">
        <f t="shared" si="25"/>
        <v>0</v>
      </c>
      <c r="Y74" s="139">
        <f t="shared" si="25"/>
        <v>0</v>
      </c>
      <c r="Z74" s="139">
        <f t="shared" si="25"/>
        <v>0</v>
      </c>
      <c r="AA74" s="139" t="e">
        <f t="shared" ca="1" si="25"/>
        <v>#NAME?</v>
      </c>
      <c r="AB74" s="17"/>
      <c r="AD74" s="139">
        <f>SUMIF($H$33:$H$71,"TOTDEPTEXP",AD$33:AD$71)+SUMIF($H$33:$H$71,"TOTDEPTPL",AD$33:AD$71)</f>
        <v>0</v>
      </c>
      <c r="AE74" s="17"/>
      <c r="AF74" s="21"/>
      <c r="AG74" s="139">
        <f>SUMIF($H$33:$H$71,"TOTDEPTEXP",AG$33:AG$71)+SUMIF($H$33:$H$71,"TOTDEPTPL",AG$33:AG$71)</f>
        <v>0</v>
      </c>
      <c r="AH74" s="17"/>
      <c r="AI74" s="21"/>
    </row>
    <row r="75" spans="1:40" x14ac:dyDescent="0.25">
      <c r="A75" s="6" t="s">
        <v>41</v>
      </c>
      <c r="B75" s="7"/>
    </row>
    <row r="76" spans="1:40" x14ac:dyDescent="0.25">
      <c r="A76" s="6" t="s">
        <v>42</v>
      </c>
      <c r="B76" s="7"/>
    </row>
    <row r="77" spans="1:40" x14ac:dyDescent="0.25">
      <c r="A77" s="6" t="s">
        <v>43</v>
      </c>
      <c r="B77" s="7"/>
    </row>
    <row r="78" spans="1:40" x14ac:dyDescent="0.25">
      <c r="A78" s="6" t="s">
        <v>44</v>
      </c>
      <c r="B78" s="7"/>
    </row>
    <row r="79" spans="1:40" x14ac:dyDescent="0.25">
      <c r="A79" s="6" t="s">
        <v>45</v>
      </c>
      <c r="B79" s="7"/>
    </row>
    <row r="80" spans="1:40" x14ac:dyDescent="0.25">
      <c r="A80" s="6" t="s">
        <v>46</v>
      </c>
      <c r="B80" s="7"/>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sheetData>
  <mergeCells count="2">
    <mergeCell ref="AD31:AE31"/>
    <mergeCell ref="AG31:AH31"/>
  </mergeCells>
  <dataValidations disablePrompts="1" count="2">
    <dataValidation type="list" allowBlank="1" sqref="B28:C28" xr:uid="{00000000-0002-0000-4C00-000000000000}">
      <formula1>"ACCOUNT,BUSINESSUNIT,CATEGORY,DATASRC,DEPARTMENT,INTCO,MEASURES,RPTCURRENCY,TIME"</formula1>
    </dataValidation>
    <dataValidation type="list" allowBlank="1" sqref="B29:C29" xr:uid="{00000000-0002-0000-4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325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3256" r:id="rId7" name="FPMExcelClientSheetOptionstb1"/>
      </mc:Fallback>
    </mc:AlternateContent>
  </controls>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8">
    <tabColor theme="2" tint="-0.499984740745262"/>
    <pageSetUpPr fitToPage="1"/>
  </sheetPr>
  <dimension ref="A1:AO10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497</v>
      </c>
      <c r="C6" s="1" t="s">
        <v>1025</v>
      </c>
      <c r="E6" s="49" t="s">
        <v>1705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1706</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1707</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1708</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1709</v>
      </c>
    </row>
    <row r="23" spans="1:40" hidden="1" outlineLevel="1" x14ac:dyDescent="0.25">
      <c r="A23" s="6" t="s">
        <v>47</v>
      </c>
      <c r="B23" s="16" t="s">
        <v>1710</v>
      </c>
      <c r="K23" s="57"/>
    </row>
    <row r="24" spans="1:40" hidden="1" outlineLevel="1" x14ac:dyDescent="0.25">
      <c r="A24" s="6" t="s">
        <v>8</v>
      </c>
      <c r="B24" s="7"/>
    </row>
    <row r="25" spans="1:40" collapsed="1" x14ac:dyDescent="0.25"/>
    <row r="26" spans="1:40" ht="22.5" x14ac:dyDescent="0.3">
      <c r="A26" s="3" t="s">
        <v>9</v>
      </c>
      <c r="B26" s="5" t="s">
        <v>10</v>
      </c>
      <c r="C26" s="5" t="s">
        <v>357</v>
      </c>
      <c r="N26" s="65" t="s">
        <v>981</v>
      </c>
    </row>
    <row r="27" spans="1:40" ht="18" x14ac:dyDescent="0.25">
      <c r="A27" s="6" t="s">
        <v>11</v>
      </c>
      <c r="B27" s="7" t="s">
        <v>21</v>
      </c>
      <c r="C27" s="7" t="s">
        <v>21</v>
      </c>
      <c r="N27" s="70" t="s">
        <v>1711</v>
      </c>
    </row>
    <row r="28" spans="1:40" ht="15.75" x14ac:dyDescent="0.25">
      <c r="A28" s="6" t="s">
        <v>12</v>
      </c>
      <c r="B28" s="7" t="s">
        <v>52</v>
      </c>
      <c r="C28" s="7" t="s">
        <v>22</v>
      </c>
      <c r="N28" s="71" t="s">
        <v>1005</v>
      </c>
    </row>
    <row r="29" spans="1:40" ht="15" customHeight="1" x14ac:dyDescent="0.25">
      <c r="A29" s="6" t="s">
        <v>13</v>
      </c>
      <c r="B29" s="7" t="s">
        <v>738</v>
      </c>
      <c r="C29" s="7" t="s">
        <v>735</v>
      </c>
      <c r="N29" s="71" t="s">
        <v>985</v>
      </c>
    </row>
    <row r="30" spans="1:40" x14ac:dyDescent="0.25">
      <c r="A30" s="6" t="s">
        <v>14</v>
      </c>
      <c r="B30" s="16"/>
      <c r="C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C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C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C33" s="7"/>
      <c r="H33" s="1" t="s">
        <v>73</v>
      </c>
      <c r="I33" s="11" t="s">
        <v>1011</v>
      </c>
      <c r="J33" s="11" t="s">
        <v>78</v>
      </c>
      <c r="N33" s="40" t="s">
        <v>1079</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1011</v>
      </c>
      <c r="J34" s="11" t="s">
        <v>78</v>
      </c>
      <c r="N34" s="8" t="s">
        <v>1080</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G35" s="15" t="s">
        <v>497</v>
      </c>
      <c r="H35" s="15" t="s">
        <v>855</v>
      </c>
      <c r="I35" s="161" t="s">
        <v>1012</v>
      </c>
      <c r="J35" s="161" t="s">
        <v>78</v>
      </c>
      <c r="K35" s="68" t="str">
        <f t="shared" ref="K35:K47" si="0">IF(AND(I35&gt;="T3"),"&gt;","")</f>
        <v>&gt;</v>
      </c>
      <c r="L35" s="162"/>
      <c r="M35" s="162"/>
      <c r="N35" s="162" t="s">
        <v>1081</v>
      </c>
      <c r="O35" s="38">
        <v>29161.759999999998</v>
      </c>
      <c r="P35" s="38">
        <v>26671.35</v>
      </c>
      <c r="Q35" s="38">
        <v>28222.69</v>
      </c>
      <c r="R35" s="38">
        <v>13745.65</v>
      </c>
      <c r="S35" s="38">
        <v>24982.3</v>
      </c>
      <c r="T35" s="38">
        <v>29766.34</v>
      </c>
      <c r="U35" s="38">
        <v>20149.759999999998</v>
      </c>
      <c r="V35" s="38">
        <v>24456.5</v>
      </c>
      <c r="W35" s="38">
        <v>27370.33</v>
      </c>
      <c r="X35" s="38">
        <v>31291.57</v>
      </c>
      <c r="Y35" s="38">
        <v>28165.32</v>
      </c>
      <c r="Z35" s="38">
        <v>26305.73</v>
      </c>
      <c r="AA35" s="310">
        <f t="shared" ref="AA35:AA47" si="1">IF($I35="B1","",SUM(O35:Z35))</f>
        <v>310289.3</v>
      </c>
      <c r="AB35" s="39">
        <f>IF(AA35=0,"",IFERROR(AA35/AA$19,""))</f>
        <v>2.3978696489430854E-2</v>
      </c>
      <c r="AD35" s="21">
        <v>333244.02043869102</v>
      </c>
      <c r="AE35" s="17">
        <f>IF(AD35=0,"",IFERROR(AD35/AD$19,""))</f>
        <v>2.0083408137973779E-2</v>
      </c>
      <c r="AF35" s="50">
        <f>IF(AND($AA35="",AD35=""),"",$AA35-AD35)</f>
        <v>-22954.720438691031</v>
      </c>
      <c r="AG35" s="21">
        <v>329788.32</v>
      </c>
      <c r="AH35" s="17">
        <f>IF(AG35=0,"",IFERROR(AG35/AG$19,""))</f>
        <v>2.2384725291013957E-2</v>
      </c>
      <c r="AI35" s="50">
        <f>IF(AND($AA35="",AG35=""),"",$AA35-AG35)</f>
        <v>-19499.020000000019</v>
      </c>
      <c r="AJ35" s="399">
        <f t="shared" ref="AJ35:AJ47" si="2">IFERROR(AA35/AA$20,0)</f>
        <v>6.4402096305520962</v>
      </c>
      <c r="AK35" s="400">
        <f t="shared" ref="AK35:AK47" si="3">IFERROR(AD35/AD$20,0)</f>
        <v>6.9166463353817145</v>
      </c>
      <c r="AL35" s="401">
        <f t="shared" ref="AL35:AL47" si="4">IFERROR(AG35/AG$20,0)</f>
        <v>6.8449215442092157</v>
      </c>
      <c r="AM35" s="402" t="str">
        <f t="shared" ref="AM35:AM47" si="5">+IFERROR(ROUND(($AB35-AE35)*100,2)&amp;" pts.",0)</f>
        <v>0.39 pts.</v>
      </c>
      <c r="AN35" s="403" t="str">
        <f t="shared" ref="AN35:AN47" si="6">+IFERROR(ROUND(($AB35-AH35)*100,2)&amp;" pts.",0)</f>
        <v>0.16 pts.</v>
      </c>
    </row>
    <row r="36" spans="1:40" hidden="1" x14ac:dyDescent="0.25">
      <c r="G36" s="15"/>
      <c r="H36" s="149"/>
      <c r="I36" s="161"/>
      <c r="J36" s="161"/>
      <c r="K36" s="68" t="str">
        <f t="shared" si="0"/>
        <v/>
      </c>
      <c r="L36" s="162"/>
      <c r="M36" s="162"/>
      <c r="N36" s="162"/>
      <c r="O36" s="38"/>
      <c r="P36" s="38"/>
      <c r="Q36" s="38"/>
      <c r="R36" s="38"/>
      <c r="S36" s="38"/>
      <c r="T36" s="38"/>
      <c r="U36" s="38"/>
      <c r="V36" s="38"/>
      <c r="W36" s="38"/>
      <c r="X36" s="38"/>
      <c r="Y36" s="38"/>
      <c r="Z36" s="38"/>
      <c r="AA36" s="310">
        <f t="shared" si="1"/>
        <v>0</v>
      </c>
      <c r="AB36" s="39" t="str">
        <f>IF(AA36=0,"",IFERROR(AA36/AA$19,""))</f>
        <v/>
      </c>
      <c r="AD36" s="21"/>
      <c r="AE36" s="17" t="str">
        <f>IF(AD36=0,"",IFERROR(AD36/AD$19,""))</f>
        <v/>
      </c>
      <c r="AF36" s="50">
        <f>IF(AND($AA36="",AD36=""),"",$AA36-AD36)</f>
        <v>0</v>
      </c>
      <c r="AG36" s="21"/>
      <c r="AH36" s="17" t="str">
        <f>IF(AG36=0,"",IFERROR(AG36/AG$19,""))</f>
        <v/>
      </c>
      <c r="AI36" s="50">
        <f>IF(AND($AA36="",AG36=""),"",$AA36-AG36)</f>
        <v>0</v>
      </c>
      <c r="AJ36" s="399">
        <f t="shared" si="2"/>
        <v>0</v>
      </c>
      <c r="AK36" s="400">
        <f t="shared" si="3"/>
        <v>0</v>
      </c>
      <c r="AL36" s="401">
        <f t="shared" si="4"/>
        <v>0</v>
      </c>
      <c r="AM36" s="402">
        <f t="shared" si="5"/>
        <v>0</v>
      </c>
      <c r="AN36" s="403">
        <f t="shared" si="6"/>
        <v>0</v>
      </c>
    </row>
    <row r="37" spans="1:40" x14ac:dyDescent="0.25">
      <c r="A37" s="1" t="s">
        <v>108</v>
      </c>
      <c r="C37" s="26" t="s">
        <v>101</v>
      </c>
      <c r="D37" s="1" t="s">
        <v>106</v>
      </c>
      <c r="F37" s="1" t="s">
        <v>98</v>
      </c>
      <c r="G37" s="15" t="s">
        <v>497</v>
      </c>
      <c r="H37" s="149" t="s">
        <v>75</v>
      </c>
      <c r="I37" s="161" t="s">
        <v>1011</v>
      </c>
      <c r="J37" s="161" t="s">
        <v>78</v>
      </c>
      <c r="K37" s="68" t="str">
        <f t="shared" si="0"/>
        <v/>
      </c>
      <c r="L37" s="162"/>
      <c r="M37" s="162"/>
      <c r="N37" s="8" t="s">
        <v>1082</v>
      </c>
      <c r="O37" s="38"/>
      <c r="P37" s="38"/>
      <c r="Q37" s="38"/>
      <c r="R37" s="38"/>
      <c r="S37" s="38"/>
      <c r="T37" s="38"/>
      <c r="U37" s="38"/>
      <c r="V37" s="38"/>
      <c r="W37" s="38"/>
      <c r="X37" s="38"/>
      <c r="Y37" s="38"/>
      <c r="Z37" s="38"/>
      <c r="AA37" s="38" t="str">
        <f t="shared" si="1"/>
        <v/>
      </c>
      <c r="AB37" s="39"/>
      <c r="AD37" s="21"/>
      <c r="AE37" s="17"/>
      <c r="AF37" s="50"/>
      <c r="AG37" s="21"/>
      <c r="AH37" s="17"/>
      <c r="AI37" s="50"/>
      <c r="AJ37" s="399">
        <f t="shared" si="2"/>
        <v>0</v>
      </c>
      <c r="AK37" s="400">
        <f t="shared" si="3"/>
        <v>0</v>
      </c>
      <c r="AL37" s="401">
        <f t="shared" si="4"/>
        <v>0</v>
      </c>
      <c r="AM37" s="402" t="str">
        <f t="shared" si="5"/>
        <v>0 pts.</v>
      </c>
      <c r="AN37" s="403" t="str">
        <f t="shared" si="6"/>
        <v>0 pts.</v>
      </c>
    </row>
    <row r="38" spans="1:40" x14ac:dyDescent="0.25">
      <c r="A38" s="1" t="s">
        <v>100</v>
      </c>
      <c r="C38" s="8" t="s">
        <v>101</v>
      </c>
      <c r="D38" s="1" t="s">
        <v>106</v>
      </c>
      <c r="F38" s="1" t="s">
        <v>98</v>
      </c>
      <c r="G38" s="15" t="s">
        <v>497</v>
      </c>
      <c r="H38" s="149" t="s">
        <v>846</v>
      </c>
      <c r="I38" s="161" t="s">
        <v>1012</v>
      </c>
      <c r="J38" s="161" t="s">
        <v>78</v>
      </c>
      <c r="K38" s="68" t="str">
        <f t="shared" si="0"/>
        <v>&gt;</v>
      </c>
      <c r="L38" s="162"/>
      <c r="M38" s="162"/>
      <c r="N38" s="162" t="s">
        <v>1712</v>
      </c>
      <c r="O38" s="47">
        <v>7256.81</v>
      </c>
      <c r="P38" s="47">
        <v>8586.27</v>
      </c>
      <c r="Q38" s="47">
        <v>7219.78</v>
      </c>
      <c r="R38" s="47">
        <v>9225.25</v>
      </c>
      <c r="S38" s="47">
        <v>11684.85</v>
      </c>
      <c r="T38" s="47">
        <v>12889.08</v>
      </c>
      <c r="U38" s="47">
        <v>13319.98</v>
      </c>
      <c r="V38" s="47">
        <v>13572.44</v>
      </c>
      <c r="W38" s="47">
        <v>11854.86</v>
      </c>
      <c r="X38" s="47">
        <v>12507.08</v>
      </c>
      <c r="Y38" s="47">
        <v>10200.5</v>
      </c>
      <c r="Z38" s="47">
        <v>9781.48</v>
      </c>
      <c r="AA38" s="47">
        <f t="shared" si="1"/>
        <v>128098.38</v>
      </c>
      <c r="AB38" s="48">
        <f t="shared" ref="AB38:AB47" si="7">IF(AA38=0,"",IFERROR(AA38/AA$19,""))</f>
        <v>9.8992526484405988E-3</v>
      </c>
      <c r="AD38" s="30">
        <v>117821.428571429</v>
      </c>
      <c r="AE38" s="31">
        <f t="shared" ref="AE38:AE47" si="8">IF(AD38=0,"",IFERROR(AD38/AD$19,""))</f>
        <v>7.1006700563873088E-3</v>
      </c>
      <c r="AF38" s="51">
        <f t="shared" ref="AF38:AF47" si="9">IF(AND($AA38="",AD38=""),"",$AA38-AD38)</f>
        <v>10276.951428571003</v>
      </c>
      <c r="AG38" s="30">
        <v>98563.62</v>
      </c>
      <c r="AH38" s="31">
        <f t="shared" ref="AH38:AH47" si="10">IF(AG38=0,"",IFERROR(AG38/AG$19,""))</f>
        <v>6.690108240910075E-3</v>
      </c>
      <c r="AI38" s="51">
        <f t="shared" ref="AI38:AI47" si="11">IF(AND($AA38="",AG38=""),"",$AA38-AG38)</f>
        <v>29534.760000000009</v>
      </c>
      <c r="AJ38" s="409">
        <f t="shared" si="2"/>
        <v>2.6587459526774597</v>
      </c>
      <c r="AK38" s="410">
        <f t="shared" si="3"/>
        <v>2.4454426851687217</v>
      </c>
      <c r="AL38" s="411">
        <f t="shared" si="4"/>
        <v>2.0457372353673722</v>
      </c>
      <c r="AM38" s="412" t="str">
        <f t="shared" si="5"/>
        <v>0.28 pts.</v>
      </c>
      <c r="AN38" s="413" t="str">
        <f t="shared" si="6"/>
        <v>0.32 pts.</v>
      </c>
    </row>
    <row r="39" spans="1:40" x14ac:dyDescent="0.25">
      <c r="A39" s="1" t="s">
        <v>109</v>
      </c>
      <c r="C39" s="25" t="s">
        <v>101</v>
      </c>
      <c r="D39" s="1" t="s">
        <v>106</v>
      </c>
      <c r="F39" s="1" t="s">
        <v>98</v>
      </c>
      <c r="G39" s="15" t="s">
        <v>497</v>
      </c>
      <c r="H39" s="149" t="s">
        <v>847</v>
      </c>
      <c r="I39" s="161" t="s">
        <v>1012</v>
      </c>
      <c r="J39" s="161" t="s">
        <v>78</v>
      </c>
      <c r="K39" s="68" t="str">
        <f t="shared" si="0"/>
        <v>&gt;</v>
      </c>
      <c r="L39" s="162"/>
      <c r="M39" s="162"/>
      <c r="N39" s="162" t="s">
        <v>1713</v>
      </c>
      <c r="O39" s="47"/>
      <c r="P39" s="47"/>
      <c r="Q39" s="47"/>
      <c r="R39" s="47"/>
      <c r="S39" s="47"/>
      <c r="T39" s="47"/>
      <c r="U39" s="47"/>
      <c r="V39" s="47"/>
      <c r="W39" s="47"/>
      <c r="X39" s="47"/>
      <c r="Y39" s="47"/>
      <c r="Z39" s="47"/>
      <c r="AA39" s="47">
        <f t="shared" si="1"/>
        <v>0</v>
      </c>
      <c r="AB39" s="48" t="str">
        <f t="shared" si="7"/>
        <v/>
      </c>
      <c r="AD39" s="30"/>
      <c r="AE39" s="31" t="str">
        <f t="shared" si="8"/>
        <v/>
      </c>
      <c r="AF39" s="51">
        <f t="shared" si="9"/>
        <v>0</v>
      </c>
      <c r="AG39" s="30">
        <v>3161.29</v>
      </c>
      <c r="AH39" s="31">
        <f t="shared" si="10"/>
        <v>2.1457584736545403E-4</v>
      </c>
      <c r="AI39" s="51">
        <f t="shared" si="11"/>
        <v>-3161.29</v>
      </c>
      <c r="AJ39" s="409">
        <f t="shared" si="2"/>
        <v>0</v>
      </c>
      <c r="AK39" s="410">
        <f t="shared" si="3"/>
        <v>0</v>
      </c>
      <c r="AL39" s="411">
        <f t="shared" si="4"/>
        <v>6.5614155251141545E-2</v>
      </c>
      <c r="AM39" s="412">
        <f t="shared" si="5"/>
        <v>0</v>
      </c>
      <c r="AN39" s="413">
        <f t="shared" si="6"/>
        <v>0</v>
      </c>
    </row>
    <row r="40" spans="1:40" x14ac:dyDescent="0.25">
      <c r="A40" s="1" t="s">
        <v>109</v>
      </c>
      <c r="C40" s="151" t="s">
        <v>101</v>
      </c>
      <c r="D40" s="1" t="s">
        <v>107</v>
      </c>
      <c r="F40" s="1" t="s">
        <v>99</v>
      </c>
      <c r="G40" s="15" t="s">
        <v>497</v>
      </c>
      <c r="H40" s="149" t="s">
        <v>848</v>
      </c>
      <c r="I40" s="479" t="s">
        <v>1010</v>
      </c>
      <c r="J40" s="479" t="s">
        <v>78</v>
      </c>
      <c r="K40" s="480" t="str">
        <f t="shared" si="0"/>
        <v/>
      </c>
      <c r="L40" s="170"/>
      <c r="M40" s="170"/>
      <c r="N40" s="170" t="s">
        <v>1085</v>
      </c>
      <c r="O40" s="134">
        <v>36418.57</v>
      </c>
      <c r="P40" s="134">
        <v>35257.620000000003</v>
      </c>
      <c r="Q40" s="134">
        <v>35442.47</v>
      </c>
      <c r="R40" s="134">
        <v>22970.9</v>
      </c>
      <c r="S40" s="134">
        <v>36667.15</v>
      </c>
      <c r="T40" s="134">
        <v>42655.42</v>
      </c>
      <c r="U40" s="134">
        <v>33469.74</v>
      </c>
      <c r="V40" s="134">
        <v>38028.94</v>
      </c>
      <c r="W40" s="134">
        <v>39225.19</v>
      </c>
      <c r="X40" s="134">
        <v>43798.65</v>
      </c>
      <c r="Y40" s="134">
        <v>38365.82</v>
      </c>
      <c r="Z40" s="134">
        <v>36087.21</v>
      </c>
      <c r="AA40" s="134">
        <f t="shared" si="1"/>
        <v>438387.68000000005</v>
      </c>
      <c r="AB40" s="135">
        <f t="shared" si="7"/>
        <v>3.3877949137871455E-2</v>
      </c>
      <c r="AC40" s="137"/>
      <c r="AD40" s="134">
        <v>451065.44901012001</v>
      </c>
      <c r="AE40" s="135">
        <f t="shared" si="8"/>
        <v>2.7184078194361087E-2</v>
      </c>
      <c r="AF40" s="136">
        <f t="shared" si="9"/>
        <v>-12677.769010119955</v>
      </c>
      <c r="AG40" s="134">
        <v>431513.23</v>
      </c>
      <c r="AH40" s="135">
        <f t="shared" si="10"/>
        <v>2.9289409379289484E-2</v>
      </c>
      <c r="AI40" s="136">
        <f t="shared" si="11"/>
        <v>6874.4500000000698</v>
      </c>
      <c r="AJ40" s="360">
        <f t="shared" si="2"/>
        <v>9.0989555832295572</v>
      </c>
      <c r="AK40" s="361">
        <f t="shared" si="3"/>
        <v>9.3620890205504352</v>
      </c>
      <c r="AL40" s="363">
        <f t="shared" si="4"/>
        <v>8.9562729348277283</v>
      </c>
      <c r="AM40" s="405" t="str">
        <f t="shared" si="5"/>
        <v>0.67 pts.</v>
      </c>
      <c r="AN40" s="406" t="str">
        <f t="shared" si="6"/>
        <v>0.46 pts.</v>
      </c>
    </row>
    <row r="41" spans="1:40" x14ac:dyDescent="0.25">
      <c r="A41" s="1" t="s">
        <v>110</v>
      </c>
      <c r="C41" s="25" t="s">
        <v>101</v>
      </c>
      <c r="D41" s="1" t="s">
        <v>106</v>
      </c>
      <c r="F41" s="1" t="s">
        <v>98</v>
      </c>
      <c r="G41" s="15" t="s">
        <v>497</v>
      </c>
      <c r="H41" s="149" t="s">
        <v>849</v>
      </c>
      <c r="I41" s="161" t="s">
        <v>1012</v>
      </c>
      <c r="J41" s="161" t="s">
        <v>78</v>
      </c>
      <c r="K41" s="68" t="str">
        <f t="shared" si="0"/>
        <v>&gt;</v>
      </c>
      <c r="L41" s="162"/>
      <c r="M41" s="162"/>
      <c r="N41" s="162" t="s">
        <v>1087</v>
      </c>
      <c r="O41" s="47">
        <v>4313.99</v>
      </c>
      <c r="P41" s="47">
        <v>-1997.63</v>
      </c>
      <c r="Q41" s="47">
        <v>-2185.54</v>
      </c>
      <c r="R41" s="47">
        <v>5323.68</v>
      </c>
      <c r="S41" s="47">
        <v>500</v>
      </c>
      <c r="T41" s="47"/>
      <c r="U41" s="47"/>
      <c r="V41" s="47"/>
      <c r="W41" s="47"/>
      <c r="X41" s="47">
        <v>5957.29</v>
      </c>
      <c r="Y41" s="47">
        <v>5957.29</v>
      </c>
      <c r="Z41" s="47">
        <v>5957.29</v>
      </c>
      <c r="AA41" s="47">
        <f t="shared" si="1"/>
        <v>23826.370000000003</v>
      </c>
      <c r="AB41" s="48">
        <f t="shared" si="7"/>
        <v>1.8412665041136792E-3</v>
      </c>
      <c r="AD41" s="47">
        <v>94147.067892092105</v>
      </c>
      <c r="AE41" s="48">
        <f t="shared" si="8"/>
        <v>5.6739022263064837E-3</v>
      </c>
      <c r="AF41" s="150">
        <f t="shared" si="9"/>
        <v>-70320.69789209211</v>
      </c>
      <c r="AG41" s="47">
        <v>117788.7</v>
      </c>
      <c r="AH41" s="48">
        <f t="shared" si="10"/>
        <v>7.9950305453075337E-3</v>
      </c>
      <c r="AI41" s="150">
        <f t="shared" si="11"/>
        <v>-93962.329999999987</v>
      </c>
      <c r="AJ41" s="420">
        <f t="shared" si="2"/>
        <v>0.49452822748028236</v>
      </c>
      <c r="AK41" s="421">
        <f t="shared" si="3"/>
        <v>1.9540694871750126</v>
      </c>
      <c r="AL41" s="422">
        <f t="shared" si="4"/>
        <v>2.444763387297634</v>
      </c>
      <c r="AM41" s="423" t="str">
        <f t="shared" si="5"/>
        <v>-0.38 pts.</v>
      </c>
      <c r="AN41" s="424" t="str">
        <f t="shared" si="6"/>
        <v>-0.62 pts.</v>
      </c>
    </row>
    <row r="42" spans="1:40" x14ac:dyDescent="0.25">
      <c r="A42" s="1" t="s">
        <v>110</v>
      </c>
      <c r="C42" s="29" t="s">
        <v>101</v>
      </c>
      <c r="D42" s="1" t="s">
        <v>107</v>
      </c>
      <c r="F42" s="1" t="s">
        <v>99</v>
      </c>
      <c r="G42" s="15" t="s">
        <v>497</v>
      </c>
      <c r="H42" s="149" t="s">
        <v>850</v>
      </c>
      <c r="I42" s="479" t="s">
        <v>1010</v>
      </c>
      <c r="J42" s="479" t="s">
        <v>78</v>
      </c>
      <c r="K42" s="480" t="str">
        <f t="shared" si="0"/>
        <v/>
      </c>
      <c r="L42" s="170"/>
      <c r="M42" s="170"/>
      <c r="N42" s="170" t="s">
        <v>1088</v>
      </c>
      <c r="O42" s="134">
        <v>40732.559999999998</v>
      </c>
      <c r="P42" s="134">
        <v>33259.99</v>
      </c>
      <c r="Q42" s="134">
        <v>33256.93</v>
      </c>
      <c r="R42" s="134">
        <v>28294.58</v>
      </c>
      <c r="S42" s="134">
        <v>37167.15</v>
      </c>
      <c r="T42" s="134">
        <v>42655.42</v>
      </c>
      <c r="U42" s="134">
        <v>33469.74</v>
      </c>
      <c r="V42" s="134">
        <v>38028.94</v>
      </c>
      <c r="W42" s="134">
        <v>39225.19</v>
      </c>
      <c r="X42" s="134">
        <v>49755.94</v>
      </c>
      <c r="Y42" s="134">
        <v>44323.11</v>
      </c>
      <c r="Z42" s="134">
        <v>42044.5</v>
      </c>
      <c r="AA42" s="134">
        <f t="shared" si="1"/>
        <v>462214.05</v>
      </c>
      <c r="AB42" s="135">
        <f t="shared" si="7"/>
        <v>3.571921564198513E-2</v>
      </c>
      <c r="AC42" s="137"/>
      <c r="AD42" s="134">
        <v>545212.51690221205</v>
      </c>
      <c r="AE42" s="135">
        <f t="shared" si="8"/>
        <v>3.2857980420667565E-2</v>
      </c>
      <c r="AF42" s="136">
        <f t="shared" si="9"/>
        <v>-82998.466902212065</v>
      </c>
      <c r="AG42" s="134">
        <v>549301.93000000005</v>
      </c>
      <c r="AH42" s="135">
        <f t="shared" si="10"/>
        <v>3.7284439924597026E-2</v>
      </c>
      <c r="AI42" s="136">
        <f t="shared" si="11"/>
        <v>-87087.880000000063</v>
      </c>
      <c r="AJ42" s="360">
        <f t="shared" si="2"/>
        <v>9.5934838107098379</v>
      </c>
      <c r="AK42" s="361">
        <f t="shared" si="3"/>
        <v>11.316158507725447</v>
      </c>
      <c r="AL42" s="363">
        <f t="shared" si="4"/>
        <v>11.401036322125364</v>
      </c>
      <c r="AM42" s="405" t="str">
        <f t="shared" si="5"/>
        <v>0.29 pts.</v>
      </c>
      <c r="AN42" s="406" t="str">
        <f t="shared" si="6"/>
        <v>-0.16 pts.</v>
      </c>
    </row>
    <row r="43" spans="1:40" x14ac:dyDescent="0.25">
      <c r="C43" s="32"/>
      <c r="G43" s="15" t="s">
        <v>497</v>
      </c>
      <c r="H43" s="149" t="s">
        <v>851</v>
      </c>
      <c r="I43" s="161" t="s">
        <v>1012</v>
      </c>
      <c r="J43" s="161" t="s">
        <v>78</v>
      </c>
      <c r="K43" s="68" t="str">
        <f t="shared" si="0"/>
        <v>&gt;</v>
      </c>
      <c r="L43" s="162"/>
      <c r="M43" s="162"/>
      <c r="N43" s="162" t="s">
        <v>561</v>
      </c>
      <c r="O43" s="47">
        <v>2816.43</v>
      </c>
      <c r="P43" s="47">
        <v>3504.96</v>
      </c>
      <c r="Q43" s="47">
        <v>3474.02</v>
      </c>
      <c r="R43" s="47">
        <v>2118.35</v>
      </c>
      <c r="S43" s="47">
        <v>2588.63</v>
      </c>
      <c r="T43" s="47">
        <v>3168.43</v>
      </c>
      <c r="U43" s="47">
        <v>2533.81</v>
      </c>
      <c r="V43" s="47">
        <v>3071.09</v>
      </c>
      <c r="W43" s="47">
        <v>3145.31</v>
      </c>
      <c r="X43" s="47">
        <v>3815.34</v>
      </c>
      <c r="Y43" s="47">
        <v>3491.18</v>
      </c>
      <c r="Z43" s="47">
        <v>3920.39</v>
      </c>
      <c r="AA43" s="47">
        <f t="shared" si="1"/>
        <v>37647.94</v>
      </c>
      <c r="AB43" s="48">
        <f t="shared" si="7"/>
        <v>2.9093769160338542E-3</v>
      </c>
      <c r="AD43" s="47">
        <v>41619.548344239302</v>
      </c>
      <c r="AE43" s="48">
        <f t="shared" si="8"/>
        <v>2.508259187412089E-3</v>
      </c>
      <c r="AF43" s="150">
        <f t="shared" si="9"/>
        <v>-3971.6083442392992</v>
      </c>
      <c r="AG43" s="47">
        <v>39976.49</v>
      </c>
      <c r="AH43" s="48">
        <f t="shared" si="10"/>
        <v>2.713445845350031E-3</v>
      </c>
      <c r="AI43" s="150">
        <f t="shared" si="11"/>
        <v>-2328.5499999999956</v>
      </c>
      <c r="AJ43" s="420">
        <f t="shared" si="2"/>
        <v>0.78140182648401835</v>
      </c>
      <c r="AK43" s="421">
        <f t="shared" si="3"/>
        <v>0.8638345442972043</v>
      </c>
      <c r="AL43" s="422">
        <f t="shared" si="4"/>
        <v>0.82973204649232046</v>
      </c>
      <c r="AM43" s="423" t="str">
        <f t="shared" si="5"/>
        <v>0.04 pts.</v>
      </c>
      <c r="AN43" s="424" t="str">
        <f t="shared" si="6"/>
        <v>0.02 pts.</v>
      </c>
    </row>
    <row r="44" spans="1:40" x14ac:dyDescent="0.25">
      <c r="G44" s="15" t="s">
        <v>497</v>
      </c>
      <c r="H44" s="149" t="s">
        <v>852</v>
      </c>
      <c r="I44" s="161" t="s">
        <v>1012</v>
      </c>
      <c r="J44" s="161" t="s">
        <v>78</v>
      </c>
      <c r="K44" s="68" t="str">
        <f t="shared" si="0"/>
        <v>&gt;</v>
      </c>
      <c r="L44" s="162"/>
      <c r="M44" s="162"/>
      <c r="N44" s="162" t="s">
        <v>560</v>
      </c>
      <c r="O44" s="47">
        <v>3600.07</v>
      </c>
      <c r="P44" s="47">
        <v>3604.73</v>
      </c>
      <c r="Q44" s="47">
        <v>3797.5</v>
      </c>
      <c r="R44" s="47">
        <v>2556.9899999999998</v>
      </c>
      <c r="S44" s="47">
        <v>7625.02</v>
      </c>
      <c r="T44" s="47">
        <v>1726.45</v>
      </c>
      <c r="U44" s="47">
        <v>4429.2700000000004</v>
      </c>
      <c r="V44" s="47">
        <v>3089.23</v>
      </c>
      <c r="W44" s="47">
        <v>6226.76</v>
      </c>
      <c r="X44" s="47">
        <v>3913.1</v>
      </c>
      <c r="Y44" s="47">
        <v>5395.75</v>
      </c>
      <c r="Z44" s="47">
        <v>2179.69</v>
      </c>
      <c r="AA44" s="47">
        <f t="shared" si="1"/>
        <v>48144.56</v>
      </c>
      <c r="AB44" s="48">
        <f t="shared" si="7"/>
        <v>3.7205401277362548E-3</v>
      </c>
      <c r="AD44" s="30">
        <v>39077.045725966404</v>
      </c>
      <c r="AE44" s="31">
        <f t="shared" si="8"/>
        <v>2.3550317785378892E-3</v>
      </c>
      <c r="AF44" s="51">
        <f t="shared" si="9"/>
        <v>9067.5142740335941</v>
      </c>
      <c r="AG44" s="30">
        <v>35442.980000000003</v>
      </c>
      <c r="AH44" s="31">
        <f t="shared" si="10"/>
        <v>2.4057291379964638E-3</v>
      </c>
      <c r="AI44" s="51">
        <f t="shared" si="11"/>
        <v>12701.579999999994</v>
      </c>
      <c r="AJ44" s="409">
        <f t="shared" si="2"/>
        <v>0.99926442507264424</v>
      </c>
      <c r="AK44" s="410">
        <f t="shared" si="3"/>
        <v>0.81106363067593201</v>
      </c>
      <c r="AL44" s="411">
        <f t="shared" si="4"/>
        <v>0.7356367787463679</v>
      </c>
      <c r="AM44" s="412" t="str">
        <f t="shared" si="5"/>
        <v>0.14 pts.</v>
      </c>
      <c r="AN44" s="413" t="str">
        <f t="shared" si="6"/>
        <v>0.13 pts.</v>
      </c>
    </row>
    <row r="45" spans="1:40" x14ac:dyDescent="0.25">
      <c r="A45" s="4" t="s">
        <v>988</v>
      </c>
      <c r="B45" s="1" t="s">
        <v>736</v>
      </c>
      <c r="G45" s="15" t="s">
        <v>497</v>
      </c>
      <c r="H45" s="149" t="s">
        <v>853</v>
      </c>
      <c r="I45" s="161" t="s">
        <v>1012</v>
      </c>
      <c r="J45" s="161" t="s">
        <v>78</v>
      </c>
      <c r="K45" s="68" t="str">
        <f t="shared" si="0"/>
        <v>&gt;</v>
      </c>
      <c r="L45" s="162"/>
      <c r="M45" s="162"/>
      <c r="N45" s="162" t="s">
        <v>562</v>
      </c>
      <c r="O45" s="47">
        <v>5761.56</v>
      </c>
      <c r="P45" s="47">
        <v>5649.85</v>
      </c>
      <c r="Q45" s="47">
        <v>6167.57</v>
      </c>
      <c r="R45" s="47">
        <v>4738.57</v>
      </c>
      <c r="S45" s="47">
        <v>5955.2</v>
      </c>
      <c r="T45" s="47">
        <v>5737.47</v>
      </c>
      <c r="U45" s="47">
        <v>5705.49</v>
      </c>
      <c r="V45" s="47">
        <v>5747.19</v>
      </c>
      <c r="W45" s="47">
        <v>6494.97</v>
      </c>
      <c r="X45" s="47">
        <v>7055.02</v>
      </c>
      <c r="Y45" s="47">
        <v>7005.38</v>
      </c>
      <c r="Z45" s="47">
        <v>6500.87</v>
      </c>
      <c r="AA45" s="47">
        <f t="shared" si="1"/>
        <v>72519.14</v>
      </c>
      <c r="AB45" s="48">
        <f t="shared" si="7"/>
        <v>5.6041714868496741E-3</v>
      </c>
      <c r="AD45" s="30">
        <v>43533.922595391603</v>
      </c>
      <c r="AE45" s="31">
        <f t="shared" si="8"/>
        <v>2.6236315783828459E-3</v>
      </c>
      <c r="AF45" s="51">
        <f t="shared" si="9"/>
        <v>28985.217404608396</v>
      </c>
      <c r="AG45" s="30">
        <v>42216.26</v>
      </c>
      <c r="AH45" s="31">
        <f t="shared" si="10"/>
        <v>2.8654725640799555E-3</v>
      </c>
      <c r="AI45" s="51">
        <f t="shared" si="11"/>
        <v>30302.879999999997</v>
      </c>
      <c r="AJ45" s="409">
        <f t="shared" si="2"/>
        <v>1.5051710253217103</v>
      </c>
      <c r="AK45" s="410">
        <f t="shared" si="3"/>
        <v>0.90356833946433379</v>
      </c>
      <c r="AL45" s="411">
        <f t="shared" si="4"/>
        <v>0.876219593192196</v>
      </c>
      <c r="AM45" s="412" t="str">
        <f t="shared" si="5"/>
        <v>0.3 pts.</v>
      </c>
      <c r="AN45" s="413" t="str">
        <f t="shared" si="6"/>
        <v>0.27 pts.</v>
      </c>
    </row>
    <row r="46" spans="1:40" x14ac:dyDescent="0.25">
      <c r="G46" s="15" t="s">
        <v>497</v>
      </c>
      <c r="H46" s="149" t="s">
        <v>854</v>
      </c>
      <c r="I46" s="479" t="s">
        <v>1010</v>
      </c>
      <c r="J46" s="479" t="s">
        <v>78</v>
      </c>
      <c r="K46" s="480" t="str">
        <f t="shared" si="0"/>
        <v/>
      </c>
      <c r="L46" s="170"/>
      <c r="M46" s="170"/>
      <c r="N46" s="170" t="s">
        <v>1089</v>
      </c>
      <c r="O46" s="36">
        <v>12178.06</v>
      </c>
      <c r="P46" s="36">
        <v>12759.54</v>
      </c>
      <c r="Q46" s="36">
        <v>13439.09</v>
      </c>
      <c r="R46" s="36">
        <v>9413.91</v>
      </c>
      <c r="S46" s="36">
        <v>16168.85</v>
      </c>
      <c r="T46" s="36">
        <v>10632.35</v>
      </c>
      <c r="U46" s="36">
        <v>12668.57</v>
      </c>
      <c r="V46" s="36">
        <v>11907.51</v>
      </c>
      <c r="W46" s="36">
        <v>15867.04</v>
      </c>
      <c r="X46" s="36">
        <v>14783.46</v>
      </c>
      <c r="Y46" s="36">
        <v>15892.31</v>
      </c>
      <c r="Z46" s="36">
        <v>12600.95</v>
      </c>
      <c r="AA46" s="36">
        <f t="shared" si="1"/>
        <v>158311.63999999998</v>
      </c>
      <c r="AB46" s="37">
        <f t="shared" si="7"/>
        <v>1.2234088530619781E-2</v>
      </c>
      <c r="AC46" s="35"/>
      <c r="AD46" s="36">
        <v>124230.516665597</v>
      </c>
      <c r="AE46" s="37">
        <f t="shared" si="8"/>
        <v>7.4869225443328054E-3</v>
      </c>
      <c r="AF46" s="58">
        <f t="shared" si="9"/>
        <v>34081.12333440299</v>
      </c>
      <c r="AG46" s="36">
        <v>117635.73</v>
      </c>
      <c r="AH46" s="37">
        <f t="shared" si="10"/>
        <v>7.9846475474264489E-3</v>
      </c>
      <c r="AI46" s="58">
        <f t="shared" si="11"/>
        <v>40675.909999999989</v>
      </c>
      <c r="AJ46" s="372">
        <f t="shared" si="2"/>
        <v>3.2858372768783726</v>
      </c>
      <c r="AK46" s="373">
        <f t="shared" si="3"/>
        <v>2.5784665144374634</v>
      </c>
      <c r="AL46" s="375">
        <f t="shared" si="4"/>
        <v>2.441588418430884</v>
      </c>
      <c r="AM46" s="407" t="str">
        <f t="shared" si="5"/>
        <v>0.47 pts.</v>
      </c>
      <c r="AN46" s="408" t="str">
        <f t="shared" si="6"/>
        <v>0.42 pts.</v>
      </c>
    </row>
    <row r="47" spans="1:40" x14ac:dyDescent="0.25">
      <c r="A47" s="3" t="s">
        <v>0</v>
      </c>
      <c r="B47" s="5" t="s">
        <v>1</v>
      </c>
      <c r="G47" s="15" t="s">
        <v>497</v>
      </c>
      <c r="H47" s="149" t="s">
        <v>76</v>
      </c>
      <c r="I47" s="479" t="s">
        <v>1046</v>
      </c>
      <c r="J47" s="479" t="s">
        <v>78</v>
      </c>
      <c r="K47" s="480" t="str">
        <f t="shared" si="0"/>
        <v/>
      </c>
      <c r="L47" s="170">
        <v>600000</v>
      </c>
      <c r="M47" s="170"/>
      <c r="N47" s="170" t="s">
        <v>1090</v>
      </c>
      <c r="O47" s="36">
        <v>52910.62</v>
      </c>
      <c r="P47" s="36">
        <v>46019.53</v>
      </c>
      <c r="Q47" s="36">
        <v>46696.02</v>
      </c>
      <c r="R47" s="36">
        <v>37708.49</v>
      </c>
      <c r="S47" s="36">
        <v>53336</v>
      </c>
      <c r="T47" s="36">
        <v>53287.77</v>
      </c>
      <c r="U47" s="36">
        <v>46138.31</v>
      </c>
      <c r="V47" s="36">
        <v>49936.45</v>
      </c>
      <c r="W47" s="36">
        <v>55092.23</v>
      </c>
      <c r="X47" s="36">
        <v>64539.4</v>
      </c>
      <c r="Y47" s="36">
        <v>60215.42</v>
      </c>
      <c r="Z47" s="36">
        <v>54645.45</v>
      </c>
      <c r="AA47" s="36">
        <f t="shared" si="1"/>
        <v>620525.68999999994</v>
      </c>
      <c r="AB47" s="37">
        <f t="shared" si="7"/>
        <v>4.7953304172604912E-2</v>
      </c>
      <c r="AC47" s="35"/>
      <c r="AD47" s="36">
        <v>669443.03356780997</v>
      </c>
      <c r="AE47" s="37">
        <f t="shared" si="8"/>
        <v>4.0344902965000429E-2</v>
      </c>
      <c r="AF47" s="58">
        <f t="shared" si="9"/>
        <v>-48917.343567810021</v>
      </c>
      <c r="AG47" s="36">
        <v>666937.66</v>
      </c>
      <c r="AH47" s="37">
        <f t="shared" si="10"/>
        <v>4.5269087472023475E-2</v>
      </c>
      <c r="AI47" s="58">
        <f t="shared" si="11"/>
        <v>-46411.970000000088</v>
      </c>
      <c r="AJ47" s="372">
        <f t="shared" si="2"/>
        <v>12.87932108758821</v>
      </c>
      <c r="AK47" s="373">
        <f t="shared" si="3"/>
        <v>13.894625022162931</v>
      </c>
      <c r="AL47" s="375">
        <f t="shared" si="4"/>
        <v>13.842624740556248</v>
      </c>
      <c r="AM47" s="407" t="str">
        <f t="shared" si="5"/>
        <v>0.76 pts.</v>
      </c>
      <c r="AN47" s="408" t="str">
        <f t="shared" si="6"/>
        <v>0.27 pts.</v>
      </c>
    </row>
    <row r="48" spans="1:40" x14ac:dyDescent="0.25">
      <c r="A48" s="6" t="s">
        <v>2</v>
      </c>
      <c r="B48" s="16" t="s">
        <v>1706</v>
      </c>
      <c r="G48" s="25"/>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16" t="s">
        <v>1707</v>
      </c>
      <c r="G49" s="14"/>
      <c r="H49" s="1" t="s">
        <v>82</v>
      </c>
      <c r="I49" s="11" t="s">
        <v>1011</v>
      </c>
      <c r="J49" s="11" t="s">
        <v>78</v>
      </c>
      <c r="L49" s="1"/>
      <c r="M49" s="1"/>
      <c r="N49" s="40" t="s">
        <v>1092</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16" t="s">
        <v>1714</v>
      </c>
      <c r="G50" s="15" t="s">
        <v>828</v>
      </c>
      <c r="H50" s="15" t="s">
        <v>829</v>
      </c>
      <c r="I50" s="161" t="s">
        <v>1009</v>
      </c>
      <c r="J50" s="161" t="s">
        <v>1009</v>
      </c>
      <c r="K50" s="68" t="str">
        <f t="shared" ref="K50:K66" si="12">IF(AND(I50&gt;="T3"),"&gt;","")</f>
        <v/>
      </c>
      <c r="L50" s="162">
        <v>701100</v>
      </c>
      <c r="M50" s="162">
        <v>690015</v>
      </c>
      <c r="N50" s="162" t="s">
        <v>1241</v>
      </c>
      <c r="O50" s="21"/>
      <c r="P50" s="21">
        <v>400</v>
      </c>
      <c r="Q50" s="21">
        <v>250</v>
      </c>
      <c r="R50" s="21">
        <v>-43</v>
      </c>
      <c r="S50" s="21">
        <v>91.15</v>
      </c>
      <c r="T50" s="21"/>
      <c r="U50" s="21"/>
      <c r="V50" s="21"/>
      <c r="W50" s="21">
        <v>-3</v>
      </c>
      <c r="X50" s="21"/>
      <c r="Y50" s="21"/>
      <c r="Z50" s="21"/>
      <c r="AA50" s="21">
        <f t="shared" ref="AA50:AA68" si="13">IF($I50="B1","",SUM(O50:Z50))</f>
        <v>695.15</v>
      </c>
      <c r="AB50" s="17">
        <f t="shared" ref="AB50:AB68" si="14">IF(AA50=0,"",IFERROR(AA50/AA$19,""))</f>
        <v>5.3720160071996864E-5</v>
      </c>
      <c r="AD50" s="21">
        <v>845</v>
      </c>
      <c r="AE50" s="17">
        <f t="shared" ref="AE50:AE68" si="15">IF(AD50=0,"",IFERROR(AD50/AD$19,""))</f>
        <v>5.0925084429864539E-5</v>
      </c>
      <c r="AF50" s="50">
        <f t="shared" ref="AF50:AF68" si="16">IF(AND($AA50="",AD50=""),"",$AA50-AD50)</f>
        <v>-149.85000000000002</v>
      </c>
      <c r="AG50" s="21">
        <v>247.05</v>
      </c>
      <c r="AH50" s="17">
        <f t="shared" ref="AH50:AH68" si="17">IF(AG50=0,"",IFERROR(AG50/AG$19,""))</f>
        <v>1.6768775750290363E-5</v>
      </c>
      <c r="AI50" s="50">
        <f t="shared" ref="AI50:AI68" si="18">IF(AND($AA50="",AG50=""),"",$AA50-AG50)</f>
        <v>448.09999999999997</v>
      </c>
      <c r="AJ50" s="399">
        <f t="shared" ref="AJ50:AJ68" si="19">IFERROR(AA50/AA$20,0)</f>
        <v>1.4428185969281859E-2</v>
      </c>
      <c r="AK50" s="400">
        <f t="shared" ref="AK50:AK68" si="20">IFERROR(AD50/AD$20,0)</f>
        <v>1.7538397675383975E-2</v>
      </c>
      <c r="AL50" s="401">
        <f t="shared" ref="AL50:AL68" si="21">IFERROR(AG50/AG$20,0)</f>
        <v>5.1276463262764638E-3</v>
      </c>
      <c r="AM50" s="402" t="str">
        <f t="shared" ref="AM50:AM68" si="22">+IFERROR(ROUND(($AB50-AE50)*100,2)&amp;" pts.",0)</f>
        <v>0 pts.</v>
      </c>
      <c r="AN50" s="403" t="str">
        <f t="shared" ref="AN50:AN68" si="23">+IFERROR(ROUND(($AB50-AH50)*100,2)&amp;" pts.",0)</f>
        <v>0 pts.</v>
      </c>
    </row>
    <row r="51" spans="1:40" x14ac:dyDescent="0.25">
      <c r="A51" s="6" t="s">
        <v>5</v>
      </c>
      <c r="B51" s="7"/>
      <c r="G51" s="15" t="s">
        <v>828</v>
      </c>
      <c r="H51" s="15" t="s">
        <v>830</v>
      </c>
      <c r="I51" s="161" t="s">
        <v>1009</v>
      </c>
      <c r="J51" s="161" t="s">
        <v>1009</v>
      </c>
      <c r="K51" s="68" t="str">
        <f t="shared" si="12"/>
        <v/>
      </c>
      <c r="L51" s="162">
        <v>701200</v>
      </c>
      <c r="M51" s="162">
        <v>690010</v>
      </c>
      <c r="N51" s="162" t="s">
        <v>1242</v>
      </c>
      <c r="O51" s="21">
        <v>52.91</v>
      </c>
      <c r="P51" s="21">
        <v>110</v>
      </c>
      <c r="Q51" s="21">
        <v>121.56</v>
      </c>
      <c r="R51" s="21">
        <v>78.7</v>
      </c>
      <c r="S51" s="21">
        <v>216.74</v>
      </c>
      <c r="T51" s="21">
        <v>60.51</v>
      </c>
      <c r="U51" s="21">
        <v>132.85</v>
      </c>
      <c r="V51" s="21">
        <v>80.87</v>
      </c>
      <c r="W51" s="21">
        <v>124.55</v>
      </c>
      <c r="X51" s="21">
        <v>35.590000000000003</v>
      </c>
      <c r="Y51" s="21">
        <v>69.55</v>
      </c>
      <c r="Z51" s="21">
        <v>114.65</v>
      </c>
      <c r="AA51" s="21">
        <f t="shared" si="13"/>
        <v>1198.4800000000002</v>
      </c>
      <c r="AB51" s="17">
        <f t="shared" si="14"/>
        <v>9.2616755294665646E-5</v>
      </c>
      <c r="AD51" s="21">
        <v>1331</v>
      </c>
      <c r="AE51" s="17">
        <f t="shared" si="15"/>
        <v>8.0214541273549935E-5</v>
      </c>
      <c r="AF51" s="50">
        <f t="shared" si="16"/>
        <v>-132.51999999999975</v>
      </c>
      <c r="AG51" s="21">
        <v>1082.07</v>
      </c>
      <c r="AH51" s="17">
        <f t="shared" si="17"/>
        <v>7.3446626901909292E-5</v>
      </c>
      <c r="AI51" s="50">
        <f t="shared" si="18"/>
        <v>116.41000000000031</v>
      </c>
      <c r="AJ51" s="399">
        <f t="shared" si="19"/>
        <v>2.4875051888750523E-2</v>
      </c>
      <c r="AK51" s="400">
        <f t="shared" si="20"/>
        <v>2.7625570776255708E-2</v>
      </c>
      <c r="AL51" s="401">
        <f t="shared" si="21"/>
        <v>2.2458904109589041E-2</v>
      </c>
      <c r="AM51" s="402" t="str">
        <f t="shared" si="22"/>
        <v>0 pts.</v>
      </c>
      <c r="AN51" s="403" t="str">
        <f t="shared" si="23"/>
        <v>0 pts.</v>
      </c>
    </row>
    <row r="52" spans="1:40" x14ac:dyDescent="0.25">
      <c r="A52" s="6" t="s">
        <v>6</v>
      </c>
      <c r="B52" s="7"/>
      <c r="G52" s="15" t="s">
        <v>828</v>
      </c>
      <c r="H52" s="15" t="s">
        <v>831</v>
      </c>
      <c r="I52" s="161" t="s">
        <v>1009</v>
      </c>
      <c r="J52" s="161" t="s">
        <v>1009</v>
      </c>
      <c r="K52" s="68" t="str">
        <f t="shared" si="12"/>
        <v/>
      </c>
      <c r="L52" s="162">
        <v>701400</v>
      </c>
      <c r="M52" s="162">
        <v>590399</v>
      </c>
      <c r="N52" s="162" t="s">
        <v>1715</v>
      </c>
      <c r="O52" s="21">
        <v>1075.1600000000001</v>
      </c>
      <c r="P52" s="21">
        <v>2000</v>
      </c>
      <c r="Q52" s="21"/>
      <c r="R52" s="21"/>
      <c r="S52" s="21">
        <v>300</v>
      </c>
      <c r="T52" s="21">
        <v>138.75</v>
      </c>
      <c r="U52" s="21"/>
      <c r="V52" s="21"/>
      <c r="W52" s="21"/>
      <c r="X52" s="21"/>
      <c r="Y52" s="21">
        <v>27.9</v>
      </c>
      <c r="Z52" s="21">
        <v>70</v>
      </c>
      <c r="AA52" s="21">
        <f t="shared" si="13"/>
        <v>3611.81</v>
      </c>
      <c r="AB52" s="17">
        <f t="shared" si="14"/>
        <v>2.7911531518325398E-4</v>
      </c>
      <c r="AD52" s="21">
        <v>2450</v>
      </c>
      <c r="AE52" s="17">
        <f t="shared" si="15"/>
        <v>1.4765261166055398E-4</v>
      </c>
      <c r="AF52" s="50">
        <f t="shared" si="16"/>
        <v>1161.81</v>
      </c>
      <c r="AG52" s="21">
        <v>2519.69</v>
      </c>
      <c r="AH52" s="17">
        <f t="shared" si="17"/>
        <v>1.7102657992410089E-4</v>
      </c>
      <c r="AI52" s="50">
        <f t="shared" si="18"/>
        <v>1092.1199999999999</v>
      </c>
      <c r="AJ52" s="399">
        <f t="shared" si="19"/>
        <v>7.4964923204649231E-2</v>
      </c>
      <c r="AK52" s="400">
        <f t="shared" si="20"/>
        <v>5.0850975508509755E-2</v>
      </c>
      <c r="AL52" s="401">
        <f t="shared" si="21"/>
        <v>5.2297426317974266E-2</v>
      </c>
      <c r="AM52" s="402" t="str">
        <f t="shared" si="22"/>
        <v>0.01 pts.</v>
      </c>
      <c r="AN52" s="403" t="str">
        <f t="shared" si="23"/>
        <v>0.01 pts.</v>
      </c>
    </row>
    <row r="53" spans="1:40" x14ac:dyDescent="0.25">
      <c r="A53" s="6" t="s">
        <v>7</v>
      </c>
      <c r="B53" s="7"/>
      <c r="G53" s="15" t="s">
        <v>828</v>
      </c>
      <c r="H53" s="15" t="s">
        <v>832</v>
      </c>
      <c r="I53" s="161" t="s">
        <v>1064</v>
      </c>
      <c r="J53" s="161" t="s">
        <v>78</v>
      </c>
      <c r="K53" s="68" t="str">
        <f t="shared" si="12"/>
        <v>&gt;</v>
      </c>
      <c r="L53" s="162">
        <v>701500</v>
      </c>
      <c r="M53" s="162"/>
      <c r="N53" s="162" t="s">
        <v>1094</v>
      </c>
      <c r="O53" s="21">
        <v>51.33</v>
      </c>
      <c r="P53" s="21">
        <v>257.74</v>
      </c>
      <c r="Q53" s="21">
        <v>183.41</v>
      </c>
      <c r="R53" s="21">
        <v>66.33</v>
      </c>
      <c r="S53" s="21">
        <v>175.86</v>
      </c>
      <c r="T53" s="21">
        <v>181.57</v>
      </c>
      <c r="U53" s="21">
        <v>294.20999999999998</v>
      </c>
      <c r="V53" s="21">
        <v>3.35</v>
      </c>
      <c r="W53" s="21">
        <v>196.41</v>
      </c>
      <c r="X53" s="21">
        <v>40.96</v>
      </c>
      <c r="Y53" s="21">
        <v>323.37</v>
      </c>
      <c r="Z53" s="21">
        <v>300</v>
      </c>
      <c r="AA53" s="21">
        <f t="shared" si="13"/>
        <v>2074.54</v>
      </c>
      <c r="AB53" s="17">
        <f t="shared" si="14"/>
        <v>1.6031737161153762E-4</v>
      </c>
      <c r="AD53" s="21">
        <v>2505</v>
      </c>
      <c r="AE53" s="17">
        <f t="shared" si="15"/>
        <v>1.5096726212640316E-4</v>
      </c>
      <c r="AF53" s="50">
        <f t="shared" si="16"/>
        <v>-430.46000000000004</v>
      </c>
      <c r="AG53" s="21">
        <v>3395.07</v>
      </c>
      <c r="AH53" s="17">
        <f t="shared" si="17"/>
        <v>2.3044390806127628E-4</v>
      </c>
      <c r="AI53" s="50">
        <f t="shared" si="18"/>
        <v>-1320.5300000000002</v>
      </c>
      <c r="AJ53" s="399">
        <f t="shared" si="19"/>
        <v>4.3058115400581153E-2</v>
      </c>
      <c r="AK53" s="400">
        <f t="shared" si="20"/>
        <v>5.199252801992528E-2</v>
      </c>
      <c r="AL53" s="401">
        <f t="shared" si="21"/>
        <v>7.046637608966376E-2</v>
      </c>
      <c r="AM53" s="402" t="str">
        <f t="shared" si="22"/>
        <v>0 pts.</v>
      </c>
      <c r="AN53" s="403" t="str">
        <f t="shared" si="23"/>
        <v>-0.01 pts.</v>
      </c>
    </row>
    <row r="54" spans="1:40" x14ac:dyDescent="0.25">
      <c r="A54" s="6" t="s">
        <v>47</v>
      </c>
      <c r="B54" s="16" t="s">
        <v>1710</v>
      </c>
      <c r="G54" s="15" t="s">
        <v>828</v>
      </c>
      <c r="H54" s="15" t="s">
        <v>833</v>
      </c>
      <c r="I54" s="161" t="s">
        <v>1064</v>
      </c>
      <c r="J54" s="161" t="s">
        <v>78</v>
      </c>
      <c r="K54" s="68" t="str">
        <f t="shared" si="12"/>
        <v>&gt;</v>
      </c>
      <c r="L54" s="162"/>
      <c r="M54" s="162"/>
      <c r="N54" s="162" t="s">
        <v>1099</v>
      </c>
      <c r="O54" s="21">
        <v>93.75</v>
      </c>
      <c r="P54" s="21">
        <v>93.75</v>
      </c>
      <c r="Q54" s="21">
        <v>93.75</v>
      </c>
      <c r="R54" s="21">
        <v>93.75</v>
      </c>
      <c r="S54" s="21">
        <v>93.75</v>
      </c>
      <c r="T54" s="21">
        <v>93.75</v>
      </c>
      <c r="U54" s="21">
        <v>96.59</v>
      </c>
      <c r="V54" s="21">
        <v>96.56</v>
      </c>
      <c r="W54" s="21">
        <v>1917.56</v>
      </c>
      <c r="X54" s="21">
        <v>426.56</v>
      </c>
      <c r="Y54" s="21">
        <v>426.56</v>
      </c>
      <c r="Z54" s="21">
        <v>426.56</v>
      </c>
      <c r="AA54" s="21">
        <f t="shared" si="13"/>
        <v>3952.89</v>
      </c>
      <c r="AB54" s="17">
        <f t="shared" si="14"/>
        <v>3.0547347126087273E-4</v>
      </c>
      <c r="AD54" s="21">
        <v>4536</v>
      </c>
      <c r="AE54" s="17">
        <f t="shared" si="15"/>
        <v>2.7336826387439707E-4</v>
      </c>
      <c r="AF54" s="50">
        <f t="shared" si="16"/>
        <v>-583.11000000000013</v>
      </c>
      <c r="AG54" s="21">
        <v>1125</v>
      </c>
      <c r="AH54" s="17">
        <f t="shared" si="17"/>
        <v>7.6360545310976151E-5</v>
      </c>
      <c r="AI54" s="50">
        <f t="shared" si="18"/>
        <v>2827.89</v>
      </c>
      <c r="AJ54" s="399">
        <f t="shared" si="19"/>
        <v>8.2044209215442088E-2</v>
      </c>
      <c r="AK54" s="400">
        <f t="shared" si="20"/>
        <v>9.4146948941469494E-2</v>
      </c>
      <c r="AL54" s="401">
        <f t="shared" si="21"/>
        <v>2.3349937733499377E-2</v>
      </c>
      <c r="AM54" s="402" t="str">
        <f t="shared" si="22"/>
        <v>0 pts.</v>
      </c>
      <c r="AN54" s="403" t="str">
        <f t="shared" si="23"/>
        <v>0.02 pts.</v>
      </c>
    </row>
    <row r="55" spans="1:40" x14ac:dyDescent="0.25">
      <c r="A55" s="6" t="s">
        <v>8</v>
      </c>
      <c r="B55" s="7"/>
      <c r="G55" s="15" t="s">
        <v>828</v>
      </c>
      <c r="H55" s="15" t="s">
        <v>834</v>
      </c>
      <c r="I55" s="161" t="s">
        <v>1064</v>
      </c>
      <c r="J55" s="161" t="s">
        <v>78</v>
      </c>
      <c r="K55" s="68" t="str">
        <f t="shared" si="12"/>
        <v>&gt;</v>
      </c>
      <c r="L55" s="162"/>
      <c r="M55" s="162"/>
      <c r="N55" s="162" t="s">
        <v>1100</v>
      </c>
      <c r="O55" s="21"/>
      <c r="P55" s="21"/>
      <c r="Q55" s="21"/>
      <c r="R55" s="21">
        <v>1784.77</v>
      </c>
      <c r="S55" s="21">
        <v>275.89999999999998</v>
      </c>
      <c r="T55" s="21"/>
      <c r="U55" s="21"/>
      <c r="V55" s="21">
        <v>149.56</v>
      </c>
      <c r="W55" s="21"/>
      <c r="X55" s="21">
        <v>42.82</v>
      </c>
      <c r="Y55" s="21">
        <v>35.64</v>
      </c>
      <c r="Z55" s="21">
        <v>77.510000000000005</v>
      </c>
      <c r="AA55" s="21">
        <f t="shared" si="13"/>
        <v>2366.2000000000003</v>
      </c>
      <c r="AB55" s="17">
        <f t="shared" si="14"/>
        <v>1.8285642345157018E-4</v>
      </c>
      <c r="AD55" s="21">
        <v>1581</v>
      </c>
      <c r="AE55" s="17">
        <f t="shared" si="15"/>
        <v>9.5281134300137076E-5</v>
      </c>
      <c r="AF55" s="50">
        <f t="shared" si="16"/>
        <v>785.20000000000027</v>
      </c>
      <c r="AG55" s="21">
        <v>1664.45</v>
      </c>
      <c r="AH55" s="17">
        <f t="shared" si="17"/>
        <v>1.1297627523809266E-4</v>
      </c>
      <c r="AI55" s="50">
        <f t="shared" si="18"/>
        <v>701.75000000000023</v>
      </c>
      <c r="AJ55" s="399">
        <f t="shared" si="19"/>
        <v>4.9111664591116655E-2</v>
      </c>
      <c r="AK55" s="400">
        <f t="shared" si="20"/>
        <v>3.281444582814446E-2</v>
      </c>
      <c r="AL55" s="401">
        <f t="shared" si="21"/>
        <v>3.4546492320464924E-2</v>
      </c>
      <c r="AM55" s="402" t="str">
        <f t="shared" si="22"/>
        <v>0.01 pts.</v>
      </c>
      <c r="AN55" s="403" t="str">
        <f t="shared" si="23"/>
        <v>0.01 pts.</v>
      </c>
    </row>
    <row r="56" spans="1:40" x14ac:dyDescent="0.25">
      <c r="G56" s="15" t="s">
        <v>828</v>
      </c>
      <c r="H56" s="15" t="s">
        <v>835</v>
      </c>
      <c r="I56" s="161" t="s">
        <v>1064</v>
      </c>
      <c r="J56" s="161" t="s">
        <v>78</v>
      </c>
      <c r="K56" s="68" t="str">
        <f t="shared" si="12"/>
        <v>&gt;</v>
      </c>
      <c r="L56" s="162">
        <v>702900</v>
      </c>
      <c r="M56" s="162"/>
      <c r="N56" s="162" t="s">
        <v>1101</v>
      </c>
      <c r="O56" s="21"/>
      <c r="P56" s="21"/>
      <c r="Q56" s="21"/>
      <c r="R56" s="21">
        <v>173.99</v>
      </c>
      <c r="S56" s="21">
        <v>379.79</v>
      </c>
      <c r="T56" s="21"/>
      <c r="U56" s="21">
        <v>12.94</v>
      </c>
      <c r="V56" s="21">
        <v>-80.040000000000006</v>
      </c>
      <c r="W56" s="21">
        <v>60.9</v>
      </c>
      <c r="X56" s="21">
        <v>19.97</v>
      </c>
      <c r="Y56" s="21">
        <v>10.9</v>
      </c>
      <c r="Z56" s="21"/>
      <c r="AA56" s="21">
        <f t="shared" si="13"/>
        <v>578.45000000000005</v>
      </c>
      <c r="AB56" s="17">
        <f t="shared" si="14"/>
        <v>4.4701757309424715E-5</v>
      </c>
      <c r="AD56" s="21">
        <v>1129</v>
      </c>
      <c r="AE56" s="17">
        <f t="shared" si="15"/>
        <v>6.8040734108067527E-5</v>
      </c>
      <c r="AF56" s="50">
        <f t="shared" si="16"/>
        <v>-550.54999999999995</v>
      </c>
      <c r="AG56" s="21">
        <v>1255.3900000000001</v>
      </c>
      <c r="AH56" s="17">
        <f t="shared" si="17"/>
        <v>8.5210902202618975E-5</v>
      </c>
      <c r="AI56" s="50">
        <f t="shared" si="18"/>
        <v>-676.94</v>
      </c>
      <c r="AJ56" s="399">
        <f t="shared" si="19"/>
        <v>1.2006019095060192E-2</v>
      </c>
      <c r="AK56" s="400">
        <f t="shared" si="20"/>
        <v>2.3432959734329597E-2</v>
      </c>
      <c r="AL56" s="401">
        <f t="shared" si="21"/>
        <v>2.6056247405562477E-2</v>
      </c>
      <c r="AM56" s="402" t="str">
        <f t="shared" si="22"/>
        <v>0 pts.</v>
      </c>
      <c r="AN56" s="403" t="str">
        <f t="shared" si="23"/>
        <v>0 pts.</v>
      </c>
    </row>
    <row r="57" spans="1:40" x14ac:dyDescent="0.25">
      <c r="G57" s="15" t="s">
        <v>828</v>
      </c>
      <c r="H57" s="15" t="s">
        <v>836</v>
      </c>
      <c r="I57" s="161" t="s">
        <v>1009</v>
      </c>
      <c r="J57" s="161" t="s">
        <v>1009</v>
      </c>
      <c r="K57" s="68" t="str">
        <f t="shared" si="12"/>
        <v/>
      </c>
      <c r="L57" s="162">
        <v>704600</v>
      </c>
      <c r="M57" s="162">
        <v>590130</v>
      </c>
      <c r="N57" s="162" t="s">
        <v>1716</v>
      </c>
      <c r="O57" s="21">
        <v>41202.79</v>
      </c>
      <c r="P57" s="21">
        <v>45670.47</v>
      </c>
      <c r="Q57" s="21">
        <v>39321.53</v>
      </c>
      <c r="R57" s="21">
        <v>32802.67</v>
      </c>
      <c r="S57" s="21">
        <v>28802.11</v>
      </c>
      <c r="T57" s="21">
        <v>25471.72</v>
      </c>
      <c r="U57" s="21">
        <v>20815.28</v>
      </c>
      <c r="V57" s="21">
        <v>20123.34</v>
      </c>
      <c r="W57" s="21">
        <v>19398.900000000001</v>
      </c>
      <c r="X57" s="21">
        <v>22155.83</v>
      </c>
      <c r="Y57" s="21">
        <v>28107.95</v>
      </c>
      <c r="Z57" s="21">
        <v>35353.769999999997</v>
      </c>
      <c r="AA57" s="21">
        <f t="shared" si="13"/>
        <v>359226.36000000004</v>
      </c>
      <c r="AB57" s="17">
        <f t="shared" si="14"/>
        <v>2.7760479840726139E-2</v>
      </c>
      <c r="AD57" s="21">
        <v>460732.36072661902</v>
      </c>
      <c r="AE57" s="17">
        <f t="shared" si="15"/>
        <v>2.7766667892986836E-2</v>
      </c>
      <c r="AF57" s="50">
        <f t="shared" si="16"/>
        <v>-101506.00072661898</v>
      </c>
      <c r="AG57" s="21">
        <v>407223.67</v>
      </c>
      <c r="AH57" s="17">
        <f t="shared" si="17"/>
        <v>2.7640730226432885E-2</v>
      </c>
      <c r="AI57" s="50">
        <f t="shared" si="18"/>
        <v>-47997.309999999939</v>
      </c>
      <c r="AJ57" s="399">
        <f t="shared" si="19"/>
        <v>7.4559227895392288</v>
      </c>
      <c r="AK57" s="400">
        <f t="shared" si="20"/>
        <v>9.5627306086886481</v>
      </c>
      <c r="AL57" s="401">
        <f t="shared" si="21"/>
        <v>8.4521309672063101</v>
      </c>
      <c r="AM57" s="402" t="str">
        <f t="shared" si="22"/>
        <v>0 pts.</v>
      </c>
      <c r="AN57" s="403" t="str">
        <f t="shared" si="23"/>
        <v>0.01 pts.</v>
      </c>
    </row>
    <row r="58" spans="1:40" x14ac:dyDescent="0.25">
      <c r="A58" s="3" t="s">
        <v>23</v>
      </c>
      <c r="B58" s="5" t="s">
        <v>24</v>
      </c>
      <c r="G58" s="15" t="s">
        <v>828</v>
      </c>
      <c r="H58" s="15" t="s">
        <v>837</v>
      </c>
      <c r="I58" s="161" t="s">
        <v>1009</v>
      </c>
      <c r="J58" s="161" t="s">
        <v>1009</v>
      </c>
      <c r="K58" s="68" t="str">
        <f t="shared" si="12"/>
        <v/>
      </c>
      <c r="L58" s="162">
        <v>704800</v>
      </c>
      <c r="M58" s="162">
        <v>690052</v>
      </c>
      <c r="N58" s="162" t="s">
        <v>1717</v>
      </c>
      <c r="O58" s="21">
        <v>1497.65</v>
      </c>
      <c r="P58" s="21">
        <v>1115.29</v>
      </c>
      <c r="Q58" s="21">
        <v>1004.87</v>
      </c>
      <c r="R58" s="21">
        <v>1145.92</v>
      </c>
      <c r="S58" s="21">
        <v>1884.04</v>
      </c>
      <c r="T58" s="21">
        <v>1949.79</v>
      </c>
      <c r="U58" s="21">
        <v>1419.94</v>
      </c>
      <c r="V58" s="21">
        <v>1727.71</v>
      </c>
      <c r="W58" s="21">
        <v>2535.8000000000002</v>
      </c>
      <c r="X58" s="21">
        <v>1869.47</v>
      </c>
      <c r="Y58" s="21">
        <v>1465.92</v>
      </c>
      <c r="Z58" s="21">
        <v>862.77</v>
      </c>
      <c r="AA58" s="21">
        <f t="shared" si="13"/>
        <v>18479.169999999998</v>
      </c>
      <c r="AB58" s="17">
        <f t="shared" si="14"/>
        <v>1.4280428258615296E-3</v>
      </c>
      <c r="AD58" s="21">
        <v>19948</v>
      </c>
      <c r="AE58" s="17">
        <f t="shared" si="15"/>
        <v>1.2021935907774411E-3</v>
      </c>
      <c r="AF58" s="50">
        <f t="shared" si="16"/>
        <v>-1468.8300000000017</v>
      </c>
      <c r="AG58" s="21">
        <v>20779.12</v>
      </c>
      <c r="AH58" s="17">
        <f t="shared" si="17"/>
        <v>1.4104043860286317E-3</v>
      </c>
      <c r="AI58" s="50">
        <f t="shared" si="18"/>
        <v>-2299.9500000000007</v>
      </c>
      <c r="AJ58" s="399">
        <f t="shared" si="19"/>
        <v>0.38354441677044415</v>
      </c>
      <c r="AK58" s="400">
        <f t="shared" si="20"/>
        <v>0.41403071814030717</v>
      </c>
      <c r="AL58" s="401">
        <f t="shared" si="21"/>
        <v>0.43128102947281027</v>
      </c>
      <c r="AM58" s="402" t="str">
        <f t="shared" si="22"/>
        <v>0.02 pts.</v>
      </c>
      <c r="AN58" s="403" t="str">
        <f t="shared" si="23"/>
        <v>0 pts.</v>
      </c>
    </row>
    <row r="59" spans="1:40" x14ac:dyDescent="0.25">
      <c r="A59" s="6" t="s">
        <v>25</v>
      </c>
      <c r="B59" s="7"/>
      <c r="G59" s="15" t="s">
        <v>828</v>
      </c>
      <c r="H59" s="15" t="s">
        <v>838</v>
      </c>
      <c r="I59" s="161" t="s">
        <v>1009</v>
      </c>
      <c r="J59" s="161" t="s">
        <v>1009</v>
      </c>
      <c r="K59" s="68" t="str">
        <f t="shared" si="12"/>
        <v/>
      </c>
      <c r="L59" s="162">
        <v>705000</v>
      </c>
      <c r="M59" s="162">
        <v>690200</v>
      </c>
      <c r="N59" s="162" t="s">
        <v>1718</v>
      </c>
      <c r="O59" s="21">
        <v>1832.01</v>
      </c>
      <c r="P59" s="21">
        <v>1677.62</v>
      </c>
      <c r="Q59" s="21">
        <v>1177.93</v>
      </c>
      <c r="R59" s="21">
        <v>2082.21</v>
      </c>
      <c r="S59" s="21">
        <v>1190.3</v>
      </c>
      <c r="T59" s="21">
        <v>1129.99</v>
      </c>
      <c r="U59" s="21">
        <v>1144.82</v>
      </c>
      <c r="V59" s="21">
        <v>1200.3699999999999</v>
      </c>
      <c r="W59" s="21">
        <v>2092.61</v>
      </c>
      <c r="X59" s="21">
        <v>2206.16</v>
      </c>
      <c r="Y59" s="21">
        <v>2159.87</v>
      </c>
      <c r="Z59" s="21">
        <v>1696.55</v>
      </c>
      <c r="AA59" s="21">
        <f t="shared" si="13"/>
        <v>19590.439999999999</v>
      </c>
      <c r="AB59" s="17">
        <f t="shared" si="14"/>
        <v>1.5139201218166587E-3</v>
      </c>
      <c r="AD59" s="21">
        <v>24215</v>
      </c>
      <c r="AE59" s="17">
        <f t="shared" si="15"/>
        <v>1.4593502005552305E-3</v>
      </c>
      <c r="AF59" s="50">
        <f t="shared" si="16"/>
        <v>-4624.5600000000013</v>
      </c>
      <c r="AG59" s="21">
        <v>22652.98</v>
      </c>
      <c r="AH59" s="17">
        <f t="shared" si="17"/>
        <v>1.5375945828610101E-3</v>
      </c>
      <c r="AI59" s="50">
        <f t="shared" si="18"/>
        <v>-3062.5400000000009</v>
      </c>
      <c r="AJ59" s="399">
        <f t="shared" si="19"/>
        <v>0.40660938148609377</v>
      </c>
      <c r="AK59" s="400">
        <f t="shared" si="20"/>
        <v>0.50259443752594435</v>
      </c>
      <c r="AL59" s="401">
        <f t="shared" si="21"/>
        <v>0.47017393109173933</v>
      </c>
      <c r="AM59" s="402" t="str">
        <f t="shared" si="22"/>
        <v>0.01 pts.</v>
      </c>
      <c r="AN59" s="403" t="str">
        <f t="shared" si="23"/>
        <v>0 pts.</v>
      </c>
    </row>
    <row r="60" spans="1:40" x14ac:dyDescent="0.25">
      <c r="A60" s="6" t="s">
        <v>26</v>
      </c>
      <c r="B60" s="7"/>
      <c r="G60" s="15" t="s">
        <v>828</v>
      </c>
      <c r="H60" s="15" t="s">
        <v>839</v>
      </c>
      <c r="I60" s="161" t="s">
        <v>1009</v>
      </c>
      <c r="J60" s="161" t="s">
        <v>1009</v>
      </c>
      <c r="K60" s="68" t="str">
        <f t="shared" si="12"/>
        <v/>
      </c>
      <c r="L60" s="162">
        <v>705100</v>
      </c>
      <c r="M60" s="162">
        <v>590055</v>
      </c>
      <c r="N60" s="162" t="s">
        <v>1719</v>
      </c>
      <c r="O60" s="21">
        <v>552.46</v>
      </c>
      <c r="P60" s="21">
        <v>261.8</v>
      </c>
      <c r="Q60" s="21">
        <v>254.56</v>
      </c>
      <c r="R60" s="21">
        <v>201.92</v>
      </c>
      <c r="S60" s="21">
        <v>655.42</v>
      </c>
      <c r="T60" s="21">
        <v>201.92</v>
      </c>
      <c r="U60" s="21">
        <v>201.92</v>
      </c>
      <c r="V60" s="21">
        <v>201.92</v>
      </c>
      <c r="W60" s="21">
        <v>510.78</v>
      </c>
      <c r="X60" s="21">
        <v>864.36</v>
      </c>
      <c r="Y60" s="21">
        <v>210.86</v>
      </c>
      <c r="Z60" s="21">
        <v>205.54</v>
      </c>
      <c r="AA60" s="21">
        <f t="shared" si="13"/>
        <v>4323.46</v>
      </c>
      <c r="AB60" s="17">
        <f t="shared" si="14"/>
        <v>3.3411057076152711E-4</v>
      </c>
      <c r="AD60" s="21">
        <v>2979.9999999995998</v>
      </c>
      <c r="AE60" s="17">
        <f t="shared" si="15"/>
        <v>1.7959378887689461E-4</v>
      </c>
      <c r="AF60" s="50">
        <f t="shared" si="16"/>
        <v>1343.4600000004002</v>
      </c>
      <c r="AG60" s="21">
        <v>2424.0700000000002</v>
      </c>
      <c r="AH60" s="17">
        <f t="shared" si="17"/>
        <v>1.645362729528693E-4</v>
      </c>
      <c r="AI60" s="50">
        <f t="shared" si="18"/>
        <v>1899.3899999999999</v>
      </c>
      <c r="AJ60" s="399">
        <f t="shared" si="19"/>
        <v>8.9735574927355746E-2</v>
      </c>
      <c r="AK60" s="400">
        <f t="shared" si="20"/>
        <v>6.18513906185056E-2</v>
      </c>
      <c r="AL60" s="401">
        <f t="shared" si="21"/>
        <v>5.0312785388127855E-2</v>
      </c>
      <c r="AM60" s="402" t="str">
        <f t="shared" si="22"/>
        <v>0.02 pts.</v>
      </c>
      <c r="AN60" s="403" t="str">
        <f t="shared" si="23"/>
        <v>0.02 pts.</v>
      </c>
    </row>
    <row r="61" spans="1:40" x14ac:dyDescent="0.25">
      <c r="A61" s="6" t="s">
        <v>27</v>
      </c>
      <c r="B61" s="7"/>
      <c r="G61" s="15" t="s">
        <v>828</v>
      </c>
      <c r="H61" s="15" t="s">
        <v>840</v>
      </c>
      <c r="I61" s="161" t="s">
        <v>1009</v>
      </c>
      <c r="J61" s="161" t="s">
        <v>1009</v>
      </c>
      <c r="K61" s="68" t="str">
        <f t="shared" si="12"/>
        <v/>
      </c>
      <c r="L61" s="162">
        <v>705200</v>
      </c>
      <c r="M61" s="162">
        <v>590305</v>
      </c>
      <c r="N61" s="162" t="s">
        <v>1720</v>
      </c>
      <c r="O61" s="21"/>
      <c r="P61" s="21"/>
      <c r="Q61" s="21"/>
      <c r="R61" s="21"/>
      <c r="S61" s="21"/>
      <c r="T61" s="21"/>
      <c r="U61" s="21"/>
      <c r="V61" s="21"/>
      <c r="W61" s="21"/>
      <c r="X61" s="21"/>
      <c r="Y61" s="21"/>
      <c r="Z61" s="21"/>
      <c r="AA61" s="21">
        <f t="shared" si="13"/>
        <v>0</v>
      </c>
      <c r="AB61" s="17" t="str">
        <f t="shared" si="14"/>
        <v/>
      </c>
      <c r="AD61" s="21">
        <v>975</v>
      </c>
      <c r="AE61" s="17">
        <f t="shared" si="15"/>
        <v>5.875971280368985E-5</v>
      </c>
      <c r="AF61" s="50">
        <f t="shared" si="16"/>
        <v>-975</v>
      </c>
      <c r="AG61" s="21"/>
      <c r="AH61" s="17" t="str">
        <f t="shared" si="17"/>
        <v/>
      </c>
      <c r="AI61" s="50">
        <f t="shared" si="18"/>
        <v>0</v>
      </c>
      <c r="AJ61" s="399">
        <f t="shared" si="19"/>
        <v>0</v>
      </c>
      <c r="AK61" s="400">
        <f t="shared" si="20"/>
        <v>2.0236612702366128E-2</v>
      </c>
      <c r="AL61" s="401">
        <f t="shared" si="21"/>
        <v>0</v>
      </c>
      <c r="AM61" s="402">
        <f t="shared" si="22"/>
        <v>0</v>
      </c>
      <c r="AN61" s="403">
        <f t="shared" si="23"/>
        <v>0</v>
      </c>
    </row>
    <row r="62" spans="1:40" x14ac:dyDescent="0.25">
      <c r="A62" s="6" t="s">
        <v>28</v>
      </c>
      <c r="B62" s="7"/>
      <c r="G62" s="15" t="s">
        <v>828</v>
      </c>
      <c r="H62" s="15" t="s">
        <v>841</v>
      </c>
      <c r="I62" s="161" t="s">
        <v>1009</v>
      </c>
      <c r="J62" s="161" t="s">
        <v>1009</v>
      </c>
      <c r="K62" s="68" t="str">
        <f t="shared" si="12"/>
        <v/>
      </c>
      <c r="L62" s="162">
        <v>705500</v>
      </c>
      <c r="M62" s="162">
        <v>690105</v>
      </c>
      <c r="N62" s="162" t="s">
        <v>1113</v>
      </c>
      <c r="O62" s="21"/>
      <c r="P62" s="21"/>
      <c r="Q62" s="21">
        <v>781.85</v>
      </c>
      <c r="R62" s="21">
        <v>563</v>
      </c>
      <c r="S62" s="21">
        <v>2095.5</v>
      </c>
      <c r="T62" s="21">
        <v>830.94</v>
      </c>
      <c r="U62" s="21">
        <v>3739.85</v>
      </c>
      <c r="V62" s="21">
        <v>2475.81</v>
      </c>
      <c r="W62" s="21">
        <v>8105.29</v>
      </c>
      <c r="X62" s="21">
        <v>4279.57</v>
      </c>
      <c r="Y62" s="21">
        <v>1121.6600000000001</v>
      </c>
      <c r="Z62" s="21"/>
      <c r="AA62" s="21">
        <f t="shared" si="13"/>
        <v>23993.469999999998</v>
      </c>
      <c r="AB62" s="17">
        <f t="shared" si="14"/>
        <v>1.8541797440590586E-3</v>
      </c>
      <c r="AD62" s="21">
        <v>10916</v>
      </c>
      <c r="AE62" s="17">
        <f t="shared" si="15"/>
        <v>6.5786771791290092E-4</v>
      </c>
      <c r="AF62" s="50">
        <f t="shared" si="16"/>
        <v>13077.469999999998</v>
      </c>
      <c r="AG62" s="21">
        <v>20359.310000000001</v>
      </c>
      <c r="AH62" s="17">
        <f t="shared" si="17"/>
        <v>1.3819093455601865E-3</v>
      </c>
      <c r="AI62" s="50">
        <f t="shared" si="18"/>
        <v>3634.1599999999962</v>
      </c>
      <c r="AJ62" s="399">
        <f t="shared" si="19"/>
        <v>0.49799647156496468</v>
      </c>
      <c r="AK62" s="400">
        <f t="shared" si="20"/>
        <v>0.2265670402656704</v>
      </c>
      <c r="AL62" s="401">
        <f t="shared" si="21"/>
        <v>0.42256766293067666</v>
      </c>
      <c r="AM62" s="402" t="str">
        <f t="shared" si="22"/>
        <v>0.12 pts.</v>
      </c>
      <c r="AN62" s="403" t="str">
        <f t="shared" si="23"/>
        <v>0.05 pts.</v>
      </c>
    </row>
    <row r="63" spans="1:40" x14ac:dyDescent="0.25">
      <c r="A63" s="6" t="s">
        <v>29</v>
      </c>
      <c r="B63" s="7"/>
      <c r="G63" s="15" t="s">
        <v>828</v>
      </c>
      <c r="H63" s="15" t="s">
        <v>842</v>
      </c>
      <c r="I63" s="161" t="s">
        <v>1009</v>
      </c>
      <c r="J63" s="161" t="s">
        <v>1009</v>
      </c>
      <c r="K63" s="68" t="str">
        <f t="shared" si="12"/>
        <v/>
      </c>
      <c r="L63" s="162">
        <v>705800</v>
      </c>
      <c r="M63" s="162">
        <v>690025</v>
      </c>
      <c r="N63" s="162" t="s">
        <v>1721</v>
      </c>
      <c r="O63" s="21"/>
      <c r="P63" s="21"/>
      <c r="Q63" s="21"/>
      <c r="R63" s="21"/>
      <c r="S63" s="21"/>
      <c r="T63" s="21">
        <v>63.85</v>
      </c>
      <c r="U63" s="21">
        <v>1600</v>
      </c>
      <c r="V63" s="21"/>
      <c r="W63" s="21"/>
      <c r="X63" s="21"/>
      <c r="Y63" s="21"/>
      <c r="Z63" s="21"/>
      <c r="AA63" s="21">
        <f t="shared" si="13"/>
        <v>1663.85</v>
      </c>
      <c r="AB63" s="17">
        <f t="shared" si="14"/>
        <v>1.2857985806774363E-4</v>
      </c>
      <c r="AD63" s="21">
        <v>1733.04</v>
      </c>
      <c r="AE63" s="17">
        <f t="shared" si="15"/>
        <v>1.0444403351518632E-4</v>
      </c>
      <c r="AF63" s="50">
        <f t="shared" si="16"/>
        <v>-69.190000000000055</v>
      </c>
      <c r="AG63" s="21">
        <v>1870</v>
      </c>
      <c r="AH63" s="17">
        <f t="shared" si="17"/>
        <v>1.2692819531691146E-4</v>
      </c>
      <c r="AI63" s="50">
        <f t="shared" si="18"/>
        <v>-206.15000000000009</v>
      </c>
      <c r="AJ63" s="399">
        <f t="shared" si="19"/>
        <v>3.4534039020340392E-2</v>
      </c>
      <c r="AK63" s="400">
        <f t="shared" si="20"/>
        <v>3.5970112079701119E-2</v>
      </c>
      <c r="AL63" s="401">
        <f t="shared" si="21"/>
        <v>3.8812785388127852E-2</v>
      </c>
      <c r="AM63" s="402" t="str">
        <f t="shared" si="22"/>
        <v>0 pts.</v>
      </c>
      <c r="AN63" s="403" t="str">
        <f t="shared" si="23"/>
        <v>0 pts.</v>
      </c>
    </row>
    <row r="64" spans="1:40" x14ac:dyDescent="0.25">
      <c r="A64" s="6" t="s">
        <v>30</v>
      </c>
      <c r="B64" s="7" t="s">
        <v>78</v>
      </c>
      <c r="G64" s="15" t="s">
        <v>828</v>
      </c>
      <c r="H64" s="15" t="s">
        <v>843</v>
      </c>
      <c r="I64" s="161" t="s">
        <v>1009</v>
      </c>
      <c r="J64" s="161" t="s">
        <v>1009</v>
      </c>
      <c r="K64" s="68" t="str">
        <f t="shared" si="12"/>
        <v/>
      </c>
      <c r="L64" s="162">
        <v>706000</v>
      </c>
      <c r="M64" s="162">
        <v>590320</v>
      </c>
      <c r="N64" s="162" t="s">
        <v>1722</v>
      </c>
      <c r="O64" s="21">
        <v>366.7</v>
      </c>
      <c r="P64" s="21">
        <v>365.92</v>
      </c>
      <c r="Q64" s="21">
        <v>364.36</v>
      </c>
      <c r="R64" s="21"/>
      <c r="S64" s="21">
        <v>355.78</v>
      </c>
      <c r="T64" s="21">
        <v>370.26</v>
      </c>
      <c r="U64" s="21">
        <v>778.32</v>
      </c>
      <c r="V64" s="21">
        <v>371.64</v>
      </c>
      <c r="W64" s="21">
        <v>380.98</v>
      </c>
      <c r="X64" s="21">
        <v>377.63</v>
      </c>
      <c r="Y64" s="21">
        <v>375.98</v>
      </c>
      <c r="Z64" s="21">
        <v>406.93</v>
      </c>
      <c r="AA64" s="21">
        <f t="shared" si="13"/>
        <v>4514.5</v>
      </c>
      <c r="AB64" s="17">
        <f t="shared" si="14"/>
        <v>3.4887385836874038E-4</v>
      </c>
      <c r="AD64" s="21">
        <v>6764</v>
      </c>
      <c r="AE64" s="17">
        <f t="shared" si="15"/>
        <v>4.0764174092734171E-4</v>
      </c>
      <c r="AF64" s="50">
        <f t="shared" si="16"/>
        <v>-2249.5</v>
      </c>
      <c r="AG64" s="21">
        <v>5009.16</v>
      </c>
      <c r="AH64" s="17">
        <f t="shared" si="17"/>
        <v>3.4000194591104826E-4</v>
      </c>
      <c r="AI64" s="50">
        <f t="shared" si="18"/>
        <v>-494.65999999999985</v>
      </c>
      <c r="AJ64" s="399">
        <f t="shared" si="19"/>
        <v>9.3700705687007058E-2</v>
      </c>
      <c r="AK64" s="400">
        <f t="shared" si="20"/>
        <v>0.14039020340390204</v>
      </c>
      <c r="AL64" s="401">
        <f t="shared" si="21"/>
        <v>0.10396762141967621</v>
      </c>
      <c r="AM64" s="402" t="str">
        <f t="shared" si="22"/>
        <v>-0.01 pts.</v>
      </c>
      <c r="AN64" s="403" t="str">
        <f t="shared" si="23"/>
        <v>0 pts.</v>
      </c>
    </row>
    <row r="65" spans="1:40" x14ac:dyDescent="0.25">
      <c r="A65" s="6" t="s">
        <v>31</v>
      </c>
      <c r="B65" s="7" t="s">
        <v>78</v>
      </c>
      <c r="G65" s="15" t="s">
        <v>828</v>
      </c>
      <c r="H65" s="15" t="s">
        <v>844</v>
      </c>
      <c r="I65" s="161" t="s">
        <v>1064</v>
      </c>
      <c r="J65" s="161" t="s">
        <v>78</v>
      </c>
      <c r="K65" s="68" t="str">
        <f t="shared" si="12"/>
        <v>&gt;</v>
      </c>
      <c r="L65" s="162">
        <v>706100</v>
      </c>
      <c r="M65" s="162"/>
      <c r="N65" s="162" t="s">
        <v>1253</v>
      </c>
      <c r="O65" s="21"/>
      <c r="P65" s="21"/>
      <c r="Q65" s="21"/>
      <c r="R65" s="21"/>
      <c r="S65" s="21"/>
      <c r="T65" s="21"/>
      <c r="U65" s="21"/>
      <c r="V65" s="21"/>
      <c r="W65" s="21"/>
      <c r="X65" s="21"/>
      <c r="Y65" s="21"/>
      <c r="Z65" s="21"/>
      <c r="AA65" s="21">
        <f t="shared" si="13"/>
        <v>0</v>
      </c>
      <c r="AB65" s="17" t="str">
        <f t="shared" si="14"/>
        <v/>
      </c>
      <c r="AD65" s="21"/>
      <c r="AE65" s="17" t="str">
        <f t="shared" si="15"/>
        <v/>
      </c>
      <c r="AF65" s="50">
        <f t="shared" si="16"/>
        <v>0</v>
      </c>
      <c r="AG65" s="21">
        <v>9.9999999999909103E-3</v>
      </c>
      <c r="AH65" s="17">
        <f t="shared" si="17"/>
        <v>6.7876040276361546E-10</v>
      </c>
      <c r="AI65" s="50">
        <f t="shared" si="18"/>
        <v>-9.9999999999909103E-3</v>
      </c>
      <c r="AJ65" s="399">
        <f t="shared" si="19"/>
        <v>0</v>
      </c>
      <c r="AK65" s="400">
        <f t="shared" si="20"/>
        <v>0</v>
      </c>
      <c r="AL65" s="401">
        <f t="shared" si="21"/>
        <v>2.0755500207536136E-7</v>
      </c>
      <c r="AM65" s="402">
        <f t="shared" si="22"/>
        <v>0</v>
      </c>
      <c r="AN65" s="403">
        <f t="shared" si="23"/>
        <v>0</v>
      </c>
    </row>
    <row r="66" spans="1:40" x14ac:dyDescent="0.25">
      <c r="A66" s="6" t="s">
        <v>32</v>
      </c>
      <c r="B66" s="7"/>
      <c r="G66" s="15" t="s">
        <v>828</v>
      </c>
      <c r="H66" s="15" t="s">
        <v>845</v>
      </c>
      <c r="I66" s="161" t="s">
        <v>1064</v>
      </c>
      <c r="J66" s="161" t="s">
        <v>78</v>
      </c>
      <c r="K66" s="68" t="str">
        <f t="shared" si="12"/>
        <v>&gt;</v>
      </c>
      <c r="L66" s="162">
        <v>706500</v>
      </c>
      <c r="M66" s="162"/>
      <c r="N66" s="162" t="s">
        <v>1114</v>
      </c>
      <c r="O66" s="21">
        <v>9669.68</v>
      </c>
      <c r="P66" s="21">
        <v>9767.4599999999991</v>
      </c>
      <c r="Q66" s="21">
        <v>9720.16</v>
      </c>
      <c r="R66" s="21">
        <v>9720.16</v>
      </c>
      <c r="S66" s="21">
        <v>4651.5</v>
      </c>
      <c r="T66" s="21">
        <v>5876.28</v>
      </c>
      <c r="U66" s="21">
        <v>5497.78</v>
      </c>
      <c r="V66" s="21">
        <v>4618.3999999999996</v>
      </c>
      <c r="W66" s="21">
        <v>3887.92</v>
      </c>
      <c r="X66" s="21">
        <v>4946.21</v>
      </c>
      <c r="Y66" s="21">
        <v>5625.21</v>
      </c>
      <c r="Z66" s="21">
        <v>8470.24</v>
      </c>
      <c r="AA66" s="21">
        <f t="shared" si="13"/>
        <v>82451.000000000015</v>
      </c>
      <c r="AB66" s="17">
        <f t="shared" si="14"/>
        <v>6.3716908841202824E-3</v>
      </c>
      <c r="AD66" s="21">
        <v>106348.16344814999</v>
      </c>
      <c r="AE66" s="17">
        <f t="shared" si="15"/>
        <v>6.4092179911929845E-3</v>
      </c>
      <c r="AF66" s="50">
        <f t="shared" si="16"/>
        <v>-23897.163448149979</v>
      </c>
      <c r="AG66" s="21">
        <v>94615.56</v>
      </c>
      <c r="AH66" s="17">
        <f t="shared" si="17"/>
        <v>6.4221295613363398E-3</v>
      </c>
      <c r="AI66" s="50">
        <f t="shared" si="18"/>
        <v>-12164.559999999983</v>
      </c>
      <c r="AJ66" s="399">
        <f t="shared" si="19"/>
        <v>1.7113117476131179</v>
      </c>
      <c r="AK66" s="400">
        <f t="shared" si="20"/>
        <v>2.2073093285211707</v>
      </c>
      <c r="AL66" s="401">
        <f t="shared" si="21"/>
        <v>1.9637932752179328</v>
      </c>
      <c r="AM66" s="402" t="str">
        <f t="shared" si="22"/>
        <v>0 pts.</v>
      </c>
      <c r="AN66" s="403" t="str">
        <f t="shared" si="23"/>
        <v>-0.01 pts.</v>
      </c>
    </row>
    <row r="67" spans="1:40" x14ac:dyDescent="0.25">
      <c r="A67" s="6" t="s">
        <v>33</v>
      </c>
      <c r="B67" s="7"/>
      <c r="G67" s="15" t="s">
        <v>498</v>
      </c>
      <c r="H67" s="15" t="s">
        <v>79</v>
      </c>
      <c r="I67" s="27" t="s">
        <v>1012</v>
      </c>
      <c r="J67" s="27" t="s">
        <v>78</v>
      </c>
      <c r="K67" s="68"/>
      <c r="L67" s="162"/>
      <c r="M67" s="162"/>
      <c r="N67" s="162" t="s">
        <v>1723</v>
      </c>
      <c r="O67" s="21">
        <v>6575.14</v>
      </c>
      <c r="P67" s="21">
        <v>-531.1</v>
      </c>
      <c r="Q67" s="21">
        <v>4685.5600000000004</v>
      </c>
      <c r="R67" s="21">
        <v>7760.73</v>
      </c>
      <c r="S67" s="21">
        <v>4092.09</v>
      </c>
      <c r="T67" s="21">
        <v>3931.5</v>
      </c>
      <c r="U67" s="21">
        <v>1115.73</v>
      </c>
      <c r="V67" s="21">
        <v>2914.92</v>
      </c>
      <c r="W67" s="21">
        <v>6704.35</v>
      </c>
      <c r="X67" s="21">
        <v>4155.53</v>
      </c>
      <c r="Y67" s="21">
        <v>5753.27</v>
      </c>
      <c r="Z67" s="21">
        <v>6962.69</v>
      </c>
      <c r="AA67" s="21">
        <f t="shared" si="13"/>
        <v>54120.41</v>
      </c>
      <c r="AB67" s="17">
        <f t="shared" si="14"/>
        <v>4.1823449447775307E-3</v>
      </c>
      <c r="AD67" s="21">
        <v>62676</v>
      </c>
      <c r="AE67" s="17">
        <f t="shared" si="15"/>
        <v>3.7772551381375025E-3</v>
      </c>
      <c r="AF67" s="50">
        <f t="shared" si="16"/>
        <v>-8555.5899999999965</v>
      </c>
      <c r="AG67" s="21">
        <v>93003.55</v>
      </c>
      <c r="AH67" s="17">
        <f t="shared" si="17"/>
        <v>6.3127127056503427E-3</v>
      </c>
      <c r="AI67" s="50">
        <f t="shared" si="18"/>
        <v>-38883.14</v>
      </c>
      <c r="AJ67" s="409">
        <f t="shared" si="19"/>
        <v>1.1232961809879618</v>
      </c>
      <c r="AK67" s="410">
        <f t="shared" si="20"/>
        <v>1.3008717310087172</v>
      </c>
      <c r="AL67" s="411">
        <f t="shared" si="21"/>
        <v>1.9303352013283521</v>
      </c>
      <c r="AM67" s="412" t="str">
        <f t="shared" si="22"/>
        <v>0.04 pts.</v>
      </c>
      <c r="AN67" s="413" t="str">
        <f t="shared" si="23"/>
        <v>-0.21 pts.</v>
      </c>
    </row>
    <row r="68" spans="1:40" x14ac:dyDescent="0.25">
      <c r="A68" s="6" t="s">
        <v>34</v>
      </c>
      <c r="B68" s="7"/>
      <c r="G68" s="15" t="s">
        <v>497</v>
      </c>
      <c r="H68" s="15" t="s">
        <v>79</v>
      </c>
      <c r="I68" s="27" t="s">
        <v>1012</v>
      </c>
      <c r="J68" s="27" t="s">
        <v>78</v>
      </c>
      <c r="K68" s="26"/>
      <c r="N68" s="25" t="s">
        <v>1116</v>
      </c>
      <c r="O68" s="33">
        <v>62969.58</v>
      </c>
      <c r="P68" s="33">
        <v>61188.95</v>
      </c>
      <c r="Q68" s="33">
        <v>57959.54</v>
      </c>
      <c r="R68" s="33">
        <v>56431.15</v>
      </c>
      <c r="S68" s="33">
        <v>45259.93</v>
      </c>
      <c r="T68" s="33">
        <v>40300.83</v>
      </c>
      <c r="U68" s="33">
        <v>36850.230000000003</v>
      </c>
      <c r="V68" s="33">
        <v>33884.410000000003</v>
      </c>
      <c r="W68" s="33">
        <v>45913.05</v>
      </c>
      <c r="X68" s="33">
        <v>41420.660000000003</v>
      </c>
      <c r="Y68" s="33">
        <v>45714.64</v>
      </c>
      <c r="Z68" s="33">
        <v>54947.21</v>
      </c>
      <c r="AA68" s="33">
        <f t="shared" si="13"/>
        <v>582840.17999999993</v>
      </c>
      <c r="AB68" s="34">
        <f t="shared" si="14"/>
        <v>4.5041023902742519E-2</v>
      </c>
      <c r="AD68" s="33">
        <v>711664.56417476898</v>
      </c>
      <c r="AE68" s="34">
        <f t="shared" si="15"/>
        <v>4.2889441439459004E-2</v>
      </c>
      <c r="AF68" s="52">
        <f t="shared" si="16"/>
        <v>-128824.38417476905</v>
      </c>
      <c r="AG68" s="33">
        <v>679226.15</v>
      </c>
      <c r="AH68" s="34">
        <f t="shared" si="17"/>
        <v>4.6103181514199898E-2</v>
      </c>
      <c r="AI68" s="52">
        <f t="shared" si="18"/>
        <v>-96385.970000000088</v>
      </c>
      <c r="AJ68" s="415">
        <f t="shared" si="19"/>
        <v>12.097139476961393</v>
      </c>
      <c r="AK68" s="416">
        <f t="shared" si="20"/>
        <v>14.770954009438958</v>
      </c>
      <c r="AL68" s="417">
        <f t="shared" si="21"/>
        <v>14.097678497301786</v>
      </c>
      <c r="AM68" s="418" t="str">
        <f t="shared" si="22"/>
        <v>0.22 pts.</v>
      </c>
      <c r="AN68" s="436" t="str">
        <f t="shared" si="23"/>
        <v>-0.11 pts.</v>
      </c>
    </row>
    <row r="69" spans="1:40" x14ac:dyDescent="0.25">
      <c r="A69" s="6" t="s">
        <v>35</v>
      </c>
      <c r="B69" s="7"/>
    </row>
    <row r="70" spans="1:40" x14ac:dyDescent="0.25">
      <c r="A70" s="6" t="s">
        <v>36</v>
      </c>
      <c r="B70" s="7"/>
      <c r="G70" s="15" t="s">
        <v>497</v>
      </c>
      <c r="H70" s="15" t="s">
        <v>80</v>
      </c>
      <c r="I70" s="27" t="s">
        <v>1012</v>
      </c>
      <c r="J70" s="27" t="s">
        <v>78</v>
      </c>
      <c r="K70" s="25"/>
      <c r="N70" s="25" t="s">
        <v>1117</v>
      </c>
      <c r="O70" s="36">
        <v>115880.2</v>
      </c>
      <c r="P70" s="36">
        <v>107208.48</v>
      </c>
      <c r="Q70" s="36">
        <v>104655.56</v>
      </c>
      <c r="R70" s="36">
        <v>94139.64</v>
      </c>
      <c r="S70" s="36">
        <v>98595.93</v>
      </c>
      <c r="T70" s="36">
        <v>93588.6</v>
      </c>
      <c r="U70" s="36">
        <v>82988.539999999994</v>
      </c>
      <c r="V70" s="36">
        <v>83820.86</v>
      </c>
      <c r="W70" s="36">
        <v>101005.28</v>
      </c>
      <c r="X70" s="36">
        <v>105960.06</v>
      </c>
      <c r="Y70" s="36">
        <v>105930.06</v>
      </c>
      <c r="Z70" s="36">
        <v>109592.66</v>
      </c>
      <c r="AA70" s="36">
        <f>IF($I70="B1","",SUM(O70:Z70))</f>
        <v>1203365.8700000001</v>
      </c>
      <c r="AB70" s="37">
        <f>IF(AA70=0,"",IFERROR(AA70/AA$19,""))</f>
        <v>9.2994328075347452E-2</v>
      </c>
      <c r="AD70" s="36">
        <v>1381107.5977425801</v>
      </c>
      <c r="AE70" s="37">
        <f>IF(AD70=0,"",IFERROR(AD70/AD$19,""))</f>
        <v>8.3234344404459495E-2</v>
      </c>
      <c r="AF70" s="59">
        <f>IF(AND($AA70="",AD70=""),"",$AA70-AD70)</f>
        <v>-177741.72774258</v>
      </c>
      <c r="AG70" s="60">
        <v>1346163.81</v>
      </c>
      <c r="AH70" s="61">
        <f>IF(AG70=0,"",IFERROR(AG70/AG$19,""))</f>
        <v>9.1372268986223373E-2</v>
      </c>
      <c r="AI70" s="59">
        <f>IF(AND($AA70="",AG70=""),"",$AA70-AG70)</f>
        <v>-142797.93999999994</v>
      </c>
      <c r="AJ70" s="392">
        <f>IFERROR(AA70/AA$20,0)</f>
        <v>24.976460564549608</v>
      </c>
      <c r="AK70" s="393">
        <f>IFERROR(AD70/AD$20,0)</f>
        <v>28.665579031601911</v>
      </c>
      <c r="AL70" s="394">
        <f>IFERROR(AG70/AG$20,0)</f>
        <v>27.940303237858032</v>
      </c>
      <c r="AM70" s="395" t="str">
        <f>+IFERROR(ROUND(($AB70-AE70)*100,2)&amp;" pts.",0)</f>
        <v>0.98 pts.</v>
      </c>
      <c r="AN70" s="437" t="str">
        <f>+IFERROR(ROUND(($AB70-AH70)*100,2)&amp;" pts.",0)</f>
        <v>0.16 pts.</v>
      </c>
    </row>
    <row r="71" spans="1:40" ht="15.75" thickBot="1" x14ac:dyDescent="0.3">
      <c r="A71" s="6" t="s">
        <v>37</v>
      </c>
      <c r="B71" s="7"/>
      <c r="G71" s="15" t="s">
        <v>497</v>
      </c>
      <c r="H71" s="15" t="s">
        <v>81</v>
      </c>
      <c r="I71" s="27" t="s">
        <v>1012</v>
      </c>
      <c r="J71" s="27" t="s">
        <v>78</v>
      </c>
      <c r="K71" s="25"/>
      <c r="N71" s="25" t="s">
        <v>1118</v>
      </c>
      <c r="O71" s="62">
        <v>-115880.2</v>
      </c>
      <c r="P71" s="62">
        <v>-107208.48</v>
      </c>
      <c r="Q71" s="62">
        <v>-104655.56</v>
      </c>
      <c r="R71" s="62">
        <v>-94139.64</v>
      </c>
      <c r="S71" s="62">
        <v>-98595.93</v>
      </c>
      <c r="T71" s="62">
        <v>-93588.6</v>
      </c>
      <c r="U71" s="62">
        <v>-82988.539999999994</v>
      </c>
      <c r="V71" s="62">
        <v>-83820.86</v>
      </c>
      <c r="W71" s="62">
        <v>-101005.28</v>
      </c>
      <c r="X71" s="62">
        <v>-105960.06</v>
      </c>
      <c r="Y71" s="62">
        <v>-105930.06</v>
      </c>
      <c r="Z71" s="62">
        <v>-109592.66</v>
      </c>
      <c r="AA71" s="62">
        <f>IF($I71="B1","",SUM(O71:Z71))</f>
        <v>-1203365.8700000001</v>
      </c>
      <c r="AB71" s="63">
        <f>IF(AA71=0,"",IFERROR(AA71/AA$19,""))</f>
        <v>-9.2994328075347452E-2</v>
      </c>
      <c r="AD71" s="62">
        <v>-1381107.5977425801</v>
      </c>
      <c r="AE71" s="63">
        <f>IF(AD71=0,"",IFERROR(AD71/AD$19,""))</f>
        <v>-8.3234344404459495E-2</v>
      </c>
      <c r="AF71" s="64">
        <f>IF(AND($AA71="",AD71=""),"",$AA71-AD71)</f>
        <v>177741.72774258</v>
      </c>
      <c r="AG71" s="62">
        <v>-1346163.81</v>
      </c>
      <c r="AH71" s="63">
        <f>IF(AG71=0,"",IFERROR(AG71/AG$19,""))</f>
        <v>-9.1372268986223373E-2</v>
      </c>
      <c r="AI71" s="64">
        <f>IF(AND($AA71="",AG71=""),"",$AA71-AG71)</f>
        <v>142797.93999999994</v>
      </c>
      <c r="AJ71" s="430">
        <f>IFERROR(AA71/AA$20,0)</f>
        <v>-24.976460564549608</v>
      </c>
      <c r="AK71" s="431">
        <f>IFERROR(AD71/AD$20,0)</f>
        <v>-28.665579031601911</v>
      </c>
      <c r="AL71" s="432">
        <f>IFERROR(AG71/AG$20,0)</f>
        <v>-27.940303237858032</v>
      </c>
      <c r="AM71" s="433" t="str">
        <f>+IFERROR(ROUND(($AB71-AE71)*100,2)&amp;" pts.",0)</f>
        <v>-0.98 pts.</v>
      </c>
      <c r="AN71" s="438" t="str">
        <f>+IFERROR(ROUND(($AB71-AH71)*100,2)&amp;" pts.",0)</f>
        <v>-0.16 pts.</v>
      </c>
    </row>
    <row r="72" spans="1:40" ht="15.75" thickTop="1" x14ac:dyDescent="0.25">
      <c r="A72" s="6" t="s">
        <v>38</v>
      </c>
      <c r="B72" s="7"/>
    </row>
    <row r="73" spans="1:40" x14ac:dyDescent="0.25">
      <c r="A73" s="6" t="s">
        <v>39</v>
      </c>
      <c r="B73" s="7"/>
      <c r="N73" s="26" t="str">
        <f>N70&amp;" - Check"</f>
        <v>Total Expenses - Check</v>
      </c>
      <c r="O73" s="139">
        <f t="shared" ref="O73:AA73" si="24">SUMIF($H$33:$H$71,"600000",O$33:O$71)+SUMIFS(O$33:O$71,$G$33:$G$71,"D_AG_CON",$H$33:$H$71,"700000")-SUMIF($H$33:$H$71,"TOTDEPTEXP",O$33:O$71)</f>
        <v>0</v>
      </c>
      <c r="P73" s="139">
        <f t="shared" si="24"/>
        <v>0</v>
      </c>
      <c r="Q73" s="139">
        <f t="shared" si="24"/>
        <v>0</v>
      </c>
      <c r="R73" s="139">
        <f t="shared" si="24"/>
        <v>0</v>
      </c>
      <c r="S73" s="139">
        <f t="shared" si="24"/>
        <v>0</v>
      </c>
      <c r="T73" s="139">
        <f t="shared" si="24"/>
        <v>0</v>
      </c>
      <c r="U73" s="139">
        <f t="shared" si="24"/>
        <v>0</v>
      </c>
      <c r="V73" s="139">
        <f t="shared" si="24"/>
        <v>0</v>
      </c>
      <c r="W73" s="139">
        <f t="shared" si="24"/>
        <v>0</v>
      </c>
      <c r="X73" s="139">
        <f t="shared" si="24"/>
        <v>0</v>
      </c>
      <c r="Y73" s="139">
        <f t="shared" si="24"/>
        <v>0</v>
      </c>
      <c r="Z73" s="139">
        <f t="shared" si="24"/>
        <v>0</v>
      </c>
      <c r="AA73" s="139">
        <f t="shared" si="24"/>
        <v>0</v>
      </c>
      <c r="AB73" s="17"/>
      <c r="AD73" s="139">
        <f>SUMIF($H$33:$H$71,"600000",AD$33:AD$71)+SUMIFS(AD$33:AD$71,$G$33:$G$71,"D_AG_CON",$H$33:$H$71,"700000")-SUMIF($H$33:$H$71,"TOTDEPTEXP",AD$33:AD$71)</f>
        <v>0</v>
      </c>
      <c r="AE73" s="17"/>
      <c r="AF73" s="21"/>
      <c r="AG73" s="139">
        <f>SUMIF($H$33:$H$71,"600000",AG$33:AG$71)+SUMIFS(AG$33:AG$71,$G$33:$G$71,"D_AG_CON",$H$33:$H$71,"700000")-SUMIF($H$33:$H$71,"TOTDEPTEXP",AG$33:AG$71)</f>
        <v>0</v>
      </c>
      <c r="AH73" s="17"/>
      <c r="AI73" s="21"/>
    </row>
    <row r="74" spans="1:40" x14ac:dyDescent="0.25">
      <c r="A74" s="6" t="s">
        <v>40</v>
      </c>
      <c r="B74" s="7"/>
      <c r="N74" s="26" t="str">
        <f>N71&amp;" - Check"</f>
        <v>Department Profit (Loss) - Check</v>
      </c>
      <c r="O74" s="139">
        <f t="shared" ref="O74:AA74" si="25">SUMIF($H$33:$H$71,"TOTDEPTEXP",O$33:O$71)+SUMIF($H$33:$H$71,"TOTDEPTPL",O$33:O$71)</f>
        <v>0</v>
      </c>
      <c r="P74" s="139">
        <f t="shared" si="25"/>
        <v>0</v>
      </c>
      <c r="Q74" s="139">
        <f t="shared" si="25"/>
        <v>0</v>
      </c>
      <c r="R74" s="139">
        <f t="shared" si="25"/>
        <v>0</v>
      </c>
      <c r="S74" s="139">
        <f t="shared" si="25"/>
        <v>0</v>
      </c>
      <c r="T74" s="139">
        <f t="shared" si="25"/>
        <v>0</v>
      </c>
      <c r="U74" s="139">
        <f t="shared" si="25"/>
        <v>0</v>
      </c>
      <c r="V74" s="139">
        <f t="shared" si="25"/>
        <v>0</v>
      </c>
      <c r="W74" s="139">
        <f t="shared" si="25"/>
        <v>0</v>
      </c>
      <c r="X74" s="139">
        <f t="shared" si="25"/>
        <v>0</v>
      </c>
      <c r="Y74" s="139">
        <f t="shared" si="25"/>
        <v>0</v>
      </c>
      <c r="Z74" s="139">
        <f t="shared" si="25"/>
        <v>0</v>
      </c>
      <c r="AA74" s="139">
        <f t="shared" si="25"/>
        <v>0</v>
      </c>
      <c r="AB74" s="17"/>
      <c r="AD74" s="139">
        <f>SUMIF($H$33:$H$71,"TOTDEPTEXP",AD$33:AD$71)+SUMIF($H$33:$H$71,"TOTDEPTPL",AD$33:AD$71)</f>
        <v>0</v>
      </c>
      <c r="AE74" s="17"/>
      <c r="AF74" s="21"/>
      <c r="AG74" s="139">
        <f>SUMIF($H$33:$H$71,"TOTDEPTEXP",AG$33:AG$71)+SUMIF($H$33:$H$71,"TOTDEPTPL",AG$33:AG$71)</f>
        <v>0</v>
      </c>
      <c r="AH74" s="17"/>
      <c r="AI74" s="21"/>
    </row>
    <row r="75" spans="1:40" x14ac:dyDescent="0.25">
      <c r="A75" s="6" t="s">
        <v>41</v>
      </c>
      <c r="B75" s="7"/>
    </row>
    <row r="76" spans="1:40" x14ac:dyDescent="0.25">
      <c r="A76" s="6" t="s">
        <v>42</v>
      </c>
      <c r="B76" s="7"/>
    </row>
    <row r="77" spans="1:40" x14ac:dyDescent="0.25">
      <c r="A77" s="6" t="s">
        <v>43</v>
      </c>
      <c r="B77" s="7"/>
    </row>
    <row r="78" spans="1:40" x14ac:dyDescent="0.25">
      <c r="A78" s="6" t="s">
        <v>44</v>
      </c>
      <c r="B78" s="7"/>
    </row>
    <row r="79" spans="1:40" x14ac:dyDescent="0.25">
      <c r="A79" s="6" t="s">
        <v>45</v>
      </c>
      <c r="B79" s="7"/>
    </row>
    <row r="80" spans="1:40" x14ac:dyDescent="0.25">
      <c r="A80" s="6" t="s">
        <v>46</v>
      </c>
      <c r="B80" s="7"/>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sheetData>
  <mergeCells count="2">
    <mergeCell ref="AD31:AE31"/>
    <mergeCell ref="AG31:AH31"/>
  </mergeCells>
  <dataValidations count="2">
    <dataValidation type="list" allowBlank="1" sqref="B29:C29" xr:uid="{00000000-0002-0000-4D00-000000000000}">
      <formula1>"SELF,ALL,BAS,DEP,BASMEMBERS,MEMBERS,NOEXPAND,GDEP"</formula1>
    </dataValidation>
    <dataValidation type="list" allowBlank="1" sqref="B28:C28" xr:uid="{00000000-0002-0000-4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9669"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69669" r:id="rId5" name="FPMExcelClientSheetOptionstb1"/>
      </mc:Fallback>
    </mc:AlternateContent>
  </controls>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3">
    <tabColor theme="2" tint="-0.499984740745262"/>
    <pageSetUpPr fitToPage="1"/>
  </sheetPr>
  <dimension ref="A1:AO7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498</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_xll.EVRNG(H34:H43)</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111</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82</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829</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c r="P34" s="21"/>
      <c r="Q34" s="21">
        <v>225</v>
      </c>
      <c r="R34" s="21">
        <v>5.16</v>
      </c>
      <c r="S34" s="21">
        <v>-192.19</v>
      </c>
      <c r="T34" s="21">
        <v>482.02</v>
      </c>
      <c r="U34" s="21">
        <v>40</v>
      </c>
      <c r="V34" s="21"/>
      <c r="W34" s="21">
        <v>7.44</v>
      </c>
      <c r="X34" s="21"/>
      <c r="Y34" s="21"/>
      <c r="Z34" s="21">
        <v>31.12</v>
      </c>
      <c r="AA34" s="38" t="e">
        <f t="shared" ref="AA34:AA44" ca="1" si="0">IF($I34="B1","",SUM(O34:Z34))</f>
        <v>#NAME?</v>
      </c>
      <c r="AB34" s="17" t="e">
        <f t="shared" ref="AB34:AB44" ca="1" si="1">IF(AA34=0,"",IFERROR(AA34/AA$19,""))</f>
        <v>#NAME?</v>
      </c>
      <c r="AD34" s="21">
        <v>1367</v>
      </c>
      <c r="AE34" s="17" t="str">
        <f t="shared" ref="AE34:AE44" ca="1" si="2">IF(AD34=0,"",IFERROR(AD34/AD$19,""))</f>
        <v/>
      </c>
      <c r="AF34" s="50" t="e">
        <f t="shared" ref="AF34:AF44" ca="1" si="3">IF(AND($AA34="",AD34=""),"",$AA34-AD34)</f>
        <v>#NAME?</v>
      </c>
      <c r="AG34" s="21">
        <v>814.61</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C35" s="32"/>
      <c r="H35" s="15" t="s">
        <v>832</v>
      </c>
      <c r="I35" s="161" t="e">
        <f ca="1">_xll.EVPRO($B$1,$H35,"STYLE")</f>
        <v>#NAME?</v>
      </c>
      <c r="J35" s="161" t="e">
        <f ca="1">_xll.EVPRO($B$1,$H35,"CALC")</f>
        <v>#NAME?</v>
      </c>
      <c r="K35" s="68" t="e">
        <f t="shared" ref="K35:K43" ca="1" si="4">IF(AND(I35&gt;="T3"),"&gt;","")</f>
        <v>#NAME?</v>
      </c>
      <c r="L35" s="162" t="e">
        <f ca="1">_xll.EVPRO($B$1,H35,"JDEID")</f>
        <v>#NAME?</v>
      </c>
      <c r="M35" s="162" t="e">
        <f ca="1">IF(AND(I35="N",J35="N"),_xll.EVPRO($B$1,H35,"PSFTID"),"")</f>
        <v>#NAME?</v>
      </c>
      <c r="N35" s="162" t="e">
        <f ca="1">IF(_xll.EVDES(H35,$B$1)="#NODATA","",_xll.EVDES(H35,$B$1))</f>
        <v>#NAME?</v>
      </c>
      <c r="O35" s="21"/>
      <c r="P35" s="21">
        <v>1.71</v>
      </c>
      <c r="Q35" s="21"/>
      <c r="R35" s="21"/>
      <c r="S35" s="21">
        <v>25.72</v>
      </c>
      <c r="T35" s="21">
        <v>42.76</v>
      </c>
      <c r="U35" s="21"/>
      <c r="V35" s="21"/>
      <c r="W35" s="21"/>
      <c r="X35" s="21"/>
      <c r="Y35" s="21"/>
      <c r="Z35" s="21">
        <v>17.739999999999998</v>
      </c>
      <c r="AA35" s="38" t="e">
        <f t="shared" ca="1" si="0"/>
        <v>#NAME?</v>
      </c>
      <c r="AB35" s="17" t="e">
        <f t="shared" ca="1" si="1"/>
        <v>#NAME?</v>
      </c>
      <c r="AD35" s="21">
        <v>85</v>
      </c>
      <c r="AE35" s="17" t="str">
        <f t="shared" ca="1" si="2"/>
        <v/>
      </c>
      <c r="AF35" s="50" t="e">
        <f t="shared" ca="1" si="3"/>
        <v>#NAME?</v>
      </c>
      <c r="AG35" s="21">
        <v>57.81</v>
      </c>
      <c r="AH35" s="17" t="str">
        <f t="shared" ref="AH35:AH43" ca="1" si="5">IF(AG35=0,"",IFERROR(AG35/AG$19,""))</f>
        <v/>
      </c>
      <c r="AI35" s="50" t="e">
        <f t="shared" ref="AI35:AI43" ca="1" si="6">IF(AND($AA35="",AG35=""),"",$AA35-AG35)</f>
        <v>#NAME?</v>
      </c>
      <c r="AJ35" s="399">
        <f t="shared" ref="AJ35:AJ43" ca="1" si="7">IFERROR(AA35/AA$20,0)</f>
        <v>0</v>
      </c>
      <c r="AK35" s="400">
        <f t="shared" ref="AK35:AK43" ca="1" si="8">IFERROR(AD35/AD$20,0)</f>
        <v>0</v>
      </c>
      <c r="AL35" s="401">
        <f t="shared" ref="AL35:AL43" ca="1" si="9">IFERROR(AG35/AG$20,0)</f>
        <v>0</v>
      </c>
      <c r="AM35" s="402">
        <f t="shared" ref="AM35:AM43" ca="1" si="10">+IFERROR(ROUND(($AB35-AE35)*100,2)&amp;" pts.",0)</f>
        <v>0</v>
      </c>
      <c r="AN35" s="403">
        <f t="shared" ref="AN35:AN43" ca="1" si="11">+IFERROR(ROUND(($AB35-AH35)*100,2)&amp;" pts.",0)</f>
        <v>0</v>
      </c>
    </row>
    <row r="36" spans="1:40" x14ac:dyDescent="0.25">
      <c r="A36" s="3" t="s">
        <v>23</v>
      </c>
      <c r="B36" s="5" t="s">
        <v>24</v>
      </c>
      <c r="H36" s="15" t="s">
        <v>858</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v>43.85</v>
      </c>
      <c r="Z36" s="21"/>
      <c r="AA36" s="38"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6" t="s">
        <v>25</v>
      </c>
      <c r="B37" s="7"/>
      <c r="H37" s="15" t="s">
        <v>833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v>875</v>
      </c>
      <c r="P37" s="21">
        <v>-2000</v>
      </c>
      <c r="Q37" s="21"/>
      <c r="R37" s="21"/>
      <c r="S37" s="21"/>
      <c r="T37" s="21"/>
      <c r="U37" s="21"/>
      <c r="V37" s="21"/>
      <c r="W37" s="21">
        <v>175</v>
      </c>
      <c r="X37" s="21">
        <v>169.99</v>
      </c>
      <c r="Y37" s="21"/>
      <c r="Z37" s="21">
        <v>175</v>
      </c>
      <c r="AA37" s="38" t="e">
        <f t="shared" ca="1" si="0"/>
        <v>#NAME?</v>
      </c>
      <c r="AB37" s="17" t="e">
        <f t="shared" ca="1" si="1"/>
        <v>#NAME?</v>
      </c>
      <c r="AD37" s="21">
        <v>3225</v>
      </c>
      <c r="AE37" s="17" t="str">
        <f t="shared" ca="1" si="2"/>
        <v/>
      </c>
      <c r="AF37" s="50" t="e">
        <f t="shared" ca="1" si="3"/>
        <v>#NAME?</v>
      </c>
      <c r="AG37" s="21">
        <v>2875</v>
      </c>
      <c r="AH37" s="17" t="str">
        <f t="shared" ca="1"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6" t="s">
        <v>26</v>
      </c>
      <c r="B38" s="7"/>
      <c r="H38" s="15" t="s">
        <v>834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29.85</v>
      </c>
      <c r="P38" s="21"/>
      <c r="Q38" s="21">
        <v>-22.62</v>
      </c>
      <c r="R38" s="21">
        <v>293.93</v>
      </c>
      <c r="S38" s="21">
        <v>471.7</v>
      </c>
      <c r="T38" s="21">
        <v>149.11000000000001</v>
      </c>
      <c r="U38" s="21">
        <v>14.44</v>
      </c>
      <c r="V38" s="21">
        <v>-183.79</v>
      </c>
      <c r="W38" s="21">
        <v>60.03</v>
      </c>
      <c r="X38" s="21">
        <v>20.89</v>
      </c>
      <c r="Y38" s="21">
        <v>-18.600000000000001</v>
      </c>
      <c r="Z38" s="21"/>
      <c r="AA38" s="38" t="e">
        <f t="shared" ca="1" si="0"/>
        <v>#NAME?</v>
      </c>
      <c r="AB38" s="17" t="e">
        <f t="shared" ca="1" si="1"/>
        <v>#NAME?</v>
      </c>
      <c r="AD38" s="21">
        <v>1234</v>
      </c>
      <c r="AE38" s="17" t="str">
        <f t="shared" ca="1" si="2"/>
        <v/>
      </c>
      <c r="AF38" s="50" t="e">
        <f t="shared" ca="1" si="3"/>
        <v>#NAME?</v>
      </c>
      <c r="AG38" s="21">
        <v>1197.4100000000001</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6" t="s">
        <v>27</v>
      </c>
      <c r="B39" s="7"/>
      <c r="H39" s="15" t="s">
        <v>835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v>80.900000000000006</v>
      </c>
      <c r="S39" s="21">
        <v>74.12</v>
      </c>
      <c r="T39" s="21">
        <v>-64.16</v>
      </c>
      <c r="U39" s="21">
        <v>145.83000000000001</v>
      </c>
      <c r="V39" s="21">
        <v>18.29</v>
      </c>
      <c r="W39" s="21">
        <v>46.94</v>
      </c>
      <c r="X39" s="21"/>
      <c r="Y39" s="21">
        <v>20.89</v>
      </c>
      <c r="Z39" s="21"/>
      <c r="AA39" s="38" t="e">
        <f t="shared" ca="1" si="0"/>
        <v>#NAME?</v>
      </c>
      <c r="AB39" s="17" t="e">
        <f t="shared" ca="1" si="1"/>
        <v>#NAME?</v>
      </c>
      <c r="AD39" s="21">
        <v>373</v>
      </c>
      <c r="AE39" s="17" t="str">
        <f t="shared" ca="1" si="2"/>
        <v/>
      </c>
      <c r="AF39" s="50" t="e">
        <f t="shared" ca="1" si="3"/>
        <v>#NAME?</v>
      </c>
      <c r="AG39" s="21">
        <v>476.96</v>
      </c>
      <c r="AH39" s="17" t="str">
        <f t="shared" ca="1"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6" t="s">
        <v>28</v>
      </c>
      <c r="B40" s="7"/>
      <c r="H40" s="15" t="s">
        <v>875</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v>133.33000000000001</v>
      </c>
      <c r="T40" s="21"/>
      <c r="U40" s="21"/>
      <c r="V40" s="21"/>
      <c r="W40" s="21"/>
      <c r="X40" s="21"/>
      <c r="Y40" s="21"/>
      <c r="Z40" s="21"/>
      <c r="AA40" s="38" t="e">
        <f t="shared" ca="1" si="0"/>
        <v>#NAME?</v>
      </c>
      <c r="AB40" s="17" t="e">
        <f t="shared" ca="1" si="1"/>
        <v>#NAME?</v>
      </c>
      <c r="AD40" s="21">
        <v>865</v>
      </c>
      <c r="AE40" s="17" t="str">
        <f t="shared" ca="1" si="2"/>
        <v/>
      </c>
      <c r="AF40" s="50" t="e">
        <f t="shared" ca="1" si="3"/>
        <v>#NAME?</v>
      </c>
      <c r="AG40" s="21">
        <v>425.41</v>
      </c>
      <c r="AH40" s="17" t="str">
        <f t="shared" ca="1"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A41" s="6" t="s">
        <v>29</v>
      </c>
      <c r="B41" s="7"/>
      <c r="H41" s="15" t="s">
        <v>885</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v>4787.49</v>
      </c>
      <c r="P41" s="21">
        <v>1143.17</v>
      </c>
      <c r="Q41" s="21">
        <v>2245.61</v>
      </c>
      <c r="R41" s="21">
        <v>4858.32</v>
      </c>
      <c r="S41" s="21">
        <v>2969.07</v>
      </c>
      <c r="T41" s="21">
        <v>2345.7600000000002</v>
      </c>
      <c r="U41" s="21">
        <v>855.44</v>
      </c>
      <c r="V41" s="21">
        <v>4128.46</v>
      </c>
      <c r="W41" s="21">
        <v>6053.23</v>
      </c>
      <c r="X41" s="21">
        <v>3929.37</v>
      </c>
      <c r="Y41" s="21">
        <v>5604.5</v>
      </c>
      <c r="Z41" s="21">
        <v>6504.08</v>
      </c>
      <c r="AA41" s="38" t="e">
        <f t="shared" ca="1" si="0"/>
        <v>#NAME?</v>
      </c>
      <c r="AB41" s="17" t="e">
        <f t="shared" ca="1" si="1"/>
        <v>#NAME?</v>
      </c>
      <c r="AD41" s="21">
        <v>47337</v>
      </c>
      <c r="AE41" s="17" t="str">
        <f t="shared" ca="1" si="2"/>
        <v/>
      </c>
      <c r="AF41" s="50" t="e">
        <f t="shared" ca="1" si="3"/>
        <v>#NAME?</v>
      </c>
      <c r="AG41" s="21">
        <v>52067.73</v>
      </c>
      <c r="AH41" s="17" t="str">
        <f t="shared" ca="1"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6" t="s">
        <v>30</v>
      </c>
      <c r="B42" s="7" t="s">
        <v>78</v>
      </c>
      <c r="H42" s="15" t="s">
        <v>886</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v>882.8</v>
      </c>
      <c r="P42" s="21">
        <v>-398.12</v>
      </c>
      <c r="Q42" s="21">
        <v>1352.28</v>
      </c>
      <c r="R42" s="21">
        <v>2522.42</v>
      </c>
      <c r="S42" s="21">
        <v>610.34</v>
      </c>
      <c r="T42" s="21">
        <v>976.01</v>
      </c>
      <c r="U42" s="21">
        <v>60.02</v>
      </c>
      <c r="V42" s="21">
        <v>-1048.04</v>
      </c>
      <c r="W42" s="21">
        <v>361.71</v>
      </c>
      <c r="X42" s="21">
        <v>35.28</v>
      </c>
      <c r="Y42" s="21">
        <v>102.63</v>
      </c>
      <c r="Z42" s="21">
        <v>234.75</v>
      </c>
      <c r="AA42" s="38" t="e">
        <f t="shared" ca="1" si="0"/>
        <v>#NAME?</v>
      </c>
      <c r="AB42" s="17" t="e">
        <f t="shared" ca="1" si="1"/>
        <v>#NAME?</v>
      </c>
      <c r="AD42" s="21">
        <v>8190</v>
      </c>
      <c r="AE42" s="17" t="str">
        <f t="shared" ca="1" si="2"/>
        <v/>
      </c>
      <c r="AF42" s="50" t="e">
        <f t="shared" ca="1" si="3"/>
        <v>#NAME?</v>
      </c>
      <c r="AG42" s="21">
        <v>8088.62</v>
      </c>
      <c r="AH42" s="17" t="str">
        <f t="shared" ca="1"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6" t="s">
        <v>31</v>
      </c>
      <c r="B43" s="7" t="s">
        <v>78</v>
      </c>
      <c r="H43" s="15" t="s">
        <v>887</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c r="P43" s="21">
        <v>722.14</v>
      </c>
      <c r="Q43" s="21">
        <v>885.29</v>
      </c>
      <c r="R43" s="21"/>
      <c r="S43" s="21"/>
      <c r="T43" s="21"/>
      <c r="U43" s="21"/>
      <c r="V43" s="21"/>
      <c r="W43" s="21"/>
      <c r="X43" s="21"/>
      <c r="Y43" s="21"/>
      <c r="Z43" s="21"/>
      <c r="AA43" s="38" t="e">
        <f t="shared" ca="1" si="0"/>
        <v>#NAME?</v>
      </c>
      <c r="AB43" s="17" t="e">
        <f t="shared" ca="1" si="1"/>
        <v>#NAME?</v>
      </c>
      <c r="AD43" s="21"/>
      <c r="AE43" s="17" t="str">
        <f t="shared" si="2"/>
        <v/>
      </c>
      <c r="AF43" s="50" t="e">
        <f t="shared" ca="1" si="3"/>
        <v>#NAME?</v>
      </c>
      <c r="AG43" s="21">
        <v>27000</v>
      </c>
      <c r="AH43" s="17" t="str">
        <f t="shared" ca="1"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6" t="s">
        <v>32</v>
      </c>
      <c r="B44" s="7"/>
      <c r="H44" s="15" t="s">
        <v>79</v>
      </c>
      <c r="I44" s="27" t="e">
        <f ca="1">_xll.EVPRO($B$1,$H44,"STYLE")</f>
        <v>#NAME?</v>
      </c>
      <c r="J44" s="27" t="e">
        <f ca="1">_xll.EVPRO($B$1,$H44,"CALC")</f>
        <v>#NAME?</v>
      </c>
      <c r="K44" s="26"/>
      <c r="N44" s="25" t="e">
        <f ca="1">IF(_xll.EVDES(H44,$B$1)="#NODATA","",_xll.EVDES(H44,$B$1))</f>
        <v>#NAME?</v>
      </c>
      <c r="O44" s="33">
        <f t="shared" ref="O44:Z44" si="12">SUM(O34:O43)</f>
        <v>6575.14</v>
      </c>
      <c r="P44" s="33">
        <f t="shared" si="12"/>
        <v>-531.0999999999998</v>
      </c>
      <c r="Q44" s="33">
        <f t="shared" si="12"/>
        <v>4685.5600000000004</v>
      </c>
      <c r="R44" s="33">
        <f t="shared" si="12"/>
        <v>7760.73</v>
      </c>
      <c r="S44" s="33">
        <f t="shared" si="12"/>
        <v>4092.09</v>
      </c>
      <c r="T44" s="33">
        <f t="shared" si="12"/>
        <v>3931.5</v>
      </c>
      <c r="U44" s="33">
        <f t="shared" si="12"/>
        <v>1115.73</v>
      </c>
      <c r="V44" s="33">
        <f t="shared" si="12"/>
        <v>2914.92</v>
      </c>
      <c r="W44" s="33">
        <f t="shared" si="12"/>
        <v>6704.3499999999995</v>
      </c>
      <c r="X44" s="33">
        <f t="shared" si="12"/>
        <v>4155.53</v>
      </c>
      <c r="Y44" s="33">
        <f t="shared" si="12"/>
        <v>5753.27</v>
      </c>
      <c r="Z44" s="33">
        <f t="shared" si="12"/>
        <v>6962.69</v>
      </c>
      <c r="AA44" s="33" t="e">
        <f t="shared" ca="1" si="0"/>
        <v>#NAME?</v>
      </c>
      <c r="AB44" s="34" t="e">
        <f t="shared" ca="1" si="1"/>
        <v>#NAME?</v>
      </c>
      <c r="AD44" s="33">
        <f>SUM(AD34:AD43)</f>
        <v>62676</v>
      </c>
      <c r="AE44" s="34" t="str">
        <f t="shared" ca="1" si="2"/>
        <v/>
      </c>
      <c r="AF44" s="52" t="e">
        <f t="shared" ca="1" si="3"/>
        <v>#NAME?</v>
      </c>
      <c r="AG44" s="33">
        <f>SUM(AG34:AG43)</f>
        <v>93003.55</v>
      </c>
      <c r="AH44" s="34" t="str">
        <f ca="1">IF(AG44=0,"",IFERROR(AG44/AG$19,""))</f>
        <v/>
      </c>
      <c r="AI44" s="52" t="e">
        <f ca="1">IF(AND($AA44="",AG44=""),"",$AA44-AG44)</f>
        <v>#NAME?</v>
      </c>
      <c r="AJ44" s="415">
        <f ca="1">IFERROR(AA44/AA$20,0)</f>
        <v>0</v>
      </c>
      <c r="AK44" s="416">
        <f ca="1">IFERROR(AD44/AD$20,0)</f>
        <v>0</v>
      </c>
      <c r="AL44" s="417">
        <f ca="1">IFERROR(AG44/AG$20,0)</f>
        <v>0</v>
      </c>
      <c r="AM44" s="418">
        <f ca="1">+IFERROR(ROUND(($AB44-AE44)*100,2)&amp;" pts.",0)</f>
        <v>0</v>
      </c>
      <c r="AN44" s="436">
        <f ca="1">+IFERROR(ROUND(($AB44-AH44)*100,2)&amp;" pts.",0)</f>
        <v>0</v>
      </c>
    </row>
    <row r="45" spans="1:40" x14ac:dyDescent="0.25">
      <c r="A45" s="6" t="s">
        <v>33</v>
      </c>
      <c r="B45" s="7"/>
    </row>
    <row r="46" spans="1:40" x14ac:dyDescent="0.25">
      <c r="A46" s="6" t="s">
        <v>34</v>
      </c>
      <c r="B46" s="7"/>
      <c r="H46" s="15" t="s">
        <v>498</v>
      </c>
      <c r="N46" s="26" t="e">
        <f ca="1">N44&amp;" - Check"</f>
        <v>#NAME?</v>
      </c>
      <c r="O46" s="139">
        <f>INDEX('TpphQxJNZEmJduT7LzZLEw=='!O50:O68,MATCH($H$46,'TpphQxJNZEmJduT7LzZLEw=='!$G50:$G67,0))-O44</f>
        <v>0</v>
      </c>
      <c r="P46" s="139">
        <f>INDEX('TpphQxJNZEmJduT7LzZLEw=='!P50:P68,MATCH($H$46,'TpphQxJNZEmJduT7LzZLEw=='!$G50:$G67,0))-P44</f>
        <v>0</v>
      </c>
      <c r="Q46" s="139">
        <f>INDEX('TpphQxJNZEmJduT7LzZLEw=='!Q50:Q68,MATCH($H$46,'TpphQxJNZEmJduT7LzZLEw=='!$G50:$G67,0))-Q44</f>
        <v>0</v>
      </c>
      <c r="R46" s="139">
        <f>INDEX('TpphQxJNZEmJduT7LzZLEw=='!R50:R68,MATCH($H$46,'TpphQxJNZEmJduT7LzZLEw=='!$G50:$G67,0))-R44</f>
        <v>0</v>
      </c>
      <c r="S46" s="139">
        <f>INDEX('TpphQxJNZEmJduT7LzZLEw=='!S50:S68,MATCH($H$46,'TpphQxJNZEmJduT7LzZLEw=='!$G50:$G67,0))-S44</f>
        <v>0</v>
      </c>
      <c r="T46" s="139">
        <f>INDEX('TpphQxJNZEmJduT7LzZLEw=='!T50:T68,MATCH($H$46,'TpphQxJNZEmJduT7LzZLEw=='!$G50:$G67,0))-T44</f>
        <v>0</v>
      </c>
      <c r="U46" s="139">
        <f>INDEX('TpphQxJNZEmJduT7LzZLEw=='!U50:U68,MATCH($H$46,'TpphQxJNZEmJduT7LzZLEw=='!$G50:$G67,0))-U44</f>
        <v>0</v>
      </c>
      <c r="V46" s="139">
        <f>INDEX('TpphQxJNZEmJduT7LzZLEw=='!V50:V68,MATCH($H$46,'TpphQxJNZEmJduT7LzZLEw=='!$G50:$G67,0))-V44</f>
        <v>0</v>
      </c>
      <c r="W46" s="139">
        <f>INDEX('TpphQxJNZEmJduT7LzZLEw=='!W50:W68,MATCH($H$46,'TpphQxJNZEmJduT7LzZLEw=='!$G50:$G67,0))-W44</f>
        <v>0</v>
      </c>
      <c r="X46" s="139">
        <f>INDEX('TpphQxJNZEmJduT7LzZLEw=='!X50:X68,MATCH($H$46,'TpphQxJNZEmJduT7LzZLEw=='!$G50:$G67,0))-X44</f>
        <v>0</v>
      </c>
      <c r="Y46" s="139">
        <f>INDEX('TpphQxJNZEmJduT7LzZLEw=='!Y50:Y68,MATCH($H$46,'TpphQxJNZEmJduT7LzZLEw=='!$G50:$G67,0))-Y44</f>
        <v>0</v>
      </c>
      <c r="Z46" s="139">
        <f>INDEX('TpphQxJNZEmJduT7LzZLEw=='!Z50:Z68,MATCH($H$46,'TpphQxJNZEmJduT7LzZLEw=='!$G50:$G67,0))-Z44</f>
        <v>0</v>
      </c>
      <c r="AA46" s="139">
        <f>IF($I46="B1","",SUM(O46:Z46))</f>
        <v>0</v>
      </c>
      <c r="AB46" s="349"/>
      <c r="AC46" s="166"/>
      <c r="AD46" s="139">
        <f>INDEX('TpphQxJNZEmJduT7LzZLEw=='!AD50:AD68,MATCH($H$46,'TpphQxJNZEmJduT7LzZLEw=='!$G50:$G67,0))-AD44</f>
        <v>0</v>
      </c>
      <c r="AE46" s="349"/>
      <c r="AF46" s="21"/>
      <c r="AG46" s="139">
        <f>INDEX('TpphQxJNZEmJduT7LzZLEw=='!AG50:AG68,MATCH($H$46,'TpphQxJNZEmJduT7LzZLEw=='!$G50:$G67,0))-AG44</f>
        <v>0</v>
      </c>
      <c r="AH46" s="349"/>
      <c r="AI46" s="21"/>
    </row>
    <row r="47" spans="1:40" x14ac:dyDescent="0.25">
      <c r="A47" s="6" t="s">
        <v>35</v>
      </c>
      <c r="B47" s="7"/>
      <c r="N47" s="11"/>
      <c r="O47" s="11"/>
      <c r="P47" s="11"/>
      <c r="Q47" s="11"/>
      <c r="R47" s="11"/>
      <c r="S47" s="11"/>
      <c r="T47" s="11"/>
      <c r="U47" s="11"/>
      <c r="V47" s="11"/>
      <c r="W47" s="11"/>
      <c r="X47" s="11"/>
      <c r="Y47" s="11"/>
      <c r="Z47" s="11"/>
      <c r="AA47" s="11"/>
      <c r="AB47" s="11"/>
      <c r="AD47" s="11"/>
      <c r="AE47" s="11"/>
      <c r="AF47" s="11"/>
      <c r="AG47" s="11"/>
      <c r="AH47" s="11"/>
      <c r="AI47" s="11"/>
    </row>
    <row r="48" spans="1:40" x14ac:dyDescent="0.25">
      <c r="A48" s="6" t="s">
        <v>36</v>
      </c>
      <c r="B48" s="7"/>
    </row>
    <row r="49" spans="1:10" x14ac:dyDescent="0.25">
      <c r="A49" s="6" t="s">
        <v>37</v>
      </c>
      <c r="B49" s="7"/>
    </row>
    <row r="50" spans="1:10" x14ac:dyDescent="0.25">
      <c r="A50" s="6" t="s">
        <v>38</v>
      </c>
      <c r="B50" s="7"/>
    </row>
    <row r="51" spans="1:10" x14ac:dyDescent="0.25">
      <c r="A51" s="6" t="s">
        <v>39</v>
      </c>
      <c r="B51" s="7"/>
    </row>
    <row r="52" spans="1:10" x14ac:dyDescent="0.25">
      <c r="A52" s="6" t="s">
        <v>40</v>
      </c>
      <c r="B52" s="7"/>
    </row>
    <row r="53" spans="1:10" x14ac:dyDescent="0.25">
      <c r="A53" s="6" t="s">
        <v>41</v>
      </c>
      <c r="B53" s="7"/>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row r="70" spans="8:10" x14ac:dyDescent="0.25">
      <c r="H70" s="11"/>
      <c r="J70" s="1"/>
    </row>
    <row r="71" spans="8:10" x14ac:dyDescent="0.25">
      <c r="H71" s="11"/>
      <c r="J71" s="1"/>
    </row>
    <row r="72" spans="8:10" x14ac:dyDescent="0.25">
      <c r="H72" s="11"/>
      <c r="J72" s="1"/>
    </row>
    <row r="73" spans="8:10" x14ac:dyDescent="0.25">
      <c r="H73" s="11"/>
      <c r="J73" s="1"/>
    </row>
    <row r="74" spans="8:10" x14ac:dyDescent="0.25">
      <c r="H74" s="11"/>
      <c r="J74" s="1"/>
    </row>
    <row r="75" spans="8:10" x14ac:dyDescent="0.25">
      <c r="H75" s="11"/>
      <c r="J75" s="1"/>
    </row>
    <row r="76" spans="8:10" x14ac:dyDescent="0.25">
      <c r="H76" s="11"/>
      <c r="J76" s="1"/>
    </row>
  </sheetData>
  <mergeCells count="2">
    <mergeCell ref="AD31:AE31"/>
    <mergeCell ref="AG31:AH31"/>
  </mergeCells>
  <dataValidations disablePrompts="1" count="2">
    <dataValidation type="list" allowBlank="1" sqref="B29" xr:uid="{00000000-0002-0000-4E00-000000000000}">
      <formula1>"SELF,ALL,BAS,DEP,BASMEMBERS,MEMBERS,NOEXPAND,GDEP"</formula1>
    </dataValidation>
    <dataValidation type="list" allowBlank="1" sqref="B28" xr:uid="{00000000-0002-0000-4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530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5304" r:id="rId7" name="FPMExcelClientSheetOptionstb1"/>
      </mc:Fallback>
    </mc:AlternateContent>
  </controls>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9">
    <tabColor theme="2" tint="-0.499984740745262"/>
    <pageSetUpPr fitToPage="1"/>
  </sheetPr>
  <dimension ref="A1:AO7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498</v>
      </c>
      <c r="C6" s="1" t="s">
        <v>1723</v>
      </c>
      <c r="E6" s="49" t="s">
        <v>1724</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1725</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1726</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1727</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16" t="s">
        <v>1728</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1729</v>
      </c>
    </row>
    <row r="28" spans="1:40" ht="15.75" x14ac:dyDescent="0.25">
      <c r="A28" s="6" t="s">
        <v>12</v>
      </c>
      <c r="B28" s="7" t="s">
        <v>22</v>
      </c>
      <c r="N28" s="71" t="s">
        <v>1005</v>
      </c>
    </row>
    <row r="29" spans="1:40" ht="15" customHeight="1" x14ac:dyDescent="0.25">
      <c r="A29" s="6" t="s">
        <v>13</v>
      </c>
      <c r="B29" s="7" t="s">
        <v>111</v>
      </c>
      <c r="N29" s="71" t="s">
        <v>985</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82</v>
      </c>
      <c r="I33" s="11" t="s">
        <v>1011</v>
      </c>
      <c r="J33" s="11" t="s">
        <v>78</v>
      </c>
      <c r="L33" s="1"/>
      <c r="M33" s="1"/>
      <c r="N33" s="40" t="s">
        <v>1092</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829</v>
      </c>
      <c r="I34" s="161" t="s">
        <v>1009</v>
      </c>
      <c r="J34" s="161" t="s">
        <v>1009</v>
      </c>
      <c r="K34" s="68" t="str">
        <f t="shared" ref="K34:K43" si="0">IF(AND(I34&gt;="T3"),"&gt;","")</f>
        <v/>
      </c>
      <c r="L34" s="162">
        <v>701100</v>
      </c>
      <c r="M34" s="162">
        <v>690015</v>
      </c>
      <c r="N34" s="162" t="s">
        <v>1241</v>
      </c>
      <c r="O34" s="21"/>
      <c r="P34" s="21"/>
      <c r="Q34" s="21">
        <v>225</v>
      </c>
      <c r="R34" s="21">
        <v>5.16</v>
      </c>
      <c r="S34" s="21">
        <v>-192.19</v>
      </c>
      <c r="T34" s="21">
        <v>482.02</v>
      </c>
      <c r="U34" s="21">
        <v>40</v>
      </c>
      <c r="V34" s="21"/>
      <c r="W34" s="21">
        <v>7.44</v>
      </c>
      <c r="X34" s="21"/>
      <c r="Y34" s="21"/>
      <c r="Z34" s="21">
        <v>31.12</v>
      </c>
      <c r="AA34" s="38">
        <f t="shared" ref="AA34:AA44" si="1">IF($I34="B1","",SUM(O34:Z34))</f>
        <v>598.55000000000007</v>
      </c>
      <c r="AB34" s="17">
        <f t="shared" ref="AB34:AB44" si="2">IF(AA34=0,"",IFERROR(AA34/AA$19,""))</f>
        <v>4.6255055471615809E-5</v>
      </c>
      <c r="AD34" s="21">
        <v>1367</v>
      </c>
      <c r="AE34" s="17">
        <f t="shared" ref="AE34:AE44" si="3">IF(AD34=0,"",IFERROR(AD34/AD$19,""))</f>
        <v>8.2384130669378491E-5</v>
      </c>
      <c r="AF34" s="50">
        <f t="shared" ref="AF34:AF44" si="4">IF(AND($AA34="",AD34=""),"",$AA34-AD34)</f>
        <v>-768.44999999999993</v>
      </c>
      <c r="AG34" s="21">
        <v>814.61</v>
      </c>
      <c r="AH34" s="17">
        <f t="shared" ref="AH34:AH44" si="5">IF(AG34=0,"",IFERROR(AG34/AG$19,""))</f>
        <v>5.5292501169577137E-5</v>
      </c>
      <c r="AI34" s="50">
        <f t="shared" ref="AI34:AI44" si="6">IF(AND($AA34="",AG34=""),"",$AA34-AG34)</f>
        <v>-216.05999999999995</v>
      </c>
      <c r="AJ34" s="399">
        <f t="shared" ref="AJ34:AJ44" si="7">IFERROR(AA34/AA$20,0)</f>
        <v>1.2423204649232049E-2</v>
      </c>
      <c r="AK34" s="400">
        <f t="shared" ref="AK34:AK44" si="8">IFERROR(AD34/AD$20,0)</f>
        <v>2.8372768783727687E-2</v>
      </c>
      <c r="AL34" s="401">
        <f t="shared" ref="AL34:AL44" si="9">IFERROR(AG34/AG$20,0)</f>
        <v>1.6907638024076379E-2</v>
      </c>
      <c r="AM34" s="402" t="str">
        <f t="shared" ref="AM34:AM44" si="10">+IFERROR(ROUND(($AB34-AE34)*100,2)&amp;" pts.",0)</f>
        <v>0 pts.</v>
      </c>
      <c r="AN34" s="403" t="str">
        <f t="shared" ref="AN34:AN44" si="11">+IFERROR(ROUND(($AB34-AH34)*100,2)&amp;" pts.",0)</f>
        <v>0 pts.</v>
      </c>
    </row>
    <row r="35" spans="1:40" x14ac:dyDescent="0.25">
      <c r="C35" s="32"/>
      <c r="H35" s="15" t="s">
        <v>832</v>
      </c>
      <c r="I35" s="161" t="s">
        <v>1064</v>
      </c>
      <c r="J35" s="161" t="s">
        <v>78</v>
      </c>
      <c r="K35" s="68" t="str">
        <f t="shared" si="0"/>
        <v>&gt;</v>
      </c>
      <c r="L35" s="162">
        <v>701500</v>
      </c>
      <c r="M35" s="162"/>
      <c r="N35" s="162" t="s">
        <v>1094</v>
      </c>
      <c r="O35" s="21"/>
      <c r="P35" s="21">
        <v>1.71</v>
      </c>
      <c r="Q35" s="21"/>
      <c r="R35" s="21"/>
      <c r="S35" s="21">
        <v>25.72</v>
      </c>
      <c r="T35" s="21">
        <v>42.76</v>
      </c>
      <c r="U35" s="21"/>
      <c r="V35" s="21"/>
      <c r="W35" s="21"/>
      <c r="X35" s="21"/>
      <c r="Y35" s="21"/>
      <c r="Z35" s="21">
        <v>17.739999999999998</v>
      </c>
      <c r="AA35" s="38">
        <f t="shared" si="1"/>
        <v>87.929999999999993</v>
      </c>
      <c r="AB35" s="17">
        <f t="shared" si="2"/>
        <v>6.7950998707195343E-6</v>
      </c>
      <c r="AD35" s="21">
        <v>85</v>
      </c>
      <c r="AE35" s="17">
        <f t="shared" si="3"/>
        <v>5.1226416290396276E-6</v>
      </c>
      <c r="AF35" s="50">
        <f t="shared" si="4"/>
        <v>2.9299999999999926</v>
      </c>
      <c r="AG35" s="21">
        <v>57.81</v>
      </c>
      <c r="AH35" s="17">
        <f t="shared" si="5"/>
        <v>3.9239138883800275E-6</v>
      </c>
      <c r="AI35" s="50">
        <f t="shared" si="6"/>
        <v>30.11999999999999</v>
      </c>
      <c r="AJ35" s="399">
        <f t="shared" si="7"/>
        <v>1.8250311332503111E-3</v>
      </c>
      <c r="AK35" s="400">
        <f t="shared" si="8"/>
        <v>1.7642175176421752E-3</v>
      </c>
      <c r="AL35" s="401">
        <f t="shared" si="9"/>
        <v>1.1998754669987548E-3</v>
      </c>
      <c r="AM35" s="402" t="str">
        <f t="shared" si="10"/>
        <v>0 pts.</v>
      </c>
      <c r="AN35" s="403" t="str">
        <f t="shared" si="11"/>
        <v>0 pts.</v>
      </c>
    </row>
    <row r="36" spans="1:40" x14ac:dyDescent="0.25">
      <c r="A36" s="3" t="s">
        <v>23</v>
      </c>
      <c r="B36" s="5" t="s">
        <v>24</v>
      </c>
      <c r="H36" s="15" t="s">
        <v>858</v>
      </c>
      <c r="I36" s="161" t="s">
        <v>1009</v>
      </c>
      <c r="J36" s="161" t="s">
        <v>1009</v>
      </c>
      <c r="K36" s="68" t="str">
        <f t="shared" si="0"/>
        <v/>
      </c>
      <c r="L36" s="162">
        <v>702300</v>
      </c>
      <c r="M36" s="162">
        <v>590040</v>
      </c>
      <c r="N36" s="162" t="s">
        <v>1097</v>
      </c>
      <c r="O36" s="21"/>
      <c r="P36" s="21"/>
      <c r="Q36" s="21"/>
      <c r="R36" s="21"/>
      <c r="S36" s="21"/>
      <c r="T36" s="21"/>
      <c r="U36" s="21"/>
      <c r="V36" s="21"/>
      <c r="W36" s="21"/>
      <c r="X36" s="21"/>
      <c r="Y36" s="21">
        <v>43.85</v>
      </c>
      <c r="Z36" s="21"/>
      <c r="AA36" s="38">
        <f t="shared" si="1"/>
        <v>43.85</v>
      </c>
      <c r="AB36" s="17">
        <f t="shared" si="2"/>
        <v>3.3886629060735997E-6</v>
      </c>
      <c r="AD36" s="21"/>
      <c r="AE36" s="17" t="str">
        <f t="shared" si="3"/>
        <v/>
      </c>
      <c r="AF36" s="50">
        <f t="shared" si="4"/>
        <v>43.85</v>
      </c>
      <c r="AG36" s="21"/>
      <c r="AH36" s="17" t="str">
        <f t="shared" si="5"/>
        <v/>
      </c>
      <c r="AI36" s="50">
        <f t="shared" si="6"/>
        <v>43.85</v>
      </c>
      <c r="AJ36" s="399">
        <f t="shared" si="7"/>
        <v>9.1012868410128686E-4</v>
      </c>
      <c r="AK36" s="400">
        <f t="shared" si="8"/>
        <v>0</v>
      </c>
      <c r="AL36" s="401">
        <f t="shared" si="9"/>
        <v>0</v>
      </c>
      <c r="AM36" s="402">
        <f t="shared" si="10"/>
        <v>0</v>
      </c>
      <c r="AN36" s="403">
        <f t="shared" si="11"/>
        <v>0</v>
      </c>
    </row>
    <row r="37" spans="1:40" x14ac:dyDescent="0.25">
      <c r="A37" s="6" t="s">
        <v>25</v>
      </c>
      <c r="B37" s="7"/>
      <c r="H37" s="15" t="s">
        <v>833</v>
      </c>
      <c r="I37" s="161" t="s">
        <v>1064</v>
      </c>
      <c r="J37" s="161" t="s">
        <v>78</v>
      </c>
      <c r="K37" s="68" t="str">
        <f t="shared" si="0"/>
        <v>&gt;</v>
      </c>
      <c r="L37" s="162"/>
      <c r="M37" s="162"/>
      <c r="N37" s="162" t="s">
        <v>1099</v>
      </c>
      <c r="O37" s="21">
        <v>875</v>
      </c>
      <c r="P37" s="21">
        <v>-2000</v>
      </c>
      <c r="Q37" s="21"/>
      <c r="R37" s="21"/>
      <c r="S37" s="21"/>
      <c r="T37" s="21"/>
      <c r="U37" s="21"/>
      <c r="V37" s="21"/>
      <c r="W37" s="21">
        <v>175</v>
      </c>
      <c r="X37" s="21">
        <v>169.99</v>
      </c>
      <c r="Y37" s="21"/>
      <c r="Z37" s="21">
        <v>175</v>
      </c>
      <c r="AA37" s="38">
        <f t="shared" si="1"/>
        <v>-605.01</v>
      </c>
      <c r="AB37" s="17">
        <f t="shared" si="2"/>
        <v>-4.6754274681951846E-5</v>
      </c>
      <c r="AD37" s="21">
        <v>3225</v>
      </c>
      <c r="AE37" s="17">
        <f t="shared" si="3"/>
        <v>1.9435905004297412E-4</v>
      </c>
      <c r="AF37" s="50">
        <f t="shared" si="4"/>
        <v>-3830.01</v>
      </c>
      <c r="AG37" s="21">
        <v>2875</v>
      </c>
      <c r="AH37" s="17">
        <f t="shared" si="5"/>
        <v>1.9514361579471681E-4</v>
      </c>
      <c r="AI37" s="50">
        <f t="shared" si="6"/>
        <v>-3480.01</v>
      </c>
      <c r="AJ37" s="399">
        <f t="shared" si="7"/>
        <v>-1.2557285180572851E-2</v>
      </c>
      <c r="AK37" s="400">
        <f t="shared" si="8"/>
        <v>6.6936488169364886E-2</v>
      </c>
      <c r="AL37" s="401">
        <f t="shared" si="9"/>
        <v>5.9672063096720629E-2</v>
      </c>
      <c r="AM37" s="402" t="str">
        <f t="shared" si="10"/>
        <v>-0.02 pts.</v>
      </c>
      <c r="AN37" s="403" t="str">
        <f t="shared" si="11"/>
        <v>-0.02 pts.</v>
      </c>
    </row>
    <row r="38" spans="1:40" x14ac:dyDescent="0.25">
      <c r="A38" s="6" t="s">
        <v>26</v>
      </c>
      <c r="B38" s="7"/>
      <c r="H38" s="15" t="s">
        <v>834</v>
      </c>
      <c r="I38" s="161" t="s">
        <v>1064</v>
      </c>
      <c r="J38" s="161" t="s">
        <v>78</v>
      </c>
      <c r="K38" s="68" t="str">
        <f t="shared" si="0"/>
        <v>&gt;</v>
      </c>
      <c r="L38" s="162"/>
      <c r="M38" s="162"/>
      <c r="N38" s="162" t="s">
        <v>1100</v>
      </c>
      <c r="O38" s="21">
        <v>29.85</v>
      </c>
      <c r="P38" s="21"/>
      <c r="Q38" s="21">
        <v>-22.62</v>
      </c>
      <c r="R38" s="21">
        <v>293.93</v>
      </c>
      <c r="S38" s="21">
        <v>471.7</v>
      </c>
      <c r="T38" s="21">
        <v>149.11000000000001</v>
      </c>
      <c r="U38" s="21">
        <v>14.44</v>
      </c>
      <c r="V38" s="21">
        <v>-183.79</v>
      </c>
      <c r="W38" s="21">
        <v>60.03</v>
      </c>
      <c r="X38" s="21">
        <v>20.89</v>
      </c>
      <c r="Y38" s="21">
        <v>-18.600000000000001</v>
      </c>
      <c r="Z38" s="21"/>
      <c r="AA38" s="38">
        <f t="shared" si="1"/>
        <v>814.94</v>
      </c>
      <c r="AB38" s="17">
        <f t="shared" si="2"/>
        <v>6.297735344756259E-5</v>
      </c>
      <c r="AD38" s="21">
        <v>1234</v>
      </c>
      <c r="AE38" s="17">
        <f t="shared" si="3"/>
        <v>7.4368703179234123E-5</v>
      </c>
      <c r="AF38" s="50">
        <f t="shared" si="4"/>
        <v>-419.05999999999995</v>
      </c>
      <c r="AG38" s="21">
        <v>1197.4100000000001</v>
      </c>
      <c r="AH38" s="17">
        <f t="shared" si="5"/>
        <v>8.127544938739196E-5</v>
      </c>
      <c r="AI38" s="50">
        <f t="shared" si="6"/>
        <v>-382.47</v>
      </c>
      <c r="AJ38" s="399">
        <f t="shared" si="7"/>
        <v>1.6914487339144874E-2</v>
      </c>
      <c r="AK38" s="400">
        <f t="shared" si="8"/>
        <v>2.5612287256122874E-2</v>
      </c>
      <c r="AL38" s="401">
        <f t="shared" si="9"/>
        <v>2.4852843503528437E-2</v>
      </c>
      <c r="AM38" s="402" t="str">
        <f t="shared" si="10"/>
        <v>0 pts.</v>
      </c>
      <c r="AN38" s="403" t="str">
        <f t="shared" si="11"/>
        <v>0 pts.</v>
      </c>
    </row>
    <row r="39" spans="1:40" x14ac:dyDescent="0.25">
      <c r="A39" s="6" t="s">
        <v>27</v>
      </c>
      <c r="B39" s="7"/>
      <c r="H39" s="15" t="s">
        <v>835</v>
      </c>
      <c r="I39" s="161" t="s">
        <v>1064</v>
      </c>
      <c r="J39" s="161" t="s">
        <v>78</v>
      </c>
      <c r="K39" s="68" t="str">
        <f t="shared" si="0"/>
        <v>&gt;</v>
      </c>
      <c r="L39" s="162">
        <v>702900</v>
      </c>
      <c r="M39" s="162"/>
      <c r="N39" s="162" t="s">
        <v>1101</v>
      </c>
      <c r="O39" s="21"/>
      <c r="P39" s="21"/>
      <c r="Q39" s="21"/>
      <c r="R39" s="21">
        <v>80.900000000000006</v>
      </c>
      <c r="S39" s="21">
        <v>74.12</v>
      </c>
      <c r="T39" s="21">
        <v>-64.16</v>
      </c>
      <c r="U39" s="21">
        <v>145.83000000000001</v>
      </c>
      <c r="V39" s="21">
        <v>18.29</v>
      </c>
      <c r="W39" s="21">
        <v>46.94</v>
      </c>
      <c r="X39" s="21"/>
      <c r="Y39" s="21">
        <v>20.89</v>
      </c>
      <c r="Z39" s="21"/>
      <c r="AA39" s="38">
        <f t="shared" si="1"/>
        <v>322.81</v>
      </c>
      <c r="AB39" s="17">
        <f t="shared" si="2"/>
        <v>2.4946277598851053E-5</v>
      </c>
      <c r="AD39" s="21">
        <v>373</v>
      </c>
      <c r="AE39" s="17">
        <f t="shared" si="3"/>
        <v>2.2479356795668015E-5</v>
      </c>
      <c r="AF39" s="50">
        <f t="shared" si="4"/>
        <v>-50.19</v>
      </c>
      <c r="AG39" s="21">
        <v>476.96</v>
      </c>
      <c r="AH39" s="17">
        <f t="shared" si="5"/>
        <v>3.2374156170242827E-5</v>
      </c>
      <c r="AI39" s="50">
        <f t="shared" si="6"/>
        <v>-154.14999999999998</v>
      </c>
      <c r="AJ39" s="399">
        <f t="shared" si="7"/>
        <v>6.7000830220008299E-3</v>
      </c>
      <c r="AK39" s="400">
        <f t="shared" si="8"/>
        <v>7.7418015774180157E-3</v>
      </c>
      <c r="AL39" s="401">
        <f t="shared" si="9"/>
        <v>9.8995433789954342E-3</v>
      </c>
      <c r="AM39" s="402" t="str">
        <f t="shared" si="10"/>
        <v>0 pts.</v>
      </c>
      <c r="AN39" s="403" t="str">
        <f t="shared" si="11"/>
        <v>0 pts.</v>
      </c>
    </row>
    <row r="40" spans="1:40" x14ac:dyDescent="0.25">
      <c r="A40" s="6" t="s">
        <v>28</v>
      </c>
      <c r="B40" s="7"/>
      <c r="H40" s="15" t="s">
        <v>875</v>
      </c>
      <c r="I40" s="161" t="s">
        <v>1009</v>
      </c>
      <c r="J40" s="161" t="s">
        <v>1009</v>
      </c>
      <c r="K40" s="68" t="str">
        <f t="shared" si="0"/>
        <v/>
      </c>
      <c r="L40" s="162">
        <v>703100</v>
      </c>
      <c r="M40" s="162">
        <v>690035</v>
      </c>
      <c r="N40" s="162" t="s">
        <v>1104</v>
      </c>
      <c r="O40" s="21"/>
      <c r="P40" s="21"/>
      <c r="Q40" s="21"/>
      <c r="R40" s="21"/>
      <c r="S40" s="21">
        <v>133.33000000000001</v>
      </c>
      <c r="T40" s="21"/>
      <c r="U40" s="21"/>
      <c r="V40" s="21"/>
      <c r="W40" s="21"/>
      <c r="X40" s="21"/>
      <c r="Y40" s="21"/>
      <c r="Z40" s="21"/>
      <c r="AA40" s="38">
        <f t="shared" si="1"/>
        <v>133.33000000000001</v>
      </c>
      <c r="AB40" s="17">
        <f t="shared" si="2"/>
        <v>1.0303544475867573E-5</v>
      </c>
      <c r="AD40" s="21">
        <v>865</v>
      </c>
      <c r="AE40" s="17">
        <f t="shared" si="3"/>
        <v>5.2130411871991506E-5</v>
      </c>
      <c r="AF40" s="50">
        <f t="shared" si="4"/>
        <v>-731.67</v>
      </c>
      <c r="AG40" s="21">
        <v>425.41</v>
      </c>
      <c r="AH40" s="17">
        <f t="shared" si="5"/>
        <v>2.8875146293993213E-5</v>
      </c>
      <c r="AI40" s="50">
        <f t="shared" si="6"/>
        <v>-292.08000000000004</v>
      </c>
      <c r="AJ40" s="399">
        <f t="shared" si="7"/>
        <v>2.7673308426733089E-3</v>
      </c>
      <c r="AK40" s="400">
        <f t="shared" si="8"/>
        <v>1.7953507679535078E-2</v>
      </c>
      <c r="AL40" s="401">
        <f t="shared" si="9"/>
        <v>8.8295973432959748E-3</v>
      </c>
      <c r="AM40" s="402" t="str">
        <f t="shared" si="10"/>
        <v>0 pts.</v>
      </c>
      <c r="AN40" s="403" t="str">
        <f t="shared" si="11"/>
        <v>0 pts.</v>
      </c>
    </row>
    <row r="41" spans="1:40" x14ac:dyDescent="0.25">
      <c r="A41" s="6" t="s">
        <v>29</v>
      </c>
      <c r="B41" s="7"/>
      <c r="H41" s="15" t="s">
        <v>885</v>
      </c>
      <c r="I41" s="161" t="s">
        <v>1009</v>
      </c>
      <c r="J41" s="161" t="s">
        <v>1009</v>
      </c>
      <c r="K41" s="68" t="str">
        <f t="shared" si="0"/>
        <v/>
      </c>
      <c r="L41" s="162">
        <v>706700</v>
      </c>
      <c r="M41" s="162">
        <v>690248</v>
      </c>
      <c r="N41" s="162" t="s">
        <v>1730</v>
      </c>
      <c r="O41" s="21">
        <v>4787.49</v>
      </c>
      <c r="P41" s="21">
        <v>1143.17</v>
      </c>
      <c r="Q41" s="21">
        <v>2245.61</v>
      </c>
      <c r="R41" s="21">
        <v>4858.32</v>
      </c>
      <c r="S41" s="21">
        <v>2969.07</v>
      </c>
      <c r="T41" s="21">
        <v>2345.7600000000002</v>
      </c>
      <c r="U41" s="21">
        <v>855.44</v>
      </c>
      <c r="V41" s="21">
        <v>4128.46</v>
      </c>
      <c r="W41" s="21">
        <v>6053.23</v>
      </c>
      <c r="X41" s="21">
        <v>3929.37</v>
      </c>
      <c r="Y41" s="21">
        <v>5604.5</v>
      </c>
      <c r="Z41" s="21">
        <v>6504.08</v>
      </c>
      <c r="AA41" s="38">
        <f t="shared" si="1"/>
        <v>45424.5</v>
      </c>
      <c r="AB41" s="17">
        <f t="shared" si="2"/>
        <v>3.5103379287785685E-3</v>
      </c>
      <c r="AD41" s="21">
        <v>47337</v>
      </c>
      <c r="AE41" s="17">
        <f t="shared" si="3"/>
        <v>2.852829256398222E-3</v>
      </c>
      <c r="AF41" s="50">
        <f t="shared" si="4"/>
        <v>-1912.5</v>
      </c>
      <c r="AG41" s="21">
        <v>52067.73</v>
      </c>
      <c r="AH41" s="17">
        <f t="shared" si="5"/>
        <v>3.5341513385819309E-3</v>
      </c>
      <c r="AI41" s="50">
        <f t="shared" si="6"/>
        <v>-6643.2300000000032</v>
      </c>
      <c r="AJ41" s="399">
        <f t="shared" si="7"/>
        <v>0.94280821917808222</v>
      </c>
      <c r="AK41" s="400">
        <f t="shared" si="8"/>
        <v>0.98250311332503115</v>
      </c>
      <c r="AL41" s="401">
        <f t="shared" si="9"/>
        <v>1.0806917808219179</v>
      </c>
      <c r="AM41" s="402" t="str">
        <f t="shared" si="10"/>
        <v>0.07 pts.</v>
      </c>
      <c r="AN41" s="403" t="str">
        <f t="shared" si="11"/>
        <v>0 pts.</v>
      </c>
    </row>
    <row r="42" spans="1:40" x14ac:dyDescent="0.25">
      <c r="A42" s="6" t="s">
        <v>30</v>
      </c>
      <c r="B42" s="7" t="s">
        <v>78</v>
      </c>
      <c r="H42" s="15" t="s">
        <v>886</v>
      </c>
      <c r="I42" s="161" t="s">
        <v>1009</v>
      </c>
      <c r="J42" s="161" t="s">
        <v>1009</v>
      </c>
      <c r="K42" s="68" t="str">
        <f t="shared" si="0"/>
        <v/>
      </c>
      <c r="L42" s="162">
        <v>706800</v>
      </c>
      <c r="M42" s="162">
        <v>690030</v>
      </c>
      <c r="N42" s="162" t="s">
        <v>1731</v>
      </c>
      <c r="O42" s="21">
        <v>882.8</v>
      </c>
      <c r="P42" s="21">
        <v>-398.12</v>
      </c>
      <c r="Q42" s="21">
        <v>1352.28</v>
      </c>
      <c r="R42" s="21">
        <v>2522.42</v>
      </c>
      <c r="S42" s="21">
        <v>610.34</v>
      </c>
      <c r="T42" s="21">
        <v>976.01</v>
      </c>
      <c r="U42" s="21">
        <v>60.02</v>
      </c>
      <c r="V42" s="21">
        <v>-1048.04</v>
      </c>
      <c r="W42" s="21">
        <v>361.71</v>
      </c>
      <c r="X42" s="21">
        <v>35.28</v>
      </c>
      <c r="Y42" s="21">
        <v>102.63</v>
      </c>
      <c r="Z42" s="21">
        <v>234.75</v>
      </c>
      <c r="AA42" s="38">
        <f t="shared" si="1"/>
        <v>5692.0800000000008</v>
      </c>
      <c r="AB42" s="17">
        <f t="shared" si="2"/>
        <v>4.3987549268878945E-4</v>
      </c>
      <c r="AD42" s="21">
        <v>8190</v>
      </c>
      <c r="AE42" s="17">
        <f t="shared" si="3"/>
        <v>4.9358158755099472E-4</v>
      </c>
      <c r="AF42" s="50">
        <f t="shared" si="4"/>
        <v>-2497.9199999999992</v>
      </c>
      <c r="AG42" s="21">
        <v>8088.62</v>
      </c>
      <c r="AH42" s="17">
        <f t="shared" si="5"/>
        <v>5.4902349690068254E-4</v>
      </c>
      <c r="AI42" s="50">
        <f t="shared" si="6"/>
        <v>-2396.5399999999991</v>
      </c>
      <c r="AJ42" s="399">
        <f t="shared" si="7"/>
        <v>0.11814196762141969</v>
      </c>
      <c r="AK42" s="400">
        <f t="shared" si="8"/>
        <v>0.16998754669987548</v>
      </c>
      <c r="AL42" s="401">
        <f t="shared" si="9"/>
        <v>0.16788335408883354</v>
      </c>
      <c r="AM42" s="402" t="str">
        <f t="shared" si="10"/>
        <v>-0.01 pts.</v>
      </c>
      <c r="AN42" s="403" t="str">
        <f t="shared" si="11"/>
        <v>-0.01 pts.</v>
      </c>
    </row>
    <row r="43" spans="1:40" x14ac:dyDescent="0.25">
      <c r="A43" s="6" t="s">
        <v>31</v>
      </c>
      <c r="B43" s="7" t="s">
        <v>78</v>
      </c>
      <c r="H43" s="15" t="s">
        <v>887</v>
      </c>
      <c r="I43" s="161" t="s">
        <v>1009</v>
      </c>
      <c r="J43" s="161" t="s">
        <v>1009</v>
      </c>
      <c r="K43" s="68" t="str">
        <f t="shared" si="0"/>
        <v/>
      </c>
      <c r="L43" s="162">
        <v>706900</v>
      </c>
      <c r="M43" s="162">
        <v>690031</v>
      </c>
      <c r="N43" s="162" t="s">
        <v>1732</v>
      </c>
      <c r="O43" s="21"/>
      <c r="P43" s="21">
        <v>722.14</v>
      </c>
      <c r="Q43" s="21">
        <v>885.29</v>
      </c>
      <c r="R43" s="21"/>
      <c r="S43" s="21"/>
      <c r="T43" s="21"/>
      <c r="U43" s="21"/>
      <c r="V43" s="21"/>
      <c r="W43" s="21"/>
      <c r="X43" s="21"/>
      <c r="Y43" s="21"/>
      <c r="Z43" s="21"/>
      <c r="AA43" s="38">
        <f t="shared" si="1"/>
        <v>1607.4299999999998</v>
      </c>
      <c r="AB43" s="17">
        <f t="shared" si="2"/>
        <v>1.2421980422143411E-4</v>
      </c>
      <c r="AD43" s="21"/>
      <c r="AE43" s="17" t="str">
        <f t="shared" si="3"/>
        <v/>
      </c>
      <c r="AF43" s="50">
        <f t="shared" si="4"/>
        <v>1607.4299999999998</v>
      </c>
      <c r="AG43" s="21">
        <v>27000</v>
      </c>
      <c r="AH43" s="17">
        <f t="shared" si="5"/>
        <v>1.8326530874634276E-3</v>
      </c>
      <c r="AI43" s="50">
        <f t="shared" si="6"/>
        <v>-25392.57</v>
      </c>
      <c r="AJ43" s="399">
        <f t="shared" si="7"/>
        <v>3.3363013698630137E-2</v>
      </c>
      <c r="AK43" s="400">
        <f t="shared" si="8"/>
        <v>0</v>
      </c>
      <c r="AL43" s="401">
        <f t="shared" si="9"/>
        <v>0.56039850560398508</v>
      </c>
      <c r="AM43" s="402">
        <f t="shared" si="10"/>
        <v>0</v>
      </c>
      <c r="AN43" s="403" t="str">
        <f t="shared" si="11"/>
        <v>-0.17 pts.</v>
      </c>
    </row>
    <row r="44" spans="1:40" x14ac:dyDescent="0.25">
      <c r="A44" s="6" t="s">
        <v>32</v>
      </c>
      <c r="B44" s="7"/>
      <c r="H44" s="15" t="s">
        <v>79</v>
      </c>
      <c r="I44" s="27" t="s">
        <v>1012</v>
      </c>
      <c r="J44" s="27" t="s">
        <v>78</v>
      </c>
      <c r="K44" s="26"/>
      <c r="N44" s="25" t="s">
        <v>1116</v>
      </c>
      <c r="O44" s="33">
        <f t="shared" ref="O44:Z44" si="12">SUM(O34:O43)</f>
        <v>6575.14</v>
      </c>
      <c r="P44" s="33">
        <f t="shared" si="12"/>
        <v>-531.0999999999998</v>
      </c>
      <c r="Q44" s="33">
        <f t="shared" si="12"/>
        <v>4685.5600000000004</v>
      </c>
      <c r="R44" s="33">
        <f t="shared" si="12"/>
        <v>7760.73</v>
      </c>
      <c r="S44" s="33">
        <f t="shared" si="12"/>
        <v>4092.09</v>
      </c>
      <c r="T44" s="33">
        <f t="shared" si="12"/>
        <v>3931.5</v>
      </c>
      <c r="U44" s="33">
        <f t="shared" si="12"/>
        <v>1115.73</v>
      </c>
      <c r="V44" s="33">
        <f t="shared" si="12"/>
        <v>2914.92</v>
      </c>
      <c r="W44" s="33">
        <f t="shared" si="12"/>
        <v>6704.3499999999995</v>
      </c>
      <c r="X44" s="33">
        <f t="shared" si="12"/>
        <v>4155.53</v>
      </c>
      <c r="Y44" s="33">
        <f t="shared" si="12"/>
        <v>5753.27</v>
      </c>
      <c r="Z44" s="33">
        <f t="shared" si="12"/>
        <v>6962.69</v>
      </c>
      <c r="AA44" s="33">
        <f t="shared" si="1"/>
        <v>54120.41</v>
      </c>
      <c r="AB44" s="34">
        <f t="shared" si="2"/>
        <v>4.1823449447775307E-3</v>
      </c>
      <c r="AD44" s="33">
        <f>SUM(AD34:AD43)</f>
        <v>62676</v>
      </c>
      <c r="AE44" s="34">
        <f t="shared" si="3"/>
        <v>3.7772551381375025E-3</v>
      </c>
      <c r="AF44" s="52">
        <f t="shared" si="4"/>
        <v>-8555.5899999999965</v>
      </c>
      <c r="AG44" s="33">
        <f>SUM(AG34:AG43)</f>
        <v>93003.55</v>
      </c>
      <c r="AH44" s="34">
        <f t="shared" si="5"/>
        <v>6.3127127056503427E-3</v>
      </c>
      <c r="AI44" s="52">
        <f t="shared" si="6"/>
        <v>-38883.14</v>
      </c>
      <c r="AJ44" s="415">
        <f t="shared" si="7"/>
        <v>1.1232961809879618</v>
      </c>
      <c r="AK44" s="416">
        <f t="shared" si="8"/>
        <v>1.3008717310087172</v>
      </c>
      <c r="AL44" s="417">
        <f t="shared" si="9"/>
        <v>1.9303352013283521</v>
      </c>
      <c r="AM44" s="418" t="str">
        <f t="shared" si="10"/>
        <v>0.04 pts.</v>
      </c>
      <c r="AN44" s="436" t="str">
        <f t="shared" si="11"/>
        <v>-0.21 pts.</v>
      </c>
    </row>
    <row r="45" spans="1:40" x14ac:dyDescent="0.25">
      <c r="A45" s="6" t="s">
        <v>33</v>
      </c>
      <c r="B45" s="7"/>
    </row>
    <row r="46" spans="1:40" x14ac:dyDescent="0.25">
      <c r="A46" s="6" t="s">
        <v>34</v>
      </c>
      <c r="B46" s="7"/>
      <c r="H46" s="15" t="s">
        <v>498</v>
      </c>
      <c r="N46" s="26" t="str">
        <f>N44&amp;" - Check"</f>
        <v>Total Operations Expense - Check</v>
      </c>
      <c r="O46" s="139">
        <f>INDEX(AG!O50:O68,MATCH($H$46,AG!$G50:$G67,0))-O44</f>
        <v>0</v>
      </c>
      <c r="P46" s="139">
        <f>INDEX(AG!P50:P68,MATCH($H$46,AG!$G50:$G67,0))-P44</f>
        <v>0</v>
      </c>
      <c r="Q46" s="139">
        <f>INDEX(AG!Q50:Q68,MATCH($H$46,AG!$G50:$G67,0))-Q44</f>
        <v>0</v>
      </c>
      <c r="R46" s="139">
        <f>INDEX(AG!R50:R68,MATCH($H$46,AG!$G50:$G67,0))-R44</f>
        <v>0</v>
      </c>
      <c r="S46" s="139">
        <f>INDEX(AG!S50:S68,MATCH($H$46,AG!$G50:$G67,0))-S44</f>
        <v>0</v>
      </c>
      <c r="T46" s="139">
        <f>INDEX(AG!T50:T68,MATCH($H$46,AG!$G50:$G67,0))-T44</f>
        <v>0</v>
      </c>
      <c r="U46" s="139">
        <f>INDEX(AG!U50:U68,MATCH($H$46,AG!$G50:$G67,0))-U44</f>
        <v>0</v>
      </c>
      <c r="V46" s="139">
        <f>INDEX(AG!V50:V68,MATCH($H$46,AG!$G50:$G67,0))-V44</f>
        <v>0</v>
      </c>
      <c r="W46" s="139">
        <f>INDEX(AG!W50:W68,MATCH($H$46,AG!$G50:$G67,0))-W44</f>
        <v>0</v>
      </c>
      <c r="X46" s="139">
        <f>INDEX(AG!X50:X68,MATCH($H$46,AG!$G50:$G67,0))-X44</f>
        <v>0</v>
      </c>
      <c r="Y46" s="139">
        <f>INDEX(AG!Y50:Y68,MATCH($H$46,AG!$G50:$G67,0))-Y44</f>
        <v>0</v>
      </c>
      <c r="Z46" s="139">
        <f>INDEX(AG!Z50:Z68,MATCH($H$46,AG!$G50:$G67,0))-Z44</f>
        <v>0</v>
      </c>
      <c r="AA46" s="139">
        <f>IF($I46="B1","",SUM(O46:Z46))</f>
        <v>0</v>
      </c>
      <c r="AB46" s="349"/>
      <c r="AC46" s="166"/>
      <c r="AD46" s="139">
        <f>INDEX(AG!AD50:AD68,MATCH($H$46,AG!$G50:$G67,0))-AD44</f>
        <v>0</v>
      </c>
      <c r="AE46" s="349"/>
      <c r="AF46" s="21"/>
      <c r="AG46" s="139">
        <f>INDEX(AG!AG50:AG68,MATCH($H$46,AG!$G50:$G67,0))-AG44</f>
        <v>0</v>
      </c>
      <c r="AH46" s="349"/>
      <c r="AI46" s="21"/>
    </row>
    <row r="47" spans="1:40" x14ac:dyDescent="0.25">
      <c r="A47" s="6" t="s">
        <v>35</v>
      </c>
      <c r="B47" s="7"/>
      <c r="N47" s="11"/>
      <c r="O47" s="11"/>
      <c r="P47" s="11"/>
      <c r="Q47" s="11"/>
      <c r="R47" s="11"/>
      <c r="S47" s="11"/>
      <c r="T47" s="11"/>
      <c r="U47" s="11"/>
      <c r="V47" s="11"/>
      <c r="W47" s="11"/>
      <c r="X47" s="11"/>
      <c r="Y47" s="11"/>
      <c r="Z47" s="11"/>
      <c r="AA47" s="11"/>
      <c r="AB47" s="11"/>
      <c r="AD47" s="11"/>
      <c r="AE47" s="11"/>
      <c r="AF47" s="11"/>
      <c r="AG47" s="11"/>
      <c r="AH47" s="11"/>
      <c r="AI47" s="11"/>
    </row>
    <row r="48" spans="1:40" x14ac:dyDescent="0.25">
      <c r="A48" s="6" t="s">
        <v>36</v>
      </c>
      <c r="B48" s="7"/>
    </row>
    <row r="49" spans="1:10" x14ac:dyDescent="0.25">
      <c r="A49" s="6" t="s">
        <v>37</v>
      </c>
      <c r="B49" s="7"/>
    </row>
    <row r="50" spans="1:10" x14ac:dyDescent="0.25">
      <c r="A50" s="6" t="s">
        <v>38</v>
      </c>
      <c r="B50" s="7"/>
    </row>
    <row r="51" spans="1:10" x14ac:dyDescent="0.25">
      <c r="A51" s="6" t="s">
        <v>39</v>
      </c>
      <c r="B51" s="7"/>
    </row>
    <row r="52" spans="1:10" x14ac:dyDescent="0.25">
      <c r="A52" s="6" t="s">
        <v>40</v>
      </c>
      <c r="B52" s="7"/>
    </row>
    <row r="53" spans="1:10" x14ac:dyDescent="0.25">
      <c r="A53" s="6" t="s">
        <v>41</v>
      </c>
      <c r="B53" s="7"/>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row r="70" spans="8:10" x14ac:dyDescent="0.25">
      <c r="H70" s="11"/>
      <c r="J70" s="1"/>
    </row>
    <row r="71" spans="8:10" x14ac:dyDescent="0.25">
      <c r="H71" s="11"/>
      <c r="J71" s="1"/>
    </row>
    <row r="72" spans="8:10" x14ac:dyDescent="0.25">
      <c r="H72" s="11"/>
      <c r="J72" s="1"/>
    </row>
    <row r="73" spans="8:10" x14ac:dyDescent="0.25">
      <c r="H73" s="11"/>
      <c r="J73" s="1"/>
    </row>
    <row r="74" spans="8:10" x14ac:dyDescent="0.25">
      <c r="H74" s="11"/>
      <c r="J74" s="1"/>
    </row>
    <row r="75" spans="8:10" x14ac:dyDescent="0.25">
      <c r="H75" s="11"/>
      <c r="J75" s="1"/>
    </row>
    <row r="76" spans="8:10" x14ac:dyDescent="0.25">
      <c r="H76" s="11"/>
      <c r="J76" s="1"/>
    </row>
  </sheetData>
  <mergeCells count="2">
    <mergeCell ref="AD31:AE31"/>
    <mergeCell ref="AG31:AH31"/>
  </mergeCells>
  <dataValidations count="2">
    <dataValidation type="list" allowBlank="1" sqref="B28" xr:uid="{00000000-0002-0000-4F00-000000000000}">
      <formula1>"ACCOUNT,BUSINESSUNIT,CATEGORY,DATASRC,DEPARTMENT,INTCO,MEASURES,RPTCURRENCY,TIME"</formula1>
    </dataValidation>
    <dataValidation type="list" allowBlank="1" sqref="B29" xr:uid="{00000000-0002-0000-4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0692"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0692" r:id="rId5" name="FPMExcelClientSheetOptionstb1"/>
      </mc:Fallback>
    </mc:AlternateContent>
  </control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500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_xll.EVRNG(H35:H36)</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_xll.EVRNG($A$105:$B$126)</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291</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290</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75</v>
      </c>
      <c r="I35" s="28" t="e">
        <f ca="1">_xll.EVPRO($B$1,$H35,"STYLE")</f>
        <v>#NAME?</v>
      </c>
      <c r="J35" s="28" t="e">
        <f ca="1">_xll.EVPRO($B$1,$H35,"CALC")</f>
        <v>#NAME?</v>
      </c>
      <c r="K35" s="69" t="e">
        <f ca="1">IF(AND(I35&gt;="T3"),"&gt;","")</f>
        <v>#NAME?</v>
      </c>
      <c r="L35" s="25" t="e">
        <f ca="1">_xll.EVPRO($B$1,H35,"JDEID")</f>
        <v>#NAME?</v>
      </c>
      <c r="M35" s="170" t="e">
        <f ca="1">IF(AND(I35="N",J35="N"),_xll.EVPRO($B$1,H35,"PSFTID"),"")</f>
        <v>#NAME?</v>
      </c>
      <c r="N35" s="25" t="e">
        <f ca="1">IF(_xll.EVDES(H35,$B$1)="#NODATA","",_xll.EVDES(H35,$B$1))</f>
        <v>#NAME?</v>
      </c>
      <c r="O35" s="38"/>
      <c r="P35" s="38"/>
      <c r="Q35" s="38"/>
      <c r="R35" s="38"/>
      <c r="S35" s="38"/>
      <c r="T35" s="38"/>
      <c r="U35" s="38"/>
      <c r="V35" s="38"/>
      <c r="W35" s="38"/>
      <c r="X35" s="38"/>
      <c r="Y35" s="38"/>
      <c r="Z35" s="38"/>
      <c r="AA35" s="38" t="e">
        <f ca="1">IF($I35="B1","",SUM(O35:Z35))</f>
        <v>#NAME?</v>
      </c>
      <c r="AB35" s="39" t="e">
        <f ca="1">IF(AA35=0,"",IFERROR(AA35/AA$19,""))</f>
        <v>#NAME?</v>
      </c>
      <c r="AD35" s="21"/>
      <c r="AE35" s="17" t="str">
        <f>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28" t="e">
        <f ca="1">_xll.EVPRO($B$1,$H36,"STYLE")</f>
        <v>#NAME?</v>
      </c>
      <c r="J36" s="28" t="e">
        <f ca="1">_xll.EVPRO($B$1,$H36,"CALC")</f>
        <v>#NAME?</v>
      </c>
      <c r="K36" s="69" t="e">
        <f ca="1">IF(AND(I36&gt;="T3"),"&gt;","")</f>
        <v>#NAME?</v>
      </c>
      <c r="L36" s="25" t="e">
        <f ca="1">_xll.EVPRO($B$1,H36,"JDEID")</f>
        <v>#NAME?</v>
      </c>
      <c r="M36" s="170" t="e">
        <f ca="1">IF(AND(I36="N",J36="N"),_xll.EVPRO($B$1,H36,"PSFTID"),"")</f>
        <v>#NAME?</v>
      </c>
      <c r="N36" s="25" t="e">
        <f ca="1">IF(_xll.EVDES(H36,$B$1)="#NODATA","",_xll.EVDES(H36,$B$1))</f>
        <v>#NAME?</v>
      </c>
      <c r="O36" s="38"/>
      <c r="P36" s="38"/>
      <c r="Q36" s="38"/>
      <c r="R36" s="38"/>
      <c r="S36" s="38"/>
      <c r="T36" s="38"/>
      <c r="U36" s="38"/>
      <c r="V36" s="38"/>
      <c r="W36" s="38"/>
      <c r="X36" s="38"/>
      <c r="Y36" s="38"/>
      <c r="Z36" s="38"/>
      <c r="AA36" s="38" t="e">
        <f ca="1">IF($I36="B1","",SUM(O36:Z36))</f>
        <v>#NAME?</v>
      </c>
      <c r="AB36" s="39" t="e">
        <f ca="1">IF(AA36=0,"",IFERROR(AA36/AA$19,""))</f>
        <v>#NAME?</v>
      </c>
      <c r="AD36" s="21"/>
      <c r="AE36" s="17" t="str">
        <f>IF(AD36=0,"",IFERROR(AD36/AD$19,""))</f>
        <v/>
      </c>
      <c r="AF36" s="50" t="e">
        <f ca="1">IF(AND($AA36="",AD36=""),"",$AA36-AD36)</f>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25"/>
      <c r="I37" s="25"/>
      <c r="J37" s="25"/>
      <c r="K37" s="25"/>
      <c r="L37" s="25"/>
      <c r="M37" s="25"/>
      <c r="N37" s="25"/>
      <c r="O37" s="53"/>
      <c r="P37" s="54"/>
      <c r="Q37" s="54"/>
      <c r="R37" s="54"/>
      <c r="S37" s="54"/>
      <c r="T37" s="54"/>
      <c r="U37" s="54"/>
      <c r="V37" s="54"/>
      <c r="W37" s="54"/>
      <c r="X37" s="54"/>
      <c r="Y37" s="54"/>
      <c r="Z37" s="54"/>
      <c r="AA37" s="54"/>
      <c r="AB37" s="55"/>
      <c r="AD37" s="53"/>
      <c r="AE37" s="54"/>
      <c r="AF37" s="55"/>
      <c r="AG37" s="53"/>
      <c r="AH37" s="54"/>
      <c r="AI37" s="55"/>
    </row>
    <row r="38" spans="1:40" x14ac:dyDescent="0.25">
      <c r="A38" s="1" t="s">
        <v>100</v>
      </c>
      <c r="C38" s="8" t="s">
        <v>101</v>
      </c>
      <c r="D38" s="1" t="s">
        <v>106</v>
      </c>
      <c r="F38" s="1" t="s">
        <v>98</v>
      </c>
      <c r="H38" s="1" t="s">
        <v>504</v>
      </c>
      <c r="I38" s="11" t="e">
        <f ca="1">_xll.EVPRO($B$1,$H38,"STYLE")</f>
        <v>#NAME?</v>
      </c>
      <c r="J38" s="11" t="e">
        <f ca="1">_xll.EVPRO($B$1,$H38,"CALC")</f>
        <v>#NAME?</v>
      </c>
      <c r="K38" s="25"/>
      <c r="L38" s="25"/>
      <c r="M38" s="25"/>
      <c r="N38" s="40" t="e">
        <f ca="1">IF(_xll.EVDES(H38,$B$1)="#NODATA","",_xll.EVDES(H38,$B$1))</f>
        <v>#NAME?</v>
      </c>
      <c r="O38" s="43"/>
      <c r="P38" s="46"/>
      <c r="Q38" s="46"/>
      <c r="R38" s="46"/>
      <c r="S38" s="46"/>
      <c r="T38" s="46"/>
      <c r="U38" s="46"/>
      <c r="V38" s="46"/>
      <c r="W38" s="46"/>
      <c r="X38" s="46"/>
      <c r="Y38" s="46"/>
      <c r="Z38" s="46"/>
      <c r="AA38" s="46"/>
      <c r="AB38" s="44"/>
      <c r="AD38" s="43"/>
      <c r="AE38" s="46"/>
      <c r="AF38" s="44"/>
      <c r="AG38" s="43"/>
      <c r="AH38" s="46"/>
      <c r="AI38" s="44"/>
    </row>
    <row r="39" spans="1:40" x14ac:dyDescent="0.25">
      <c r="A39" s="1" t="s">
        <v>109</v>
      </c>
      <c r="C39" s="25" t="s">
        <v>101</v>
      </c>
      <c r="D39" s="1" t="s">
        <v>106</v>
      </c>
      <c r="F39" s="1" t="s">
        <v>98</v>
      </c>
      <c r="H39" s="15" t="s">
        <v>506</v>
      </c>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38">
        <v>534.57000000000005</v>
      </c>
      <c r="P39" s="38">
        <v>1223.73</v>
      </c>
      <c r="Q39" s="38">
        <v>821.98</v>
      </c>
      <c r="R39" s="38">
        <v>965.94</v>
      </c>
      <c r="S39" s="38">
        <v>750.34</v>
      </c>
      <c r="T39" s="38">
        <v>1210.54</v>
      </c>
      <c r="U39" s="38">
        <v>1130.74</v>
      </c>
      <c r="V39" s="38">
        <v>816.57</v>
      </c>
      <c r="W39" s="38">
        <v>685.47</v>
      </c>
      <c r="X39" s="38">
        <v>794.76</v>
      </c>
      <c r="Y39" s="38">
        <v>978.05</v>
      </c>
      <c r="Z39" s="38">
        <v>1037.1600000000001</v>
      </c>
      <c r="AA39" s="38" t="e">
        <f ca="1">IF($I39="B1","",SUM(O39:Z39))</f>
        <v>#NAME?</v>
      </c>
      <c r="AB39" s="39" t="e">
        <f ca="1">IF(AA39=0,"",IFERROR(AA39/AA$19,""))</f>
        <v>#NAME?</v>
      </c>
      <c r="AD39" s="38">
        <v>11696</v>
      </c>
      <c r="AE39" s="39" t="str">
        <f ca="1">IF(AD39=0,"",IFERROR(AD39/AD$19,""))</f>
        <v/>
      </c>
      <c r="AF39" s="132" t="e">
        <f ca="1">IF(AND($AA39="",AD39=""),"",$AA39-AD39)</f>
        <v>#NAME?</v>
      </c>
      <c r="AG39" s="38">
        <v>10877.4</v>
      </c>
      <c r="AH39" s="39" t="str">
        <f t="shared" ref="AH39:AH44" ca="1" si="0">IF(AG39=0,"",IFERROR(AG39/AG$19,""))</f>
        <v/>
      </c>
      <c r="AI39" s="132" t="e">
        <f t="shared" ref="AI39:AI44" ca="1" si="1">IF(AND($AA39="",AG39=""),"",$AA39-AG39)</f>
        <v>#NAME?</v>
      </c>
      <c r="AJ39" s="399">
        <f t="shared" ref="AJ39:AJ44" ca="1" si="2">IFERROR(AA39/AA$20,0)</f>
        <v>0</v>
      </c>
      <c r="AK39" s="400">
        <f t="shared" ref="AK39:AK44" ca="1" si="3">IFERROR(AD39/AD$20,0)</f>
        <v>0</v>
      </c>
      <c r="AL39" s="401">
        <f t="shared" ref="AL39:AL44" ca="1" si="4">IFERROR(AG39/AG$20,0)</f>
        <v>0</v>
      </c>
      <c r="AM39" s="402">
        <f t="shared" ref="AM39:AM44" ca="1" si="5">+IFERROR(ROUND(($AB39-AE39)*100,2)&amp;" pts.",0)</f>
        <v>0</v>
      </c>
      <c r="AN39" s="403">
        <f t="shared" ref="AN39:AN44" ca="1" si="6">+IFERROR(ROUND(($AB39-AH39)*100,2)&amp;" pts.",0)</f>
        <v>0</v>
      </c>
    </row>
    <row r="40" spans="1:40" x14ac:dyDescent="0.25">
      <c r="A40" s="1" t="s">
        <v>109</v>
      </c>
      <c r="C40" s="151" t="s">
        <v>101</v>
      </c>
      <c r="D40" s="1" t="s">
        <v>107</v>
      </c>
      <c r="F40" s="1" t="s">
        <v>99</v>
      </c>
      <c r="H40" s="15" t="s">
        <v>507</v>
      </c>
      <c r="I40" s="161" t="e">
        <f ca="1">_xll.EVPRO($B$1,$H40,"STYLE")</f>
        <v>#NAME?</v>
      </c>
      <c r="J40" s="161" t="e">
        <f ca="1">_xll.EVPRO($B$1,$H40,"CALC")</f>
        <v>#NAME?</v>
      </c>
      <c r="K40" s="68" t="e">
        <f t="shared" ref="K40:K43" ca="1" si="7">IF(AND(I40&gt;="T3"),"&gt;","")</f>
        <v>#NAME?</v>
      </c>
      <c r="L40" s="162" t="e">
        <f ca="1">_xll.EVPRO($B$1,H40,"JDEID")</f>
        <v>#NAME?</v>
      </c>
      <c r="M40" s="162" t="e">
        <f ca="1">IF(AND(I40="N",J40="N"),_xll.EVPRO($B$1,H40,"PSFTID"),"")</f>
        <v>#NAME?</v>
      </c>
      <c r="N40" s="162" t="e">
        <f ca="1">IF(_xll.EVDES(H40,$B$1)="#NODATA","",_xll.EVDES(H40,$B$1))</f>
        <v>#NAME?</v>
      </c>
      <c r="O40" s="38">
        <v>3349.04</v>
      </c>
      <c r="P40" s="38">
        <v>2853.55</v>
      </c>
      <c r="Q40" s="38">
        <v>3357.76</v>
      </c>
      <c r="R40" s="38">
        <v>3351.76</v>
      </c>
      <c r="S40" s="38">
        <v>3389.83</v>
      </c>
      <c r="T40" s="38">
        <v>3397.14</v>
      </c>
      <c r="U40" s="38">
        <v>3406.32</v>
      </c>
      <c r="V40" s="38">
        <v>3455.16</v>
      </c>
      <c r="W40" s="38">
        <v>3432.17</v>
      </c>
      <c r="X40" s="38">
        <v>3092.88</v>
      </c>
      <c r="Y40" s="38">
        <v>3187.49</v>
      </c>
      <c r="Z40" s="38">
        <v>3507.38</v>
      </c>
      <c r="AA40" s="38" t="e">
        <f ca="1">IF($I40="B1","",SUM(O40:Z40))</f>
        <v>#NAME?</v>
      </c>
      <c r="AB40" s="39" t="e">
        <f ca="1">IF(AA40=0,"",IFERROR(AA40/AA$19,""))</f>
        <v>#NAME?</v>
      </c>
      <c r="AD40" s="38">
        <v>39684</v>
      </c>
      <c r="AE40" s="39" t="str">
        <f ca="1">IF(AD40=0,"",IFERROR(AD40/AD$19,""))</f>
        <v/>
      </c>
      <c r="AF40" s="132" t="e">
        <f ca="1">IF(AND($AA40="",AD40=""),"",$AA40-AD40)</f>
        <v>#NAME?</v>
      </c>
      <c r="AG40" s="38">
        <v>38021.58</v>
      </c>
      <c r="AH40" s="39" t="str">
        <f t="shared" ref="AH40:AH43" ca="1" si="8">IF(AG40=0,"",IFERROR(AG40/AG$19,""))</f>
        <v/>
      </c>
      <c r="AI40" s="132" t="e">
        <f t="shared" ref="AI40:AI43" ca="1" si="9">IF(AND($AA40="",AG40=""),"",$AA40-AG40)</f>
        <v>#NAME?</v>
      </c>
      <c r="AJ40" s="399">
        <f t="shared" ref="AJ40:AJ43" ca="1" si="10">IFERROR(AA40/AA$20,0)</f>
        <v>0</v>
      </c>
      <c r="AK40" s="400">
        <f t="shared" ref="AK40:AK43" ca="1" si="11">IFERROR(AD40/AD$20,0)</f>
        <v>0</v>
      </c>
      <c r="AL40" s="401">
        <f t="shared" ref="AL40:AL43" ca="1" si="12">IFERROR(AG40/AG$20,0)</f>
        <v>0</v>
      </c>
      <c r="AM40" s="402">
        <f t="shared" ref="AM40:AM43" ca="1" si="13">+IFERROR(ROUND(($AB40-AE40)*100,2)&amp;" pts.",0)</f>
        <v>0</v>
      </c>
      <c r="AN40" s="403">
        <f t="shared" ref="AN40:AN43" ca="1" si="14">+IFERROR(ROUND(($AB40-AH40)*100,2)&amp;" pts.",0)</f>
        <v>0</v>
      </c>
    </row>
    <row r="41" spans="1:40" x14ac:dyDescent="0.25">
      <c r="A41" s="1" t="s">
        <v>110</v>
      </c>
      <c r="C41" s="25" t="s">
        <v>101</v>
      </c>
      <c r="D41" s="1" t="s">
        <v>106</v>
      </c>
      <c r="F41" s="1" t="s">
        <v>98</v>
      </c>
      <c r="H41" s="15" t="s">
        <v>508</v>
      </c>
      <c r="I41" s="161" t="e">
        <f ca="1">_xll.EVPRO($B$1,$H41,"STYLE")</f>
        <v>#NAME?</v>
      </c>
      <c r="J41" s="161" t="e">
        <f ca="1">_xll.EVPRO($B$1,$H41,"CALC")</f>
        <v>#NAME?</v>
      </c>
      <c r="K41" s="68" t="e">
        <f t="shared" ca="1" si="7"/>
        <v>#NAME?</v>
      </c>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t="e">
        <f ca="1">IF($I41="B1","",SUM(O41:Z41))</f>
        <v>#NAME?</v>
      </c>
      <c r="AB41" s="39" t="e">
        <f ca="1">IF(AA41=0,"",IFERROR(AA41/AA$19,""))</f>
        <v>#NAME?</v>
      </c>
      <c r="AD41" s="38"/>
      <c r="AE41" s="39" t="str">
        <f>IF(AD41=0,"",IFERROR(AD41/AD$19,""))</f>
        <v/>
      </c>
      <c r="AF41" s="132" t="e">
        <f ca="1">IF(AND($AA41="",AD41=""),"",$AA41-AD41)</f>
        <v>#NAME?</v>
      </c>
      <c r="AG41" s="38"/>
      <c r="AH41" s="39" t="str">
        <f t="shared" si="8"/>
        <v/>
      </c>
      <c r="AI41" s="132" t="e">
        <f t="shared" ca="1" si="9"/>
        <v>#NAME?</v>
      </c>
      <c r="AJ41" s="399">
        <f t="shared" ca="1" si="10"/>
        <v>0</v>
      </c>
      <c r="AK41" s="400">
        <f t="shared" ca="1" si="11"/>
        <v>0</v>
      </c>
      <c r="AL41" s="401">
        <f t="shared" ca="1" si="12"/>
        <v>0</v>
      </c>
      <c r="AM41" s="402">
        <f t="shared" ca="1" si="13"/>
        <v>0</v>
      </c>
      <c r="AN41" s="403">
        <f t="shared" ca="1" si="14"/>
        <v>0</v>
      </c>
    </row>
    <row r="42" spans="1:40" x14ac:dyDescent="0.25">
      <c r="A42" s="1" t="s">
        <v>110</v>
      </c>
      <c r="C42" s="29" t="s">
        <v>101</v>
      </c>
      <c r="D42" s="1" t="s">
        <v>107</v>
      </c>
      <c r="F42" s="1" t="s">
        <v>99</v>
      </c>
      <c r="H42" s="15" t="s">
        <v>509</v>
      </c>
      <c r="I42" s="161" t="e">
        <f ca="1">_xll.EVPRO($B$1,$H42,"STYLE")</f>
        <v>#NAME?</v>
      </c>
      <c r="J42" s="161" t="e">
        <f ca="1">_xll.EVPRO($B$1,$H42,"CALC")</f>
        <v>#NAME?</v>
      </c>
      <c r="K42" s="68" t="e">
        <f t="shared" ca="1" si="7"/>
        <v>#NAME?</v>
      </c>
      <c r="L42" s="162" t="e">
        <f ca="1">_xll.EVPRO($B$1,H42,"JDEID")</f>
        <v>#NAME?</v>
      </c>
      <c r="M42" s="162" t="e">
        <f ca="1">IF(AND(I42="N",J42="N"),_xll.EVPRO($B$1,H42,"PSFTID"),"")</f>
        <v>#NAME?</v>
      </c>
      <c r="N42" s="162" t="e">
        <f ca="1">IF(_xll.EVDES(H42,$B$1)="#NODATA","",_xll.EVDES(H42,$B$1))</f>
        <v>#NAME?</v>
      </c>
      <c r="O42" s="38"/>
      <c r="P42" s="38"/>
      <c r="Q42" s="38"/>
      <c r="R42" s="38"/>
      <c r="S42" s="38"/>
      <c r="T42" s="38"/>
      <c r="U42" s="38"/>
      <c r="V42" s="38"/>
      <c r="W42" s="38"/>
      <c r="X42" s="38"/>
      <c r="Y42" s="38"/>
      <c r="Z42" s="38"/>
      <c r="AA42" s="38" t="e">
        <f ca="1">IF($I42="B1","",SUM(O42:Z42))</f>
        <v>#NAME?</v>
      </c>
      <c r="AB42" s="39" t="e">
        <f ca="1">IF(AA42=0,"",IFERROR(AA42/AA$19,""))</f>
        <v>#NAME?</v>
      </c>
      <c r="AD42" s="38"/>
      <c r="AE42" s="39" t="str">
        <f>IF(AD42=0,"",IFERROR(AD42/AD$19,""))</f>
        <v/>
      </c>
      <c r="AF42" s="132" t="e">
        <f ca="1">IF(AND($AA42="",AD42=""),"",$AA42-AD42)</f>
        <v>#NAME?</v>
      </c>
      <c r="AG42" s="38"/>
      <c r="AH42" s="39" t="str">
        <f t="shared" si="8"/>
        <v/>
      </c>
      <c r="AI42" s="132" t="e">
        <f t="shared" ca="1" si="9"/>
        <v>#NAME?</v>
      </c>
      <c r="AJ42" s="399">
        <f t="shared" ca="1" si="10"/>
        <v>0</v>
      </c>
      <c r="AK42" s="400">
        <f t="shared" ca="1" si="11"/>
        <v>0</v>
      </c>
      <c r="AL42" s="401">
        <f t="shared" ca="1" si="12"/>
        <v>0</v>
      </c>
      <c r="AM42" s="402">
        <f t="shared" ca="1" si="13"/>
        <v>0</v>
      </c>
      <c r="AN42" s="403">
        <f t="shared" ca="1" si="14"/>
        <v>0</v>
      </c>
    </row>
    <row r="43" spans="1:40" x14ac:dyDescent="0.25">
      <c r="C43" s="32"/>
      <c r="H43" s="15" t="s">
        <v>510</v>
      </c>
      <c r="I43" s="161" t="e">
        <f ca="1">_xll.EVPRO($B$1,$H43,"STYLE")</f>
        <v>#NAME?</v>
      </c>
      <c r="J43" s="161" t="e">
        <f ca="1">_xll.EVPRO($B$1,$H43,"CALC")</f>
        <v>#NAME?</v>
      </c>
      <c r="K43" s="68" t="e">
        <f t="shared" ca="1" si="7"/>
        <v>#NAME?</v>
      </c>
      <c r="L43" s="162" t="e">
        <f ca="1">_xll.EVPRO($B$1,H43,"JDEID")</f>
        <v>#NAME?</v>
      </c>
      <c r="M43" s="162" t="e">
        <f ca="1">IF(AND(I43="N",J43="N"),_xll.EVPRO($B$1,H43,"PSFTID"),"")</f>
        <v>#NAME?</v>
      </c>
      <c r="N43" s="162" t="e">
        <f ca="1">IF(_xll.EVDES(H43,$B$1)="#NODATA","",_xll.EVDES(H43,$B$1))</f>
        <v>#NAME?</v>
      </c>
      <c r="O43" s="38">
        <v>299</v>
      </c>
      <c r="P43" s="38">
        <v>273.08</v>
      </c>
      <c r="Q43" s="38"/>
      <c r="R43" s="38"/>
      <c r="S43" s="38">
        <v>117.64</v>
      </c>
      <c r="T43" s="38"/>
      <c r="U43" s="38">
        <v>729.69</v>
      </c>
      <c r="V43" s="38"/>
      <c r="W43" s="38"/>
      <c r="X43" s="38">
        <v>299</v>
      </c>
      <c r="Y43" s="38">
        <v>299</v>
      </c>
      <c r="Z43" s="38"/>
      <c r="AA43" s="38" t="e">
        <f ca="1">IF($I43="B1","",SUM(O43:Z43))</f>
        <v>#NAME?</v>
      </c>
      <c r="AB43" s="39" t="e">
        <f ca="1">IF(AA43=0,"",IFERROR(AA43/AA$19,""))</f>
        <v>#NAME?</v>
      </c>
      <c r="AD43" s="38">
        <v>3588</v>
      </c>
      <c r="AE43" s="39" t="str">
        <f ca="1">IF(AD43=0,"",IFERROR(AD43/AD$19,""))</f>
        <v/>
      </c>
      <c r="AF43" s="132" t="e">
        <f ca="1">IF(AND($AA43="",AD43=""),"",$AA43-AD43)</f>
        <v>#NAME?</v>
      </c>
      <c r="AG43" s="38">
        <v>199.35</v>
      </c>
      <c r="AH43" s="39" t="str">
        <f t="shared" ca="1" si="8"/>
        <v/>
      </c>
      <c r="AI43" s="132" t="e">
        <f t="shared" ca="1" si="9"/>
        <v>#NAME?</v>
      </c>
      <c r="AJ43" s="399">
        <f t="shared" ca="1" si="10"/>
        <v>0</v>
      </c>
      <c r="AK43" s="400">
        <f t="shared" ca="1" si="11"/>
        <v>0</v>
      </c>
      <c r="AL43" s="401">
        <f t="shared" ca="1" si="12"/>
        <v>0</v>
      </c>
      <c r="AM43" s="402">
        <f t="shared" ca="1" si="13"/>
        <v>0</v>
      </c>
      <c r="AN43" s="403">
        <f t="shared" ca="1" si="14"/>
        <v>0</v>
      </c>
    </row>
    <row r="44" spans="1:40" x14ac:dyDescent="0.25">
      <c r="C44" s="32"/>
      <c r="H44" s="15" t="s">
        <v>511</v>
      </c>
      <c r="I44" s="161" t="e">
        <f ca="1">_xll.EVPRO($B$1,$H44,"STYLE")</f>
        <v>#NAME?</v>
      </c>
      <c r="J44" s="161" t="e">
        <f ca="1">_xll.EVPRO($B$1,$H44,"CALC")</f>
        <v>#NAME?</v>
      </c>
      <c r="K44" s="68"/>
      <c r="L44" s="162" t="e">
        <f ca="1">_xll.EVPRO($B$1,H44,"JDEID")</f>
        <v>#NAME?</v>
      </c>
      <c r="M44" s="162" t="e">
        <f ca="1">IF(AND(I44="N",J44="N"),_xll.EVPRO($B$1,H44,"PSFTID"),"")</f>
        <v>#NAME?</v>
      </c>
      <c r="N44" s="25" t="e">
        <f ca="1">IF(_xll.EVDES(H44,$B$1)="#NODATA","",_xll.EVDES(H44,$B$1))</f>
        <v>#NAME?</v>
      </c>
      <c r="O44" s="33">
        <f>SUM(O39:O43)</f>
        <v>4182.6100000000006</v>
      </c>
      <c r="P44" s="33">
        <f t="shared" ref="P44:Z44" si="15">SUM(P39:P43)</f>
        <v>4350.3600000000006</v>
      </c>
      <c r="Q44" s="33">
        <f t="shared" si="15"/>
        <v>4179.74</v>
      </c>
      <c r="R44" s="33">
        <f t="shared" si="15"/>
        <v>4317.7000000000007</v>
      </c>
      <c r="S44" s="33">
        <f t="shared" si="15"/>
        <v>4257.8100000000004</v>
      </c>
      <c r="T44" s="33">
        <f t="shared" si="15"/>
        <v>4607.68</v>
      </c>
      <c r="U44" s="33">
        <f t="shared" si="15"/>
        <v>5266.75</v>
      </c>
      <c r="V44" s="33">
        <f t="shared" si="15"/>
        <v>4271.7299999999996</v>
      </c>
      <c r="W44" s="33">
        <f t="shared" si="15"/>
        <v>4117.6400000000003</v>
      </c>
      <c r="X44" s="33">
        <f t="shared" si="15"/>
        <v>4186.6400000000003</v>
      </c>
      <c r="Y44" s="33">
        <f t="shared" si="15"/>
        <v>4464.54</v>
      </c>
      <c r="Z44" s="33">
        <f t="shared" si="15"/>
        <v>4544.54</v>
      </c>
      <c r="AA44" s="33" t="e">
        <f t="shared" ref="AA44" ca="1" si="16">IF($I44="B1","",SUM(O44:Z44))</f>
        <v>#NAME?</v>
      </c>
      <c r="AB44" s="34" t="e">
        <f t="shared" ref="AB44" ca="1" si="17">IF(AA44=0,"",IFERROR(AA44/AA$19,""))</f>
        <v>#NAME?</v>
      </c>
      <c r="AD44" s="33">
        <f>SUM(AD39:AD43)</f>
        <v>54968</v>
      </c>
      <c r="AE44" s="34" t="str">
        <f t="shared" ref="AE44" ca="1" si="18">IF(AD44=0,"",IFERROR(AD44/AD$19,""))</f>
        <v/>
      </c>
      <c r="AF44" s="52" t="e">
        <f t="shared" ref="AF44" ca="1" si="19">IF(AND($AA44="",AD44=""),"",$AA44-AD44)</f>
        <v>#NAME?</v>
      </c>
      <c r="AG44" s="33">
        <f>SUM(AG39:AG43)</f>
        <v>49098.33</v>
      </c>
      <c r="AH44" s="34" t="str">
        <f t="shared" ca="1" si="0"/>
        <v/>
      </c>
      <c r="AI44" s="52" t="e">
        <f t="shared" ca="1" si="1"/>
        <v>#NAME?</v>
      </c>
      <c r="AJ44" s="415">
        <f t="shared" ca="1" si="2"/>
        <v>0</v>
      </c>
      <c r="AK44" s="416">
        <f t="shared" ca="1" si="3"/>
        <v>0</v>
      </c>
      <c r="AL44" s="417">
        <f t="shared" ca="1" si="4"/>
        <v>0</v>
      </c>
      <c r="AM44" s="418">
        <f t="shared" ca="1" si="5"/>
        <v>0</v>
      </c>
      <c r="AN44" s="436">
        <f t="shared" ca="1" si="6"/>
        <v>0</v>
      </c>
    </row>
    <row r="45" spans="1:40" x14ac:dyDescent="0.25">
      <c r="A45" s="4" t="e">
        <f ca="1">_xll.EVDRE($B$1,A48:B55,A58:B64)</f>
        <v>#NAME?</v>
      </c>
      <c r="H45" s="25"/>
      <c r="I45" s="25"/>
      <c r="J45" s="25"/>
      <c r="K45" s="25"/>
      <c r="L45" s="25"/>
      <c r="M45" s="25"/>
      <c r="N45" s="25"/>
      <c r="O45" s="41"/>
      <c r="P45" s="45"/>
      <c r="Q45" s="45"/>
      <c r="R45" s="45"/>
      <c r="S45" s="45"/>
      <c r="T45" s="45"/>
      <c r="U45" s="45"/>
      <c r="V45" s="45"/>
      <c r="W45" s="45"/>
      <c r="X45" s="45"/>
      <c r="Y45" s="45"/>
      <c r="Z45" s="45"/>
      <c r="AA45" s="45"/>
      <c r="AB45" s="42"/>
      <c r="AD45" s="41"/>
      <c r="AE45" s="45"/>
      <c r="AF45" s="42"/>
      <c r="AG45" s="41"/>
      <c r="AH45" s="45"/>
      <c r="AI45" s="42"/>
    </row>
    <row r="46" spans="1:40" x14ac:dyDescent="0.25">
      <c r="H46" s="1" t="s">
        <v>501</v>
      </c>
      <c r="I46" s="11" t="e">
        <f ca="1">_xll.EVPRO($B$1,$H46,"STYLE")</f>
        <v>#NAME?</v>
      </c>
      <c r="J46" s="11" t="e">
        <f ca="1">_xll.EVPRO($B$1,$H46,"CALC")</f>
        <v>#NAME?</v>
      </c>
      <c r="L46" s="1"/>
      <c r="M46" s="1"/>
      <c r="N46" s="40" t="e">
        <f ca="1">IF(_xll.EVDES(H46,$B$1)="#NODATA","",_xll.EVDES(H46,$B$1))</f>
        <v>#NAME?</v>
      </c>
      <c r="O46" s="43"/>
      <c r="P46" s="46"/>
      <c r="Q46" s="46"/>
      <c r="R46" s="46"/>
      <c r="S46" s="46"/>
      <c r="T46" s="46"/>
      <c r="U46" s="46"/>
      <c r="V46" s="46"/>
      <c r="W46" s="46"/>
      <c r="X46" s="46"/>
      <c r="Y46" s="46"/>
      <c r="Z46" s="46"/>
      <c r="AA46" s="46"/>
      <c r="AB46" s="44"/>
      <c r="AD46" s="43"/>
      <c r="AE46" s="46"/>
      <c r="AF46" s="44"/>
      <c r="AG46" s="43"/>
      <c r="AH46" s="46"/>
      <c r="AI46" s="44"/>
    </row>
    <row r="47" spans="1:40" x14ac:dyDescent="0.25">
      <c r="A47" s="3" t="s">
        <v>0</v>
      </c>
      <c r="B47" s="5" t="s">
        <v>1</v>
      </c>
      <c r="H47" s="15" t="s">
        <v>888</v>
      </c>
      <c r="I47" s="161" t="e">
        <f ca="1">_xll.EVPRO($B$1,$H47,"STYLE")</f>
        <v>#NAME?</v>
      </c>
      <c r="J47" s="161" t="e">
        <f ca="1">_xll.EVPRO($B$1,$H47,"CALC")</f>
        <v>#NAME?</v>
      </c>
      <c r="K47" s="68" t="e">
        <f ca="1">IF(AND(I47&gt;="T3"),"&gt;","")</f>
        <v>#NAME?</v>
      </c>
      <c r="L47" s="162" t="e">
        <f ca="1">_xll.EVPRO($B$1,H47,"JDEID")</f>
        <v>#NAME?</v>
      </c>
      <c r="M47" s="162" t="e">
        <f ca="1">IF(AND(I47="N",J47="N"),_xll.EVPRO($B$1,H47,"PSFTID"),"")</f>
        <v>#NAME?</v>
      </c>
      <c r="N47" s="162" t="e">
        <f ca="1">IF(_xll.EVDES(H47,$B$1)="#NODATA","",_xll.EVDES(H47,$B$1))</f>
        <v>#NAME?</v>
      </c>
      <c r="O47" s="21">
        <v>240</v>
      </c>
      <c r="P47" s="21">
        <v>240</v>
      </c>
      <c r="Q47" s="21">
        <v>240</v>
      </c>
      <c r="R47" s="21">
        <v>240</v>
      </c>
      <c r="S47" s="21">
        <v>240</v>
      </c>
      <c r="T47" s="21">
        <v>240</v>
      </c>
      <c r="U47" s="21">
        <v>240</v>
      </c>
      <c r="V47" s="21">
        <v>2770</v>
      </c>
      <c r="W47" s="21">
        <v>705</v>
      </c>
      <c r="X47" s="21">
        <v>255.9</v>
      </c>
      <c r="Y47" s="21">
        <v>255</v>
      </c>
      <c r="Z47" s="21">
        <v>255</v>
      </c>
      <c r="AA47" s="38" t="e">
        <f t="shared" ref="AA47:AA53" ca="1" si="20">IF($I47="B1","",SUM(O47:Z47))</f>
        <v>#NAME?</v>
      </c>
      <c r="AB47" s="17" t="e">
        <f t="shared" ref="AB47:AB53" ca="1" si="21">IF(AA47=0,"",IFERROR(AA47/AA$19,""))</f>
        <v>#NAME?</v>
      </c>
      <c r="AD47" s="21">
        <v>5410</v>
      </c>
      <c r="AE47" s="17" t="str">
        <f t="shared" ref="AE47:AE53" ca="1" si="22">IF(AD47=0,"",IFERROR(AD47/AD$19,""))</f>
        <v/>
      </c>
      <c r="AF47" s="50" t="e">
        <f t="shared" ref="AF47:AF53" ca="1" si="23">IF(AND($AA47="",AD47=""),"",$AA47-AD47)</f>
        <v>#NAME?</v>
      </c>
      <c r="AG47" s="21">
        <v>4610</v>
      </c>
      <c r="AH47" s="17" t="str">
        <f ca="1">IF(AG47=0,"",IFERROR(AG47/AG$19,""))</f>
        <v/>
      </c>
      <c r="AI47" s="50"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2</v>
      </c>
      <c r="B48" s="7" t="e">
        <f ca="1">_xll.EVRNG($B$2:$B$10)</f>
        <v>#NAME?</v>
      </c>
      <c r="H48" s="15" t="s">
        <v>889</v>
      </c>
      <c r="I48" s="161" t="e">
        <f ca="1">_xll.EVPRO($B$1,$H48,"STYLE")</f>
        <v>#NAME?</v>
      </c>
      <c r="J48" s="161" t="e">
        <f ca="1">_xll.EVPRO($B$1,$H48,"CALC")</f>
        <v>#NAME?</v>
      </c>
      <c r="K48" s="68" t="e">
        <f t="shared" ref="K48:K52" ca="1" si="24">IF(AND(I48&gt;="T3"),"&gt;","")</f>
        <v>#NAME?</v>
      </c>
      <c r="L48" s="162" t="e">
        <f ca="1">_xll.EVPRO($B$1,H48,"JDEID")</f>
        <v>#NAME?</v>
      </c>
      <c r="M48" s="162" t="e">
        <f ca="1">IF(AND(I48="N",J48="N"),_xll.EVPRO($B$1,H48,"PSFTID"),"")</f>
        <v>#NAME?</v>
      </c>
      <c r="N48" s="162" t="e">
        <f ca="1">IF(_xll.EVDES(H48,$B$1)="#NODATA","",_xll.EVDES(H48,$B$1))</f>
        <v>#NAME?</v>
      </c>
      <c r="O48" s="21">
        <v>2125.3200000000002</v>
      </c>
      <c r="P48" s="21">
        <v>1079.9000000000001</v>
      </c>
      <c r="Q48" s="21">
        <v>1630.39</v>
      </c>
      <c r="R48" s="21">
        <v>3893.7</v>
      </c>
      <c r="S48" s="21">
        <v>2472.9699999999998</v>
      </c>
      <c r="T48" s="21">
        <v>2210.81</v>
      </c>
      <c r="U48" s="21">
        <v>1483.5</v>
      </c>
      <c r="V48" s="21">
        <v>1144.5</v>
      </c>
      <c r="W48" s="21">
        <v>1144.5</v>
      </c>
      <c r="X48" s="21">
        <v>1144.5</v>
      </c>
      <c r="Y48" s="21">
        <v>1934.35</v>
      </c>
      <c r="Z48" s="21">
        <v>1244.0999999999999</v>
      </c>
      <c r="AA48" s="38" t="e">
        <f t="shared" ca="1" si="20"/>
        <v>#NAME?</v>
      </c>
      <c r="AB48" s="17" t="e">
        <f t="shared" ca="1" si="21"/>
        <v>#NAME?</v>
      </c>
      <c r="AD48" s="21">
        <v>24715</v>
      </c>
      <c r="AE48" s="17" t="str">
        <f t="shared" ca="1" si="22"/>
        <v/>
      </c>
      <c r="AF48" s="50" t="e">
        <f t="shared" ca="1" si="23"/>
        <v>#NAME?</v>
      </c>
      <c r="AG48" s="21">
        <v>25333.77</v>
      </c>
      <c r="AH48" s="17" t="str">
        <f t="shared" ref="AH48:AH52" ca="1" si="25">IF(AG48=0,"",IFERROR(AG48/AG$19,""))</f>
        <v/>
      </c>
      <c r="AI48" s="50" t="e">
        <f t="shared" ref="AI48:AI52" ca="1" si="26">IF(AND($AA48="",AG48=""),"",$AA48-AG48)</f>
        <v>#NAME?</v>
      </c>
      <c r="AJ48" s="399">
        <f t="shared" ref="AJ48:AJ52" ca="1" si="27">IFERROR(AA48/AA$20,0)</f>
        <v>0</v>
      </c>
      <c r="AK48" s="400">
        <f t="shared" ref="AK48:AK52" ca="1" si="28">IFERROR(AD48/AD$20,0)</f>
        <v>0</v>
      </c>
      <c r="AL48" s="401">
        <f t="shared" ref="AL48:AL52" ca="1" si="29">IFERROR(AG48/AG$20,0)</f>
        <v>0</v>
      </c>
      <c r="AM48" s="402">
        <f t="shared" ref="AM48:AM52" ca="1" si="30">+IFERROR(ROUND(($AB48-AE48)*100,2)&amp;" pts.",0)</f>
        <v>0</v>
      </c>
      <c r="AN48" s="403">
        <f t="shared" ref="AN48:AN52" ca="1" si="31">+IFERROR(ROUND(($AB48-AH48)*100,2)&amp;" pts.",0)</f>
        <v>0</v>
      </c>
    </row>
    <row r="49" spans="1:40" x14ac:dyDescent="0.25">
      <c r="A49" s="6" t="s">
        <v>3</v>
      </c>
      <c r="B49" s="7" t="e">
        <f ca="1">_xll.EVRNG($O$16:$AN$18)</f>
        <v>#NAME?</v>
      </c>
      <c r="H49" s="15" t="s">
        <v>890</v>
      </c>
      <c r="I49" s="161" t="e">
        <f ca="1">_xll.EVPRO($B$1,$H49,"STYLE")</f>
        <v>#NAME?</v>
      </c>
      <c r="J49" s="161" t="e">
        <f ca="1">_xll.EVPRO($B$1,$H49,"CALC")</f>
        <v>#NAME?</v>
      </c>
      <c r="K49" s="68" t="e">
        <f t="shared" ca="1" si="24"/>
        <v>#NAME?</v>
      </c>
      <c r="L49" s="162" t="e">
        <f ca="1">_xll.EVPRO($B$1,H49,"JDEID")</f>
        <v>#NAME?</v>
      </c>
      <c r="M49" s="162" t="e">
        <f ca="1">IF(AND(I49="N",J49="N"),_xll.EVPRO($B$1,H49,"PSFTID"),"")</f>
        <v>#NAME?</v>
      </c>
      <c r="N49" s="162" t="e">
        <f ca="1">IF(_xll.EVDES(H49,$B$1)="#NODATA","",_xll.EVDES(H49,$B$1))</f>
        <v>#NAME?</v>
      </c>
      <c r="O49" s="21">
        <v>694</v>
      </c>
      <c r="P49" s="21">
        <v>534.03</v>
      </c>
      <c r="Q49" s="21">
        <v>1059.6199999999999</v>
      </c>
      <c r="R49" s="21">
        <v>46.95</v>
      </c>
      <c r="S49" s="21">
        <v>1021.41</v>
      </c>
      <c r="T49" s="21">
        <v>643.55999999999995</v>
      </c>
      <c r="U49" s="21">
        <v>479.18</v>
      </c>
      <c r="V49" s="21">
        <v>-227.43</v>
      </c>
      <c r="W49" s="21">
        <v>34.770000000000003</v>
      </c>
      <c r="X49" s="21">
        <v>988.64</v>
      </c>
      <c r="Y49" s="21">
        <v>480.96</v>
      </c>
      <c r="Z49" s="21">
        <v>1302.96</v>
      </c>
      <c r="AA49" s="38" t="e">
        <f t="shared" ca="1" si="20"/>
        <v>#NAME?</v>
      </c>
      <c r="AB49" s="17" t="e">
        <f t="shared" ca="1" si="21"/>
        <v>#NAME?</v>
      </c>
      <c r="AD49" s="21">
        <v>8327.0000000004002</v>
      </c>
      <c r="AE49" s="17" t="str">
        <f t="shared" ca="1" si="22"/>
        <v/>
      </c>
      <c r="AF49" s="50" t="e">
        <f t="shared" ca="1" si="23"/>
        <v>#NAME?</v>
      </c>
      <c r="AG49" s="21">
        <v>8541.84</v>
      </c>
      <c r="AH49" s="17" t="str">
        <f t="shared" ca="1" si="25"/>
        <v/>
      </c>
      <c r="AI49" s="50" t="e">
        <f t="shared" ca="1" si="26"/>
        <v>#NAME?</v>
      </c>
      <c r="AJ49" s="399">
        <f t="shared" ca="1" si="27"/>
        <v>0</v>
      </c>
      <c r="AK49" s="400">
        <f t="shared" ca="1" si="28"/>
        <v>0</v>
      </c>
      <c r="AL49" s="401">
        <f t="shared" ca="1" si="29"/>
        <v>0</v>
      </c>
      <c r="AM49" s="402">
        <f t="shared" ca="1" si="30"/>
        <v>0</v>
      </c>
      <c r="AN49" s="403">
        <f t="shared" ca="1" si="31"/>
        <v>0</v>
      </c>
    </row>
    <row r="50" spans="1:40" x14ac:dyDescent="0.25">
      <c r="A50" s="6" t="s">
        <v>4</v>
      </c>
      <c r="B50" s="7" t="e">
        <f ca="1">_xll.EVRNG(H39:H43)</f>
        <v>#NAME?</v>
      </c>
      <c r="H50" s="15" t="s">
        <v>891</v>
      </c>
      <c r="I50" s="161" t="e">
        <f ca="1">_xll.EVPRO($B$1,$H50,"STYLE")</f>
        <v>#NAME?</v>
      </c>
      <c r="J50" s="161" t="e">
        <f ca="1">_xll.EVPRO($B$1,$H50,"CALC")</f>
        <v>#NAME?</v>
      </c>
      <c r="K50" s="68" t="e">
        <f t="shared" ca="1" si="24"/>
        <v>#NAME?</v>
      </c>
      <c r="L50" s="162" t="e">
        <f ca="1">_xll.EVPRO($B$1,H50,"JDEID")</f>
        <v>#NAME?</v>
      </c>
      <c r="M50" s="162" t="e">
        <f ca="1">IF(AND(I50="N",J50="N"),_xll.EVPRO($B$1,H50,"PSFTID"),"")</f>
        <v>#NAME?</v>
      </c>
      <c r="N50" s="162" t="e">
        <f ca="1">IF(_xll.EVDES(H50,$B$1)="#NODATA","",_xll.EVDES(H50,$B$1))</f>
        <v>#NAME?</v>
      </c>
      <c r="O50" s="21"/>
      <c r="P50" s="21"/>
      <c r="Q50" s="21">
        <v>-1800</v>
      </c>
      <c r="R50" s="21">
        <v>1639.2</v>
      </c>
      <c r="S50" s="21">
        <v>3050</v>
      </c>
      <c r="T50" s="21">
        <v>926.72</v>
      </c>
      <c r="U50" s="21">
        <v>2877</v>
      </c>
      <c r="V50" s="21">
        <v>740.4</v>
      </c>
      <c r="W50" s="21">
        <v>300</v>
      </c>
      <c r="X50" s="21">
        <v>-791.06</v>
      </c>
      <c r="Y50" s="21"/>
      <c r="Z50" s="21"/>
      <c r="AA50" s="38" t="e">
        <f t="shared" ca="1" si="20"/>
        <v>#NAME?</v>
      </c>
      <c r="AB50" s="17" t="e">
        <f t="shared" ca="1" si="21"/>
        <v>#NAME?</v>
      </c>
      <c r="AD50" s="21">
        <v>5300</v>
      </c>
      <c r="AE50" s="17" t="str">
        <f t="shared" ca="1" si="22"/>
        <v/>
      </c>
      <c r="AF50" s="50" t="e">
        <f t="shared" ca="1" si="23"/>
        <v>#NAME?</v>
      </c>
      <c r="AG50" s="21">
        <v>3276.09</v>
      </c>
      <c r="AH50" s="17" t="str">
        <f t="shared" ca="1" si="25"/>
        <v/>
      </c>
      <c r="AI50" s="50" t="e">
        <f t="shared" ca="1" si="26"/>
        <v>#NAME?</v>
      </c>
      <c r="AJ50" s="399">
        <f t="shared" ca="1" si="27"/>
        <v>0</v>
      </c>
      <c r="AK50" s="400">
        <f t="shared" ca="1" si="28"/>
        <v>0</v>
      </c>
      <c r="AL50" s="401">
        <f t="shared" ca="1" si="29"/>
        <v>0</v>
      </c>
      <c r="AM50" s="402">
        <f t="shared" ca="1" si="30"/>
        <v>0</v>
      </c>
      <c r="AN50" s="403">
        <f t="shared" ca="1" si="31"/>
        <v>0</v>
      </c>
    </row>
    <row r="51" spans="1:40" x14ac:dyDescent="0.25">
      <c r="A51" s="6" t="s">
        <v>5</v>
      </c>
      <c r="B51" s="7"/>
      <c r="H51" s="15" t="s">
        <v>892</v>
      </c>
      <c r="I51" s="161" t="e">
        <f ca="1">_xll.EVPRO($B$1,$H51,"STYLE")</f>
        <v>#NAME?</v>
      </c>
      <c r="J51" s="161" t="e">
        <f ca="1">_xll.EVPRO($B$1,$H51,"CALC")</f>
        <v>#NAME?</v>
      </c>
      <c r="K51" s="68" t="e">
        <f t="shared" ca="1" si="24"/>
        <v>#NAME?</v>
      </c>
      <c r="L51" s="162" t="e">
        <f ca="1">_xll.EVPRO($B$1,H51,"JDEID")</f>
        <v>#NAME?</v>
      </c>
      <c r="M51" s="162" t="e">
        <f ca="1">IF(AND(I51="N",J51="N"),_xll.EVPRO($B$1,H51,"PSFTID"),"")</f>
        <v>#NAME?</v>
      </c>
      <c r="N51" s="162" t="e">
        <f ca="1">IF(_xll.EVDES(H51,$B$1)="#NODATA","",_xll.EVDES(H51,$B$1))</f>
        <v>#NAME?</v>
      </c>
      <c r="O51" s="21">
        <v>652.45000000000005</v>
      </c>
      <c r="P51" s="21">
        <v>442.4</v>
      </c>
      <c r="Q51" s="21">
        <v>353.63</v>
      </c>
      <c r="R51" s="21">
        <v>1654.93</v>
      </c>
      <c r="S51" s="21">
        <v>3871.63</v>
      </c>
      <c r="T51" s="21">
        <v>353.63</v>
      </c>
      <c r="U51" s="21">
        <v>1313.63</v>
      </c>
      <c r="V51" s="21">
        <v>353.63</v>
      </c>
      <c r="W51" s="21">
        <v>353.63</v>
      </c>
      <c r="X51" s="21">
        <v>353.63</v>
      </c>
      <c r="Y51" s="21">
        <v>358.37</v>
      </c>
      <c r="Z51" s="21">
        <v>830.64</v>
      </c>
      <c r="AA51" s="38" t="e">
        <f t="shared" ca="1" si="20"/>
        <v>#NAME?</v>
      </c>
      <c r="AB51" s="17" t="e">
        <f t="shared" ca="1" si="21"/>
        <v>#NAME?</v>
      </c>
      <c r="AD51" s="21">
        <v>8854</v>
      </c>
      <c r="AE51" s="17" t="str">
        <f t="shared" ca="1" si="22"/>
        <v/>
      </c>
      <c r="AF51" s="50" t="e">
        <f t="shared" ca="1" si="23"/>
        <v>#NAME?</v>
      </c>
      <c r="AG51" s="21">
        <v>6563.5</v>
      </c>
      <c r="AH51" s="17" t="str">
        <f t="shared" ca="1" si="25"/>
        <v/>
      </c>
      <c r="AI51" s="50" t="e">
        <f t="shared" ca="1" si="26"/>
        <v>#NAME?</v>
      </c>
      <c r="AJ51" s="399">
        <f t="shared" ca="1" si="27"/>
        <v>0</v>
      </c>
      <c r="AK51" s="400">
        <f t="shared" ca="1" si="28"/>
        <v>0</v>
      </c>
      <c r="AL51" s="401">
        <f t="shared" ca="1" si="29"/>
        <v>0</v>
      </c>
      <c r="AM51" s="402">
        <f t="shared" ca="1" si="30"/>
        <v>0</v>
      </c>
      <c r="AN51" s="403">
        <f t="shared" ca="1" si="31"/>
        <v>0</v>
      </c>
    </row>
    <row r="52" spans="1:40" x14ac:dyDescent="0.25">
      <c r="A52" s="6" t="s">
        <v>6</v>
      </c>
      <c r="B52" s="7"/>
      <c r="H52" s="15" t="s">
        <v>893</v>
      </c>
      <c r="I52" s="161" t="e">
        <f ca="1">_xll.EVPRO($B$1,$H52,"STYLE")</f>
        <v>#NAME?</v>
      </c>
      <c r="J52" s="161" t="e">
        <f ca="1">_xll.EVPRO($B$1,$H52,"CALC")</f>
        <v>#NAME?</v>
      </c>
      <c r="K52" s="68" t="e">
        <f t="shared" ca="1" si="24"/>
        <v>#NAME?</v>
      </c>
      <c r="L52" s="162" t="e">
        <f ca="1">_xll.EVPRO($B$1,H52,"JDEID")</f>
        <v>#NAME?</v>
      </c>
      <c r="M52" s="162" t="e">
        <f ca="1">IF(AND(I52="N",J52="N"),_xll.EVPRO($B$1,H52,"PSFTID"),"")</f>
        <v>#NAME?</v>
      </c>
      <c r="N52" s="162" t="e">
        <f ca="1">IF(_xll.EVDES(H52,$B$1)="#NODATA","",_xll.EVDES(H52,$B$1))</f>
        <v>#NAME?</v>
      </c>
      <c r="O52" s="21">
        <v>1493.23</v>
      </c>
      <c r="P52" s="21">
        <v>1625.67</v>
      </c>
      <c r="Q52" s="21">
        <v>1120.67</v>
      </c>
      <c r="R52" s="21">
        <v>2104.41</v>
      </c>
      <c r="S52" s="21">
        <v>2715.67</v>
      </c>
      <c r="T52" s="21">
        <v>1498.41</v>
      </c>
      <c r="U52" s="21">
        <v>1580.48</v>
      </c>
      <c r="V52" s="21">
        <v>1690.37</v>
      </c>
      <c r="W52" s="21">
        <v>1261.33</v>
      </c>
      <c r="X52" s="21">
        <v>1261.32</v>
      </c>
      <c r="Y52" s="21">
        <v>2602.0500000000002</v>
      </c>
      <c r="Z52" s="21">
        <v>1699.85</v>
      </c>
      <c r="AA52" s="38" t="e">
        <f t="shared" ca="1" si="20"/>
        <v>#NAME?</v>
      </c>
      <c r="AB52" s="17" t="e">
        <f t="shared" ca="1" si="21"/>
        <v>#NAME?</v>
      </c>
      <c r="AD52" s="21">
        <v>21756.9999999996</v>
      </c>
      <c r="AE52" s="17" t="str">
        <f t="shared" ca="1" si="22"/>
        <v/>
      </c>
      <c r="AF52" s="50" t="e">
        <f t="shared" ca="1" si="23"/>
        <v>#NAME?</v>
      </c>
      <c r="AG52" s="21">
        <v>16656.52</v>
      </c>
      <c r="AH52" s="17" t="str">
        <f t="shared" ca="1" si="25"/>
        <v/>
      </c>
      <c r="AI52" s="50" t="e">
        <f t="shared" ca="1" si="26"/>
        <v>#NAME?</v>
      </c>
      <c r="AJ52" s="399">
        <f t="shared" ca="1" si="27"/>
        <v>0</v>
      </c>
      <c r="AK52" s="400">
        <f t="shared" ca="1" si="28"/>
        <v>0</v>
      </c>
      <c r="AL52" s="401">
        <f t="shared" ca="1" si="29"/>
        <v>0</v>
      </c>
      <c r="AM52" s="402">
        <f t="shared" ca="1" si="30"/>
        <v>0</v>
      </c>
      <c r="AN52" s="403">
        <f t="shared" ca="1" si="31"/>
        <v>0</v>
      </c>
    </row>
    <row r="53" spans="1:40" x14ac:dyDescent="0.25">
      <c r="A53" s="6" t="s">
        <v>7</v>
      </c>
      <c r="B53" s="7"/>
      <c r="H53" s="15" t="s">
        <v>502</v>
      </c>
      <c r="I53" s="161" t="e">
        <f ca="1">_xll.EVPRO($B$1,$H53,"STYLE")</f>
        <v>#NAME?</v>
      </c>
      <c r="J53" s="161" t="e">
        <f ca="1">_xll.EVPRO($B$1,$H53,"CALC")</f>
        <v>#NAME?</v>
      </c>
      <c r="K53" s="68"/>
      <c r="L53" s="162" t="e">
        <f ca="1">_xll.EVPRO($B$1,H53,"JDEID")</f>
        <v>#NAME?</v>
      </c>
      <c r="M53" s="162" t="e">
        <f ca="1">IF(AND(I53="N",J53="N"),_xll.EVPRO($B$1,H53,"PSFTID"),"")</f>
        <v>#NAME?</v>
      </c>
      <c r="N53" s="25" t="e">
        <f ca="1">IF(_xll.EVDES(H53,$B$1)="#NODATA","",_xll.EVDES(H53,$B$1))</f>
        <v>#NAME?</v>
      </c>
      <c r="O53" s="33">
        <f t="shared" ref="O53:Z53" si="32">SUM(O47:O52)</f>
        <v>5205</v>
      </c>
      <c r="P53" s="33">
        <f t="shared" si="32"/>
        <v>3922</v>
      </c>
      <c r="Q53" s="33">
        <f t="shared" si="32"/>
        <v>2604.3100000000004</v>
      </c>
      <c r="R53" s="33">
        <f t="shared" si="32"/>
        <v>9579.1899999999987</v>
      </c>
      <c r="S53" s="33">
        <f t="shared" si="32"/>
        <v>13371.679999999998</v>
      </c>
      <c r="T53" s="33">
        <f t="shared" si="32"/>
        <v>5873.13</v>
      </c>
      <c r="U53" s="33">
        <f t="shared" si="32"/>
        <v>7973.7900000000009</v>
      </c>
      <c r="V53" s="33">
        <f t="shared" si="32"/>
        <v>6471.47</v>
      </c>
      <c r="W53" s="33">
        <f t="shared" si="32"/>
        <v>3799.23</v>
      </c>
      <c r="X53" s="33">
        <f t="shared" si="32"/>
        <v>3212.9300000000003</v>
      </c>
      <c r="Y53" s="33">
        <f t="shared" si="32"/>
        <v>5630.73</v>
      </c>
      <c r="Z53" s="33">
        <f t="shared" si="32"/>
        <v>5332.5499999999993</v>
      </c>
      <c r="AA53" s="33" t="e">
        <f t="shared" ca="1" si="20"/>
        <v>#NAME?</v>
      </c>
      <c r="AB53" s="34" t="e">
        <f t="shared" ca="1" si="21"/>
        <v>#NAME?</v>
      </c>
      <c r="AD53" s="33">
        <f>SUM(AD47:AD52)</f>
        <v>74363</v>
      </c>
      <c r="AE53" s="34" t="str">
        <f t="shared" ca="1" si="22"/>
        <v/>
      </c>
      <c r="AF53" s="52" t="e">
        <f t="shared" ca="1" si="23"/>
        <v>#NAME?</v>
      </c>
      <c r="AG53" s="33">
        <f>SUM(AG47:AG52)</f>
        <v>64981.72</v>
      </c>
      <c r="AH53" s="34" t="str">
        <f ca="1">IF(AG53=0,"",IFERROR(AG53/AG$19,""))</f>
        <v/>
      </c>
      <c r="AI53" s="52" t="e">
        <f ca="1">IF(AND($AA53="",AG53=""),"",$AA53-AG53)</f>
        <v>#NAME?</v>
      </c>
      <c r="AJ53" s="415">
        <f ca="1">IFERROR(AA53/AA$20,0)</f>
        <v>0</v>
      </c>
      <c r="AK53" s="416">
        <f ca="1">IFERROR(AD53/AD$20,0)</f>
        <v>0</v>
      </c>
      <c r="AL53" s="417">
        <f ca="1">IFERROR(AG53/AG$20,0)</f>
        <v>0</v>
      </c>
      <c r="AM53" s="418">
        <f ca="1">+IFERROR(ROUND(($AB53-AE53)*100,2)&amp;" pts.",0)</f>
        <v>0</v>
      </c>
      <c r="AN53" s="436">
        <f ca="1">+IFERROR(ROUND(($AB53-AH53)*100,2)&amp;" pts.",0)</f>
        <v>0</v>
      </c>
    </row>
    <row r="54" spans="1:40" x14ac:dyDescent="0.25">
      <c r="A54" s="6" t="s">
        <v>47</v>
      </c>
      <c r="B54" s="7" t="e">
        <f ca="1">_xll.EVRNG($A$105:$B$126)</f>
        <v>#NAME?</v>
      </c>
      <c r="H54" s="68"/>
      <c r="I54" s="68"/>
      <c r="J54" s="68"/>
      <c r="K54" s="68"/>
      <c r="L54" s="162"/>
      <c r="M54" s="162"/>
      <c r="N54" s="25"/>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H55" s="1" t="s">
        <v>82</v>
      </c>
      <c r="I55" s="11" t="e">
        <f ca="1">_xll.EVPRO($B$1,$H55,"STYLE")</f>
        <v>#NAME?</v>
      </c>
      <c r="J55" s="11" t="e">
        <f ca="1">_xll.EVPRO($B$1,$H55,"CALC")</f>
        <v>#NAME?</v>
      </c>
      <c r="L55" s="1"/>
      <c r="M55" s="1"/>
      <c r="N55" s="40" t="e">
        <f ca="1">IF(_xll.EVDES(H55,$B$1)="#NODATA","",_xll.EVDES(H55,$B$1))</f>
        <v>#NAME?</v>
      </c>
      <c r="O55" s="43"/>
      <c r="P55" s="46"/>
      <c r="Q55" s="46"/>
      <c r="R55" s="46"/>
      <c r="S55" s="46"/>
      <c r="T55" s="46"/>
      <c r="U55" s="46"/>
      <c r="V55" s="46"/>
      <c r="W55" s="46"/>
      <c r="X55" s="46"/>
      <c r="Y55" s="46"/>
      <c r="Z55" s="46"/>
      <c r="AA55" s="46"/>
      <c r="AB55" s="44"/>
      <c r="AD55" s="43"/>
      <c r="AE55" s="46"/>
      <c r="AF55" s="44"/>
      <c r="AG55" s="43"/>
      <c r="AH55" s="46"/>
      <c r="AI55" s="44"/>
    </row>
    <row r="56" spans="1:40" x14ac:dyDescent="0.25">
      <c r="H56" s="15" t="s">
        <v>833</v>
      </c>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21">
        <v>337.07</v>
      </c>
      <c r="P56" s="21">
        <v>86.28</v>
      </c>
      <c r="Q56" s="21">
        <v>89.24</v>
      </c>
      <c r="R56" s="21">
        <v>90.76</v>
      </c>
      <c r="S56" s="21">
        <v>286.17</v>
      </c>
      <c r="T56" s="21">
        <v>177.74</v>
      </c>
      <c r="U56" s="21">
        <v>114.98</v>
      </c>
      <c r="V56" s="21">
        <v>90</v>
      </c>
      <c r="W56" s="21">
        <v>90.69</v>
      </c>
      <c r="X56" s="21">
        <v>294.67</v>
      </c>
      <c r="Y56" s="21">
        <v>89.67</v>
      </c>
      <c r="Z56" s="21">
        <v>183.65</v>
      </c>
      <c r="AA56" s="38" t="e">
        <f ca="1">IF($I56="B1","",SUM(O56:Z56))</f>
        <v>#NAME?</v>
      </c>
      <c r="AB56" s="17" t="e">
        <f ca="1">IF(AA56=0,"",IFERROR(AA56/AA$19,""))</f>
        <v>#NAME?</v>
      </c>
      <c r="AD56" s="21">
        <v>1584</v>
      </c>
      <c r="AE56" s="17" t="str">
        <f ca="1">IF(AD56=0,"",IFERROR(AD56/AD$19,""))</f>
        <v/>
      </c>
      <c r="AF56" s="50" t="e">
        <f ca="1">IF(AND($AA56="",AD56=""),"",$AA56-AD56)</f>
        <v>#NAME?</v>
      </c>
      <c r="AG56" s="21">
        <v>1037.32</v>
      </c>
      <c r="AH56" s="17" t="str">
        <f ca="1">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3" t="s">
        <v>9</v>
      </c>
      <c r="B57" s="5" t="s">
        <v>10</v>
      </c>
      <c r="H57" s="15" t="s">
        <v>834</v>
      </c>
      <c r="I57" s="161" t="e">
        <f ca="1">_xll.EVPRO($B$1,$H57,"STYLE")</f>
        <v>#NAME?</v>
      </c>
      <c r="J57" s="161" t="e">
        <f ca="1">_xll.EVPRO($B$1,$H57,"CALC")</f>
        <v>#NAME?</v>
      </c>
      <c r="K57" s="68" t="e">
        <f t="shared" ref="K57:K58" ca="1" si="33">IF(AND(I57&gt;="T3"),"&gt;","")</f>
        <v>#NAME?</v>
      </c>
      <c r="L57" s="162" t="e">
        <f ca="1">_xll.EVPRO($B$1,H57,"JDEID")</f>
        <v>#NAME?</v>
      </c>
      <c r="M57" s="162" t="e">
        <f ca="1">IF(AND(I57="N",J57="N"),_xll.EVPRO($B$1,H57,"PSFTID"),"")</f>
        <v>#NAME?</v>
      </c>
      <c r="N57" s="162" t="e">
        <f ca="1">IF(_xll.EVDES(H57,$B$1)="#NODATA","",_xll.EVDES(H57,$B$1))</f>
        <v>#NAME?</v>
      </c>
      <c r="O57" s="21"/>
      <c r="P57" s="21">
        <v>16.059999999999999</v>
      </c>
      <c r="Q57" s="21">
        <v>2.15</v>
      </c>
      <c r="R57" s="21">
        <v>31.32</v>
      </c>
      <c r="S57" s="21"/>
      <c r="T57" s="21"/>
      <c r="U57" s="21">
        <v>19.41</v>
      </c>
      <c r="V57" s="21"/>
      <c r="W57" s="21">
        <v>28.56</v>
      </c>
      <c r="X57" s="21"/>
      <c r="Y57" s="21">
        <v>34.85</v>
      </c>
      <c r="Z57" s="21">
        <v>259.3</v>
      </c>
      <c r="AA57" s="38" t="e">
        <f ca="1">IF($I57="B1","",SUM(O57:Z57))</f>
        <v>#NAME?</v>
      </c>
      <c r="AB57" s="17" t="e">
        <f ca="1">IF(AA57=0,"",IFERROR(AA57/AA$19,""))</f>
        <v>#NAME?</v>
      </c>
      <c r="AD57" s="21"/>
      <c r="AE57" s="17" t="str">
        <f>IF(AD57=0,"",IFERROR(AD57/AD$19,""))</f>
        <v/>
      </c>
      <c r="AF57" s="50" t="e">
        <f ca="1">IF(AND($AA57="",AD57=""),"",$AA57-AD57)</f>
        <v>#NAME?</v>
      </c>
      <c r="AG57" s="21">
        <v>60.19</v>
      </c>
      <c r="AH57" s="17" t="str">
        <f t="shared" ref="AH57:AH58" ca="1" si="34">IF(AG57=0,"",IFERROR(AG57/AG$19,""))</f>
        <v/>
      </c>
      <c r="AI57" s="50" t="e">
        <f t="shared" ref="AI57:AI58" ca="1" si="35">IF(AND($AA57="",AG57=""),"",$AA57-AG57)</f>
        <v>#NAME?</v>
      </c>
      <c r="AJ57" s="399">
        <f t="shared" ref="AJ57:AJ58" ca="1" si="36">IFERROR(AA57/AA$20,0)</f>
        <v>0</v>
      </c>
      <c r="AK57" s="400">
        <f t="shared" ref="AK57:AK58" ca="1" si="37">IFERROR(AD57/AD$20,0)</f>
        <v>0</v>
      </c>
      <c r="AL57" s="401">
        <f t="shared" ref="AL57:AL58" ca="1" si="38">IFERROR(AG57/AG$20,0)</f>
        <v>0</v>
      </c>
      <c r="AM57" s="402">
        <f t="shared" ref="AM57:AM58" ca="1" si="39">+IFERROR(ROUND(($AB57-AE57)*100,2)&amp;" pts.",0)</f>
        <v>0</v>
      </c>
      <c r="AN57" s="403">
        <f t="shared" ref="AN57:AN58" ca="1" si="40">+IFERROR(ROUND(($AB57-AH57)*100,2)&amp;" pts.",0)</f>
        <v>0</v>
      </c>
    </row>
    <row r="58" spans="1:40" x14ac:dyDescent="0.25">
      <c r="A58" s="6" t="s">
        <v>11</v>
      </c>
      <c r="B58" s="7" t="s">
        <v>21</v>
      </c>
      <c r="H58" s="15" t="s">
        <v>845</v>
      </c>
      <c r="I58" s="161" t="e">
        <f ca="1">_xll.EVPRO($B$1,$H58,"STYLE")</f>
        <v>#NAME?</v>
      </c>
      <c r="J58" s="161" t="e">
        <f ca="1">_xll.EVPRO($B$1,$H58,"CALC")</f>
        <v>#NAME?</v>
      </c>
      <c r="K58" s="68" t="e">
        <f t="shared" ca="1" si="33"/>
        <v>#NAME?</v>
      </c>
      <c r="L58" s="162" t="e">
        <f ca="1">_xll.EVPRO($B$1,H58,"JDEID")</f>
        <v>#NAME?</v>
      </c>
      <c r="M58" s="162" t="e">
        <f ca="1">IF(AND(I58="N",J58="N"),_xll.EVPRO($B$1,H58,"PSFTID"),"")</f>
        <v>#NAME?</v>
      </c>
      <c r="N58" s="162" t="e">
        <f ca="1">IF(_xll.EVDES(H58,$B$1)="#NODATA","",_xll.EVDES(H58,$B$1))</f>
        <v>#NAME?</v>
      </c>
      <c r="O58" s="21">
        <v>9669.68</v>
      </c>
      <c r="P58" s="21">
        <v>9767.4599999999991</v>
      </c>
      <c r="Q58" s="21">
        <v>9720.16</v>
      </c>
      <c r="R58" s="21">
        <v>7416.64</v>
      </c>
      <c r="S58" s="21">
        <v>6937.6</v>
      </c>
      <c r="T58" s="21">
        <v>5876.28</v>
      </c>
      <c r="U58" s="21">
        <v>5497.78</v>
      </c>
      <c r="V58" s="21">
        <v>4618.3999999999996</v>
      </c>
      <c r="W58" s="21">
        <v>3887.92</v>
      </c>
      <c r="X58" s="21">
        <v>4946.21</v>
      </c>
      <c r="Y58" s="21">
        <v>5625.21</v>
      </c>
      <c r="Z58" s="21">
        <v>8487.66</v>
      </c>
      <c r="AA58" s="38" t="e">
        <f ca="1">IF($I58="B1","",SUM(O58:Z58))</f>
        <v>#NAME?</v>
      </c>
      <c r="AB58" s="17" t="e">
        <f ca="1">IF(AA58=0,"",IFERROR(AA58/AA$19,""))</f>
        <v>#NAME?</v>
      </c>
      <c r="AD58" s="21">
        <v>106348.16344814999</v>
      </c>
      <c r="AE58" s="17" t="str">
        <f ca="1">IF(AD58=0,"",IFERROR(AD58/AD$19,""))</f>
        <v/>
      </c>
      <c r="AF58" s="50" t="e">
        <f ca="1">IF(AND($AA58="",AD58=""),"",$AA58-AD58)</f>
        <v>#NAME?</v>
      </c>
      <c r="AG58" s="21">
        <v>94615.56</v>
      </c>
      <c r="AH58" s="17" t="str">
        <f t="shared" ca="1" si="34"/>
        <v/>
      </c>
      <c r="AI58" s="50" t="e">
        <f t="shared" ca="1" si="35"/>
        <v>#NAME?</v>
      </c>
      <c r="AJ58" s="399">
        <f t="shared" ca="1" si="36"/>
        <v>0</v>
      </c>
      <c r="AK58" s="400">
        <f t="shared" ca="1" si="37"/>
        <v>0</v>
      </c>
      <c r="AL58" s="401">
        <f t="shared" ca="1" si="38"/>
        <v>0</v>
      </c>
      <c r="AM58" s="402">
        <f t="shared" ca="1" si="39"/>
        <v>0</v>
      </c>
      <c r="AN58" s="403">
        <f t="shared" ca="1" si="40"/>
        <v>0</v>
      </c>
    </row>
    <row r="59" spans="1:40" x14ac:dyDescent="0.25">
      <c r="A59" s="6" t="s">
        <v>12</v>
      </c>
      <c r="B59" s="7" t="s">
        <v>22</v>
      </c>
      <c r="H59" s="15" t="s">
        <v>79</v>
      </c>
      <c r="I59" s="27" t="e">
        <f ca="1">_xll.EVPRO($B$1,$H59,"STYLE")</f>
        <v>#NAME?</v>
      </c>
      <c r="J59" s="27" t="e">
        <f ca="1">_xll.EVPRO($B$1,$H59,"CALC")</f>
        <v>#NAME?</v>
      </c>
      <c r="K59" s="26"/>
      <c r="N59" s="25" t="e">
        <f ca="1">IF(_xll.EVDES(H59,$B$1)="#NODATA","",_xll.EVDES(H59,$B$1))</f>
        <v>#NAME?</v>
      </c>
      <c r="O59" s="33">
        <f t="shared" ref="O59:Z59" si="41">SUM(O56:O58)</f>
        <v>10006.75</v>
      </c>
      <c r="P59" s="33">
        <f t="shared" si="41"/>
        <v>9869.7999999999993</v>
      </c>
      <c r="Q59" s="33">
        <f t="shared" si="41"/>
        <v>9811.5499999999993</v>
      </c>
      <c r="R59" s="33">
        <f t="shared" si="41"/>
        <v>7538.72</v>
      </c>
      <c r="S59" s="33">
        <f t="shared" si="41"/>
        <v>7223.77</v>
      </c>
      <c r="T59" s="33">
        <f t="shared" si="41"/>
        <v>6054.0199999999995</v>
      </c>
      <c r="U59" s="33">
        <f t="shared" si="41"/>
        <v>5632.17</v>
      </c>
      <c r="V59" s="33">
        <f t="shared" si="41"/>
        <v>4708.3999999999996</v>
      </c>
      <c r="W59" s="33">
        <f t="shared" si="41"/>
        <v>4007.17</v>
      </c>
      <c r="X59" s="33">
        <f t="shared" si="41"/>
        <v>5240.88</v>
      </c>
      <c r="Y59" s="33">
        <f t="shared" si="41"/>
        <v>5749.7300000000005</v>
      </c>
      <c r="Z59" s="33">
        <f t="shared" si="41"/>
        <v>8930.61</v>
      </c>
      <c r="AA59" s="33" t="e">
        <f ca="1">IF($I59="B1","",SUM(O59:Z59))</f>
        <v>#NAME?</v>
      </c>
      <c r="AB59" s="34" t="e">
        <f ca="1">IF(AA59=0,"",IFERROR(AA59/AA$19,""))</f>
        <v>#NAME?</v>
      </c>
      <c r="AD59" s="33">
        <f>SUM(AD56:AD58)</f>
        <v>107932.16344814999</v>
      </c>
      <c r="AE59" s="34" t="str">
        <f ca="1">IF(AD59=0,"",IFERROR(AD59/AD$19,""))</f>
        <v/>
      </c>
      <c r="AF59" s="52" t="e">
        <f ca="1">IF(AND($AA59="",AD59=""),"",$AA59-AD59)</f>
        <v>#NAME?</v>
      </c>
      <c r="AG59" s="33">
        <f>SUM(AG56:AG58)</f>
        <v>95713.069999999992</v>
      </c>
      <c r="AH59" s="34" t="str">
        <f ca="1">IF(AG59=0,"",IFERROR(AG59/AG$19,""))</f>
        <v/>
      </c>
      <c r="AI59" s="52" t="e">
        <f ca="1">IF(AND($AA59="",AG59=""),"",$AA59-AG59)</f>
        <v>#NAME?</v>
      </c>
      <c r="AJ59" s="415">
        <f ca="1">IFERROR(AA59/AA$20,0)</f>
        <v>0</v>
      </c>
      <c r="AK59" s="416">
        <f ca="1">IFERROR(AD59/AD$20,0)</f>
        <v>0</v>
      </c>
      <c r="AL59" s="417">
        <f ca="1">IFERROR(AG59/AG$20,0)</f>
        <v>0</v>
      </c>
      <c r="AM59" s="418">
        <f ca="1">+IFERROR(ROUND(($AB59-AE59)*100,2)&amp;" pts.",0)</f>
        <v>0</v>
      </c>
      <c r="AN59" s="436">
        <f ca="1">+IFERROR(ROUND(($AB59-AH59)*100,2)&amp;" pts.",0)</f>
        <v>0</v>
      </c>
    </row>
    <row r="60" spans="1:40" x14ac:dyDescent="0.25">
      <c r="A60" s="6" t="s">
        <v>13</v>
      </c>
      <c r="B60" s="7" t="s">
        <v>505</v>
      </c>
    </row>
    <row r="61" spans="1:40" x14ac:dyDescent="0.25">
      <c r="A61" s="6" t="s">
        <v>14</v>
      </c>
      <c r="B61" s="16"/>
      <c r="H61" s="15" t="s">
        <v>80</v>
      </c>
      <c r="I61" s="27" t="e">
        <f ca="1">_xll.EVPRO($B$1,$H61,"STYLE")</f>
        <v>#NAME?</v>
      </c>
      <c r="J61" s="27" t="e">
        <f ca="1">_xll.EVPRO($B$1,$H61,"CALC")</f>
        <v>#NAME?</v>
      </c>
      <c r="K61" s="25"/>
      <c r="N61" s="25" t="e">
        <f ca="1">IF(_xll.EVDES(H61,$B$1)="#NODATA","",_xll.EVDES(H61,$B$1))</f>
        <v>#NAME?</v>
      </c>
      <c r="O61" s="36">
        <v>19394.36</v>
      </c>
      <c r="P61" s="36">
        <v>18142.16</v>
      </c>
      <c r="Q61" s="36">
        <v>16595.599999999999</v>
      </c>
      <c r="R61" s="36">
        <v>21435.61</v>
      </c>
      <c r="S61" s="36">
        <v>24853.26</v>
      </c>
      <c r="T61" s="36">
        <v>16534.830000000002</v>
      </c>
      <c r="U61" s="36">
        <v>18872.71</v>
      </c>
      <c r="V61" s="36">
        <v>15451.6</v>
      </c>
      <c r="W61" s="36">
        <v>11924.04</v>
      </c>
      <c r="X61" s="36">
        <v>12640.45</v>
      </c>
      <c r="Y61" s="36">
        <v>15845</v>
      </c>
      <c r="Z61" s="36">
        <v>18807.7</v>
      </c>
      <c r="AA61" s="36" t="e">
        <f ca="1">IF($I61="B1","",SUM(O61:Z61))</f>
        <v>#NAME?</v>
      </c>
      <c r="AB61" s="37" t="e">
        <f ca="1">IF(AA61=0,"",IFERROR(AA61/AA$19,""))</f>
        <v>#NAME?</v>
      </c>
      <c r="AD61" s="36">
        <v>237263.16344815001</v>
      </c>
      <c r="AE61" s="37" t="str">
        <f ca="1">IF(AD61=0,"",IFERROR(AD61/AD$19,""))</f>
        <v/>
      </c>
      <c r="AF61" s="59" t="e">
        <f ca="1">IF(AND($AA61="",AD61=""),"",$AA61-AD61)</f>
        <v>#NAME?</v>
      </c>
      <c r="AG61" s="60">
        <v>209793.12</v>
      </c>
      <c r="AH61" s="61" t="str">
        <f ca="1">IF(AG61=0,"",IFERROR(AG61/AG$19,""))</f>
        <v/>
      </c>
      <c r="AI61" s="59" t="e">
        <f ca="1">IF(AND($AA61="",AG61=""),"",$AA61-AG61)</f>
        <v>#NAME?</v>
      </c>
      <c r="AJ61" s="392">
        <f ca="1">IFERROR(AA61/AA$20,0)</f>
        <v>0</v>
      </c>
      <c r="AK61" s="393">
        <f ca="1">IFERROR(AD61/AD$20,0)</f>
        <v>0</v>
      </c>
      <c r="AL61" s="394">
        <f ca="1">IFERROR(AG61/AG$20,0)</f>
        <v>0</v>
      </c>
      <c r="AM61" s="395">
        <f ca="1">+IFERROR(ROUND(($AB61-AE61)*100,2)&amp;" pts.",0)</f>
        <v>0</v>
      </c>
      <c r="AN61" s="437">
        <f ca="1">+IFERROR(ROUND(($AB61-AH61)*100,2)&amp;" pts.",0)</f>
        <v>0</v>
      </c>
    </row>
    <row r="62" spans="1:40" ht="15.75" thickBot="1" x14ac:dyDescent="0.3">
      <c r="A62" s="6" t="s">
        <v>15</v>
      </c>
      <c r="B62" s="7"/>
      <c r="H62" s="15" t="s">
        <v>81</v>
      </c>
      <c r="I62" s="27" t="e">
        <f ca="1">_xll.EVPRO($B$1,$H62,"STYLE")</f>
        <v>#NAME?</v>
      </c>
      <c r="J62" s="27" t="e">
        <f ca="1">_xll.EVPRO($B$1,$H62,"CALC")</f>
        <v>#NAME?</v>
      </c>
      <c r="K62" s="25"/>
      <c r="N62" s="25" t="e">
        <f ca="1">IF(_xll.EVDES(H62,$B$1)="#NODATA","",_xll.EVDES(H62,$B$1))</f>
        <v>#NAME?</v>
      </c>
      <c r="O62" s="62">
        <v>-19394.36</v>
      </c>
      <c r="P62" s="62">
        <v>-18142.16</v>
      </c>
      <c r="Q62" s="62">
        <v>-16595.599999999999</v>
      </c>
      <c r="R62" s="62">
        <v>-21435.61</v>
      </c>
      <c r="S62" s="62">
        <v>-24853.26</v>
      </c>
      <c r="T62" s="62">
        <v>-16534.830000000002</v>
      </c>
      <c r="U62" s="62">
        <v>-18872.71</v>
      </c>
      <c r="V62" s="62">
        <v>-15451.6</v>
      </c>
      <c r="W62" s="62">
        <v>-11924.04</v>
      </c>
      <c r="X62" s="62">
        <v>-12640.45</v>
      </c>
      <c r="Y62" s="62">
        <v>-15845</v>
      </c>
      <c r="Z62" s="62">
        <v>-18807.7</v>
      </c>
      <c r="AA62" s="62" t="e">
        <f ca="1">IF($I62="B1","",SUM(O62:Z62))</f>
        <v>#NAME?</v>
      </c>
      <c r="AB62" s="63" t="e">
        <f ca="1">IF(AA62=0,"",IFERROR(AA62/AA$19,""))</f>
        <v>#NAME?</v>
      </c>
      <c r="AD62" s="62">
        <v>-237263.16344815001</v>
      </c>
      <c r="AE62" s="63" t="str">
        <f ca="1">IF(AD62=0,"",IFERROR(AD62/AD$19,""))</f>
        <v/>
      </c>
      <c r="AF62" s="64" t="e">
        <f ca="1">IF(AND($AA62="",AD62=""),"",$AA62-AD62)</f>
        <v>#NAME?</v>
      </c>
      <c r="AG62" s="62">
        <v>-209793.12</v>
      </c>
      <c r="AH62" s="63" t="str">
        <f ca="1">IF(AG62=0,"",IFERROR(AG62/AG$19,""))</f>
        <v/>
      </c>
      <c r="AI62" s="64" t="e">
        <f ca="1">IF(AND($AA62="",AG62=""),"",$AA62-AG62)</f>
        <v>#NAME?</v>
      </c>
      <c r="AJ62" s="430">
        <f ca="1">IFERROR(AA62/AA$20,0)</f>
        <v>0</v>
      </c>
      <c r="AK62" s="431">
        <f ca="1">IFERROR(AD62/AD$20,0)</f>
        <v>0</v>
      </c>
      <c r="AL62" s="432">
        <f ca="1">IFERROR(AG62/AG$20,0)</f>
        <v>0</v>
      </c>
      <c r="AM62" s="433">
        <f ca="1">+IFERROR(ROUND(($AB62-AE62)*100,2)&amp;" pts.",0)</f>
        <v>0</v>
      </c>
      <c r="AN62" s="438">
        <f ca="1">+IFERROR(ROUND(($AB62-AH62)*100,2)&amp;" pts.",0)</f>
        <v>0</v>
      </c>
    </row>
    <row r="63" spans="1:40" ht="15.75" thickTop="1" x14ac:dyDescent="0.25">
      <c r="A63" s="6" t="s">
        <v>16</v>
      </c>
      <c r="B63" s="7"/>
    </row>
    <row r="64" spans="1:40" x14ac:dyDescent="0.25">
      <c r="A64" s="6" t="s">
        <v>17</v>
      </c>
      <c r="B64" s="7"/>
      <c r="N64" s="26" t="e">
        <f ca="1">N61&amp;" - Check"</f>
        <v>#NAME?</v>
      </c>
      <c r="O64" s="139">
        <f t="shared" ref="O64:AA64" si="42">SUMIF($H$35:$H$62,"600000",O$35:O$62)+SUMIF($H$35:$H$62,"707900",O$35:O$62)+SUMIF($H$35:$H$62,"ITSYS_EXP",O$35:O$62)+SUMIF($H$35:$H$62,"700000",O$35:O$62)-SUMIF($H$35:$H$62,"TOTDEPTEXP",O$35:O$62)</f>
        <v>0</v>
      </c>
      <c r="P64" s="139">
        <f t="shared" si="42"/>
        <v>0</v>
      </c>
      <c r="Q64" s="139">
        <f t="shared" si="42"/>
        <v>0</v>
      </c>
      <c r="R64" s="139">
        <f t="shared" si="42"/>
        <v>0</v>
      </c>
      <c r="S64" s="139">
        <f t="shared" si="42"/>
        <v>0</v>
      </c>
      <c r="T64" s="139">
        <f t="shared" si="42"/>
        <v>0</v>
      </c>
      <c r="U64" s="139">
        <f t="shared" si="42"/>
        <v>0</v>
      </c>
      <c r="V64" s="139">
        <f t="shared" si="42"/>
        <v>0</v>
      </c>
      <c r="W64" s="139">
        <f t="shared" si="42"/>
        <v>0</v>
      </c>
      <c r="X64" s="139">
        <f t="shared" si="42"/>
        <v>0</v>
      </c>
      <c r="Y64" s="139">
        <f t="shared" si="42"/>
        <v>0</v>
      </c>
      <c r="Z64" s="139">
        <f t="shared" si="42"/>
        <v>0</v>
      </c>
      <c r="AA64" s="139" t="e">
        <f t="shared" ca="1" si="42"/>
        <v>#NAME?</v>
      </c>
      <c r="AB64" s="17"/>
      <c r="AD64" s="139">
        <f>SUMIF($H$35:$H$62,"600000",AD$35:AD$62)+SUMIF($H$35:$H$62,"707900",AD$35:AD$62)+SUMIF($H$35:$H$62,"ITSYS_EXP",AD$35:AD$62)+SUMIF($H$35:$H$62,"700000",AD$35:AD$62)-SUMIF($H$35:$H$62,"TOTDEPTEXP",AD$35:AD$62)</f>
        <v>0</v>
      </c>
      <c r="AE64" s="17"/>
      <c r="AF64" s="21"/>
      <c r="AG64" s="139">
        <f>SUMIF($H$35:$H$62,"600000",AG$35:AG$62)+SUMIF($H$35:$H$62,"707900",AG$35:AG$62)+SUMIF($H$35:$H$62,"ITSYS_EXP",AG$35:AG$62)+SUMIF($H$35:$H$62,"700000",AG$35:AG$62)-SUMIF($H$35:$H$62,"TOTDEPTEXP",AG$35:AG$62)</f>
        <v>0</v>
      </c>
      <c r="AH64" s="17"/>
      <c r="AI64" s="21"/>
    </row>
    <row r="65" spans="1:35" x14ac:dyDescent="0.25">
      <c r="N65" s="26" t="e">
        <f ca="1">N62&amp;" - Check"</f>
        <v>#NAME?</v>
      </c>
      <c r="O65" s="139">
        <f t="shared" ref="O65:AA65" si="43">SUMIF($H$33:$H$62,"TOTDEPTEXP",O$33:O$62)+SUMIF($H$33:$H$62,"TOTDEPTPL",O$33:O$62)</f>
        <v>0</v>
      </c>
      <c r="P65" s="139">
        <f t="shared" si="43"/>
        <v>0</v>
      </c>
      <c r="Q65" s="139">
        <f t="shared" si="43"/>
        <v>0</v>
      </c>
      <c r="R65" s="139">
        <f t="shared" si="43"/>
        <v>0</v>
      </c>
      <c r="S65" s="139">
        <f t="shared" si="43"/>
        <v>0</v>
      </c>
      <c r="T65" s="139">
        <f t="shared" si="43"/>
        <v>0</v>
      </c>
      <c r="U65" s="139">
        <f t="shared" si="43"/>
        <v>0</v>
      </c>
      <c r="V65" s="139">
        <f t="shared" si="43"/>
        <v>0</v>
      </c>
      <c r="W65" s="139">
        <f t="shared" si="43"/>
        <v>0</v>
      </c>
      <c r="X65" s="139">
        <f t="shared" si="43"/>
        <v>0</v>
      </c>
      <c r="Y65" s="139">
        <f t="shared" si="43"/>
        <v>0</v>
      </c>
      <c r="Z65" s="139">
        <f t="shared" si="43"/>
        <v>0</v>
      </c>
      <c r="AA65" s="139" t="e">
        <f t="shared" ca="1" si="43"/>
        <v>#NAME?</v>
      </c>
      <c r="AB65" s="17"/>
      <c r="AD65" s="139">
        <f>SUMIF($H$33:$H$62,"ROOMS_TOT",AD$33:AD$62)-SUMIF($H$33:$H$62,"TOTDEPTEXP",AD$33:AD$62)-SUMIF($H$33:$H$62,"TOTDEPTPL",AD$33:AD$62)</f>
        <v>0</v>
      </c>
      <c r="AE65" s="17"/>
      <c r="AF65" s="21"/>
      <c r="AG65" s="139">
        <f>SUMIF($H$33:$H$62,"ROOMS_TOT",AG$33:AG$62)-SUMIF($H$33:$H$62,"TOTDEPTEXP",AG$33:AG$62)-SUMIF($H$33:$H$62,"TOTDEPTPL",AG$33:AG$62)</f>
        <v>0</v>
      </c>
      <c r="AH65" s="17"/>
      <c r="AI65" s="21"/>
    </row>
    <row r="66" spans="1:35" x14ac:dyDescent="0.25">
      <c r="C66" s="32"/>
    </row>
    <row r="68" spans="1:35" x14ac:dyDescent="0.25">
      <c r="A68" s="4" t="e">
        <f ca="1">_xll.EVDRE($B$1,A71:B78,A81:B87)</f>
        <v>#NAME?</v>
      </c>
    </row>
    <row r="70" spans="1:35" x14ac:dyDescent="0.25">
      <c r="A70" s="3" t="s">
        <v>0</v>
      </c>
      <c r="B70" s="5" t="s">
        <v>1</v>
      </c>
    </row>
    <row r="71" spans="1:35" x14ac:dyDescent="0.25">
      <c r="A71" s="6" t="s">
        <v>2</v>
      </c>
      <c r="B71" s="7" t="e">
        <f ca="1">_xll.EVRNG($B$2:$B$10)</f>
        <v>#NAME?</v>
      </c>
    </row>
    <row r="72" spans="1:35" x14ac:dyDescent="0.25">
      <c r="A72" s="6" t="s">
        <v>3</v>
      </c>
      <c r="B72" s="7" t="e">
        <f ca="1">_xll.EVRNG($O$16:$AN$18)</f>
        <v>#NAME?</v>
      </c>
      <c r="H72" s="11"/>
      <c r="J72" s="1"/>
    </row>
    <row r="73" spans="1:35" x14ac:dyDescent="0.25">
      <c r="A73" s="6" t="s">
        <v>4</v>
      </c>
      <c r="B73" s="7" t="e">
        <f ca="1">_xll.EVRNG(H47:H52,H56:H58)</f>
        <v>#NAME?</v>
      </c>
      <c r="H73" s="11"/>
      <c r="J73" s="1"/>
    </row>
    <row r="74" spans="1:35" x14ac:dyDescent="0.25">
      <c r="A74" s="6" t="s">
        <v>5</v>
      </c>
      <c r="B74" s="7"/>
      <c r="H74" s="11"/>
      <c r="J74" s="1"/>
    </row>
    <row r="75" spans="1:35" x14ac:dyDescent="0.25">
      <c r="A75" s="6" t="s">
        <v>6</v>
      </c>
      <c r="B75" s="7"/>
      <c r="H75" s="11"/>
      <c r="J75" s="1"/>
    </row>
    <row r="76" spans="1:35" x14ac:dyDescent="0.25">
      <c r="A76" s="6" t="s">
        <v>7</v>
      </c>
      <c r="B76" s="7"/>
      <c r="H76" s="11"/>
      <c r="J76" s="1"/>
    </row>
    <row r="77" spans="1:35" x14ac:dyDescent="0.25">
      <c r="A77" s="6" t="s">
        <v>47</v>
      </c>
      <c r="B77" s="7" t="e">
        <f ca="1">_xll.EVRNG($A$105:$B$126)</f>
        <v>#NAME?</v>
      </c>
      <c r="H77" s="11"/>
      <c r="J77" s="1"/>
    </row>
    <row r="78" spans="1:35" x14ac:dyDescent="0.25">
      <c r="A78" s="6" t="s">
        <v>8</v>
      </c>
      <c r="B78" s="7"/>
      <c r="H78" s="11"/>
      <c r="J78" s="1"/>
    </row>
    <row r="79" spans="1:35" x14ac:dyDescent="0.25">
      <c r="H79" s="11"/>
      <c r="J79" s="1"/>
    </row>
    <row r="80" spans="1:35" x14ac:dyDescent="0.25">
      <c r="A80" s="3" t="s">
        <v>9</v>
      </c>
      <c r="B80" s="5" t="s">
        <v>10</v>
      </c>
      <c r="H80" s="11"/>
      <c r="J80" s="1"/>
    </row>
    <row r="81" spans="1:10" x14ac:dyDescent="0.25">
      <c r="A81" s="6" t="s">
        <v>11</v>
      </c>
      <c r="B81" s="7" t="s">
        <v>21</v>
      </c>
      <c r="H81" s="11"/>
      <c r="J81" s="1"/>
    </row>
    <row r="82" spans="1:10" x14ac:dyDescent="0.25">
      <c r="A82" s="6" t="s">
        <v>12</v>
      </c>
      <c r="B82" s="7" t="s">
        <v>22</v>
      </c>
      <c r="H82" s="11"/>
      <c r="J82" s="1"/>
    </row>
    <row r="83" spans="1:10" x14ac:dyDescent="0.25">
      <c r="A83" s="6" t="s">
        <v>13</v>
      </c>
      <c r="B83" s="7" t="s">
        <v>503</v>
      </c>
      <c r="H83" s="11"/>
      <c r="J83" s="1"/>
    </row>
    <row r="84" spans="1:10" x14ac:dyDescent="0.25">
      <c r="A84" s="6" t="s">
        <v>14</v>
      </c>
      <c r="B84" s="16"/>
      <c r="H84" s="11"/>
      <c r="J84" s="1"/>
    </row>
    <row r="85" spans="1:10" x14ac:dyDescent="0.25">
      <c r="A85" s="6" t="s">
        <v>15</v>
      </c>
      <c r="B85" s="7"/>
      <c r="H85" s="11"/>
      <c r="J85" s="1"/>
    </row>
    <row r="86" spans="1:10" x14ac:dyDescent="0.25">
      <c r="A86" s="6" t="s">
        <v>16</v>
      </c>
      <c r="B86" s="7" t="s">
        <v>78</v>
      </c>
      <c r="H86" s="11"/>
      <c r="J86" s="1"/>
    </row>
    <row r="87" spans="1:10" x14ac:dyDescent="0.25">
      <c r="A87" s="6" t="s">
        <v>17</v>
      </c>
      <c r="B87" s="7"/>
      <c r="H87" s="11"/>
      <c r="J87" s="1"/>
    </row>
    <row r="88" spans="1:10" x14ac:dyDescent="0.25">
      <c r="H88" s="11"/>
      <c r="J88" s="1"/>
    </row>
    <row r="89" spans="1:10" x14ac:dyDescent="0.25">
      <c r="C89" s="32"/>
      <c r="H89" s="11"/>
      <c r="J89" s="1"/>
    </row>
    <row r="90" spans="1:10" x14ac:dyDescent="0.25">
      <c r="H90" s="11"/>
      <c r="J90" s="1"/>
    </row>
    <row r="91" spans="1:10" x14ac:dyDescent="0.25">
      <c r="A91" s="4" t="e">
        <f ca="1">_xll.EVDRE($B$1,A94:B101)</f>
        <v>#NAME?</v>
      </c>
      <c r="H91" s="11"/>
      <c r="J91" s="1"/>
    </row>
    <row r="92" spans="1:10" x14ac:dyDescent="0.25">
      <c r="H92" s="11"/>
      <c r="J92" s="1"/>
    </row>
    <row r="93" spans="1:10" x14ac:dyDescent="0.25">
      <c r="A93" s="3" t="s">
        <v>0</v>
      </c>
      <c r="B93" s="5" t="s">
        <v>1</v>
      </c>
      <c r="H93" s="11"/>
      <c r="J93" s="1"/>
    </row>
    <row r="94" spans="1:10" x14ac:dyDescent="0.25">
      <c r="A94" s="6" t="s">
        <v>2</v>
      </c>
      <c r="B94" s="7" t="e">
        <f ca="1">_xll.EVRNG($B$2:$B$10)</f>
        <v>#NAME?</v>
      </c>
      <c r="H94" s="11"/>
      <c r="J94" s="1"/>
    </row>
    <row r="95" spans="1:10" x14ac:dyDescent="0.25">
      <c r="A95" s="6" t="s">
        <v>3</v>
      </c>
      <c r="B95" s="7" t="e">
        <f ca="1">_xll.EVRNG($O$16:$AN$18)</f>
        <v>#NAME?</v>
      </c>
    </row>
    <row r="96" spans="1:10" x14ac:dyDescent="0.25">
      <c r="A96" s="6" t="s">
        <v>4</v>
      </c>
      <c r="B96" s="7" t="e">
        <f ca="1">_xll.EVRNG(H61:H62)</f>
        <v>#NAME?</v>
      </c>
    </row>
    <row r="97" spans="1:2" x14ac:dyDescent="0.25">
      <c r="A97" s="6" t="s">
        <v>5</v>
      </c>
      <c r="B97" s="7"/>
    </row>
    <row r="98" spans="1:2" x14ac:dyDescent="0.25">
      <c r="A98" s="6" t="s">
        <v>6</v>
      </c>
      <c r="B98" s="7"/>
    </row>
    <row r="99" spans="1:2" x14ac:dyDescent="0.25">
      <c r="A99" s="6" t="s">
        <v>7</v>
      </c>
      <c r="B99" s="7"/>
    </row>
    <row r="100" spans="1:2" x14ac:dyDescent="0.25">
      <c r="A100" s="6" t="s">
        <v>47</v>
      </c>
      <c r="B100" s="7" t="e">
        <f ca="1">_xll.EVRNG($A$105:$B$126)</f>
        <v>#NAME?</v>
      </c>
    </row>
    <row r="101" spans="1:2" x14ac:dyDescent="0.25">
      <c r="A101" s="6" t="s">
        <v>8</v>
      </c>
      <c r="B101" s="7"/>
    </row>
    <row r="104" spans="1:2" x14ac:dyDescent="0.25">
      <c r="A104" s="3" t="s">
        <v>23</v>
      </c>
      <c r="B104" s="5" t="s">
        <v>24</v>
      </c>
    </row>
    <row r="105" spans="1:2" x14ac:dyDescent="0.25">
      <c r="A105" s="6" t="s">
        <v>25</v>
      </c>
      <c r="B105" s="7"/>
    </row>
    <row r="106" spans="1:2" x14ac:dyDescent="0.25">
      <c r="A106" s="6" t="s">
        <v>26</v>
      </c>
      <c r="B106" s="7"/>
    </row>
    <row r="107" spans="1:2" x14ac:dyDescent="0.25">
      <c r="A107" s="6" t="s">
        <v>27</v>
      </c>
      <c r="B107" s="7"/>
    </row>
    <row r="108" spans="1:2" x14ac:dyDescent="0.25">
      <c r="A108" s="6" t="s">
        <v>28</v>
      </c>
      <c r="B108" s="7"/>
    </row>
    <row r="109" spans="1:2" x14ac:dyDescent="0.25">
      <c r="A109" s="6" t="s">
        <v>29</v>
      </c>
      <c r="B109" s="7"/>
    </row>
    <row r="110" spans="1:2" x14ac:dyDescent="0.25">
      <c r="A110" s="6" t="s">
        <v>30</v>
      </c>
      <c r="B110" s="7" t="s">
        <v>78</v>
      </c>
    </row>
    <row r="111" spans="1:2" x14ac:dyDescent="0.25">
      <c r="A111" s="6" t="s">
        <v>31</v>
      </c>
      <c r="B111" s="7" t="s">
        <v>78</v>
      </c>
    </row>
    <row r="112" spans="1:2" x14ac:dyDescent="0.25">
      <c r="A112" s="6" t="s">
        <v>32</v>
      </c>
      <c r="B112" s="7"/>
    </row>
    <row r="113" spans="1:2" x14ac:dyDescent="0.25">
      <c r="A113" s="6" t="s">
        <v>33</v>
      </c>
      <c r="B113" s="7"/>
    </row>
    <row r="114" spans="1:2" x14ac:dyDescent="0.25">
      <c r="A114" s="6" t="s">
        <v>34</v>
      </c>
      <c r="B114" s="7"/>
    </row>
    <row r="115" spans="1:2" x14ac:dyDescent="0.25">
      <c r="A115" s="6" t="s">
        <v>35</v>
      </c>
      <c r="B115" s="7"/>
    </row>
    <row r="116" spans="1:2" x14ac:dyDescent="0.25">
      <c r="A116" s="6" t="s">
        <v>36</v>
      </c>
      <c r="B116" s="7"/>
    </row>
    <row r="117" spans="1:2" x14ac:dyDescent="0.25">
      <c r="A117" s="6" t="s">
        <v>37</v>
      </c>
      <c r="B117" s="7"/>
    </row>
    <row r="118" spans="1:2" x14ac:dyDescent="0.25">
      <c r="A118" s="6" t="s">
        <v>38</v>
      </c>
      <c r="B118" s="7"/>
    </row>
    <row r="119" spans="1:2" x14ac:dyDescent="0.25">
      <c r="A119" s="6" t="s">
        <v>39</v>
      </c>
      <c r="B119" s="7"/>
    </row>
    <row r="120" spans="1:2" x14ac:dyDescent="0.25">
      <c r="A120" s="6" t="s">
        <v>40</v>
      </c>
      <c r="B120" s="7"/>
    </row>
    <row r="121" spans="1:2" x14ac:dyDescent="0.25">
      <c r="A121" s="6" t="s">
        <v>41</v>
      </c>
      <c r="B121" s="7"/>
    </row>
    <row r="122" spans="1:2" x14ac:dyDescent="0.25">
      <c r="A122" s="6" t="s">
        <v>42</v>
      </c>
      <c r="B122" s="7"/>
    </row>
    <row r="123" spans="1:2" x14ac:dyDescent="0.25">
      <c r="A123" s="6" t="s">
        <v>43</v>
      </c>
      <c r="B123" s="7"/>
    </row>
    <row r="124" spans="1:2" x14ac:dyDescent="0.25">
      <c r="A124" s="6" t="s">
        <v>44</v>
      </c>
      <c r="B124" s="7"/>
    </row>
    <row r="125" spans="1:2" x14ac:dyDescent="0.25">
      <c r="A125" s="6" t="s">
        <v>45</v>
      </c>
      <c r="B125" s="7"/>
    </row>
    <row r="126" spans="1:2" x14ac:dyDescent="0.25">
      <c r="A126" s="6" t="s">
        <v>46</v>
      </c>
      <c r="B126" s="7"/>
    </row>
  </sheetData>
  <mergeCells count="2">
    <mergeCell ref="AD31:AE31"/>
    <mergeCell ref="AG31:AH31"/>
  </mergeCells>
  <dataValidations count="2">
    <dataValidation type="list" allowBlank="1" sqref="B82 B28 B59" xr:uid="{00000000-0002-0000-5000-000000000000}">
      <formula1>"ACCOUNT,BUSINESSUNIT,CATEGORY,DATASRC,DEPARTMENT,INTCO,MEASURES,RPTCURRENCY,TIME"</formula1>
    </dataValidation>
    <dataValidation type="list" allowBlank="1" sqref="B83 B29 B60" xr:uid="{00000000-0002-0000-5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632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6326" r:id="rId7" name="FPMExcelClientSheetOptionstb1"/>
      </mc:Fallback>
    </mc:AlternateContent>
  </controls>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90">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500</v>
      </c>
      <c r="C6" s="1" t="s">
        <v>1026</v>
      </c>
      <c r="E6" s="49" t="s">
        <v>1733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1734</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1735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1736</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1737</v>
      </c>
    </row>
    <row r="23" spans="1:40" hidden="1" outlineLevel="1" x14ac:dyDescent="0.25">
      <c r="A23" s="6" t="s">
        <v>47</v>
      </c>
      <c r="B23" s="16" t="s">
        <v>1738</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1739</v>
      </c>
    </row>
    <row r="28" spans="1:40" ht="15.75" x14ac:dyDescent="0.25">
      <c r="A28" s="6" t="s">
        <v>12</v>
      </c>
      <c r="B28" s="7" t="s">
        <v>22</v>
      </c>
      <c r="N28" s="71" t="s">
        <v>1005</v>
      </c>
    </row>
    <row r="29" spans="1:40" ht="15" customHeight="1" x14ac:dyDescent="0.25">
      <c r="A29" s="6" t="s">
        <v>13</v>
      </c>
      <c r="B29" s="7" t="s">
        <v>291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290</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73</v>
      </c>
      <c r="I33" s="11" t="s">
        <v>1011</v>
      </c>
      <c r="J33" s="11" t="s">
        <v>78</v>
      </c>
      <c r="N33" s="40" t="s">
        <v>1079</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1011</v>
      </c>
      <c r="J34" s="11" t="s">
        <v>78</v>
      </c>
      <c r="N34" s="8" t="s">
        <v>1080</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75</v>
      </c>
      <c r="I35" s="28" t="s">
        <v>1011</v>
      </c>
      <c r="J35" s="28" t="s">
        <v>78</v>
      </c>
      <c r="K35" s="69" t="str">
        <f>IF(AND(I35&gt;="T3"),"&gt;","")</f>
        <v/>
      </c>
      <c r="L35" s="25"/>
      <c r="M35" s="170"/>
      <c r="N35" s="25" t="s">
        <v>1082</v>
      </c>
      <c r="O35" s="38"/>
      <c r="P35" s="38"/>
      <c r="Q35" s="38"/>
      <c r="R35" s="38"/>
      <c r="S35" s="38"/>
      <c r="T35" s="38"/>
      <c r="U35" s="38"/>
      <c r="V35" s="38"/>
      <c r="W35" s="38"/>
      <c r="X35" s="38"/>
      <c r="Y35" s="38"/>
      <c r="Z35" s="38"/>
      <c r="AA35" s="38" t="str">
        <f>IF($I35="B1","",SUM(O35:Z35))</f>
        <v/>
      </c>
      <c r="AB35" s="39" t="str">
        <f>IF(AA35=0,"",IFERROR(AA35/AA$19,""))</f>
        <v/>
      </c>
      <c r="AD35" s="21"/>
      <c r="AE35" s="17" t="str">
        <f>IF(AD35=0,"",IFERROR(AD35/AD$19,""))</f>
        <v/>
      </c>
      <c r="AF35" s="50" t="str">
        <f>IF(AND($AA35="",AD35=""),"",$AA35-AD35)</f>
        <v/>
      </c>
      <c r="AG35" s="21"/>
      <c r="AH35" s="17" t="str">
        <f>IF(AG35=0,"",IFERROR(AG35/AG$19,""))</f>
        <v/>
      </c>
      <c r="AI35" s="50" t="str">
        <f>IF(AND($AA35="",AG35=""),"",$AA35-AG35)</f>
        <v/>
      </c>
      <c r="AJ35" s="399">
        <f>IFERROR(AA35/AA$20,0)</f>
        <v>0</v>
      </c>
      <c r="AK35" s="400">
        <f>IFERROR(AD35/AD$20,0)</f>
        <v>0</v>
      </c>
      <c r="AL35" s="401">
        <f>IFERROR(AG35/AG$20,0)</f>
        <v>0</v>
      </c>
      <c r="AM35" s="402">
        <f>+IFERROR(ROUND(($AB35-AE35)*100,2)&amp;" pts.",0)</f>
        <v>0</v>
      </c>
      <c r="AN35" s="403">
        <f>+IFERROR(ROUND(($AB35-AH35)*100,2)&amp;" pts.",0)</f>
        <v>0</v>
      </c>
    </row>
    <row r="36" spans="1:40" hidden="1" x14ac:dyDescent="0.25">
      <c r="H36" s="15"/>
      <c r="I36" s="28"/>
      <c r="J36" s="28"/>
      <c r="K36" s="69" t="str">
        <f>IF(AND(I36&gt;="T3"),"&gt;","")</f>
        <v/>
      </c>
      <c r="L36" s="25"/>
      <c r="M36" s="170"/>
      <c r="N36" s="25"/>
      <c r="O36" s="38"/>
      <c r="P36" s="38"/>
      <c r="Q36" s="38"/>
      <c r="R36" s="38"/>
      <c r="S36" s="38"/>
      <c r="T36" s="38"/>
      <c r="U36" s="38"/>
      <c r="V36" s="38"/>
      <c r="W36" s="38"/>
      <c r="X36" s="38"/>
      <c r="Y36" s="38"/>
      <c r="Z36" s="38"/>
      <c r="AA36" s="38">
        <f>IF($I36="B1","",SUM(O36:Z36))</f>
        <v>0</v>
      </c>
      <c r="AB36" s="39" t="str">
        <f>IF(AA36=0,"",IFERROR(AA36/AA$19,""))</f>
        <v/>
      </c>
      <c r="AD36" s="21"/>
      <c r="AE36" s="17" t="str">
        <f>IF(AD36=0,"",IFERROR(AD36/AD$19,""))</f>
        <v/>
      </c>
      <c r="AF36" s="50">
        <f>IF(AND($AA36="",AD36=""),"",$AA36-AD36)</f>
        <v>0</v>
      </c>
      <c r="AG36" s="21"/>
      <c r="AH36" s="17" t="str">
        <f>IF(AG36=0,"",IFERROR(AG36/AG$19,""))</f>
        <v/>
      </c>
      <c r="AI36" s="50">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108</v>
      </c>
      <c r="C37" s="26" t="s">
        <v>101</v>
      </c>
      <c r="D37" s="1" t="s">
        <v>106</v>
      </c>
      <c r="F37" s="1" t="s">
        <v>98</v>
      </c>
      <c r="H37" s="25"/>
      <c r="I37" s="25"/>
      <c r="J37" s="25"/>
      <c r="K37" s="25"/>
      <c r="L37" s="25"/>
      <c r="M37" s="25"/>
      <c r="N37" s="25"/>
      <c r="O37" s="53"/>
      <c r="P37" s="54"/>
      <c r="Q37" s="54"/>
      <c r="R37" s="54"/>
      <c r="S37" s="54"/>
      <c r="T37" s="54"/>
      <c r="U37" s="54"/>
      <c r="V37" s="54"/>
      <c r="W37" s="54"/>
      <c r="X37" s="54"/>
      <c r="Y37" s="54"/>
      <c r="Z37" s="54"/>
      <c r="AA37" s="54"/>
      <c r="AB37" s="55"/>
      <c r="AD37" s="53"/>
      <c r="AE37" s="54"/>
      <c r="AF37" s="55"/>
      <c r="AG37" s="53"/>
      <c r="AH37" s="54"/>
      <c r="AI37" s="55"/>
    </row>
    <row r="38" spans="1:40" x14ac:dyDescent="0.25">
      <c r="A38" s="1" t="s">
        <v>100</v>
      </c>
      <c r="C38" s="8" t="s">
        <v>101</v>
      </c>
      <c r="D38" s="1" t="s">
        <v>106</v>
      </c>
      <c r="F38" s="1" t="s">
        <v>98</v>
      </c>
      <c r="H38" s="1" t="s">
        <v>504</v>
      </c>
      <c r="I38" s="11" t="s">
        <v>1011</v>
      </c>
      <c r="J38" s="11" t="s">
        <v>78</v>
      </c>
      <c r="K38" s="25"/>
      <c r="L38" s="25"/>
      <c r="M38" s="25"/>
      <c r="N38" s="40" t="s">
        <v>1740</v>
      </c>
      <c r="O38" s="43"/>
      <c r="P38" s="46"/>
      <c r="Q38" s="46"/>
      <c r="R38" s="46"/>
      <c r="S38" s="46"/>
      <c r="T38" s="46"/>
      <c r="U38" s="46"/>
      <c r="V38" s="46"/>
      <c r="W38" s="46"/>
      <c r="X38" s="46"/>
      <c r="Y38" s="46"/>
      <c r="Z38" s="46"/>
      <c r="AA38" s="46"/>
      <c r="AB38" s="44"/>
      <c r="AD38" s="43"/>
      <c r="AE38" s="46"/>
      <c r="AF38" s="44"/>
      <c r="AG38" s="43"/>
      <c r="AH38" s="46"/>
      <c r="AI38" s="44"/>
    </row>
    <row r="39" spans="1:40" x14ac:dyDescent="0.25">
      <c r="A39" s="1" t="s">
        <v>109</v>
      </c>
      <c r="C39" s="25" t="s">
        <v>101</v>
      </c>
      <c r="D39" s="1" t="s">
        <v>106</v>
      </c>
      <c r="F39" s="1" t="s">
        <v>98</v>
      </c>
      <c r="H39" s="15" t="s">
        <v>506</v>
      </c>
      <c r="I39" s="161" t="s">
        <v>1009</v>
      </c>
      <c r="J39" s="161" t="s">
        <v>1009</v>
      </c>
      <c r="K39" s="68" t="str">
        <f>IF(AND(I39&gt;="T3"),"&gt;","")</f>
        <v/>
      </c>
      <c r="L39" s="162">
        <v>707901</v>
      </c>
      <c r="M39" s="162">
        <v>690047</v>
      </c>
      <c r="N39" s="162" t="s">
        <v>1741</v>
      </c>
      <c r="O39" s="38">
        <v>534.57000000000005</v>
      </c>
      <c r="P39" s="38">
        <v>1223.73</v>
      </c>
      <c r="Q39" s="38">
        <v>821.98</v>
      </c>
      <c r="R39" s="38">
        <v>965.94</v>
      </c>
      <c r="S39" s="38">
        <v>750.34</v>
      </c>
      <c r="T39" s="38">
        <v>1210.54</v>
      </c>
      <c r="U39" s="38">
        <v>1130.74</v>
      </c>
      <c r="V39" s="38">
        <v>816.57</v>
      </c>
      <c r="W39" s="38">
        <v>685.47</v>
      </c>
      <c r="X39" s="38">
        <v>794.76</v>
      </c>
      <c r="Y39" s="38">
        <v>978.05</v>
      </c>
      <c r="Z39" s="38">
        <v>1037.1600000000001</v>
      </c>
      <c r="AA39" s="38">
        <f t="shared" ref="AA39:AA44" si="0">IF($I39="B1","",SUM(O39:Z39))</f>
        <v>10949.849999999999</v>
      </c>
      <c r="AB39" s="39">
        <f t="shared" ref="AB39:AB44" si="1">IF(AA39=0,"",IFERROR(AA39/AA$19,""))</f>
        <v>8.4618815329692127E-4</v>
      </c>
      <c r="AD39" s="38">
        <v>11696</v>
      </c>
      <c r="AE39" s="39">
        <f t="shared" ref="AE39:AE44" si="2">IF(AD39=0,"",IFERROR(AD39/AD$19,""))</f>
        <v>7.0487548815585275E-4</v>
      </c>
      <c r="AF39" s="132">
        <f t="shared" ref="AF39:AF44" si="3">IF(AND($AA39="",AD39=""),"",$AA39-AD39)</f>
        <v>-746.15000000000146</v>
      </c>
      <c r="AG39" s="38">
        <v>10877.4</v>
      </c>
      <c r="AH39" s="39">
        <f t="shared" ref="AH39:AH44" si="4">IF(AG39=0,"",IFERROR(AG39/AG$19,""))</f>
        <v>7.3831484050276613E-4</v>
      </c>
      <c r="AI39" s="132">
        <f t="shared" ref="AI39:AI44" si="5">IF(AND($AA39="",AG39=""),"",$AA39-AG39)</f>
        <v>72.449999999998909</v>
      </c>
      <c r="AJ39" s="399">
        <f t="shared" ref="AJ39:AJ44" si="6">IFERROR(AA39/AA$20,0)</f>
        <v>0.2272696139476961</v>
      </c>
      <c r="AK39" s="400">
        <f t="shared" ref="AK39:AK44" si="7">IFERROR(AD39/AD$20,0)</f>
        <v>0.24275633042756331</v>
      </c>
      <c r="AL39" s="401">
        <f t="shared" ref="AL39:AL44" si="8">IFERROR(AG39/AG$20,0)</f>
        <v>0.22576587795765876</v>
      </c>
      <c r="AM39" s="402" t="str">
        <f t="shared" ref="AM39:AM44" si="9">+IFERROR(ROUND(($AB39-AE39)*100,2)&amp;" pts.",0)</f>
        <v>0.01 pts.</v>
      </c>
      <c r="AN39" s="403" t="str">
        <f t="shared" ref="AN39:AN44" si="10">+IFERROR(ROUND(($AB39-AH39)*100,2)&amp;" pts.",0)</f>
        <v>0.01 pts.</v>
      </c>
    </row>
    <row r="40" spans="1:40" x14ac:dyDescent="0.25">
      <c r="A40" s="1" t="s">
        <v>109</v>
      </c>
      <c r="C40" s="151" t="s">
        <v>101</v>
      </c>
      <c r="D40" s="1" t="s">
        <v>107</v>
      </c>
      <c r="F40" s="1" t="s">
        <v>99</v>
      </c>
      <c r="H40" s="15" t="s">
        <v>507</v>
      </c>
      <c r="I40" s="161" t="s">
        <v>1009</v>
      </c>
      <c r="J40" s="161" t="s">
        <v>1009</v>
      </c>
      <c r="K40" s="68" t="str">
        <f>IF(AND(I40&gt;="T3"),"&gt;","")</f>
        <v/>
      </c>
      <c r="L40" s="162">
        <v>707902</v>
      </c>
      <c r="M40" s="162">
        <v>690612</v>
      </c>
      <c r="N40" s="162" t="s">
        <v>1742</v>
      </c>
      <c r="O40" s="38">
        <v>3349.04</v>
      </c>
      <c r="P40" s="38">
        <v>2853.55</v>
      </c>
      <c r="Q40" s="38">
        <v>3357.76</v>
      </c>
      <c r="R40" s="38">
        <v>3351.76</v>
      </c>
      <c r="S40" s="38">
        <v>3389.83</v>
      </c>
      <c r="T40" s="38">
        <v>3397.14</v>
      </c>
      <c r="U40" s="38">
        <v>3406.32</v>
      </c>
      <c r="V40" s="38">
        <v>3455.16</v>
      </c>
      <c r="W40" s="38">
        <v>3432.17</v>
      </c>
      <c r="X40" s="38">
        <v>3092.88</v>
      </c>
      <c r="Y40" s="38">
        <v>3187.49</v>
      </c>
      <c r="Z40" s="38">
        <v>3507.38</v>
      </c>
      <c r="AA40" s="38">
        <f t="shared" si="0"/>
        <v>39780.479999999996</v>
      </c>
      <c r="AB40" s="39">
        <f t="shared" si="1"/>
        <v>3.0741764415462415E-3</v>
      </c>
      <c r="AD40" s="38">
        <v>39684</v>
      </c>
      <c r="AE40" s="39">
        <f t="shared" si="2"/>
        <v>2.3916107106683364E-3</v>
      </c>
      <c r="AF40" s="132">
        <f t="shared" si="3"/>
        <v>96.479999999995925</v>
      </c>
      <c r="AG40" s="38">
        <v>38021.58</v>
      </c>
      <c r="AH40" s="39">
        <f t="shared" si="4"/>
        <v>2.5807542954532484E-3</v>
      </c>
      <c r="AI40" s="132">
        <f t="shared" si="5"/>
        <v>1758.8999999999942</v>
      </c>
      <c r="AJ40" s="399">
        <f t="shared" si="6"/>
        <v>0.82566376089663751</v>
      </c>
      <c r="AK40" s="400">
        <f t="shared" si="7"/>
        <v>0.82366127023661273</v>
      </c>
      <c r="AL40" s="401">
        <f t="shared" si="8"/>
        <v>0.7891569115815692</v>
      </c>
      <c r="AM40" s="402" t="str">
        <f t="shared" si="9"/>
        <v>0.07 pts.</v>
      </c>
      <c r="AN40" s="403" t="str">
        <f t="shared" si="10"/>
        <v>0.05 pts.</v>
      </c>
    </row>
    <row r="41" spans="1:40" x14ac:dyDescent="0.25">
      <c r="A41" s="1" t="s">
        <v>110</v>
      </c>
      <c r="C41" s="25" t="s">
        <v>101</v>
      </c>
      <c r="D41" s="1" t="s">
        <v>106</v>
      </c>
      <c r="F41" s="1" t="s">
        <v>98</v>
      </c>
      <c r="H41" s="15" t="s">
        <v>508</v>
      </c>
      <c r="I41" s="161" t="s">
        <v>1009</v>
      </c>
      <c r="J41" s="161" t="s">
        <v>1009</v>
      </c>
      <c r="K41" s="68" t="str">
        <f>IF(AND(I41&gt;="T3"),"&gt;","")</f>
        <v/>
      </c>
      <c r="L41" s="162">
        <v>707903</v>
      </c>
      <c r="M41" s="162">
        <v>690045</v>
      </c>
      <c r="N41" s="162" t="s">
        <v>1551</v>
      </c>
      <c r="O41" s="38"/>
      <c r="P41" s="38"/>
      <c r="Q41" s="38"/>
      <c r="R41" s="38"/>
      <c r="S41" s="38"/>
      <c r="T41" s="38"/>
      <c r="U41" s="38"/>
      <c r="V41" s="38"/>
      <c r="W41" s="38"/>
      <c r="X41" s="38"/>
      <c r="Y41" s="38"/>
      <c r="Z41" s="38"/>
      <c r="AA41" s="38">
        <f t="shared" si="0"/>
        <v>0</v>
      </c>
      <c r="AB41" s="39" t="str">
        <f t="shared" si="1"/>
        <v/>
      </c>
      <c r="AD41" s="38"/>
      <c r="AE41" s="39" t="str">
        <f t="shared" si="2"/>
        <v/>
      </c>
      <c r="AF41" s="132">
        <f t="shared" si="3"/>
        <v>0</v>
      </c>
      <c r="AG41" s="38"/>
      <c r="AH41" s="39" t="str">
        <f t="shared" si="4"/>
        <v/>
      </c>
      <c r="AI41" s="132">
        <f t="shared" si="5"/>
        <v>0</v>
      </c>
      <c r="AJ41" s="399">
        <f t="shared" si="6"/>
        <v>0</v>
      </c>
      <c r="AK41" s="400">
        <f t="shared" si="7"/>
        <v>0</v>
      </c>
      <c r="AL41" s="401">
        <f t="shared" si="8"/>
        <v>0</v>
      </c>
      <c r="AM41" s="402">
        <f t="shared" si="9"/>
        <v>0</v>
      </c>
      <c r="AN41" s="403">
        <f t="shared" si="10"/>
        <v>0</v>
      </c>
    </row>
    <row r="42" spans="1:40" x14ac:dyDescent="0.25">
      <c r="A42" s="1" t="s">
        <v>110</v>
      </c>
      <c r="C42" s="29" t="s">
        <v>101</v>
      </c>
      <c r="D42" s="1" t="s">
        <v>107</v>
      </c>
      <c r="F42" s="1" t="s">
        <v>99</v>
      </c>
      <c r="H42" s="15" t="s">
        <v>509</v>
      </c>
      <c r="I42" s="161" t="s">
        <v>1009</v>
      </c>
      <c r="J42" s="161" t="s">
        <v>1009</v>
      </c>
      <c r="K42" s="68" t="str">
        <f>IF(AND(I42&gt;="T3"),"&gt;","")</f>
        <v/>
      </c>
      <c r="L42" s="162">
        <v>707904</v>
      </c>
      <c r="M42" s="162">
        <v>690046</v>
      </c>
      <c r="N42" s="162" t="s">
        <v>1552</v>
      </c>
      <c r="O42" s="38"/>
      <c r="P42" s="38"/>
      <c r="Q42" s="38"/>
      <c r="R42" s="38"/>
      <c r="S42" s="38"/>
      <c r="T42" s="38"/>
      <c r="U42" s="38"/>
      <c r="V42" s="38"/>
      <c r="W42" s="38"/>
      <c r="X42" s="38"/>
      <c r="Y42" s="38"/>
      <c r="Z42" s="38"/>
      <c r="AA42" s="38">
        <f t="shared" si="0"/>
        <v>0</v>
      </c>
      <c r="AB42" s="39" t="str">
        <f t="shared" si="1"/>
        <v/>
      </c>
      <c r="AD42" s="38"/>
      <c r="AE42" s="39" t="str">
        <f t="shared" si="2"/>
        <v/>
      </c>
      <c r="AF42" s="132">
        <f t="shared" si="3"/>
        <v>0</v>
      </c>
      <c r="AG42" s="38"/>
      <c r="AH42" s="39" t="str">
        <f t="shared" si="4"/>
        <v/>
      </c>
      <c r="AI42" s="132">
        <f t="shared" si="5"/>
        <v>0</v>
      </c>
      <c r="AJ42" s="399">
        <f t="shared" si="6"/>
        <v>0</v>
      </c>
      <c r="AK42" s="400">
        <f t="shared" si="7"/>
        <v>0</v>
      </c>
      <c r="AL42" s="401">
        <f t="shared" si="8"/>
        <v>0</v>
      </c>
      <c r="AM42" s="402">
        <f t="shared" si="9"/>
        <v>0</v>
      </c>
      <c r="AN42" s="403">
        <f t="shared" si="10"/>
        <v>0</v>
      </c>
    </row>
    <row r="43" spans="1:40" x14ac:dyDescent="0.25">
      <c r="C43" s="32"/>
      <c r="H43" s="15" t="s">
        <v>510</v>
      </c>
      <c r="I43" s="161" t="s">
        <v>1009</v>
      </c>
      <c r="J43" s="161" t="s">
        <v>1009</v>
      </c>
      <c r="K43" s="68" t="str">
        <f>IF(AND(I43&gt;="T3"),"&gt;","")</f>
        <v/>
      </c>
      <c r="L43" s="162">
        <v>707905</v>
      </c>
      <c r="M43" s="162">
        <v>690039</v>
      </c>
      <c r="N43" s="162" t="s">
        <v>1743</v>
      </c>
      <c r="O43" s="38">
        <v>299</v>
      </c>
      <c r="P43" s="38">
        <v>273.08</v>
      </c>
      <c r="Q43" s="38"/>
      <c r="R43" s="38"/>
      <c r="S43" s="38">
        <v>117.64</v>
      </c>
      <c r="T43" s="38"/>
      <c r="U43" s="38">
        <v>729.69</v>
      </c>
      <c r="V43" s="38"/>
      <c r="W43" s="38"/>
      <c r="X43" s="38">
        <v>299</v>
      </c>
      <c r="Y43" s="38">
        <v>299</v>
      </c>
      <c r="Z43" s="38"/>
      <c r="AA43" s="38">
        <f t="shared" si="0"/>
        <v>2017.4099999999999</v>
      </c>
      <c r="AB43" s="39">
        <f t="shared" si="1"/>
        <v>1.5590245001920045E-4</v>
      </c>
      <c r="AD43" s="38">
        <v>3588</v>
      </c>
      <c r="AE43" s="39">
        <f t="shared" si="2"/>
        <v>2.1623574311757865E-4</v>
      </c>
      <c r="AF43" s="132">
        <f t="shared" si="3"/>
        <v>-1570.5900000000001</v>
      </c>
      <c r="AG43" s="38">
        <v>199.35</v>
      </c>
      <c r="AH43" s="39">
        <f t="shared" si="4"/>
        <v>1.3531088629104974E-5</v>
      </c>
      <c r="AI43" s="132">
        <f t="shared" si="5"/>
        <v>1818.06</v>
      </c>
      <c r="AJ43" s="399">
        <f t="shared" si="6"/>
        <v>4.1872353673723536E-2</v>
      </c>
      <c r="AK43" s="400">
        <f t="shared" si="7"/>
        <v>7.4470734744707348E-2</v>
      </c>
      <c r="AL43" s="401">
        <f t="shared" si="8"/>
        <v>4.1376089663760895E-3</v>
      </c>
      <c r="AM43" s="402" t="str">
        <f t="shared" si="9"/>
        <v>-0.01 pts.</v>
      </c>
      <c r="AN43" s="403" t="str">
        <f t="shared" si="10"/>
        <v>0.01 pts.</v>
      </c>
    </row>
    <row r="44" spans="1:40" x14ac:dyDescent="0.25">
      <c r="C44" s="32"/>
      <c r="H44" s="15" t="s">
        <v>511</v>
      </c>
      <c r="I44" s="161" t="s">
        <v>1064</v>
      </c>
      <c r="J44" s="161" t="s">
        <v>78</v>
      </c>
      <c r="K44" s="68"/>
      <c r="L44" s="162">
        <v>707900</v>
      </c>
      <c r="M44" s="162"/>
      <c r="N44" s="25" t="s">
        <v>1744</v>
      </c>
      <c r="O44" s="33">
        <f t="shared" ref="O44:Z44" si="11">SUM(O39:O43)</f>
        <v>4182.6100000000006</v>
      </c>
      <c r="P44" s="33">
        <f t="shared" si="11"/>
        <v>4350.3600000000006</v>
      </c>
      <c r="Q44" s="33">
        <f t="shared" si="11"/>
        <v>4179.74</v>
      </c>
      <c r="R44" s="33">
        <f t="shared" si="11"/>
        <v>4317.7000000000007</v>
      </c>
      <c r="S44" s="33">
        <f t="shared" si="11"/>
        <v>4257.8100000000004</v>
      </c>
      <c r="T44" s="33">
        <f t="shared" si="11"/>
        <v>4607.68</v>
      </c>
      <c r="U44" s="33">
        <f t="shared" si="11"/>
        <v>5266.75</v>
      </c>
      <c r="V44" s="33">
        <f t="shared" si="11"/>
        <v>4271.7299999999996</v>
      </c>
      <c r="W44" s="33">
        <f t="shared" si="11"/>
        <v>4117.6400000000003</v>
      </c>
      <c r="X44" s="33">
        <f t="shared" si="11"/>
        <v>4186.6400000000003</v>
      </c>
      <c r="Y44" s="33">
        <f t="shared" si="11"/>
        <v>4464.54</v>
      </c>
      <c r="Z44" s="33">
        <f t="shared" si="11"/>
        <v>4544.54</v>
      </c>
      <c r="AA44" s="33">
        <f t="shared" si="0"/>
        <v>52747.740000000005</v>
      </c>
      <c r="AB44" s="34">
        <f t="shared" si="1"/>
        <v>4.0762670448623644E-3</v>
      </c>
      <c r="AD44" s="33">
        <f>SUM(AD39:AD43)</f>
        <v>54968</v>
      </c>
      <c r="AE44" s="34">
        <f t="shared" si="2"/>
        <v>3.3127219419417679E-3</v>
      </c>
      <c r="AF44" s="52">
        <f t="shared" si="3"/>
        <v>-2220.2599999999948</v>
      </c>
      <c r="AG44" s="33">
        <f>SUM(AG39:AG43)</f>
        <v>49098.33</v>
      </c>
      <c r="AH44" s="34">
        <f t="shared" si="4"/>
        <v>3.3326002245851198E-3</v>
      </c>
      <c r="AI44" s="52">
        <f t="shared" si="5"/>
        <v>3649.4100000000035</v>
      </c>
      <c r="AJ44" s="415">
        <f t="shared" si="6"/>
        <v>1.0948057285180575</v>
      </c>
      <c r="AK44" s="416">
        <f t="shared" si="7"/>
        <v>1.1408883354088835</v>
      </c>
      <c r="AL44" s="417">
        <f t="shared" si="8"/>
        <v>1.0190603985056039</v>
      </c>
      <c r="AM44" s="418" t="str">
        <f t="shared" si="9"/>
        <v>0.08 pts.</v>
      </c>
      <c r="AN44" s="436" t="str">
        <f t="shared" si="10"/>
        <v>0.07 pts.</v>
      </c>
    </row>
    <row r="45" spans="1:40" x14ac:dyDescent="0.25">
      <c r="A45" s="4" t="s">
        <v>988</v>
      </c>
      <c r="H45" s="25"/>
      <c r="I45" s="25"/>
      <c r="J45" s="25"/>
      <c r="K45" s="25"/>
      <c r="L45" s="25"/>
      <c r="M45" s="25"/>
      <c r="N45" s="25"/>
      <c r="O45" s="41"/>
      <c r="P45" s="45"/>
      <c r="Q45" s="45"/>
      <c r="R45" s="45"/>
      <c r="S45" s="45"/>
      <c r="T45" s="45"/>
      <c r="U45" s="45"/>
      <c r="V45" s="45"/>
      <c r="W45" s="45"/>
      <c r="X45" s="45"/>
      <c r="Y45" s="45"/>
      <c r="Z45" s="45"/>
      <c r="AA45" s="45"/>
      <c r="AB45" s="42"/>
      <c r="AD45" s="41"/>
      <c r="AE45" s="45"/>
      <c r="AF45" s="42"/>
      <c r="AG45" s="41"/>
      <c r="AH45" s="45"/>
      <c r="AI45" s="42"/>
    </row>
    <row r="46" spans="1:40" x14ac:dyDescent="0.25">
      <c r="H46" s="1" t="s">
        <v>501</v>
      </c>
      <c r="I46" s="11" t="s">
        <v>1011</v>
      </c>
      <c r="J46" s="11" t="s">
        <v>78</v>
      </c>
      <c r="L46" s="1"/>
      <c r="M46" s="1"/>
      <c r="N46" s="40" t="s">
        <v>1745</v>
      </c>
      <c r="O46" s="43"/>
      <c r="P46" s="46"/>
      <c r="Q46" s="46"/>
      <c r="R46" s="46"/>
      <c r="S46" s="46"/>
      <c r="T46" s="46"/>
      <c r="U46" s="46"/>
      <c r="V46" s="46"/>
      <c r="W46" s="46"/>
      <c r="X46" s="46"/>
      <c r="Y46" s="46"/>
      <c r="Z46" s="46"/>
      <c r="AA46" s="46"/>
      <c r="AB46" s="44"/>
      <c r="AD46" s="43"/>
      <c r="AE46" s="46"/>
      <c r="AF46" s="44"/>
      <c r="AG46" s="43"/>
      <c r="AH46" s="46"/>
      <c r="AI46" s="44"/>
    </row>
    <row r="47" spans="1:40" x14ac:dyDescent="0.25">
      <c r="A47" s="3" t="s">
        <v>0</v>
      </c>
      <c r="B47" s="5" t="s">
        <v>1</v>
      </c>
      <c r="H47" s="15" t="s">
        <v>888</v>
      </c>
      <c r="I47" s="161" t="s">
        <v>1058</v>
      </c>
      <c r="J47" s="161" t="s">
        <v>78</v>
      </c>
      <c r="K47" s="68" t="str">
        <f t="shared" ref="K47:K52" si="12">IF(AND(I47&gt;="T3"),"&gt;","")</f>
        <v>&gt;</v>
      </c>
      <c r="L47" s="162">
        <v>707010</v>
      </c>
      <c r="M47" s="162"/>
      <c r="N47" s="162" t="s">
        <v>1746</v>
      </c>
      <c r="O47" s="21">
        <v>240</v>
      </c>
      <c r="P47" s="21">
        <v>240</v>
      </c>
      <c r="Q47" s="21">
        <v>240</v>
      </c>
      <c r="R47" s="21">
        <v>240</v>
      </c>
      <c r="S47" s="21">
        <v>240</v>
      </c>
      <c r="T47" s="21">
        <v>240</v>
      </c>
      <c r="U47" s="21">
        <v>240</v>
      </c>
      <c r="V47" s="21">
        <v>2770</v>
      </c>
      <c r="W47" s="21">
        <v>705</v>
      </c>
      <c r="X47" s="21">
        <v>255.9</v>
      </c>
      <c r="Y47" s="21">
        <v>255</v>
      </c>
      <c r="Z47" s="21">
        <v>255</v>
      </c>
      <c r="AA47" s="38">
        <f t="shared" ref="AA47:AA53" si="13">IF($I47="B1","",SUM(O47:Z47))</f>
        <v>5920.9</v>
      </c>
      <c r="AB47" s="17">
        <f t="shared" ref="AB47:AB53" si="14">IF(AA47=0,"",IFERROR(AA47/AA$19,""))</f>
        <v>4.5755836261279759E-4</v>
      </c>
      <c r="AD47" s="21">
        <v>5410</v>
      </c>
      <c r="AE47" s="17">
        <f t="shared" ref="AE47:AE53" si="15">IF(AD47=0,"",IFERROR(AD47/AD$19,""))</f>
        <v>3.2604107309534575E-4</v>
      </c>
      <c r="AF47" s="50">
        <f t="shared" ref="AF47:AF53" si="16">IF(AND($AA47="",AD47=""),"",$AA47-AD47)</f>
        <v>510.89999999999964</v>
      </c>
      <c r="AG47" s="21">
        <v>4610</v>
      </c>
      <c r="AH47" s="17">
        <f t="shared" ref="AH47:AH53" si="17">IF(AG47=0,"",IFERROR(AG47/AG$19,""))</f>
        <v>3.1290854567431116E-4</v>
      </c>
      <c r="AI47" s="50">
        <f t="shared" ref="AI47:AI53" si="18">IF(AND($AA47="",AG47=""),"",$AA47-AG47)</f>
        <v>1310.8999999999996</v>
      </c>
      <c r="AJ47" s="399">
        <f t="shared" ref="AJ47:AJ53" si="19">IFERROR(AA47/AA$20,0)</f>
        <v>0.12289124117891241</v>
      </c>
      <c r="AK47" s="400">
        <f t="shared" ref="AK47:AK53" si="20">IFERROR(AD47/AD$20,0)</f>
        <v>0.11228725612287256</v>
      </c>
      <c r="AL47" s="401">
        <f t="shared" ref="AL47:AL53" si="21">IFERROR(AG47/AG$20,0)</f>
        <v>9.5682855956828558E-2</v>
      </c>
      <c r="AM47" s="402" t="str">
        <f t="shared" ref="AM47:AM53" si="22">+IFERROR(ROUND(($AB47-AE47)*100,2)&amp;" pts.",0)</f>
        <v>0.01 pts.</v>
      </c>
      <c r="AN47" s="403" t="str">
        <f t="shared" ref="AN47:AN53" si="23">+IFERROR(ROUND(($AB47-AH47)*100,2)&amp;" pts.",0)</f>
        <v>0.01 pts.</v>
      </c>
    </row>
    <row r="48" spans="1:40" x14ac:dyDescent="0.25">
      <c r="A48" s="6" t="s">
        <v>2</v>
      </c>
      <c r="B48" s="16" t="s">
        <v>1734</v>
      </c>
      <c r="H48" s="15" t="s">
        <v>889</v>
      </c>
      <c r="I48" s="161" t="s">
        <v>1058</v>
      </c>
      <c r="J48" s="161" t="s">
        <v>78</v>
      </c>
      <c r="K48" s="68" t="str">
        <f t="shared" si="12"/>
        <v>&gt;</v>
      </c>
      <c r="L48" s="162">
        <v>707150</v>
      </c>
      <c r="M48" s="162"/>
      <c r="N48" s="162" t="s">
        <v>1747</v>
      </c>
      <c r="O48" s="21">
        <v>2125.3200000000002</v>
      </c>
      <c r="P48" s="21">
        <v>1079.9000000000001</v>
      </c>
      <c r="Q48" s="21">
        <v>1630.39</v>
      </c>
      <c r="R48" s="21">
        <v>3893.7</v>
      </c>
      <c r="S48" s="21">
        <v>2472.9699999999998</v>
      </c>
      <c r="T48" s="21">
        <v>2210.81</v>
      </c>
      <c r="U48" s="21">
        <v>1483.5</v>
      </c>
      <c r="V48" s="21">
        <v>1144.5</v>
      </c>
      <c r="W48" s="21">
        <v>1144.5</v>
      </c>
      <c r="X48" s="21">
        <v>1144.5</v>
      </c>
      <c r="Y48" s="21">
        <v>1934.35</v>
      </c>
      <c r="Z48" s="21">
        <v>1244.0999999999999</v>
      </c>
      <c r="AA48" s="38">
        <f t="shared" si="13"/>
        <v>21508.539999999997</v>
      </c>
      <c r="AB48" s="17">
        <f t="shared" si="14"/>
        <v>1.6621480424583864E-3</v>
      </c>
      <c r="AD48" s="21">
        <v>24715</v>
      </c>
      <c r="AE48" s="17">
        <f t="shared" si="15"/>
        <v>1.4894833866084048E-3</v>
      </c>
      <c r="AF48" s="50">
        <f t="shared" si="16"/>
        <v>-3206.4600000000028</v>
      </c>
      <c r="AG48" s="21">
        <v>25333.77</v>
      </c>
      <c r="AH48" s="17">
        <f t="shared" si="17"/>
        <v>1.7195559928736429E-3</v>
      </c>
      <c r="AI48" s="50">
        <f t="shared" si="18"/>
        <v>-3825.2300000000032</v>
      </c>
      <c r="AJ48" s="399">
        <f t="shared" si="19"/>
        <v>0.446420506434205</v>
      </c>
      <c r="AK48" s="400">
        <f t="shared" si="20"/>
        <v>0.51297218762972185</v>
      </c>
      <c r="AL48" s="401">
        <f t="shared" si="21"/>
        <v>0.52581506849315074</v>
      </c>
      <c r="AM48" s="402" t="str">
        <f t="shared" si="22"/>
        <v>0.02 pts.</v>
      </c>
      <c r="AN48" s="403" t="str">
        <f t="shared" si="23"/>
        <v>-0.01 pts.</v>
      </c>
    </row>
    <row r="49" spans="1:40" x14ac:dyDescent="0.25">
      <c r="A49" s="6" t="s">
        <v>3</v>
      </c>
      <c r="B49" s="16" t="s">
        <v>1735</v>
      </c>
      <c r="H49" s="15" t="s">
        <v>890</v>
      </c>
      <c r="I49" s="161" t="s">
        <v>1058</v>
      </c>
      <c r="J49" s="161" t="s">
        <v>78</v>
      </c>
      <c r="K49" s="68" t="str">
        <f t="shared" si="12"/>
        <v>&gt;</v>
      </c>
      <c r="L49" s="162">
        <v>707310</v>
      </c>
      <c r="M49" s="162"/>
      <c r="N49" s="162" t="s">
        <v>1713</v>
      </c>
      <c r="O49" s="21">
        <v>694</v>
      </c>
      <c r="P49" s="21">
        <v>534.03</v>
      </c>
      <c r="Q49" s="21">
        <v>1059.6199999999999</v>
      </c>
      <c r="R49" s="21">
        <v>46.95</v>
      </c>
      <c r="S49" s="21">
        <v>1021.41</v>
      </c>
      <c r="T49" s="21">
        <v>643.55999999999995</v>
      </c>
      <c r="U49" s="21">
        <v>479.18</v>
      </c>
      <c r="V49" s="21">
        <v>-227.43</v>
      </c>
      <c r="W49" s="21">
        <v>34.770000000000003</v>
      </c>
      <c r="X49" s="21">
        <v>988.64</v>
      </c>
      <c r="Y49" s="21">
        <v>480.96</v>
      </c>
      <c r="Z49" s="21">
        <v>1302.96</v>
      </c>
      <c r="AA49" s="38">
        <f t="shared" si="13"/>
        <v>7058.65</v>
      </c>
      <c r="AB49" s="17">
        <f t="shared" si="14"/>
        <v>5.4548199365921123E-4</v>
      </c>
      <c r="AD49" s="21">
        <v>8327.0000000004002</v>
      </c>
      <c r="AE49" s="17">
        <f t="shared" si="15"/>
        <v>5.0183808052958864E-4</v>
      </c>
      <c r="AF49" s="50">
        <f t="shared" si="16"/>
        <v>-1268.3500000004005</v>
      </c>
      <c r="AG49" s="21">
        <v>8541.84</v>
      </c>
      <c r="AH49" s="17">
        <f t="shared" si="17"/>
        <v>5.7978627587476313E-4</v>
      </c>
      <c r="AI49" s="50">
        <f t="shared" si="18"/>
        <v>-1483.1900000000005</v>
      </c>
      <c r="AJ49" s="399">
        <f t="shared" si="19"/>
        <v>0.1465058115400581</v>
      </c>
      <c r="AK49" s="400">
        <f t="shared" si="20"/>
        <v>0.17283105022831879</v>
      </c>
      <c r="AL49" s="401">
        <f t="shared" si="21"/>
        <v>0.17729016189290162</v>
      </c>
      <c r="AM49" s="402" t="str">
        <f t="shared" si="22"/>
        <v>0 pts.</v>
      </c>
      <c r="AN49" s="403" t="str">
        <f t="shared" si="23"/>
        <v>0 pts.</v>
      </c>
    </row>
    <row r="50" spans="1:40" x14ac:dyDescent="0.25">
      <c r="A50" s="6" t="s">
        <v>4</v>
      </c>
      <c r="B50" s="16" t="s">
        <v>1749</v>
      </c>
      <c r="H50" s="15" t="s">
        <v>891</v>
      </c>
      <c r="I50" s="161" t="s">
        <v>1058</v>
      </c>
      <c r="J50" s="161" t="s">
        <v>78</v>
      </c>
      <c r="K50" s="68" t="str">
        <f t="shared" si="12"/>
        <v>&gt;</v>
      </c>
      <c r="L50" s="162">
        <v>707450</v>
      </c>
      <c r="M50" s="162"/>
      <c r="N50" s="162" t="s">
        <v>586</v>
      </c>
      <c r="O50" s="21"/>
      <c r="P50" s="21"/>
      <c r="Q50" s="21">
        <v>-1800</v>
      </c>
      <c r="R50" s="21">
        <v>1639.2</v>
      </c>
      <c r="S50" s="21">
        <v>3050</v>
      </c>
      <c r="T50" s="21">
        <v>926.72</v>
      </c>
      <c r="U50" s="21">
        <v>2877</v>
      </c>
      <c r="V50" s="21">
        <v>740.4</v>
      </c>
      <c r="W50" s="21">
        <v>300</v>
      </c>
      <c r="X50" s="21">
        <v>-791.06</v>
      </c>
      <c r="Y50" s="21"/>
      <c r="Z50" s="21"/>
      <c r="AA50" s="38">
        <f t="shared" si="13"/>
        <v>6942.26</v>
      </c>
      <c r="AB50" s="17">
        <f t="shared" si="14"/>
        <v>5.3648754723645395E-4</v>
      </c>
      <c r="AD50" s="21">
        <v>5300</v>
      </c>
      <c r="AE50" s="17">
        <f t="shared" si="15"/>
        <v>3.1941177216364739E-4</v>
      </c>
      <c r="AF50" s="50">
        <f t="shared" si="16"/>
        <v>1642.2600000000002</v>
      </c>
      <c r="AG50" s="21">
        <v>3276.09</v>
      </c>
      <c r="AH50" s="17">
        <f t="shared" si="17"/>
        <v>2.2236801678918744E-4</v>
      </c>
      <c r="AI50" s="50">
        <f t="shared" si="18"/>
        <v>3666.17</v>
      </c>
      <c r="AJ50" s="399">
        <f t="shared" si="19"/>
        <v>0.14409007887090081</v>
      </c>
      <c r="AK50" s="400">
        <f t="shared" si="20"/>
        <v>0.11000415110004151</v>
      </c>
      <c r="AL50" s="401">
        <f t="shared" si="21"/>
        <v>6.7996886674968865E-2</v>
      </c>
      <c r="AM50" s="402" t="str">
        <f t="shared" si="22"/>
        <v>0.02 pts.</v>
      </c>
      <c r="AN50" s="403" t="str">
        <f t="shared" si="23"/>
        <v>0.03 pts.</v>
      </c>
    </row>
    <row r="51" spans="1:40" x14ac:dyDescent="0.25">
      <c r="A51" s="6" t="s">
        <v>5</v>
      </c>
      <c r="B51" s="7"/>
      <c r="H51" s="15" t="s">
        <v>892</v>
      </c>
      <c r="I51" s="161" t="s">
        <v>1058</v>
      </c>
      <c r="J51" s="161" t="s">
        <v>78</v>
      </c>
      <c r="K51" s="68" t="str">
        <f t="shared" si="12"/>
        <v>&gt;</v>
      </c>
      <c r="L51" s="162">
        <v>707610</v>
      </c>
      <c r="M51" s="162"/>
      <c r="N51" s="162" t="s">
        <v>1020</v>
      </c>
      <c r="O51" s="21">
        <v>652.45000000000005</v>
      </c>
      <c r="P51" s="21">
        <v>442.4</v>
      </c>
      <c r="Q51" s="21">
        <v>353.63</v>
      </c>
      <c r="R51" s="21">
        <v>1654.93</v>
      </c>
      <c r="S51" s="21">
        <v>3871.63</v>
      </c>
      <c r="T51" s="21">
        <v>353.63</v>
      </c>
      <c r="U51" s="21">
        <v>1313.63</v>
      </c>
      <c r="V51" s="21">
        <v>353.63</v>
      </c>
      <c r="W51" s="21">
        <v>353.63</v>
      </c>
      <c r="X51" s="21">
        <v>353.63</v>
      </c>
      <c r="Y51" s="21">
        <v>358.37</v>
      </c>
      <c r="Z51" s="21">
        <v>830.64</v>
      </c>
      <c r="AA51" s="38">
        <f t="shared" si="13"/>
        <v>10892.199999999997</v>
      </c>
      <c r="AB51" s="17">
        <f t="shared" si="14"/>
        <v>8.4173304687650745E-4</v>
      </c>
      <c r="AD51" s="21">
        <v>8854</v>
      </c>
      <c r="AE51" s="17">
        <f t="shared" si="15"/>
        <v>5.3359845862961013E-4</v>
      </c>
      <c r="AF51" s="50">
        <f t="shared" si="16"/>
        <v>2038.1999999999971</v>
      </c>
      <c r="AG51" s="21">
        <v>6563.5</v>
      </c>
      <c r="AH51" s="17">
        <f t="shared" si="17"/>
        <v>4.4550439035430394E-4</v>
      </c>
      <c r="AI51" s="50">
        <f t="shared" si="18"/>
        <v>4328.6999999999971</v>
      </c>
      <c r="AJ51" s="399">
        <f t="shared" si="19"/>
        <v>0.22607305936073052</v>
      </c>
      <c r="AK51" s="400">
        <f t="shared" si="20"/>
        <v>0.18376919883769199</v>
      </c>
      <c r="AL51" s="401">
        <f t="shared" si="21"/>
        <v>0.13622872561228724</v>
      </c>
      <c r="AM51" s="402" t="str">
        <f t="shared" si="22"/>
        <v>0.03 pts.</v>
      </c>
      <c r="AN51" s="403" t="str">
        <f t="shared" si="23"/>
        <v>0.04 pts.</v>
      </c>
    </row>
    <row r="52" spans="1:40" x14ac:dyDescent="0.25">
      <c r="A52" s="6" t="s">
        <v>6</v>
      </c>
      <c r="B52" s="7"/>
      <c r="H52" s="15" t="s">
        <v>893</v>
      </c>
      <c r="I52" s="161" t="s">
        <v>1058</v>
      </c>
      <c r="J52" s="161" t="s">
        <v>78</v>
      </c>
      <c r="K52" s="68" t="str">
        <f t="shared" si="12"/>
        <v>&gt;</v>
      </c>
      <c r="L52" s="162">
        <v>707650</v>
      </c>
      <c r="M52" s="162"/>
      <c r="N52" s="162" t="s">
        <v>1748</v>
      </c>
      <c r="O52" s="21">
        <v>1493.23</v>
      </c>
      <c r="P52" s="21">
        <v>1625.67</v>
      </c>
      <c r="Q52" s="21">
        <v>1120.67</v>
      </c>
      <c r="R52" s="21">
        <v>2104.41</v>
      </c>
      <c r="S52" s="21">
        <v>2715.67</v>
      </c>
      <c r="T52" s="21">
        <v>1498.41</v>
      </c>
      <c r="U52" s="21">
        <v>1580.48</v>
      </c>
      <c r="V52" s="21">
        <v>1690.37</v>
      </c>
      <c r="W52" s="21">
        <v>1261.33</v>
      </c>
      <c r="X52" s="21">
        <v>1261.32</v>
      </c>
      <c r="Y52" s="21">
        <v>2602.0500000000002</v>
      </c>
      <c r="Z52" s="21">
        <v>1699.85</v>
      </c>
      <c r="AA52" s="38">
        <f t="shared" si="13"/>
        <v>20653.46</v>
      </c>
      <c r="AB52" s="17">
        <f t="shared" si="14"/>
        <v>1.5960687293973738E-3</v>
      </c>
      <c r="AD52" s="21">
        <v>21756.9999999996</v>
      </c>
      <c r="AE52" s="17">
        <f t="shared" si="15"/>
        <v>1.3112154579178017E-3</v>
      </c>
      <c r="AF52" s="50">
        <f t="shared" si="16"/>
        <v>-1103.5399999996007</v>
      </c>
      <c r="AG52" s="21">
        <v>16656.52</v>
      </c>
      <c r="AH52" s="17">
        <f t="shared" si="17"/>
        <v>1.1305786223850492E-3</v>
      </c>
      <c r="AI52" s="50">
        <f t="shared" si="18"/>
        <v>3996.9399999999987</v>
      </c>
      <c r="AJ52" s="399">
        <f t="shared" si="19"/>
        <v>0.42867289331672892</v>
      </c>
      <c r="AK52" s="400">
        <f t="shared" si="20"/>
        <v>0.4515774180157659</v>
      </c>
      <c r="AL52" s="401">
        <f t="shared" si="21"/>
        <v>0.34571440431714406</v>
      </c>
      <c r="AM52" s="402" t="str">
        <f t="shared" si="22"/>
        <v>0.03 pts.</v>
      </c>
      <c r="AN52" s="403" t="str">
        <f t="shared" si="23"/>
        <v>0.05 pts.</v>
      </c>
    </row>
    <row r="53" spans="1:40" x14ac:dyDescent="0.25">
      <c r="A53" s="6" t="s">
        <v>7</v>
      </c>
      <c r="B53" s="7"/>
      <c r="H53" s="15" t="s">
        <v>502</v>
      </c>
      <c r="I53" s="161" t="s">
        <v>1064</v>
      </c>
      <c r="J53" s="161" t="s">
        <v>78</v>
      </c>
      <c r="K53" s="68"/>
      <c r="L53" s="162"/>
      <c r="M53" s="162"/>
      <c r="N53" s="25" t="s">
        <v>1750</v>
      </c>
      <c r="O53" s="33">
        <f t="shared" ref="O53:Z53" si="24">SUM(O47:O52)</f>
        <v>5205</v>
      </c>
      <c r="P53" s="33">
        <f t="shared" si="24"/>
        <v>3922</v>
      </c>
      <c r="Q53" s="33">
        <f t="shared" si="24"/>
        <v>2604.3100000000004</v>
      </c>
      <c r="R53" s="33">
        <f t="shared" si="24"/>
        <v>9579.1899999999987</v>
      </c>
      <c r="S53" s="33">
        <f t="shared" si="24"/>
        <v>13371.679999999998</v>
      </c>
      <c r="T53" s="33">
        <f t="shared" si="24"/>
        <v>5873.13</v>
      </c>
      <c r="U53" s="33">
        <f t="shared" si="24"/>
        <v>7973.7900000000009</v>
      </c>
      <c r="V53" s="33">
        <f t="shared" si="24"/>
        <v>6471.47</v>
      </c>
      <c r="W53" s="33">
        <f t="shared" si="24"/>
        <v>3799.23</v>
      </c>
      <c r="X53" s="33">
        <f t="shared" si="24"/>
        <v>3212.9300000000003</v>
      </c>
      <c r="Y53" s="33">
        <f t="shared" si="24"/>
        <v>5630.73</v>
      </c>
      <c r="Z53" s="33">
        <f t="shared" si="24"/>
        <v>5332.5499999999993</v>
      </c>
      <c r="AA53" s="33">
        <f t="shared" si="13"/>
        <v>72976.010000000009</v>
      </c>
      <c r="AB53" s="34">
        <f t="shared" si="14"/>
        <v>5.639477722240732E-3</v>
      </c>
      <c r="AD53" s="33">
        <f>SUM(AD47:AD52)</f>
        <v>74363</v>
      </c>
      <c r="AE53" s="34">
        <f t="shared" si="15"/>
        <v>4.4815882289443981E-3</v>
      </c>
      <c r="AF53" s="52">
        <f t="shared" si="16"/>
        <v>-1386.9899999999907</v>
      </c>
      <c r="AG53" s="33">
        <f>SUM(AG47:AG52)</f>
        <v>64981.72</v>
      </c>
      <c r="AH53" s="34">
        <f t="shared" si="17"/>
        <v>4.4107018439512582E-3</v>
      </c>
      <c r="AI53" s="52">
        <f t="shared" si="18"/>
        <v>7994.2900000000081</v>
      </c>
      <c r="AJ53" s="415">
        <f t="shared" si="19"/>
        <v>1.5146535907015362</v>
      </c>
      <c r="AK53" s="416">
        <f t="shared" si="20"/>
        <v>1.5434412619344127</v>
      </c>
      <c r="AL53" s="417">
        <f t="shared" si="21"/>
        <v>1.3487281029472811</v>
      </c>
      <c r="AM53" s="418" t="str">
        <f t="shared" si="22"/>
        <v>0.12 pts.</v>
      </c>
      <c r="AN53" s="436" t="str">
        <f t="shared" si="23"/>
        <v>0.12 pts.</v>
      </c>
    </row>
    <row r="54" spans="1:40" x14ac:dyDescent="0.25">
      <c r="A54" s="6" t="s">
        <v>47</v>
      </c>
      <c r="B54" s="16" t="s">
        <v>1738</v>
      </c>
      <c r="H54" s="68"/>
      <c r="I54" s="68"/>
      <c r="J54" s="68"/>
      <c r="K54" s="68"/>
      <c r="L54" s="162"/>
      <c r="M54" s="162"/>
      <c r="N54" s="25"/>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H55" s="1" t="s">
        <v>82</v>
      </c>
      <c r="I55" s="11" t="s">
        <v>1011</v>
      </c>
      <c r="J55" s="11" t="s">
        <v>78</v>
      </c>
      <c r="L55" s="1"/>
      <c r="M55" s="1"/>
      <c r="N55" s="40" t="s">
        <v>1092</v>
      </c>
      <c r="O55" s="43"/>
      <c r="P55" s="46"/>
      <c r="Q55" s="46"/>
      <c r="R55" s="46"/>
      <c r="S55" s="46"/>
      <c r="T55" s="46"/>
      <c r="U55" s="46"/>
      <c r="V55" s="46"/>
      <c r="W55" s="46"/>
      <c r="X55" s="46"/>
      <c r="Y55" s="46"/>
      <c r="Z55" s="46"/>
      <c r="AA55" s="46"/>
      <c r="AB55" s="44"/>
      <c r="AD55" s="43"/>
      <c r="AE55" s="46"/>
      <c r="AF55" s="44"/>
      <c r="AG55" s="43"/>
      <c r="AH55" s="46"/>
      <c r="AI55" s="44"/>
    </row>
    <row r="56" spans="1:40" x14ac:dyDescent="0.25">
      <c r="H56" s="15" t="s">
        <v>833</v>
      </c>
      <c r="I56" s="161" t="s">
        <v>1064</v>
      </c>
      <c r="J56" s="161" t="s">
        <v>78</v>
      </c>
      <c r="K56" s="68" t="str">
        <f>IF(AND(I56&gt;="T3"),"&gt;","")</f>
        <v>&gt;</v>
      </c>
      <c r="L56" s="162"/>
      <c r="M56" s="162"/>
      <c r="N56" s="162" t="s">
        <v>1099</v>
      </c>
      <c r="O56" s="21">
        <v>337.07</v>
      </c>
      <c r="P56" s="21">
        <v>86.28</v>
      </c>
      <c r="Q56" s="21">
        <v>89.24</v>
      </c>
      <c r="R56" s="21">
        <v>90.76</v>
      </c>
      <c r="S56" s="21">
        <v>286.17</v>
      </c>
      <c r="T56" s="21">
        <v>177.74</v>
      </c>
      <c r="U56" s="21">
        <v>114.98</v>
      </c>
      <c r="V56" s="21">
        <v>90</v>
      </c>
      <c r="W56" s="21">
        <v>90.69</v>
      </c>
      <c r="X56" s="21">
        <v>294.67</v>
      </c>
      <c r="Y56" s="21">
        <v>89.67</v>
      </c>
      <c r="Z56" s="21">
        <v>183.65</v>
      </c>
      <c r="AA56" s="38">
        <f>IF($I56="B1","",SUM(O56:Z56))</f>
        <v>1930.9200000000003</v>
      </c>
      <c r="AB56" s="17">
        <f>IF(AA56=0,"",IFERROR(AA56/AA$19,""))</f>
        <v>1.4921863121084689E-4</v>
      </c>
      <c r="AD56" s="21">
        <v>1584</v>
      </c>
      <c r="AE56" s="17">
        <f>IF(AD56=0,"",IFERROR(AD56/AD$19,""))</f>
        <v>9.546193341645612E-5</v>
      </c>
      <c r="AF56" s="50">
        <f>IF(AND($AA56="",AD56=""),"",$AA56-AD56)</f>
        <v>346.9200000000003</v>
      </c>
      <c r="AG56" s="21">
        <v>1037.32</v>
      </c>
      <c r="AH56" s="17">
        <f>IF(AG56=0,"",IFERROR(AG56/AG$19,""))</f>
        <v>7.0409174099539347E-5</v>
      </c>
      <c r="AI56" s="50">
        <f>IF(AND($AA56="",AG56=""),"",$AA56-AG56)</f>
        <v>893.60000000000036</v>
      </c>
      <c r="AJ56" s="399">
        <f>IFERROR(AA56/AA$20,0)</f>
        <v>4.007721046077211E-2</v>
      </c>
      <c r="AK56" s="400">
        <f>IFERROR(AD56/AD$20,0)</f>
        <v>3.287671232876712E-2</v>
      </c>
      <c r="AL56" s="401">
        <f>IFERROR(AG56/AG$20,0)</f>
        <v>2.1530095475300954E-2</v>
      </c>
      <c r="AM56" s="402" t="str">
        <f>+IFERROR(ROUND(($AB56-AE56)*100,2)&amp;" pts.",0)</f>
        <v>0.01 pts.</v>
      </c>
      <c r="AN56" s="403" t="str">
        <f>+IFERROR(ROUND(($AB56-AH56)*100,2)&amp;" pts.",0)</f>
        <v>0.01 pts.</v>
      </c>
    </row>
    <row r="57" spans="1:40" x14ac:dyDescent="0.25">
      <c r="A57" s="3" t="s">
        <v>9</v>
      </c>
      <c r="B57" s="5" t="s">
        <v>10</v>
      </c>
      <c r="H57" s="15" t="s">
        <v>834</v>
      </c>
      <c r="I57" s="161" t="s">
        <v>1064</v>
      </c>
      <c r="J57" s="161" t="s">
        <v>78</v>
      </c>
      <c r="K57" s="68" t="str">
        <f>IF(AND(I57&gt;="T3"),"&gt;","")</f>
        <v>&gt;</v>
      </c>
      <c r="L57" s="162"/>
      <c r="M57" s="162"/>
      <c r="N57" s="162" t="s">
        <v>1100</v>
      </c>
      <c r="O57" s="21"/>
      <c r="P57" s="21">
        <v>16.059999999999999</v>
      </c>
      <c r="Q57" s="21">
        <v>2.15</v>
      </c>
      <c r="R57" s="21">
        <v>31.32</v>
      </c>
      <c r="S57" s="21"/>
      <c r="T57" s="21"/>
      <c r="U57" s="21">
        <v>19.41</v>
      </c>
      <c r="V57" s="21"/>
      <c r="W57" s="21">
        <v>28.56</v>
      </c>
      <c r="X57" s="21"/>
      <c r="Y57" s="21">
        <v>34.85</v>
      </c>
      <c r="Z57" s="21">
        <v>259.3</v>
      </c>
      <c r="AA57" s="38">
        <f>IF($I57="B1","",SUM(O57:Z57))</f>
        <v>391.65</v>
      </c>
      <c r="AB57" s="17">
        <f>IF(AA57=0,"",IFERROR(AA57/AA$19,""))</f>
        <v>3.0266130608066708E-5</v>
      </c>
      <c r="AD57" s="21"/>
      <c r="AE57" s="17" t="str">
        <f>IF(AD57=0,"",IFERROR(AD57/AD$19,""))</f>
        <v/>
      </c>
      <c r="AF57" s="50">
        <f>IF(AND($AA57="",AD57=""),"",$AA57-AD57)</f>
        <v>391.65</v>
      </c>
      <c r="AG57" s="21">
        <v>60.19</v>
      </c>
      <c r="AH57" s="17">
        <f>IF(AG57=0,"",IFERROR(AG57/AG$19,""))</f>
        <v>4.0854588642379146E-6</v>
      </c>
      <c r="AI57" s="50">
        <f>IF(AND($AA57="",AG57=""),"",$AA57-AG57)</f>
        <v>331.46</v>
      </c>
      <c r="AJ57" s="399">
        <f>IFERROR(AA57/AA$20,0)</f>
        <v>8.1288916562889165E-3</v>
      </c>
      <c r="AK57" s="400">
        <f>IFERROR(AD57/AD$20,0)</f>
        <v>0</v>
      </c>
      <c r="AL57" s="401">
        <f>IFERROR(AG57/AG$20,0)</f>
        <v>1.2492735574927355E-3</v>
      </c>
      <c r="AM57" s="402">
        <f>+IFERROR(ROUND(($AB57-AE57)*100,2)&amp;" pts.",0)</f>
        <v>0</v>
      </c>
      <c r="AN57" s="403" t="str">
        <f>+IFERROR(ROUND(($AB57-AH57)*100,2)&amp;" pts.",0)</f>
        <v>0 pts.</v>
      </c>
    </row>
    <row r="58" spans="1:40" x14ac:dyDescent="0.25">
      <c r="A58" s="6" t="s">
        <v>11</v>
      </c>
      <c r="B58" s="7" t="s">
        <v>21</v>
      </c>
      <c r="H58" s="15" t="s">
        <v>845</v>
      </c>
      <c r="I58" s="161" t="s">
        <v>1064</v>
      </c>
      <c r="J58" s="161" t="s">
        <v>78</v>
      </c>
      <c r="K58" s="68" t="str">
        <f>IF(AND(I58&gt;="T3"),"&gt;","")</f>
        <v>&gt;</v>
      </c>
      <c r="L58" s="162">
        <v>706500</v>
      </c>
      <c r="M58" s="162"/>
      <c r="N58" s="162" t="s">
        <v>1114</v>
      </c>
      <c r="O58" s="21">
        <v>9669.68</v>
      </c>
      <c r="P58" s="21">
        <v>9767.4599999999991</v>
      </c>
      <c r="Q58" s="21">
        <v>9720.16</v>
      </c>
      <c r="R58" s="21">
        <v>7416.64</v>
      </c>
      <c r="S58" s="21">
        <v>6937.6</v>
      </c>
      <c r="T58" s="21">
        <v>5876.28</v>
      </c>
      <c r="U58" s="21">
        <v>5497.78</v>
      </c>
      <c r="V58" s="21">
        <v>4618.3999999999996</v>
      </c>
      <c r="W58" s="21">
        <v>3887.92</v>
      </c>
      <c r="X58" s="21">
        <v>4946.21</v>
      </c>
      <c r="Y58" s="21">
        <v>5625.21</v>
      </c>
      <c r="Z58" s="21">
        <v>8487.66</v>
      </c>
      <c r="AA58" s="38">
        <f>IF($I58="B1","",SUM(O58:Z58))</f>
        <v>82451.000000000015</v>
      </c>
      <c r="AB58" s="17">
        <f>IF(AA58=0,"",IFERROR(AA58/AA$19,""))</f>
        <v>6.3716908841202824E-3</v>
      </c>
      <c r="AD58" s="21">
        <v>106348.16344814999</v>
      </c>
      <c r="AE58" s="17">
        <f>IF(AD58=0,"",IFERROR(AD58/AD$19,""))</f>
        <v>6.4092179911929845E-3</v>
      </c>
      <c r="AF58" s="50">
        <f>IF(AND($AA58="",AD58=""),"",$AA58-AD58)</f>
        <v>-23897.163448149979</v>
      </c>
      <c r="AG58" s="21">
        <v>94615.56</v>
      </c>
      <c r="AH58" s="17">
        <f>IF(AG58=0,"",IFERROR(AG58/AG$19,""))</f>
        <v>6.4221295613363398E-3</v>
      </c>
      <c r="AI58" s="50">
        <f>IF(AND($AA58="",AG58=""),"",$AA58-AG58)</f>
        <v>-12164.559999999983</v>
      </c>
      <c r="AJ58" s="399">
        <f>IFERROR(AA58/AA$20,0)</f>
        <v>1.7113117476131179</v>
      </c>
      <c r="AK58" s="400">
        <f>IFERROR(AD58/AD$20,0)</f>
        <v>2.2073093285211707</v>
      </c>
      <c r="AL58" s="401">
        <f>IFERROR(AG58/AG$20,0)</f>
        <v>1.9637932752179328</v>
      </c>
      <c r="AM58" s="402" t="str">
        <f>+IFERROR(ROUND(($AB58-AE58)*100,2)&amp;" pts.",0)</f>
        <v>0 pts.</v>
      </c>
      <c r="AN58" s="403" t="str">
        <f>+IFERROR(ROUND(($AB58-AH58)*100,2)&amp;" pts.",0)</f>
        <v>-0.01 pts.</v>
      </c>
    </row>
    <row r="59" spans="1:40" x14ac:dyDescent="0.25">
      <c r="A59" s="6" t="s">
        <v>12</v>
      </c>
      <c r="B59" s="7" t="s">
        <v>22</v>
      </c>
      <c r="H59" s="15" t="s">
        <v>79</v>
      </c>
      <c r="I59" s="27" t="s">
        <v>1012</v>
      </c>
      <c r="J59" s="27" t="s">
        <v>78</v>
      </c>
      <c r="K59" s="26"/>
      <c r="N59" s="25" t="s">
        <v>1116</v>
      </c>
      <c r="O59" s="33">
        <f t="shared" ref="O59:Z59" si="25">SUM(O56:O58)</f>
        <v>10006.75</v>
      </c>
      <c r="P59" s="33">
        <f t="shared" si="25"/>
        <v>9869.7999999999993</v>
      </c>
      <c r="Q59" s="33">
        <f t="shared" si="25"/>
        <v>9811.5499999999993</v>
      </c>
      <c r="R59" s="33">
        <f t="shared" si="25"/>
        <v>7538.72</v>
      </c>
      <c r="S59" s="33">
        <f t="shared" si="25"/>
        <v>7223.77</v>
      </c>
      <c r="T59" s="33">
        <f t="shared" si="25"/>
        <v>6054.0199999999995</v>
      </c>
      <c r="U59" s="33">
        <f t="shared" si="25"/>
        <v>5632.17</v>
      </c>
      <c r="V59" s="33">
        <f t="shared" si="25"/>
        <v>4708.3999999999996</v>
      </c>
      <c r="W59" s="33">
        <f t="shared" si="25"/>
        <v>4007.17</v>
      </c>
      <c r="X59" s="33">
        <f t="shared" si="25"/>
        <v>5240.88</v>
      </c>
      <c r="Y59" s="33">
        <f t="shared" si="25"/>
        <v>5749.7300000000005</v>
      </c>
      <c r="Z59" s="33">
        <f t="shared" si="25"/>
        <v>8930.61</v>
      </c>
      <c r="AA59" s="33">
        <f>IF($I59="B1","",SUM(O59:Z59))</f>
        <v>84773.569999999992</v>
      </c>
      <c r="AB59" s="34">
        <f>IF(AA59=0,"",IFERROR(AA59/AA$19,""))</f>
        <v>6.5511756459391947E-3</v>
      </c>
      <c r="AD59" s="33">
        <f>SUM(AD56:AD58)</f>
        <v>107932.16344814999</v>
      </c>
      <c r="AE59" s="34">
        <f>IF(AD59=0,"",IFERROR(AD59/AD$19,""))</f>
        <v>6.5046799246094404E-3</v>
      </c>
      <c r="AF59" s="52">
        <f>IF(AND($AA59="",AD59=""),"",$AA59-AD59)</f>
        <v>-23158.593448150001</v>
      </c>
      <c r="AG59" s="33">
        <f>SUM(AG56:AG58)</f>
        <v>95713.069999999992</v>
      </c>
      <c r="AH59" s="34">
        <f>IF(AG59=0,"",IFERROR(AG59/AG$19,""))</f>
        <v>6.4966241943001162E-3</v>
      </c>
      <c r="AI59" s="52">
        <f>IF(AND($AA59="",AG59=""),"",$AA59-AG59)</f>
        <v>-10939.5</v>
      </c>
      <c r="AJ59" s="415">
        <f>IFERROR(AA59/AA$20,0)</f>
        <v>1.7595178497301784</v>
      </c>
      <c r="AK59" s="416">
        <f>IFERROR(AD59/AD$20,0)</f>
        <v>2.2401860408499377</v>
      </c>
      <c r="AL59" s="417">
        <f>IFERROR(AG59/AG$20,0)</f>
        <v>1.9865726442507263</v>
      </c>
      <c r="AM59" s="418" t="str">
        <f>+IFERROR(ROUND(($AB59-AE59)*100,2)&amp;" pts.",0)</f>
        <v>0 pts.</v>
      </c>
      <c r="AN59" s="436" t="str">
        <f>+IFERROR(ROUND(($AB59-AH59)*100,2)&amp;" pts.",0)</f>
        <v>0.01 pts.</v>
      </c>
    </row>
    <row r="60" spans="1:40" x14ac:dyDescent="0.25">
      <c r="A60" s="6" t="s">
        <v>13</v>
      </c>
      <c r="B60" s="7" t="s">
        <v>505</v>
      </c>
    </row>
    <row r="61" spans="1:40" x14ac:dyDescent="0.25">
      <c r="A61" s="6" t="s">
        <v>14</v>
      </c>
      <c r="B61" s="16"/>
      <c r="H61" s="15" t="s">
        <v>80</v>
      </c>
      <c r="I61" s="27" t="s">
        <v>1012</v>
      </c>
      <c r="J61" s="27" t="s">
        <v>78</v>
      </c>
      <c r="K61" s="25"/>
      <c r="N61" s="25" t="s">
        <v>1117</v>
      </c>
      <c r="O61" s="36">
        <v>19394.36</v>
      </c>
      <c r="P61" s="36">
        <v>18142.16</v>
      </c>
      <c r="Q61" s="36">
        <v>16595.599999999999</v>
      </c>
      <c r="R61" s="36">
        <v>21435.61</v>
      </c>
      <c r="S61" s="36">
        <v>24853.26</v>
      </c>
      <c r="T61" s="36">
        <v>16534.830000000002</v>
      </c>
      <c r="U61" s="36">
        <v>18872.71</v>
      </c>
      <c r="V61" s="36">
        <v>15451.6</v>
      </c>
      <c r="W61" s="36">
        <v>11924.04</v>
      </c>
      <c r="X61" s="36">
        <v>12640.45</v>
      </c>
      <c r="Y61" s="36">
        <v>15845</v>
      </c>
      <c r="Z61" s="36">
        <v>18807.7</v>
      </c>
      <c r="AA61" s="36">
        <f>IF($I61="B1","",SUM(O61:Z61))</f>
        <v>210497.32000000004</v>
      </c>
      <c r="AB61" s="37">
        <f>IF(AA61=0,"",IFERROR(AA61/AA$19,""))</f>
        <v>1.6266920413042292E-2</v>
      </c>
      <c r="AD61" s="36">
        <v>237263.16344815001</v>
      </c>
      <c r="AE61" s="37">
        <f>IF(AD61=0,"",IFERROR(AD61/AD$19,""))</f>
        <v>1.4298990095495607E-2</v>
      </c>
      <c r="AF61" s="59">
        <f>IF(AND($AA61="",AD61=""),"",$AA61-AD61)</f>
        <v>-26765.843448149972</v>
      </c>
      <c r="AG61" s="60">
        <v>209793.12</v>
      </c>
      <c r="AH61" s="61">
        <f>IF(AG61=0,"",IFERROR(AG61/AG$19,""))</f>
        <v>1.4239926262836494E-2</v>
      </c>
      <c r="AI61" s="59">
        <f>IF(AND($AA61="",AG61=""),"",$AA61-AG61)</f>
        <v>704.20000000004075</v>
      </c>
      <c r="AJ61" s="392">
        <f>IFERROR(AA61/AA$20,0)</f>
        <v>4.3689771689497725</v>
      </c>
      <c r="AK61" s="393">
        <f>IFERROR(AD61/AD$20,0)</f>
        <v>4.9245156381932338</v>
      </c>
      <c r="AL61" s="394">
        <f>IFERROR(AG61/AG$20,0)</f>
        <v>4.3543611457036118</v>
      </c>
      <c r="AM61" s="395" t="str">
        <f>+IFERROR(ROUND(($AB61-AE61)*100,2)&amp;" pts.",0)</f>
        <v>0.2 pts.</v>
      </c>
      <c r="AN61" s="437" t="str">
        <f>+IFERROR(ROUND(($AB61-AH61)*100,2)&amp;" pts.",0)</f>
        <v>0.2 pts.</v>
      </c>
    </row>
    <row r="62" spans="1:40" ht="15.75" thickBot="1" x14ac:dyDescent="0.3">
      <c r="A62" s="6" t="s">
        <v>15</v>
      </c>
      <c r="B62" s="7"/>
      <c r="H62" s="15" t="s">
        <v>81</v>
      </c>
      <c r="I62" s="27" t="s">
        <v>1012</v>
      </c>
      <c r="J62" s="27" t="s">
        <v>78</v>
      </c>
      <c r="K62" s="25"/>
      <c r="N62" s="25" t="s">
        <v>1118</v>
      </c>
      <c r="O62" s="62">
        <v>-19394.36</v>
      </c>
      <c r="P62" s="62">
        <v>-18142.16</v>
      </c>
      <c r="Q62" s="62">
        <v>-16595.599999999999</v>
      </c>
      <c r="R62" s="62">
        <v>-21435.61</v>
      </c>
      <c r="S62" s="62">
        <v>-24853.26</v>
      </c>
      <c r="T62" s="62">
        <v>-16534.830000000002</v>
      </c>
      <c r="U62" s="62">
        <v>-18872.71</v>
      </c>
      <c r="V62" s="62">
        <v>-15451.6</v>
      </c>
      <c r="W62" s="62">
        <v>-11924.04</v>
      </c>
      <c r="X62" s="62">
        <v>-12640.45</v>
      </c>
      <c r="Y62" s="62">
        <v>-15845</v>
      </c>
      <c r="Z62" s="62">
        <v>-18807.7</v>
      </c>
      <c r="AA62" s="62">
        <f>IF($I62="B1","",SUM(O62:Z62))</f>
        <v>-210497.32000000004</v>
      </c>
      <c r="AB62" s="63">
        <f>IF(AA62=0,"",IFERROR(AA62/AA$19,""))</f>
        <v>-1.6266920413042292E-2</v>
      </c>
      <c r="AD62" s="62">
        <v>-237263.16344815001</v>
      </c>
      <c r="AE62" s="63">
        <f>IF(AD62=0,"",IFERROR(AD62/AD$19,""))</f>
        <v>-1.4298990095495607E-2</v>
      </c>
      <c r="AF62" s="64">
        <f>IF(AND($AA62="",AD62=""),"",$AA62-AD62)</f>
        <v>26765.843448149972</v>
      </c>
      <c r="AG62" s="62">
        <v>-209793.12</v>
      </c>
      <c r="AH62" s="63">
        <f>IF(AG62=0,"",IFERROR(AG62/AG$19,""))</f>
        <v>-1.4239926262836494E-2</v>
      </c>
      <c r="AI62" s="64">
        <f>IF(AND($AA62="",AG62=""),"",$AA62-AG62)</f>
        <v>-704.20000000004075</v>
      </c>
      <c r="AJ62" s="430">
        <f>IFERROR(AA62/AA$20,0)</f>
        <v>-4.3689771689497725</v>
      </c>
      <c r="AK62" s="431">
        <f>IFERROR(AD62/AD$20,0)</f>
        <v>-4.9245156381932338</v>
      </c>
      <c r="AL62" s="432">
        <f>IFERROR(AG62/AG$20,0)</f>
        <v>-4.3543611457036118</v>
      </c>
      <c r="AM62" s="433" t="str">
        <f>+IFERROR(ROUND(($AB62-AE62)*100,2)&amp;" pts.",0)</f>
        <v>-0.2 pts.</v>
      </c>
      <c r="AN62" s="438" t="str">
        <f>+IFERROR(ROUND(($AB62-AH62)*100,2)&amp;" pts.",0)</f>
        <v>-0.2 pts.</v>
      </c>
    </row>
    <row r="63" spans="1:40" ht="15.75" thickTop="1" x14ac:dyDescent="0.25">
      <c r="A63" s="6" t="s">
        <v>16</v>
      </c>
      <c r="B63" s="7"/>
    </row>
    <row r="64" spans="1:40" x14ac:dyDescent="0.25">
      <c r="A64" s="6" t="s">
        <v>17</v>
      </c>
      <c r="B64" s="7"/>
      <c r="N64" s="26" t="str">
        <f>N61&amp;" - Check"</f>
        <v>Total Expenses - Check</v>
      </c>
      <c r="O64" s="139">
        <f t="shared" ref="O64:AA64" si="26">SUMIF($H$35:$H$62,"600000",O$35:O$62)+SUMIF($H$35:$H$62,"707900",O$35:O$62)+SUMIF($H$35:$H$62,"ITSYS_EXP",O$35:O$62)+SUMIF($H$35:$H$62,"700000",O$35:O$62)-SUMIF($H$35:$H$62,"TOTDEPTEXP",O$35:O$62)</f>
        <v>0</v>
      </c>
      <c r="P64" s="139">
        <f t="shared" si="26"/>
        <v>0</v>
      </c>
      <c r="Q64" s="139">
        <f t="shared" si="26"/>
        <v>0</v>
      </c>
      <c r="R64" s="139">
        <f t="shared" si="26"/>
        <v>0</v>
      </c>
      <c r="S64" s="139">
        <f t="shared" si="26"/>
        <v>0</v>
      </c>
      <c r="T64" s="139">
        <f t="shared" si="26"/>
        <v>0</v>
      </c>
      <c r="U64" s="139">
        <f t="shared" si="26"/>
        <v>0</v>
      </c>
      <c r="V64" s="139">
        <f t="shared" si="26"/>
        <v>0</v>
      </c>
      <c r="W64" s="139">
        <f t="shared" si="26"/>
        <v>0</v>
      </c>
      <c r="X64" s="139">
        <f t="shared" si="26"/>
        <v>0</v>
      </c>
      <c r="Y64" s="139">
        <f t="shared" si="26"/>
        <v>0</v>
      </c>
      <c r="Z64" s="139">
        <f t="shared" si="26"/>
        <v>0</v>
      </c>
      <c r="AA64" s="139">
        <f t="shared" si="26"/>
        <v>0</v>
      </c>
      <c r="AB64" s="17"/>
      <c r="AD64" s="139">
        <f>SUMIF($H$35:$H$62,"600000",AD$35:AD$62)+SUMIF($H$35:$H$62,"707900",AD$35:AD$62)+SUMIF($H$35:$H$62,"ITSYS_EXP",AD$35:AD$62)+SUMIF($H$35:$H$62,"700000",AD$35:AD$62)-SUMIF($H$35:$H$62,"TOTDEPTEXP",AD$35:AD$62)</f>
        <v>0</v>
      </c>
      <c r="AE64" s="17"/>
      <c r="AF64" s="21"/>
      <c r="AG64" s="139">
        <f>SUMIF($H$35:$H$62,"600000",AG$35:AG$62)+SUMIF($H$35:$H$62,"707900",AG$35:AG$62)+SUMIF($H$35:$H$62,"ITSYS_EXP",AG$35:AG$62)+SUMIF($H$35:$H$62,"700000",AG$35:AG$62)-SUMIF($H$35:$H$62,"TOTDEPTEXP",AG$35:AG$62)</f>
        <v>0</v>
      </c>
      <c r="AH64" s="17"/>
      <c r="AI64" s="21"/>
    </row>
    <row r="65" spans="1:35" x14ac:dyDescent="0.25">
      <c r="N65" s="26" t="str">
        <f>N62&amp;" - Check"</f>
        <v>Department Profit (Loss) - Check</v>
      </c>
      <c r="O65" s="139">
        <f t="shared" ref="O65:AA65" si="27">SUMIF($H$33:$H$62,"TOTDEPTEXP",O$33:O$62)+SUMIF($H$33:$H$62,"TOTDEPTPL",O$33:O$62)</f>
        <v>0</v>
      </c>
      <c r="P65" s="139">
        <f t="shared" si="27"/>
        <v>0</v>
      </c>
      <c r="Q65" s="139">
        <f t="shared" si="27"/>
        <v>0</v>
      </c>
      <c r="R65" s="139">
        <f t="shared" si="27"/>
        <v>0</v>
      </c>
      <c r="S65" s="139">
        <f t="shared" si="27"/>
        <v>0</v>
      </c>
      <c r="T65" s="139">
        <f t="shared" si="27"/>
        <v>0</v>
      </c>
      <c r="U65" s="139">
        <f t="shared" si="27"/>
        <v>0</v>
      </c>
      <c r="V65" s="139">
        <f t="shared" si="27"/>
        <v>0</v>
      </c>
      <c r="W65" s="139">
        <f t="shared" si="27"/>
        <v>0</v>
      </c>
      <c r="X65" s="139">
        <f t="shared" si="27"/>
        <v>0</v>
      </c>
      <c r="Y65" s="139">
        <f t="shared" si="27"/>
        <v>0</v>
      </c>
      <c r="Z65" s="139">
        <f t="shared" si="27"/>
        <v>0</v>
      </c>
      <c r="AA65" s="139">
        <f t="shared" si="27"/>
        <v>0</v>
      </c>
      <c r="AB65" s="17"/>
      <c r="AD65" s="139">
        <f>SUMIF($H$33:$H$62,"ROOMS_TOT",AD$33:AD$62)-SUMIF($H$33:$H$62,"TOTDEPTEXP",AD$33:AD$62)-SUMIF($H$33:$H$62,"TOTDEPTPL",AD$33:AD$62)</f>
        <v>0</v>
      </c>
      <c r="AE65" s="17"/>
      <c r="AF65" s="21"/>
      <c r="AG65" s="139">
        <f>SUMIF($H$33:$H$62,"ROOMS_TOT",AG$33:AG$62)-SUMIF($H$33:$H$62,"TOTDEPTEXP",AG$33:AG$62)-SUMIF($H$33:$H$62,"TOTDEPTPL",AG$33:AG$62)</f>
        <v>0</v>
      </c>
      <c r="AH65" s="17"/>
      <c r="AI65" s="21"/>
    </row>
    <row r="66" spans="1:35" x14ac:dyDescent="0.25">
      <c r="C66" s="32"/>
    </row>
    <row r="68" spans="1:35" x14ac:dyDescent="0.25">
      <c r="A68" s="4" t="s">
        <v>988</v>
      </c>
    </row>
    <row r="70" spans="1:35" x14ac:dyDescent="0.25">
      <c r="A70" s="3" t="s">
        <v>0</v>
      </c>
      <c r="B70" s="5" t="s">
        <v>1</v>
      </c>
    </row>
    <row r="71" spans="1:35" x14ac:dyDescent="0.25">
      <c r="A71" s="6" t="s">
        <v>2</v>
      </c>
      <c r="B71" s="16" t="s">
        <v>1734</v>
      </c>
    </row>
    <row r="72" spans="1:35" x14ac:dyDescent="0.25">
      <c r="A72" s="6" t="s">
        <v>3</v>
      </c>
      <c r="B72" s="16" t="s">
        <v>1735</v>
      </c>
      <c r="H72" s="11"/>
      <c r="J72" s="1"/>
    </row>
    <row r="73" spans="1:35" x14ac:dyDescent="0.25">
      <c r="A73" s="6" t="s">
        <v>4</v>
      </c>
      <c r="B73" s="16" t="s">
        <v>1751</v>
      </c>
      <c r="H73" s="11"/>
      <c r="J73" s="1"/>
    </row>
    <row r="74" spans="1:35" x14ac:dyDescent="0.25">
      <c r="A74" s="6" t="s">
        <v>5</v>
      </c>
      <c r="B74" s="7"/>
      <c r="H74" s="11"/>
      <c r="J74" s="1"/>
    </row>
    <row r="75" spans="1:35" x14ac:dyDescent="0.25">
      <c r="A75" s="6" t="s">
        <v>6</v>
      </c>
      <c r="B75" s="7"/>
      <c r="H75" s="11"/>
      <c r="J75" s="1"/>
    </row>
    <row r="76" spans="1:35" x14ac:dyDescent="0.25">
      <c r="A76" s="6" t="s">
        <v>7</v>
      </c>
      <c r="B76" s="7"/>
      <c r="H76" s="11"/>
      <c r="J76" s="1"/>
    </row>
    <row r="77" spans="1:35" x14ac:dyDescent="0.25">
      <c r="A77" s="6" t="s">
        <v>47</v>
      </c>
      <c r="B77" s="16" t="s">
        <v>1738</v>
      </c>
      <c r="H77" s="11"/>
      <c r="J77" s="1"/>
    </row>
    <row r="78" spans="1:35" x14ac:dyDescent="0.25">
      <c r="A78" s="6" t="s">
        <v>8</v>
      </c>
      <c r="B78" s="7"/>
      <c r="H78" s="11"/>
      <c r="J78" s="1"/>
    </row>
    <row r="79" spans="1:35" x14ac:dyDescent="0.25">
      <c r="H79" s="11"/>
      <c r="J79" s="1"/>
    </row>
    <row r="80" spans="1:35" x14ac:dyDescent="0.25">
      <c r="A80" s="3" t="s">
        <v>9</v>
      </c>
      <c r="B80" s="5" t="s">
        <v>10</v>
      </c>
      <c r="H80" s="11"/>
      <c r="J80" s="1"/>
    </row>
    <row r="81" spans="1:10" x14ac:dyDescent="0.25">
      <c r="A81" s="6" t="s">
        <v>11</v>
      </c>
      <c r="B81" s="7" t="s">
        <v>21</v>
      </c>
      <c r="H81" s="11"/>
      <c r="J81" s="1"/>
    </row>
    <row r="82" spans="1:10" x14ac:dyDescent="0.25">
      <c r="A82" s="6" t="s">
        <v>12</v>
      </c>
      <c r="B82" s="7" t="s">
        <v>22</v>
      </c>
      <c r="H82" s="11"/>
      <c r="J82" s="1"/>
    </row>
    <row r="83" spans="1:10" x14ac:dyDescent="0.25">
      <c r="A83" s="6" t="s">
        <v>13</v>
      </c>
      <c r="B83" s="7" t="s">
        <v>503</v>
      </c>
      <c r="H83" s="11"/>
      <c r="J83" s="1"/>
    </row>
    <row r="84" spans="1:10" x14ac:dyDescent="0.25">
      <c r="A84" s="6" t="s">
        <v>14</v>
      </c>
      <c r="B84" s="16"/>
      <c r="H84" s="11"/>
      <c r="J84" s="1"/>
    </row>
    <row r="85" spans="1:10" x14ac:dyDescent="0.25">
      <c r="A85" s="6" t="s">
        <v>15</v>
      </c>
      <c r="B85" s="7"/>
      <c r="H85" s="11"/>
      <c r="J85" s="1"/>
    </row>
    <row r="86" spans="1:10" x14ac:dyDescent="0.25">
      <c r="A86" s="6" t="s">
        <v>16</v>
      </c>
      <c r="B86" s="7" t="s">
        <v>78</v>
      </c>
      <c r="H86" s="11"/>
      <c r="J86" s="1"/>
    </row>
    <row r="87" spans="1:10" x14ac:dyDescent="0.25">
      <c r="A87" s="6" t="s">
        <v>17</v>
      </c>
      <c r="B87" s="7"/>
      <c r="H87" s="11"/>
      <c r="J87" s="1"/>
    </row>
    <row r="88" spans="1:10" x14ac:dyDescent="0.25">
      <c r="H88" s="11"/>
      <c r="J88" s="1"/>
    </row>
    <row r="89" spans="1:10" x14ac:dyDescent="0.25">
      <c r="C89" s="32"/>
      <c r="H89" s="11"/>
      <c r="J89" s="1"/>
    </row>
    <row r="90" spans="1:10" x14ac:dyDescent="0.25">
      <c r="H90" s="11"/>
      <c r="J90" s="1"/>
    </row>
    <row r="91" spans="1:10" x14ac:dyDescent="0.25">
      <c r="A91" s="4" t="s">
        <v>988</v>
      </c>
      <c r="H91" s="11"/>
      <c r="J91" s="1"/>
    </row>
    <row r="92" spans="1:10" x14ac:dyDescent="0.25">
      <c r="H92" s="11"/>
      <c r="J92" s="1"/>
    </row>
    <row r="93" spans="1:10" x14ac:dyDescent="0.25">
      <c r="A93" s="3" t="s">
        <v>0</v>
      </c>
      <c r="B93" s="5" t="s">
        <v>1</v>
      </c>
      <c r="H93" s="11"/>
      <c r="J93" s="1"/>
    </row>
    <row r="94" spans="1:10" x14ac:dyDescent="0.25">
      <c r="A94" s="6" t="s">
        <v>2</v>
      </c>
      <c r="B94" s="16" t="s">
        <v>1734</v>
      </c>
      <c r="H94" s="11"/>
      <c r="J94" s="1"/>
    </row>
    <row r="95" spans="1:10" x14ac:dyDescent="0.25">
      <c r="A95" s="6" t="s">
        <v>3</v>
      </c>
      <c r="B95" s="16" t="s">
        <v>1735</v>
      </c>
    </row>
    <row r="96" spans="1:10" x14ac:dyDescent="0.25">
      <c r="A96" s="6" t="s">
        <v>4</v>
      </c>
      <c r="B96" s="16" t="s">
        <v>1752</v>
      </c>
    </row>
    <row r="97" spans="1:2" x14ac:dyDescent="0.25">
      <c r="A97" s="6" t="s">
        <v>5</v>
      </c>
      <c r="B97" s="7"/>
    </row>
    <row r="98" spans="1:2" x14ac:dyDescent="0.25">
      <c r="A98" s="6" t="s">
        <v>6</v>
      </c>
      <c r="B98" s="7"/>
    </row>
    <row r="99" spans="1:2" x14ac:dyDescent="0.25">
      <c r="A99" s="6" t="s">
        <v>7</v>
      </c>
      <c r="B99" s="7"/>
    </row>
    <row r="100" spans="1:2" x14ac:dyDescent="0.25">
      <c r="A100" s="6" t="s">
        <v>47</v>
      </c>
      <c r="B100" s="16" t="s">
        <v>1738</v>
      </c>
    </row>
    <row r="101" spans="1:2" x14ac:dyDescent="0.25">
      <c r="A101" s="6" t="s">
        <v>8</v>
      </c>
      <c r="B101" s="7"/>
    </row>
    <row r="104" spans="1:2" x14ac:dyDescent="0.25">
      <c r="A104" s="3" t="s">
        <v>23</v>
      </c>
      <c r="B104" s="5" t="s">
        <v>24</v>
      </c>
    </row>
    <row r="105" spans="1:2" x14ac:dyDescent="0.25">
      <c r="A105" s="6" t="s">
        <v>25</v>
      </c>
      <c r="B105" s="7"/>
    </row>
    <row r="106" spans="1:2" x14ac:dyDescent="0.25">
      <c r="A106" s="6" t="s">
        <v>26</v>
      </c>
      <c r="B106" s="7"/>
    </row>
    <row r="107" spans="1:2" x14ac:dyDescent="0.25">
      <c r="A107" s="6" t="s">
        <v>27</v>
      </c>
      <c r="B107" s="7"/>
    </row>
    <row r="108" spans="1:2" x14ac:dyDescent="0.25">
      <c r="A108" s="6" t="s">
        <v>28</v>
      </c>
      <c r="B108" s="7"/>
    </row>
    <row r="109" spans="1:2" x14ac:dyDescent="0.25">
      <c r="A109" s="6" t="s">
        <v>29</v>
      </c>
      <c r="B109" s="7"/>
    </row>
    <row r="110" spans="1:2" x14ac:dyDescent="0.25">
      <c r="A110" s="6" t="s">
        <v>30</v>
      </c>
      <c r="B110" s="7" t="s">
        <v>78</v>
      </c>
    </row>
    <row r="111" spans="1:2" x14ac:dyDescent="0.25">
      <c r="A111" s="6" t="s">
        <v>31</v>
      </c>
      <c r="B111" s="7" t="s">
        <v>78</v>
      </c>
    </row>
    <row r="112" spans="1:2" x14ac:dyDescent="0.25">
      <c r="A112" s="6" t="s">
        <v>32</v>
      </c>
      <c r="B112" s="7"/>
    </row>
    <row r="113" spans="1:2" x14ac:dyDescent="0.25">
      <c r="A113" s="6" t="s">
        <v>33</v>
      </c>
      <c r="B113" s="7"/>
    </row>
    <row r="114" spans="1:2" x14ac:dyDescent="0.25">
      <c r="A114" s="6" t="s">
        <v>34</v>
      </c>
      <c r="B114" s="7"/>
    </row>
    <row r="115" spans="1:2" x14ac:dyDescent="0.25">
      <c r="A115" s="6" t="s">
        <v>35</v>
      </c>
      <c r="B115" s="7"/>
    </row>
    <row r="116" spans="1:2" x14ac:dyDescent="0.25">
      <c r="A116" s="6" t="s">
        <v>36</v>
      </c>
      <c r="B116" s="7"/>
    </row>
    <row r="117" spans="1:2" x14ac:dyDescent="0.25">
      <c r="A117" s="6" t="s">
        <v>37</v>
      </c>
      <c r="B117" s="7"/>
    </row>
    <row r="118" spans="1:2" x14ac:dyDescent="0.25">
      <c r="A118" s="6" t="s">
        <v>38</v>
      </c>
      <c r="B118" s="7"/>
    </row>
    <row r="119" spans="1:2" x14ac:dyDescent="0.25">
      <c r="A119" s="6" t="s">
        <v>39</v>
      </c>
      <c r="B119" s="7"/>
    </row>
    <row r="120" spans="1:2" x14ac:dyDescent="0.25">
      <c r="A120" s="6" t="s">
        <v>40</v>
      </c>
      <c r="B120" s="7"/>
    </row>
    <row r="121" spans="1:2" x14ac:dyDescent="0.25">
      <c r="A121" s="6" t="s">
        <v>41</v>
      </c>
      <c r="B121" s="7"/>
    </row>
    <row r="122" spans="1:2" x14ac:dyDescent="0.25">
      <c r="A122" s="6" t="s">
        <v>42</v>
      </c>
      <c r="B122" s="7"/>
    </row>
    <row r="123" spans="1:2" x14ac:dyDescent="0.25">
      <c r="A123" s="6" t="s">
        <v>43</v>
      </c>
      <c r="B123" s="7"/>
    </row>
    <row r="124" spans="1:2" x14ac:dyDescent="0.25">
      <c r="A124" s="6" t="s">
        <v>44</v>
      </c>
      <c r="B124" s="7"/>
    </row>
    <row r="125" spans="1:2" x14ac:dyDescent="0.25">
      <c r="A125" s="6" t="s">
        <v>45</v>
      </c>
      <c r="B125" s="7"/>
    </row>
    <row r="126" spans="1:2" x14ac:dyDescent="0.25">
      <c r="A126" s="6" t="s">
        <v>46</v>
      </c>
      <c r="B126" s="7"/>
    </row>
  </sheetData>
  <mergeCells count="2">
    <mergeCell ref="AD31:AE31"/>
    <mergeCell ref="AG31:AH31"/>
  </mergeCells>
  <dataValidations count="2">
    <dataValidation type="list" allowBlank="1" sqref="B83 B29 B60" xr:uid="{00000000-0002-0000-5100-000000000000}">
      <formula1>"SELF,ALL,BAS,DEP,BASMEMBERS,MEMBERS,NOEXPAND,GDEP"</formula1>
    </dataValidation>
    <dataValidation type="list" allowBlank="1" sqref="B82 B28 B59" xr:uid="{00000000-0002-0000-5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171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1718" r:id="rId5" name="FPMExcelClientSheetOptionstb1"/>
      </mc:Fallback>
    </mc:AlternateContent>
  </controls>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5">
    <pageSetUpPr fitToPage="1"/>
  </sheetPr>
  <dimension ref="A1:AO10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512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_xll.EVRNG(H35:H36,H38:H47,H50:H72)</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735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ht="15" customHeight="1"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855</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v>17080.18</v>
      </c>
      <c r="P35" s="38">
        <v>14848.3</v>
      </c>
      <c r="Q35" s="38">
        <v>22978.12</v>
      </c>
      <c r="R35" s="38">
        <v>24015.97</v>
      </c>
      <c r="S35" s="38">
        <v>22452.29</v>
      </c>
      <c r="T35" s="38">
        <v>27163.919999999998</v>
      </c>
      <c r="U35" s="38">
        <v>23812.639999999999</v>
      </c>
      <c r="V35" s="38">
        <v>24142.09</v>
      </c>
      <c r="W35" s="38">
        <v>23249.95</v>
      </c>
      <c r="X35" s="38">
        <v>24574.78</v>
      </c>
      <c r="Y35" s="38">
        <v>22343.05</v>
      </c>
      <c r="Z35" s="38">
        <v>26087.78</v>
      </c>
      <c r="AA35" s="38" t="e">
        <f t="shared" ref="AA35:AA47" ca="1" si="0">IF($I35="B1","",SUM(O35:Z35))</f>
        <v>#NAME?</v>
      </c>
      <c r="AB35" s="39" t="e">
        <f t="shared" ref="AB35:AB47" ca="1" si="1">IF(AA35=0,"",IFERROR(AA35/AA$19,""))</f>
        <v>#NAME?</v>
      </c>
      <c r="AD35" s="21">
        <v>305391.171226595</v>
      </c>
      <c r="AE35" s="17" t="str">
        <f t="shared" ref="AE35:AE47" ca="1" si="2">IF(AD35=0,"",IFERROR(AD35/AD$19,""))</f>
        <v/>
      </c>
      <c r="AF35" s="50" t="e">
        <f t="shared" ref="AF35:AF47" ca="1" si="3">IF(AND($AA35="",AD35=""),"",$AA35-AD35)</f>
        <v>#NAME?</v>
      </c>
      <c r="AG35" s="21">
        <v>207251.9</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8" t="e">
        <f t="shared" ca="1" si="0"/>
        <v>#NAME?</v>
      </c>
      <c r="AB36" s="39" t="e">
        <f t="shared" ca="1" si="1"/>
        <v>#NAME?</v>
      </c>
      <c r="AD36" s="21"/>
      <c r="AE36" s="17" t="str">
        <f t="shared" si="2"/>
        <v/>
      </c>
      <c r="AF36" s="50" t="e">
        <f t="shared" ca="1" si="3"/>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38" t="e">
        <f t="shared" ca="1" si="0"/>
        <v>#NAME?</v>
      </c>
      <c r="AB37" s="39" t="e">
        <f t="shared" ca="1" si="1"/>
        <v>#NAME?</v>
      </c>
      <c r="AD37" s="21"/>
      <c r="AE37" s="17" t="str">
        <f t="shared" si="2"/>
        <v/>
      </c>
      <c r="AF37" s="50" t="e">
        <f t="shared" ca="1" si="3"/>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x14ac:dyDescent="0.25">
      <c r="A38" s="1" t="s">
        <v>100</v>
      </c>
      <c r="C38" s="8" t="s">
        <v>101</v>
      </c>
      <c r="D38" s="1" t="s">
        <v>106</v>
      </c>
      <c r="F38" s="1" t="s">
        <v>98</v>
      </c>
      <c r="H38" s="15" t="s">
        <v>951</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2923.9</v>
      </c>
      <c r="P38" s="47">
        <v>3362.6</v>
      </c>
      <c r="Q38" s="47">
        <v>3951.4</v>
      </c>
      <c r="R38" s="47">
        <v>1312.74</v>
      </c>
      <c r="S38" s="47"/>
      <c r="T38" s="47">
        <v>423</v>
      </c>
      <c r="U38" s="47"/>
      <c r="V38" s="47"/>
      <c r="W38" s="47"/>
      <c r="X38" s="47"/>
      <c r="Y38" s="47"/>
      <c r="Z38" s="47">
        <v>2317.6999999999998</v>
      </c>
      <c r="AA38" s="47" t="e">
        <f t="shared" ca="1" si="0"/>
        <v>#NAME?</v>
      </c>
      <c r="AB38" s="48" t="e">
        <f t="shared" ca="1" si="1"/>
        <v>#NAME?</v>
      </c>
      <c r="AD38" s="30">
        <v>9771.4285714285998</v>
      </c>
      <c r="AE38" s="31" t="str">
        <f t="shared" ca="1" si="2"/>
        <v/>
      </c>
      <c r="AF38" s="51" t="e">
        <f t="shared" ca="1" si="3"/>
        <v>#NAME?</v>
      </c>
      <c r="AG38" s="30">
        <v>31642.6</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H39" s="15" t="s">
        <v>848</v>
      </c>
      <c r="I39" s="479" t="e">
        <f ca="1">_xll.EVPRO($B$1,$H39,"STYLE")</f>
        <v>#NAME?</v>
      </c>
      <c r="J39" s="479" t="e">
        <f ca="1">_xll.EVPRO($B$1,$H39,"CALC")</f>
        <v>#NAME?</v>
      </c>
      <c r="K39" s="480" t="e">
        <f t="shared" ref="K39:K47" ca="1" si="4">IF(AND(I39&gt;="T3"),"&gt;","")</f>
        <v>#NAME?</v>
      </c>
      <c r="L39" s="170" t="e">
        <f ca="1">_xll.EVPRO($B$1,H39,"JDEID")</f>
        <v>#NAME?</v>
      </c>
      <c r="M39" s="170" t="e">
        <f ca="1">IF(AND(I39="N",J39="N"),_xll.EVPRO($B$1,H39,"PSFTID"),"")</f>
        <v>#NAME?</v>
      </c>
      <c r="N39" s="170" t="e">
        <f ca="1">IF(_xll.EVDES(H39,$B$1)="#NODATA","",_xll.EVDES(H39,$B$1))</f>
        <v>#NAME?</v>
      </c>
      <c r="O39" s="134">
        <v>20004.080000000002</v>
      </c>
      <c r="P39" s="134">
        <v>18210.900000000001</v>
      </c>
      <c r="Q39" s="134">
        <v>26929.52</v>
      </c>
      <c r="R39" s="134">
        <v>25328.71</v>
      </c>
      <c r="S39" s="134">
        <v>22452.29</v>
      </c>
      <c r="T39" s="134">
        <v>27586.92</v>
      </c>
      <c r="U39" s="134">
        <v>23812.639999999999</v>
      </c>
      <c r="V39" s="134">
        <v>24142.09</v>
      </c>
      <c r="W39" s="134">
        <v>23249.95</v>
      </c>
      <c r="X39" s="134">
        <v>24574.78</v>
      </c>
      <c r="Y39" s="134">
        <v>22343.05</v>
      </c>
      <c r="Z39" s="134">
        <v>28405.48</v>
      </c>
      <c r="AA39" s="134" t="e">
        <f t="shared" ca="1" si="0"/>
        <v>#NAME?</v>
      </c>
      <c r="AB39" s="135" t="e">
        <f t="shared" ca="1" si="1"/>
        <v>#NAME?</v>
      </c>
      <c r="AC39" s="137"/>
      <c r="AD39" s="134">
        <v>315162.599798023</v>
      </c>
      <c r="AE39" s="135" t="str">
        <f t="shared" ca="1" si="2"/>
        <v/>
      </c>
      <c r="AF39" s="136" t="e">
        <f t="shared" ca="1" si="3"/>
        <v>#NAME?</v>
      </c>
      <c r="AG39" s="134">
        <v>238894.5</v>
      </c>
      <c r="AH39" s="135" t="str">
        <f t="shared" ref="AH39:AH47" ca="1" si="5">IF(AG39=0,"",IFERROR(AG39/AG$19,""))</f>
        <v/>
      </c>
      <c r="AI39" s="136" t="e">
        <f t="shared" ref="AI39:AI47" ca="1" si="6">IF(AND($AA39="",AG39=""),"",$AA39-AG39)</f>
        <v>#NAME?</v>
      </c>
      <c r="AJ39" s="360">
        <f t="shared" ref="AJ39:AJ47" ca="1" si="7">IFERROR(AA39/AA$20,0)</f>
        <v>0</v>
      </c>
      <c r="AK39" s="361">
        <f t="shared" ref="AK39:AK47" ca="1" si="8">IFERROR(AD39/AD$20,0)</f>
        <v>0</v>
      </c>
      <c r="AL39" s="363">
        <f t="shared" ref="AL39:AL47" ca="1" si="9">IFERROR(AG39/AG$20,0)</f>
        <v>0</v>
      </c>
      <c r="AM39" s="405">
        <f t="shared" ref="AM39:AM47" ca="1" si="10">+IFERROR(ROUND(($AB39-AE39)*100,2)&amp;" pts.",0)</f>
        <v>0</v>
      </c>
      <c r="AN39" s="406">
        <f t="shared" ref="AN39:AN47" ca="1" si="11">+IFERROR(ROUND(($AB39-AH39)*100,2)&amp;" pts.",0)</f>
        <v>0</v>
      </c>
    </row>
    <row r="40" spans="1:40" x14ac:dyDescent="0.25">
      <c r="A40" s="1" t="s">
        <v>109</v>
      </c>
      <c r="C40" s="151" t="s">
        <v>101</v>
      </c>
      <c r="D40" s="1" t="s">
        <v>107</v>
      </c>
      <c r="F40" s="1" t="s">
        <v>99</v>
      </c>
      <c r="H40" s="15" t="s">
        <v>865</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7">
        <v>4550</v>
      </c>
      <c r="P40" s="47">
        <v>8050</v>
      </c>
      <c r="Q40" s="47">
        <v>8050</v>
      </c>
      <c r="R40" s="47">
        <v>7300</v>
      </c>
      <c r="S40" s="47">
        <v>7300</v>
      </c>
      <c r="T40" s="47">
        <v>6223</v>
      </c>
      <c r="U40" s="47">
        <v>4900</v>
      </c>
      <c r="V40" s="47">
        <v>7000</v>
      </c>
      <c r="W40" s="47">
        <v>10500</v>
      </c>
      <c r="X40" s="47">
        <v>7000</v>
      </c>
      <c r="Y40" s="47">
        <v>7000</v>
      </c>
      <c r="Z40" s="47">
        <v>9500</v>
      </c>
      <c r="AA40" s="47" t="e">
        <f t="shared" ca="1" si="0"/>
        <v>#NAME?</v>
      </c>
      <c r="AB40" s="48" t="e">
        <f t="shared" ca="1" si="1"/>
        <v>#NAME?</v>
      </c>
      <c r="AD40" s="47">
        <v>86350</v>
      </c>
      <c r="AE40" s="48" t="str">
        <f t="shared" ca="1" si="2"/>
        <v/>
      </c>
      <c r="AF40" s="150" t="e">
        <f t="shared" ca="1" si="3"/>
        <v>#NAME?</v>
      </c>
      <c r="AG40" s="47">
        <v>47525</v>
      </c>
      <c r="AH40" s="48" t="str">
        <f t="shared" ca="1" si="5"/>
        <v/>
      </c>
      <c r="AI40" s="150" t="e">
        <f t="shared" ca="1" si="6"/>
        <v>#NAME?</v>
      </c>
      <c r="AJ40" s="420">
        <f t="shared" ca="1" si="7"/>
        <v>0</v>
      </c>
      <c r="AK40" s="421">
        <f t="shared" ca="1" si="8"/>
        <v>0</v>
      </c>
      <c r="AL40" s="422">
        <f t="shared" ca="1" si="9"/>
        <v>0</v>
      </c>
      <c r="AM40" s="423">
        <f t="shared" ca="1" si="10"/>
        <v>0</v>
      </c>
      <c r="AN40" s="424">
        <f t="shared" ca="1" si="11"/>
        <v>0</v>
      </c>
    </row>
    <row r="41" spans="1:40" x14ac:dyDescent="0.25">
      <c r="A41" s="1" t="s">
        <v>110</v>
      </c>
      <c r="C41" s="25" t="s">
        <v>101</v>
      </c>
      <c r="D41" s="1" t="s">
        <v>106</v>
      </c>
      <c r="F41" s="1" t="s">
        <v>98</v>
      </c>
      <c r="H41" s="15" t="s">
        <v>849</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v>4810.5600000000004</v>
      </c>
      <c r="P41" s="47">
        <v>6902.16</v>
      </c>
      <c r="Q41" s="47">
        <v>5049.37</v>
      </c>
      <c r="R41" s="47">
        <v>9740.01</v>
      </c>
      <c r="S41" s="47">
        <v>736.73</v>
      </c>
      <c r="T41" s="47"/>
      <c r="U41" s="47">
        <v>1875</v>
      </c>
      <c r="V41" s="47">
        <v>1875</v>
      </c>
      <c r="W41" s="47">
        <v>1875</v>
      </c>
      <c r="X41" s="47">
        <v>2312.5</v>
      </c>
      <c r="Y41" s="47">
        <v>-3200.26</v>
      </c>
      <c r="Z41" s="47">
        <v>2368.62</v>
      </c>
      <c r="AA41" s="47" t="e">
        <f t="shared" ca="1" si="0"/>
        <v>#NAME?</v>
      </c>
      <c r="AB41" s="48" t="e">
        <f t="shared" ca="1" si="1"/>
        <v>#NAME?</v>
      </c>
      <c r="AD41" s="30">
        <v>70541.626911734493</v>
      </c>
      <c r="AE41" s="31" t="str">
        <f t="shared" ca="1" si="2"/>
        <v/>
      </c>
      <c r="AF41" s="51" t="e">
        <f t="shared" ca="1" si="3"/>
        <v>#NAME?</v>
      </c>
      <c r="AG41" s="30">
        <v>77755.59</v>
      </c>
      <c r="AH41" s="31" t="str">
        <f t="shared" ca="1" si="5"/>
        <v/>
      </c>
      <c r="AI41" s="51" t="e">
        <f t="shared" ca="1" si="6"/>
        <v>#NAME?</v>
      </c>
      <c r="AJ41" s="409">
        <f t="shared" ca="1" si="7"/>
        <v>0</v>
      </c>
      <c r="AK41" s="410">
        <f t="shared" ca="1" si="8"/>
        <v>0</v>
      </c>
      <c r="AL41" s="411">
        <f t="shared" ca="1" si="9"/>
        <v>0</v>
      </c>
      <c r="AM41" s="412">
        <f t="shared" ca="1" si="10"/>
        <v>0</v>
      </c>
      <c r="AN41" s="413">
        <f t="shared" ca="1" si="11"/>
        <v>0</v>
      </c>
    </row>
    <row r="42" spans="1:40" x14ac:dyDescent="0.25">
      <c r="A42" s="1" t="s">
        <v>110</v>
      </c>
      <c r="C42" s="29" t="s">
        <v>101</v>
      </c>
      <c r="D42" s="1" t="s">
        <v>107</v>
      </c>
      <c r="F42" s="1" t="s">
        <v>99</v>
      </c>
      <c r="H42" s="15" t="s">
        <v>850</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29364.639999999999</v>
      </c>
      <c r="P42" s="134">
        <v>33163.06</v>
      </c>
      <c r="Q42" s="134">
        <v>40028.89</v>
      </c>
      <c r="R42" s="134">
        <v>42368.72</v>
      </c>
      <c r="S42" s="134">
        <v>30489.02</v>
      </c>
      <c r="T42" s="134">
        <v>33809.919999999998</v>
      </c>
      <c r="U42" s="134">
        <v>30587.64</v>
      </c>
      <c r="V42" s="134">
        <v>33017.089999999997</v>
      </c>
      <c r="W42" s="134">
        <v>35624.949999999997</v>
      </c>
      <c r="X42" s="134">
        <v>33887.279999999999</v>
      </c>
      <c r="Y42" s="134">
        <v>26142.79</v>
      </c>
      <c r="Z42" s="134">
        <v>40274.1</v>
      </c>
      <c r="AA42" s="134" t="e">
        <f t="shared" ca="1" si="0"/>
        <v>#NAME?</v>
      </c>
      <c r="AB42" s="135" t="e">
        <f t="shared" ca="1" si="1"/>
        <v>#NAME?</v>
      </c>
      <c r="AC42" s="137"/>
      <c r="AD42" s="134">
        <v>472054.22670975799</v>
      </c>
      <c r="AE42" s="135" t="str">
        <f t="shared" ca="1" si="2"/>
        <v/>
      </c>
      <c r="AF42" s="136" t="e">
        <f t="shared" ca="1" si="3"/>
        <v>#NAME?</v>
      </c>
      <c r="AG42" s="134">
        <v>364175.09</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H43" s="15" t="s">
        <v>851</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2141.1799999999998</v>
      </c>
      <c r="P43" s="47">
        <v>2788.63</v>
      </c>
      <c r="Q43" s="47">
        <v>2330.89</v>
      </c>
      <c r="R43" s="47">
        <v>3155.43</v>
      </c>
      <c r="S43" s="47">
        <v>1831.06</v>
      </c>
      <c r="T43" s="47">
        <v>2278.54</v>
      </c>
      <c r="U43" s="47">
        <v>1912.13</v>
      </c>
      <c r="V43" s="47">
        <v>1818.82</v>
      </c>
      <c r="W43" s="47">
        <v>1436.24</v>
      </c>
      <c r="X43" s="47">
        <v>1360.45</v>
      </c>
      <c r="Y43" s="47">
        <v>1159.43</v>
      </c>
      <c r="Z43" s="47">
        <v>2532.86</v>
      </c>
      <c r="AA43" s="47" t="e">
        <f t="shared" ca="1" si="0"/>
        <v>#NAME?</v>
      </c>
      <c r="AB43" s="48" t="e">
        <f t="shared" ca="1" si="1"/>
        <v>#NAME?</v>
      </c>
      <c r="AD43" s="47">
        <v>33719.097194747803</v>
      </c>
      <c r="AE43" s="48" t="str">
        <f t="shared" ca="1" si="2"/>
        <v/>
      </c>
      <c r="AF43" s="150" t="e">
        <f t="shared" ca="1" si="3"/>
        <v>#NAME?</v>
      </c>
      <c r="AG43" s="47">
        <v>24743.43</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H44" s="15" t="s">
        <v>852</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3247.48</v>
      </c>
      <c r="P44" s="47">
        <v>1825.64</v>
      </c>
      <c r="Q44" s="47">
        <v>2361.35</v>
      </c>
      <c r="R44" s="47">
        <v>2329.52</v>
      </c>
      <c r="S44" s="47">
        <v>3723.26</v>
      </c>
      <c r="T44" s="47">
        <v>3370.95</v>
      </c>
      <c r="U44" s="47">
        <v>1929.68</v>
      </c>
      <c r="V44" s="47">
        <v>1182.0999999999999</v>
      </c>
      <c r="W44" s="47">
        <v>1516.69</v>
      </c>
      <c r="X44" s="47">
        <v>2564.89</v>
      </c>
      <c r="Y44" s="47">
        <v>1733.28</v>
      </c>
      <c r="Z44" s="47">
        <v>4113.21</v>
      </c>
      <c r="AA44" s="47" t="e">
        <f t="shared" ca="1" si="0"/>
        <v>#NAME?</v>
      </c>
      <c r="AB44" s="48" t="e">
        <f t="shared" ca="1" si="1"/>
        <v>#NAME?</v>
      </c>
      <c r="AD44" s="30">
        <v>35406.601104638197</v>
      </c>
      <c r="AE44" s="31" t="str">
        <f t="shared" ca="1" si="2"/>
        <v/>
      </c>
      <c r="AF44" s="51" t="e">
        <f t="shared" ca="1" si="3"/>
        <v>#NAME?</v>
      </c>
      <c r="AG44" s="30">
        <v>23183.73</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739</v>
      </c>
      <c r="H45" s="15" t="s">
        <v>853</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4726.22</v>
      </c>
      <c r="P45" s="47">
        <v>4898.2299999999996</v>
      </c>
      <c r="Q45" s="47">
        <v>6207.55</v>
      </c>
      <c r="R45" s="47">
        <v>5221.99</v>
      </c>
      <c r="S45" s="47">
        <v>5331.93</v>
      </c>
      <c r="T45" s="47">
        <v>5742.77</v>
      </c>
      <c r="U45" s="47">
        <v>6027.88</v>
      </c>
      <c r="V45" s="47">
        <v>6059.77</v>
      </c>
      <c r="W45" s="47">
        <v>1473.28</v>
      </c>
      <c r="X45" s="47">
        <v>5159.47</v>
      </c>
      <c r="Y45" s="47">
        <v>5088.2299999999996</v>
      </c>
      <c r="Z45" s="47">
        <v>5204.34</v>
      </c>
      <c r="AA45" s="47" t="e">
        <f t="shared" ca="1" si="0"/>
        <v>#NAME?</v>
      </c>
      <c r="AB45" s="48" t="e">
        <f t="shared" ca="1" si="1"/>
        <v>#NAME?</v>
      </c>
      <c r="AD45" s="30">
        <v>35744.251100560599</v>
      </c>
      <c r="AE45" s="31" t="str">
        <f t="shared" ca="1" si="2"/>
        <v/>
      </c>
      <c r="AF45" s="51" t="e">
        <f t="shared" ca="1" si="3"/>
        <v>#NAME?</v>
      </c>
      <c r="AG45" s="30">
        <v>27824.01</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H46" s="15" t="s">
        <v>854</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10114.879999999999</v>
      </c>
      <c r="P46" s="36">
        <v>9512.5</v>
      </c>
      <c r="Q46" s="36">
        <v>10899.79</v>
      </c>
      <c r="R46" s="36">
        <v>10706.94</v>
      </c>
      <c r="S46" s="36">
        <v>10886.25</v>
      </c>
      <c r="T46" s="36">
        <v>11392.26</v>
      </c>
      <c r="U46" s="36">
        <v>9869.69</v>
      </c>
      <c r="V46" s="36">
        <v>9060.69</v>
      </c>
      <c r="W46" s="36">
        <v>4426.21</v>
      </c>
      <c r="X46" s="36">
        <v>9084.81</v>
      </c>
      <c r="Y46" s="36">
        <v>7980.94</v>
      </c>
      <c r="Z46" s="36">
        <v>11850.41</v>
      </c>
      <c r="AA46" s="36" t="e">
        <f t="shared" ca="1" si="0"/>
        <v>#NAME?</v>
      </c>
      <c r="AB46" s="37" t="e">
        <f t="shared" ca="1" si="1"/>
        <v>#NAME?</v>
      </c>
      <c r="AC46" s="35"/>
      <c r="AD46" s="36">
        <v>104869.949399947</v>
      </c>
      <c r="AE46" s="37" t="str">
        <f t="shared" ca="1" si="2"/>
        <v/>
      </c>
      <c r="AF46" s="58" t="e">
        <f t="shared" ca="1" si="3"/>
        <v>#NAME?</v>
      </c>
      <c r="AG46" s="36">
        <v>75751.17</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H47" s="15"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39479.519999999997</v>
      </c>
      <c r="P47" s="36">
        <v>42675.56</v>
      </c>
      <c r="Q47" s="36">
        <v>50928.68</v>
      </c>
      <c r="R47" s="36">
        <v>53075.66</v>
      </c>
      <c r="S47" s="36">
        <v>41375.269999999997</v>
      </c>
      <c r="T47" s="36">
        <v>45202.18</v>
      </c>
      <c r="U47" s="36">
        <v>40457.33</v>
      </c>
      <c r="V47" s="36">
        <v>42077.78</v>
      </c>
      <c r="W47" s="36">
        <v>40051.160000000003</v>
      </c>
      <c r="X47" s="36">
        <v>42972.09</v>
      </c>
      <c r="Y47" s="36">
        <v>34123.730000000003</v>
      </c>
      <c r="Z47" s="36">
        <v>52124.51</v>
      </c>
      <c r="AA47" s="36" t="e">
        <f t="shared" ca="1" si="0"/>
        <v>#NAME?</v>
      </c>
      <c r="AB47" s="37" t="e">
        <f t="shared" ca="1" si="1"/>
        <v>#NAME?</v>
      </c>
      <c r="AC47" s="35"/>
      <c r="AD47" s="36">
        <v>576924.17610970396</v>
      </c>
      <c r="AE47" s="37" t="str">
        <f t="shared" ca="1" si="2"/>
        <v/>
      </c>
      <c r="AF47" s="58" t="e">
        <f t="shared" ca="1" si="3"/>
        <v>#NAME?</v>
      </c>
      <c r="AG47" s="36">
        <v>439926.26</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_xll.EVRNG(H73:H76)</f>
        <v>#NAME?</v>
      </c>
      <c r="H50" s="15" t="s">
        <v>829</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v>2760.28</v>
      </c>
      <c r="P50" s="21">
        <v>3155</v>
      </c>
      <c r="Q50" s="21">
        <v>3341.61</v>
      </c>
      <c r="R50" s="21">
        <v>3378.86</v>
      </c>
      <c r="S50" s="21">
        <v>2994.31</v>
      </c>
      <c r="T50" s="21">
        <v>4046.39</v>
      </c>
      <c r="U50" s="21">
        <v>3632.29</v>
      </c>
      <c r="V50" s="21">
        <v>4936.26</v>
      </c>
      <c r="W50" s="21">
        <v>4269.04</v>
      </c>
      <c r="X50" s="21">
        <v>3932.88</v>
      </c>
      <c r="Y50" s="21">
        <v>3473.73</v>
      </c>
      <c r="Z50" s="21">
        <v>3193.25</v>
      </c>
      <c r="AA50" s="38" t="e">
        <f t="shared" ref="AA50:AA73" ca="1" si="12">IF($I50="B1","",SUM(O50:Z50))</f>
        <v>#NAME?</v>
      </c>
      <c r="AB50" s="17" t="e">
        <f t="shared" ref="AB50:AB73" ca="1" si="13">IF(AA50=0,"",IFERROR(AA50/AA$19,""))</f>
        <v>#NAME?</v>
      </c>
      <c r="AD50" s="21">
        <v>35856.810000001198</v>
      </c>
      <c r="AE50" s="17" t="str">
        <f t="shared" ref="AE50:AE73" ca="1" si="14">IF(AD50=0,"",IFERROR(AD50/AD$19,""))</f>
        <v/>
      </c>
      <c r="AF50" s="50" t="e">
        <f t="shared" ref="AF50:AF73" ca="1" si="15">IF(AND($AA50="",AD50=""),"",$AA50-AD50)</f>
        <v>#NAME?</v>
      </c>
      <c r="AG50" s="21">
        <v>39910.35</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H51" s="15" t="s">
        <v>830</v>
      </c>
      <c r="I51" s="161" t="e">
        <f ca="1">_xll.EVPRO($B$1,$H51,"STYLE")</f>
        <v>#NAME?</v>
      </c>
      <c r="J51" s="161" t="e">
        <f ca="1">_xll.EVPRO($B$1,$H51,"CALC")</f>
        <v>#NAME?</v>
      </c>
      <c r="K51" s="68" t="e">
        <f t="shared" ref="K51:K72" ca="1" si="16">IF(AND(I51&gt;="T3"),"&gt;","")</f>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c r="AA51" s="38" t="e">
        <f t="shared" ca="1" si="12"/>
        <v>#NAME?</v>
      </c>
      <c r="AB51" s="17" t="e">
        <f t="shared" ca="1" si="13"/>
        <v>#NAME?</v>
      </c>
      <c r="AD51" s="21">
        <v>111</v>
      </c>
      <c r="AE51" s="17" t="str">
        <f t="shared" ca="1" si="14"/>
        <v/>
      </c>
      <c r="AF51" s="50" t="e">
        <f t="shared" ca="1" si="15"/>
        <v>#NAME?</v>
      </c>
      <c r="AG51" s="21">
        <v>110.8</v>
      </c>
      <c r="AH51" s="17" t="str">
        <f t="shared" ref="AH51:AH72" ca="1" si="17">IF(AG51=0,"",IFERROR(AG51/AG$19,""))</f>
        <v/>
      </c>
      <c r="AI51" s="50" t="e">
        <f t="shared" ref="AI51:AI72" ca="1" si="18">IF(AND($AA51="",AG51=""),"",$AA51-AG51)</f>
        <v>#NAME?</v>
      </c>
      <c r="AJ51" s="399">
        <f t="shared" ref="AJ51:AJ72" ca="1" si="19">IFERROR(AA51/AA$20,0)</f>
        <v>0</v>
      </c>
      <c r="AK51" s="400">
        <f t="shared" ref="AK51:AK72" ca="1" si="20">IFERROR(AD51/AD$20,0)</f>
        <v>0</v>
      </c>
      <c r="AL51" s="401">
        <f t="shared" ref="AL51:AL72" ca="1" si="21">IFERROR(AG51/AG$20,0)</f>
        <v>0</v>
      </c>
      <c r="AM51" s="402">
        <f t="shared" ref="AM51:AM72" ca="1" si="22">+IFERROR(ROUND(($AB51-AE51)*100,2)&amp;" pts.",0)</f>
        <v>0</v>
      </c>
      <c r="AN51" s="403">
        <f t="shared" ref="AN51:AN72" ca="1" si="23">+IFERROR(ROUND(($AB51-AH51)*100,2)&amp;" pts.",0)</f>
        <v>0</v>
      </c>
    </row>
    <row r="52" spans="1:40" x14ac:dyDescent="0.25">
      <c r="A52" s="6" t="s">
        <v>6</v>
      </c>
      <c r="B52" s="7"/>
      <c r="H52" s="15" t="s">
        <v>869</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v>29.72</v>
      </c>
      <c r="Y52" s="21"/>
      <c r="Z52" s="21"/>
      <c r="AA52" s="38" t="e">
        <f t="shared" ca="1" si="12"/>
        <v>#NAME?</v>
      </c>
      <c r="AB52" s="17" t="e">
        <f t="shared" ca="1" si="13"/>
        <v>#NAME?</v>
      </c>
      <c r="AD52" s="21"/>
      <c r="AE52" s="17" t="str">
        <f t="shared" si="14"/>
        <v/>
      </c>
      <c r="AF52" s="50" t="e">
        <f t="shared" ca="1" si="15"/>
        <v>#NAME?</v>
      </c>
      <c r="AG52" s="21">
        <v>0</v>
      </c>
      <c r="AH52" s="17" t="str">
        <f t="shared"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H53" s="15" t="s">
        <v>832</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c r="P53" s="21"/>
      <c r="Q53" s="21">
        <v>24.6</v>
      </c>
      <c r="R53" s="21">
        <v>32.090000000000003</v>
      </c>
      <c r="S53" s="21">
        <v>16.7</v>
      </c>
      <c r="T53" s="21">
        <v>-0.2</v>
      </c>
      <c r="U53" s="21">
        <v>126</v>
      </c>
      <c r="V53" s="21"/>
      <c r="W53" s="21">
        <v>31.84</v>
      </c>
      <c r="X53" s="21"/>
      <c r="Y53" s="21"/>
      <c r="Z53" s="21">
        <v>114.54</v>
      </c>
      <c r="AA53" s="38" t="e">
        <f t="shared" ca="1" si="12"/>
        <v>#NAME?</v>
      </c>
      <c r="AB53" s="17" t="e">
        <f t="shared" ca="1" si="13"/>
        <v>#NAME?</v>
      </c>
      <c r="AD53" s="21">
        <v>150</v>
      </c>
      <c r="AE53" s="17" t="str">
        <f t="shared" ca="1" si="14"/>
        <v/>
      </c>
      <c r="AF53" s="50" t="e">
        <f t="shared" ca="1" si="15"/>
        <v>#NAME?</v>
      </c>
      <c r="AG53" s="21">
        <v>757.45</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H54" s="15" t="s">
        <v>833</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v>1400.59</v>
      </c>
      <c r="P54" s="21">
        <v>2321.9899999999998</v>
      </c>
      <c r="Q54" s="21">
        <v>1113.9000000000001</v>
      </c>
      <c r="R54" s="21">
        <v>475.98</v>
      </c>
      <c r="S54" s="21">
        <v>697.45</v>
      </c>
      <c r="T54" s="21">
        <v>590.79999999999995</v>
      </c>
      <c r="U54" s="21">
        <v>419</v>
      </c>
      <c r="V54" s="21">
        <v>420.52</v>
      </c>
      <c r="W54" s="21">
        <v>-1481</v>
      </c>
      <c r="X54" s="21">
        <v>429.51</v>
      </c>
      <c r="Y54" s="21">
        <v>432.24</v>
      </c>
      <c r="Z54" s="21">
        <v>413.95</v>
      </c>
      <c r="AA54" s="38" t="e">
        <f t="shared" ca="1" si="12"/>
        <v>#NAME?</v>
      </c>
      <c r="AB54" s="17" t="e">
        <f t="shared" ca="1" si="13"/>
        <v>#NAME?</v>
      </c>
      <c r="AD54" s="21">
        <v>10290</v>
      </c>
      <c r="AE54" s="17" t="str">
        <f t="shared" ca="1" si="14"/>
        <v/>
      </c>
      <c r="AF54" s="50" t="e">
        <f t="shared" ca="1" si="15"/>
        <v>#NAME?</v>
      </c>
      <c r="AG54" s="21">
        <v>8760.0400000000009</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H55" s="15" t="s">
        <v>834</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c r="P55" s="21"/>
      <c r="Q55" s="21">
        <v>300</v>
      </c>
      <c r="R55" s="21">
        <v>1710.12</v>
      </c>
      <c r="S55" s="21">
        <v>822.25</v>
      </c>
      <c r="T55" s="21">
        <v>998.92</v>
      </c>
      <c r="U55" s="21">
        <v>583.19000000000005</v>
      </c>
      <c r="V55" s="21">
        <v>33.24</v>
      </c>
      <c r="W55" s="21">
        <v>333.8</v>
      </c>
      <c r="X55" s="21">
        <v>502.06</v>
      </c>
      <c r="Y55" s="21">
        <v>156.03</v>
      </c>
      <c r="Z55" s="21">
        <v>441.23</v>
      </c>
      <c r="AA55" s="38" t="e">
        <f t="shared" ca="1" si="12"/>
        <v>#NAME?</v>
      </c>
      <c r="AB55" s="17" t="e">
        <f t="shared" ca="1" si="13"/>
        <v>#NAME?</v>
      </c>
      <c r="AD55" s="21">
        <v>5640</v>
      </c>
      <c r="AE55" s="17" t="str">
        <f t="shared" ca="1" si="14"/>
        <v/>
      </c>
      <c r="AF55" s="50" t="e">
        <f t="shared" ca="1" si="15"/>
        <v>#NAME?</v>
      </c>
      <c r="AG55" s="21">
        <v>4645.3100000000004</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H56" s="15" t="s">
        <v>835</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v>94.77</v>
      </c>
      <c r="P56" s="21">
        <v>68.849999999999994</v>
      </c>
      <c r="Q56" s="21">
        <v>230.58</v>
      </c>
      <c r="R56" s="21"/>
      <c r="S56" s="21">
        <v>71.48</v>
      </c>
      <c r="T56" s="21">
        <v>649.67999999999995</v>
      </c>
      <c r="U56" s="21">
        <v>146.81</v>
      </c>
      <c r="V56" s="21">
        <v>143.96</v>
      </c>
      <c r="W56" s="21">
        <v>840.88</v>
      </c>
      <c r="X56" s="21">
        <v>121.92</v>
      </c>
      <c r="Y56" s="21">
        <v>143.62</v>
      </c>
      <c r="Z56" s="21">
        <v>275.83999999999997</v>
      </c>
      <c r="AA56" s="38" t="e">
        <f t="shared" ca="1" si="12"/>
        <v>#NAME?</v>
      </c>
      <c r="AB56" s="17" t="e">
        <f t="shared" ca="1" si="13"/>
        <v>#NAME?</v>
      </c>
      <c r="AD56" s="21">
        <v>4480</v>
      </c>
      <c r="AE56" s="17" t="str">
        <f t="shared" ca="1" si="14"/>
        <v/>
      </c>
      <c r="AF56" s="50" t="e">
        <f t="shared" ca="1" si="15"/>
        <v>#NAME?</v>
      </c>
      <c r="AG56" s="21">
        <v>839.76</v>
      </c>
      <c r="AH56" s="17" t="str">
        <f t="shared" ca="1"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H57" s="15" t="s">
        <v>874</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v>116</v>
      </c>
      <c r="P57" s="21">
        <v>108</v>
      </c>
      <c r="Q57" s="21">
        <v>84</v>
      </c>
      <c r="R57" s="21">
        <v>48</v>
      </c>
      <c r="S57" s="21">
        <v>19.96</v>
      </c>
      <c r="T57" s="21">
        <v>2792.25</v>
      </c>
      <c r="U57" s="21">
        <v>32.619999999999997</v>
      </c>
      <c r="V57" s="21">
        <v>264</v>
      </c>
      <c r="W57" s="21">
        <v>1279.1500000000001</v>
      </c>
      <c r="X57" s="21">
        <v>-19.64</v>
      </c>
      <c r="Y57" s="21">
        <v>355.16</v>
      </c>
      <c r="Z57" s="21">
        <v>2180.9499999999998</v>
      </c>
      <c r="AA57" s="38" t="e">
        <f t="shared" ca="1" si="12"/>
        <v>#NAME?</v>
      </c>
      <c r="AB57" s="17" t="e">
        <f t="shared" ca="1" si="13"/>
        <v>#NAME?</v>
      </c>
      <c r="AD57" s="21">
        <v>4798</v>
      </c>
      <c r="AE57" s="17" t="str">
        <f t="shared" ca="1" si="14"/>
        <v/>
      </c>
      <c r="AF57" s="50" t="e">
        <f t="shared" ca="1" si="15"/>
        <v>#NAME?</v>
      </c>
      <c r="AG57" s="21">
        <v>3747.68</v>
      </c>
      <c r="AH57" s="17" t="str">
        <f t="shared" ca="1"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H58" s="15" t="s">
        <v>875</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c r="P58" s="21"/>
      <c r="Q58" s="21"/>
      <c r="R58" s="21"/>
      <c r="S58" s="21">
        <v>12.09</v>
      </c>
      <c r="T58" s="21"/>
      <c r="U58" s="21"/>
      <c r="V58" s="21"/>
      <c r="W58" s="21"/>
      <c r="X58" s="21"/>
      <c r="Y58" s="21"/>
      <c r="Z58" s="21"/>
      <c r="AA58" s="38" t="e">
        <f t="shared" ca="1" si="12"/>
        <v>#NAME?</v>
      </c>
      <c r="AB58" s="17" t="e">
        <f t="shared" ca="1" si="13"/>
        <v>#NAME?</v>
      </c>
      <c r="AD58" s="21">
        <v>1200</v>
      </c>
      <c r="AE58" s="17" t="str">
        <f t="shared" ca="1" si="14"/>
        <v/>
      </c>
      <c r="AF58" s="50" t="e">
        <f t="shared" ca="1" si="15"/>
        <v>#NAME?</v>
      </c>
      <c r="AG58" s="21"/>
      <c r="AH58" s="17" t="str">
        <f t="shared"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H59" s="15" t="s">
        <v>876</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v>30.83</v>
      </c>
      <c r="P59" s="21">
        <v>106.49</v>
      </c>
      <c r="Q59" s="21">
        <v>37.61</v>
      </c>
      <c r="R59" s="21">
        <v>64.599999999999994</v>
      </c>
      <c r="S59" s="21">
        <v>31.07</v>
      </c>
      <c r="T59" s="21">
        <v>44.25</v>
      </c>
      <c r="U59" s="21">
        <v>54.42</v>
      </c>
      <c r="V59" s="21">
        <v>64.44</v>
      </c>
      <c r="W59" s="21">
        <v>101.99</v>
      </c>
      <c r="X59" s="21">
        <v>127.81</v>
      </c>
      <c r="Y59" s="21">
        <v>56.14</v>
      </c>
      <c r="Z59" s="21">
        <v>136.1</v>
      </c>
      <c r="AA59" s="38" t="e">
        <f t="shared" ca="1" si="12"/>
        <v>#NAME?</v>
      </c>
      <c r="AB59" s="17" t="e">
        <f t="shared" ca="1" si="13"/>
        <v>#NAME?</v>
      </c>
      <c r="AD59" s="21">
        <v>434.00000000040001</v>
      </c>
      <c r="AE59" s="17" t="str">
        <f t="shared" ca="1" si="14"/>
        <v/>
      </c>
      <c r="AF59" s="50" t="e">
        <f t="shared" ca="1" si="15"/>
        <v>#NAME?</v>
      </c>
      <c r="AG59" s="21">
        <v>725.94</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H60" s="15" t="s">
        <v>861</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c r="P60" s="21"/>
      <c r="Q60" s="21"/>
      <c r="R60" s="21"/>
      <c r="S60" s="21">
        <v>245.6</v>
      </c>
      <c r="T60" s="21"/>
      <c r="U60" s="21"/>
      <c r="V60" s="21"/>
      <c r="W60" s="21">
        <v>-245.6</v>
      </c>
      <c r="X60" s="21"/>
      <c r="Y60" s="21"/>
      <c r="Z60" s="21"/>
      <c r="AA60" s="38" t="e">
        <f t="shared" ca="1" si="12"/>
        <v>#NAME?</v>
      </c>
      <c r="AB60" s="17" t="e">
        <f t="shared" ca="1" si="13"/>
        <v>#NAME?</v>
      </c>
      <c r="AD60" s="21"/>
      <c r="AE60" s="17" t="str">
        <f t="shared" si="14"/>
        <v/>
      </c>
      <c r="AF60" s="50" t="e">
        <f t="shared" ca="1" si="15"/>
        <v>#NAME?</v>
      </c>
      <c r="AG60" s="21"/>
      <c r="AH60" s="17" t="str">
        <f t="shared"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H61" s="15" t="s">
        <v>845</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v>25900.45</v>
      </c>
      <c r="P61" s="21">
        <v>24079.22</v>
      </c>
      <c r="Q61" s="21">
        <v>23617.23</v>
      </c>
      <c r="R61" s="21">
        <v>18048.54</v>
      </c>
      <c r="S61" s="21">
        <v>16585.11</v>
      </c>
      <c r="T61" s="21">
        <v>12687.59</v>
      </c>
      <c r="U61" s="21">
        <v>12508.27</v>
      </c>
      <c r="V61" s="21">
        <v>10086.11</v>
      </c>
      <c r="W61" s="21">
        <v>8680.58</v>
      </c>
      <c r="X61" s="21">
        <v>11795.09</v>
      </c>
      <c r="Y61" s="21">
        <v>13461.11</v>
      </c>
      <c r="Z61" s="21">
        <v>22883.53</v>
      </c>
      <c r="AA61" s="38" t="e">
        <f t="shared" ca="1" si="12"/>
        <v>#NAME?</v>
      </c>
      <c r="AB61" s="17" t="e">
        <f t="shared" ca="1" si="13"/>
        <v>#NAME?</v>
      </c>
      <c r="AD61" s="21">
        <v>232770.48740000001</v>
      </c>
      <c r="AE61" s="17" t="str">
        <f t="shared" ca="1" si="14"/>
        <v/>
      </c>
      <c r="AF61" s="50" t="e">
        <f t="shared" ca="1" si="15"/>
        <v>#NAME?</v>
      </c>
      <c r="AG61" s="21">
        <v>226203.49</v>
      </c>
      <c r="AH61" s="17" t="str">
        <f t="shared" ca="1"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H62" s="15" t="s">
        <v>940</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v>499.58</v>
      </c>
      <c r="P62" s="21">
        <v>1673.11</v>
      </c>
      <c r="Q62" s="21">
        <v>1292.07</v>
      </c>
      <c r="R62" s="21">
        <v>3335.08</v>
      </c>
      <c r="S62" s="21">
        <v>1917.47</v>
      </c>
      <c r="T62" s="21">
        <v>7649.07</v>
      </c>
      <c r="U62" s="21">
        <v>2520.46</v>
      </c>
      <c r="V62" s="21">
        <v>-213</v>
      </c>
      <c r="W62" s="21">
        <v>2595.33</v>
      </c>
      <c r="X62" s="21">
        <v>4177.66</v>
      </c>
      <c r="Y62" s="21">
        <v>1119.5</v>
      </c>
      <c r="Z62" s="21">
        <v>5072.88</v>
      </c>
      <c r="AA62" s="38" t="e">
        <f t="shared" ca="1" si="12"/>
        <v>#NAME?</v>
      </c>
      <c r="AB62" s="17" t="e">
        <f t="shared" ca="1" si="13"/>
        <v>#NAME?</v>
      </c>
      <c r="AD62" s="21">
        <v>25680</v>
      </c>
      <c r="AE62" s="17" t="str">
        <f t="shared" ca="1" si="14"/>
        <v/>
      </c>
      <c r="AF62" s="50" t="e">
        <f t="shared" ca="1" si="15"/>
        <v>#NAME?</v>
      </c>
      <c r="AG62" s="21">
        <v>30953.3</v>
      </c>
      <c r="AH62" s="17" t="str">
        <f t="shared" ca="1"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H63" s="15" t="s">
        <v>941</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c r="P63" s="21"/>
      <c r="Q63" s="21"/>
      <c r="R63" s="21">
        <v>1000</v>
      </c>
      <c r="S63" s="21"/>
      <c r="T63" s="21"/>
      <c r="U63" s="21">
        <v>2011.6</v>
      </c>
      <c r="V63" s="21"/>
      <c r="W63" s="21"/>
      <c r="X63" s="21"/>
      <c r="Y63" s="21"/>
      <c r="Z63" s="21"/>
      <c r="AA63" s="38" t="e">
        <f t="shared" ca="1" si="12"/>
        <v>#NAME?</v>
      </c>
      <c r="AB63" s="17" t="e">
        <f t="shared" ca="1" si="13"/>
        <v>#NAME?</v>
      </c>
      <c r="AD63" s="21">
        <v>2000</v>
      </c>
      <c r="AE63" s="17" t="str">
        <f t="shared" ca="1" si="14"/>
        <v/>
      </c>
      <c r="AF63" s="50" t="e">
        <f t="shared" ca="1" si="15"/>
        <v>#NAME?</v>
      </c>
      <c r="AG63" s="21"/>
      <c r="AH63" s="17" t="str">
        <f t="shared"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H64" s="15" t="s">
        <v>942</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v>170.7</v>
      </c>
      <c r="P64" s="21">
        <v>72.69</v>
      </c>
      <c r="Q64" s="21">
        <v>61.9</v>
      </c>
      <c r="R64" s="21">
        <v>248.19</v>
      </c>
      <c r="S64" s="21">
        <v>216.09</v>
      </c>
      <c r="T64" s="21">
        <v>46.19</v>
      </c>
      <c r="U64" s="21">
        <v>326.12</v>
      </c>
      <c r="V64" s="21"/>
      <c r="W64" s="21"/>
      <c r="X64" s="21">
        <v>1601.53</v>
      </c>
      <c r="Y64" s="21">
        <v>225.97</v>
      </c>
      <c r="Z64" s="21">
        <v>100.92</v>
      </c>
      <c r="AA64" s="38" t="e">
        <f t="shared" ca="1" si="12"/>
        <v>#NAME?</v>
      </c>
      <c r="AB64" s="17" t="e">
        <f t="shared" ca="1" si="13"/>
        <v>#NAME?</v>
      </c>
      <c r="AD64" s="21">
        <v>3300</v>
      </c>
      <c r="AE64" s="17" t="str">
        <f t="shared" ca="1" si="14"/>
        <v/>
      </c>
      <c r="AF64" s="50" t="e">
        <f t="shared" ca="1" si="15"/>
        <v>#NAME?</v>
      </c>
      <c r="AG64" s="21">
        <v>1840.22</v>
      </c>
      <c r="AH64" s="17" t="str">
        <f t="shared" ca="1"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H65" s="15" t="s">
        <v>943</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38" t="e">
        <f t="shared" ca="1" si="12"/>
        <v>#NAME?</v>
      </c>
      <c r="AB65" s="17" t="e">
        <f t="shared" ca="1" si="13"/>
        <v>#NAME?</v>
      </c>
      <c r="AD65" s="21">
        <v>300</v>
      </c>
      <c r="AE65" s="17" t="str">
        <f t="shared" ca="1" si="14"/>
        <v/>
      </c>
      <c r="AF65" s="50" t="e">
        <f t="shared" ca="1" si="15"/>
        <v>#NAME?</v>
      </c>
      <c r="AG65" s="21"/>
      <c r="AH65" s="17" t="str">
        <f t="shared"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H66" s="15" t="s">
        <v>944</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c r="P66" s="21"/>
      <c r="Q66" s="21"/>
      <c r="R66" s="21">
        <v>176.57</v>
      </c>
      <c r="S66" s="21"/>
      <c r="T66" s="21"/>
      <c r="U66" s="21"/>
      <c r="V66" s="21"/>
      <c r="W66" s="21"/>
      <c r="X66" s="21"/>
      <c r="Y66" s="21"/>
      <c r="Z66" s="21"/>
      <c r="AA66" s="38" t="e">
        <f t="shared" ca="1" si="12"/>
        <v>#NAME?</v>
      </c>
      <c r="AB66" s="17" t="e">
        <f t="shared" ca="1" si="13"/>
        <v>#NAME?</v>
      </c>
      <c r="AD66" s="21"/>
      <c r="AE66" s="17" t="str">
        <f t="shared" si="14"/>
        <v/>
      </c>
      <c r="AF66" s="50" t="e">
        <f t="shared" ca="1" si="15"/>
        <v>#NAME?</v>
      </c>
      <c r="AG66" s="21"/>
      <c r="AH66" s="17" t="str">
        <f t="shared"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H67" s="15" t="s">
        <v>945</v>
      </c>
      <c r="I67" s="161" t="e">
        <f ca="1">_xll.EVPRO($B$1,$H67,"STYLE")</f>
        <v>#NAME?</v>
      </c>
      <c r="J67" s="161" t="e">
        <f ca="1">_xll.EVPRO($B$1,$H67,"CALC")</f>
        <v>#NAME?</v>
      </c>
      <c r="K67" s="68" t="e">
        <f t="shared" ca="1" si="16"/>
        <v>#NAME?</v>
      </c>
      <c r="L67" s="162" t="e">
        <f ca="1">_xll.EVPRO($B$1,H67,"JDEID")</f>
        <v>#NAME?</v>
      </c>
      <c r="M67" s="162" t="e">
        <f ca="1">IF(AND(I67="N",J67="N"),_xll.EVPRO($B$1,H67,"PSFTID"),"")</f>
        <v>#NAME?</v>
      </c>
      <c r="N67" s="162" t="e">
        <f ca="1">IF(_xll.EVDES(H67,$B$1)="#NODATA","",_xll.EVDES(H67,$B$1))</f>
        <v>#NAME?</v>
      </c>
      <c r="O67" s="21">
        <v>2983.34</v>
      </c>
      <c r="P67" s="21">
        <v>2818.33</v>
      </c>
      <c r="Q67" s="21">
        <v>3218.33</v>
      </c>
      <c r="R67" s="21">
        <v>4435</v>
      </c>
      <c r="S67" s="21">
        <v>2775</v>
      </c>
      <c r="T67" s="21">
        <v>2666.67</v>
      </c>
      <c r="U67" s="21">
        <v>3625</v>
      </c>
      <c r="V67" s="21">
        <v>2625</v>
      </c>
      <c r="W67" s="21">
        <v>3035</v>
      </c>
      <c r="X67" s="21">
        <v>2666.68</v>
      </c>
      <c r="Y67" s="21">
        <v>2566.66</v>
      </c>
      <c r="Z67" s="21">
        <v>-148.34</v>
      </c>
      <c r="AA67" s="38" t="e">
        <f t="shared" ca="1" si="12"/>
        <v>#NAME?</v>
      </c>
      <c r="AB67" s="17" t="e">
        <f t="shared" ca="1" si="13"/>
        <v>#NAME?</v>
      </c>
      <c r="AD67" s="21">
        <v>36335</v>
      </c>
      <c r="AE67" s="17" t="str">
        <f t="shared" ca="1" si="14"/>
        <v/>
      </c>
      <c r="AF67" s="50" t="e">
        <f t="shared" ca="1" si="15"/>
        <v>#NAME?</v>
      </c>
      <c r="AG67" s="21">
        <v>36892.089999999997</v>
      </c>
      <c r="AH67" s="17" t="str">
        <f t="shared" ca="1" si="17"/>
        <v/>
      </c>
      <c r="AI67" s="50" t="e">
        <f t="shared" ca="1" si="18"/>
        <v>#NAME?</v>
      </c>
      <c r="AJ67" s="399">
        <f t="shared" ca="1" si="19"/>
        <v>0</v>
      </c>
      <c r="AK67" s="400">
        <f t="shared" ca="1" si="20"/>
        <v>0</v>
      </c>
      <c r="AL67" s="401">
        <f t="shared" ca="1" si="21"/>
        <v>0</v>
      </c>
      <c r="AM67" s="402">
        <f t="shared" ca="1" si="22"/>
        <v>0</v>
      </c>
      <c r="AN67" s="403">
        <f t="shared" ca="1" si="23"/>
        <v>0</v>
      </c>
    </row>
    <row r="68" spans="1:40" x14ac:dyDescent="0.25">
      <c r="A68" s="6" t="s">
        <v>34</v>
      </c>
      <c r="B68" s="7"/>
      <c r="H68" s="15" t="s">
        <v>946</v>
      </c>
      <c r="I68" s="161" t="e">
        <f ca="1">_xll.EVPRO($B$1,$H68,"STYLE")</f>
        <v>#NAME?</v>
      </c>
      <c r="J68" s="161" t="e">
        <f ca="1">_xll.EVPRO($B$1,$H68,"CALC")</f>
        <v>#NAME?</v>
      </c>
      <c r="K68" s="68" t="e">
        <f t="shared" ca="1" si="16"/>
        <v>#NAME?</v>
      </c>
      <c r="L68" s="162" t="e">
        <f ca="1">_xll.EVPRO($B$1,H68,"JDEID")</f>
        <v>#NAME?</v>
      </c>
      <c r="M68" s="162" t="e">
        <f ca="1">IF(AND(I68="N",J68="N"),_xll.EVPRO($B$1,H68,"PSFTID"),"")</f>
        <v>#NAME?</v>
      </c>
      <c r="N68" s="162" t="e">
        <f ca="1">IF(_xll.EVDES(H68,$B$1)="#NODATA","",_xll.EVDES(H68,$B$1))</f>
        <v>#NAME?</v>
      </c>
      <c r="O68" s="21">
        <v>6359.03</v>
      </c>
      <c r="P68" s="21">
        <v>3553.07</v>
      </c>
      <c r="Q68" s="21">
        <v>13309.77</v>
      </c>
      <c r="R68" s="21">
        <v>4599.22</v>
      </c>
      <c r="S68" s="21">
        <v>7268.65</v>
      </c>
      <c r="T68" s="21">
        <v>13039.02</v>
      </c>
      <c r="U68" s="21">
        <v>7969.46</v>
      </c>
      <c r="V68" s="21">
        <v>10882.64</v>
      </c>
      <c r="W68" s="21">
        <v>17432.8</v>
      </c>
      <c r="X68" s="21">
        <v>8542.23</v>
      </c>
      <c r="Y68" s="21">
        <v>9648.73</v>
      </c>
      <c r="Z68" s="21">
        <v>13677.99</v>
      </c>
      <c r="AA68" s="38" t="e">
        <f t="shared" ca="1" si="12"/>
        <v>#NAME?</v>
      </c>
      <c r="AB68" s="17" t="e">
        <f t="shared" ca="1" si="13"/>
        <v>#NAME?</v>
      </c>
      <c r="AD68" s="21">
        <v>115355</v>
      </c>
      <c r="AE68" s="17" t="str">
        <f t="shared" ca="1" si="14"/>
        <v/>
      </c>
      <c r="AF68" s="50" t="e">
        <f t="shared" ca="1" si="15"/>
        <v>#NAME?</v>
      </c>
      <c r="AG68" s="21">
        <v>121737.84</v>
      </c>
      <c r="AH68" s="17" t="str">
        <f t="shared" ca="1" si="17"/>
        <v/>
      </c>
      <c r="AI68" s="50" t="e">
        <f t="shared" ca="1" si="18"/>
        <v>#NAME?</v>
      </c>
      <c r="AJ68" s="399">
        <f t="shared" ca="1" si="19"/>
        <v>0</v>
      </c>
      <c r="AK68" s="400">
        <f t="shared" ca="1" si="20"/>
        <v>0</v>
      </c>
      <c r="AL68" s="401">
        <f t="shared" ca="1" si="21"/>
        <v>0</v>
      </c>
      <c r="AM68" s="402">
        <f t="shared" ca="1" si="22"/>
        <v>0</v>
      </c>
      <c r="AN68" s="403">
        <f t="shared" ca="1" si="23"/>
        <v>0</v>
      </c>
    </row>
    <row r="69" spans="1:40" x14ac:dyDescent="0.25">
      <c r="A69" s="6" t="s">
        <v>35</v>
      </c>
      <c r="B69" s="7"/>
      <c r="H69" s="15" t="s">
        <v>947</v>
      </c>
      <c r="I69" s="161" t="e">
        <f ca="1">_xll.EVPRO($B$1,$H69,"STYLE")</f>
        <v>#NAME?</v>
      </c>
      <c r="J69" s="161" t="e">
        <f ca="1">_xll.EVPRO($B$1,$H69,"CALC")</f>
        <v>#NAME?</v>
      </c>
      <c r="K69" s="68" t="e">
        <f t="shared" ca="1" si="16"/>
        <v>#NAME?</v>
      </c>
      <c r="L69" s="162" t="e">
        <f ca="1">_xll.EVPRO($B$1,H69,"JDEID")</f>
        <v>#NAME?</v>
      </c>
      <c r="M69" s="162" t="e">
        <f ca="1">IF(AND(I69="N",J69="N"),_xll.EVPRO($B$1,H69,"PSFTID"),"")</f>
        <v>#NAME?</v>
      </c>
      <c r="N69" s="162" t="e">
        <f ca="1">IF(_xll.EVDES(H69,$B$1)="#NODATA","",_xll.EVDES(H69,$B$1))</f>
        <v>#NAME?</v>
      </c>
      <c r="O69" s="21">
        <v>833.53</v>
      </c>
      <c r="P69" s="21">
        <v>833.53</v>
      </c>
      <c r="Q69" s="21">
        <v>833.6</v>
      </c>
      <c r="R69" s="21">
        <v>833.53</v>
      </c>
      <c r="S69" s="21">
        <v>833.53</v>
      </c>
      <c r="T69" s="21">
        <v>1730.53</v>
      </c>
      <c r="U69" s="21">
        <v>362.28</v>
      </c>
      <c r="V69" s="21">
        <v>661.28</v>
      </c>
      <c r="W69" s="21">
        <v>960.28</v>
      </c>
      <c r="X69" s="21">
        <v>2654.56</v>
      </c>
      <c r="Y69" s="21">
        <v>820.12</v>
      </c>
      <c r="Z69" s="21">
        <v>622.12</v>
      </c>
      <c r="AA69" s="38" t="e">
        <f t="shared" ca="1" si="12"/>
        <v>#NAME?</v>
      </c>
      <c r="AB69" s="17" t="e">
        <f t="shared" ca="1" si="13"/>
        <v>#NAME?</v>
      </c>
      <c r="AD69" s="21">
        <v>8792.9999999995998</v>
      </c>
      <c r="AE69" s="17" t="str">
        <f t="shared" ca="1" si="14"/>
        <v/>
      </c>
      <c r="AF69" s="50" t="e">
        <f t="shared" ca="1" si="15"/>
        <v>#NAME?</v>
      </c>
      <c r="AG69" s="21">
        <v>13288.3</v>
      </c>
      <c r="AH69" s="17" t="str">
        <f t="shared" ca="1" si="17"/>
        <v/>
      </c>
      <c r="AI69" s="50" t="e">
        <f t="shared" ca="1" si="18"/>
        <v>#NAME?</v>
      </c>
      <c r="AJ69" s="399">
        <f t="shared" ca="1" si="19"/>
        <v>0</v>
      </c>
      <c r="AK69" s="400">
        <f t="shared" ca="1" si="20"/>
        <v>0</v>
      </c>
      <c r="AL69" s="401">
        <f t="shared" ca="1" si="21"/>
        <v>0</v>
      </c>
      <c r="AM69" s="402">
        <f t="shared" ca="1" si="22"/>
        <v>0</v>
      </c>
      <c r="AN69" s="403">
        <f t="shared" ca="1" si="23"/>
        <v>0</v>
      </c>
    </row>
    <row r="70" spans="1:40" x14ac:dyDescent="0.25">
      <c r="A70" s="6" t="s">
        <v>36</v>
      </c>
      <c r="B70" s="7"/>
      <c r="H70" s="15" t="s">
        <v>948</v>
      </c>
      <c r="I70" s="161" t="e">
        <f ca="1">_xll.EVPRO($B$1,$H70,"STYLE")</f>
        <v>#NAME?</v>
      </c>
      <c r="J70" s="161" t="e">
        <f ca="1">_xll.EVPRO($B$1,$H70,"CALC")</f>
        <v>#NAME?</v>
      </c>
      <c r="K70" s="68" t="e">
        <f t="shared" ca="1" si="16"/>
        <v>#NAME?</v>
      </c>
      <c r="L70" s="162" t="e">
        <f ca="1">_xll.EVPRO($B$1,H70,"JDEID")</f>
        <v>#NAME?</v>
      </c>
      <c r="M70" s="162" t="e">
        <f ca="1">IF(AND(I70="N",J70="N"),_xll.EVPRO($B$1,H70,"PSFTID"),"")</f>
        <v>#NAME?</v>
      </c>
      <c r="N70" s="162" t="e">
        <f ca="1">IF(_xll.EVDES(H70,$B$1)="#NODATA","",_xll.EVDES(H70,$B$1))</f>
        <v>#NAME?</v>
      </c>
      <c r="O70" s="21"/>
      <c r="P70" s="21"/>
      <c r="Q70" s="21">
        <v>224</v>
      </c>
      <c r="R70" s="21">
        <v>1271.26</v>
      </c>
      <c r="S70" s="21">
        <v>12625.17</v>
      </c>
      <c r="T70" s="21">
        <v>3475</v>
      </c>
      <c r="U70" s="21"/>
      <c r="V70" s="21">
        <v>1600</v>
      </c>
      <c r="W70" s="21"/>
      <c r="X70" s="21"/>
      <c r="Y70" s="21"/>
      <c r="Z70" s="21"/>
      <c r="AA70" s="38" t="e">
        <f t="shared" ca="1" si="12"/>
        <v>#NAME?</v>
      </c>
      <c r="AB70" s="17" t="e">
        <f t="shared" ca="1" si="13"/>
        <v>#NAME?</v>
      </c>
      <c r="AD70" s="21">
        <v>14100</v>
      </c>
      <c r="AE70" s="17" t="str">
        <f t="shared" ca="1" si="14"/>
        <v/>
      </c>
      <c r="AF70" s="50" t="e">
        <f t="shared" ca="1" si="15"/>
        <v>#NAME?</v>
      </c>
      <c r="AG70" s="21">
        <v>6400</v>
      </c>
      <c r="AH70" s="17" t="str">
        <f t="shared" ca="1" si="17"/>
        <v/>
      </c>
      <c r="AI70" s="50" t="e">
        <f t="shared" ca="1" si="18"/>
        <v>#NAME?</v>
      </c>
      <c r="AJ70" s="399">
        <f t="shared" ca="1" si="19"/>
        <v>0</v>
      </c>
      <c r="AK70" s="400">
        <f t="shared" ca="1" si="20"/>
        <v>0</v>
      </c>
      <c r="AL70" s="401">
        <f t="shared" ca="1" si="21"/>
        <v>0</v>
      </c>
      <c r="AM70" s="402">
        <f t="shared" ca="1" si="22"/>
        <v>0</v>
      </c>
      <c r="AN70" s="403">
        <f t="shared" ca="1" si="23"/>
        <v>0</v>
      </c>
    </row>
    <row r="71" spans="1:40" x14ac:dyDescent="0.25">
      <c r="A71" s="6" t="s">
        <v>37</v>
      </c>
      <c r="B71" s="7"/>
      <c r="H71" s="15" t="s">
        <v>949</v>
      </c>
      <c r="I71" s="161" t="e">
        <f ca="1">_xll.EVPRO($B$1,$H71,"STYLE")</f>
        <v>#NAME?</v>
      </c>
      <c r="J71" s="161" t="e">
        <f ca="1">_xll.EVPRO($B$1,$H71,"CALC")</f>
        <v>#NAME?</v>
      </c>
      <c r="K71" s="68" t="e">
        <f t="shared" ca="1" si="16"/>
        <v>#NAME?</v>
      </c>
      <c r="L71" s="162" t="e">
        <f ca="1">_xll.EVPRO($B$1,H71,"JDEID")</f>
        <v>#NAME?</v>
      </c>
      <c r="M71" s="162" t="e">
        <f ca="1">IF(AND(I71="N",J71="N"),_xll.EVPRO($B$1,H71,"PSFTID"),"")</f>
        <v>#NAME?</v>
      </c>
      <c r="N71" s="162" t="e">
        <f ca="1">IF(_xll.EVDES(H71,$B$1)="#NODATA","",_xll.EVDES(H71,$B$1))</f>
        <v>#NAME?</v>
      </c>
      <c r="O71" s="21">
        <v>13533.21</v>
      </c>
      <c r="P71" s="21">
        <v>16121.2</v>
      </c>
      <c r="Q71" s="21">
        <v>12042.99</v>
      </c>
      <c r="R71" s="21">
        <v>14604.85</v>
      </c>
      <c r="S71" s="21">
        <v>10027.969999999999</v>
      </c>
      <c r="T71" s="21">
        <v>8858.2099999999991</v>
      </c>
      <c r="U71" s="21">
        <v>8175.72</v>
      </c>
      <c r="V71" s="21">
        <v>6478.05</v>
      </c>
      <c r="W71" s="21">
        <v>6292.65</v>
      </c>
      <c r="X71" s="21">
        <v>4773.54</v>
      </c>
      <c r="Y71" s="21">
        <v>6325.75</v>
      </c>
      <c r="Z71" s="21">
        <v>11647.93</v>
      </c>
      <c r="AA71" s="38" t="e">
        <f t="shared" ca="1" si="12"/>
        <v>#NAME?</v>
      </c>
      <c r="AB71" s="17" t="e">
        <f t="shared" ca="1" si="13"/>
        <v>#NAME?</v>
      </c>
      <c r="AD71" s="21">
        <v>117137.5</v>
      </c>
      <c r="AE71" s="17" t="str">
        <f t="shared" ca="1" si="14"/>
        <v/>
      </c>
      <c r="AF71" s="50" t="e">
        <f t="shared" ca="1" si="15"/>
        <v>#NAME?</v>
      </c>
      <c r="AG71" s="21">
        <v>119732.4</v>
      </c>
      <c r="AH71" s="17" t="str">
        <f t="shared" ca="1" si="17"/>
        <v/>
      </c>
      <c r="AI71" s="50" t="e">
        <f t="shared" ca="1" si="18"/>
        <v>#NAME?</v>
      </c>
      <c r="AJ71" s="399">
        <f t="shared" ca="1" si="19"/>
        <v>0</v>
      </c>
      <c r="AK71" s="400">
        <f t="shared" ca="1" si="20"/>
        <v>0</v>
      </c>
      <c r="AL71" s="401">
        <f t="shared" ca="1" si="21"/>
        <v>0</v>
      </c>
      <c r="AM71" s="402">
        <f t="shared" ca="1" si="22"/>
        <v>0</v>
      </c>
      <c r="AN71" s="403">
        <f t="shared" ca="1" si="23"/>
        <v>0</v>
      </c>
    </row>
    <row r="72" spans="1:40" x14ac:dyDescent="0.25">
      <c r="A72" s="6" t="s">
        <v>38</v>
      </c>
      <c r="B72" s="7"/>
      <c r="H72" s="15" t="s">
        <v>950</v>
      </c>
      <c r="I72" s="161" t="e">
        <f ca="1">_xll.EVPRO($B$1,$H72,"STYLE")</f>
        <v>#NAME?</v>
      </c>
      <c r="J72" s="161" t="e">
        <f ca="1">_xll.EVPRO($B$1,$H72,"CALC")</f>
        <v>#NAME?</v>
      </c>
      <c r="K72" s="68" t="e">
        <f t="shared" ca="1" si="16"/>
        <v>#NAME?</v>
      </c>
      <c r="L72" s="162" t="e">
        <f ca="1">_xll.EVPRO($B$1,H72,"JDEID")</f>
        <v>#NAME?</v>
      </c>
      <c r="M72" s="162" t="e">
        <f ca="1">IF(AND(I72="N",J72="N"),_xll.EVPRO($B$1,H72,"PSFTID"),"")</f>
        <v>#NAME?</v>
      </c>
      <c r="N72" s="162" t="e">
        <f ca="1">IF(_xll.EVDES(H72,$B$1)="#NODATA","",_xll.EVDES(H72,$B$1))</f>
        <v>#NAME?</v>
      </c>
      <c r="O72" s="21">
        <v>2750</v>
      </c>
      <c r="P72" s="21">
        <v>3235.94</v>
      </c>
      <c r="Q72" s="21">
        <v>6502.97</v>
      </c>
      <c r="R72" s="21">
        <v>3250</v>
      </c>
      <c r="S72" s="21">
        <v>3508.91</v>
      </c>
      <c r="T72" s="21">
        <v>3002.97</v>
      </c>
      <c r="U72" s="21">
        <v>3752.97</v>
      </c>
      <c r="V72" s="21">
        <v>6029.42</v>
      </c>
      <c r="W72" s="21">
        <v>3756.48</v>
      </c>
      <c r="X72" s="21">
        <v>6122.49</v>
      </c>
      <c r="Y72" s="21">
        <v>5100</v>
      </c>
      <c r="Z72" s="21">
        <v>5432.96</v>
      </c>
      <c r="AA72" s="38" t="e">
        <f t="shared" ca="1" si="12"/>
        <v>#NAME?</v>
      </c>
      <c r="AB72" s="17" t="e">
        <f t="shared" ca="1" si="13"/>
        <v>#NAME?</v>
      </c>
      <c r="AD72" s="21">
        <v>46500</v>
      </c>
      <c r="AE72" s="17" t="str">
        <f t="shared" ca="1" si="14"/>
        <v/>
      </c>
      <c r="AF72" s="50" t="e">
        <f t="shared" ca="1" si="15"/>
        <v>#NAME?</v>
      </c>
      <c r="AG72" s="21">
        <v>91324.89</v>
      </c>
      <c r="AH72" s="17" t="str">
        <f t="shared" ca="1" si="17"/>
        <v/>
      </c>
      <c r="AI72" s="50" t="e">
        <f t="shared" ca="1" si="18"/>
        <v>#NAME?</v>
      </c>
      <c r="AJ72" s="399">
        <f t="shared" ca="1" si="19"/>
        <v>0</v>
      </c>
      <c r="AK72" s="400">
        <f t="shared" ca="1" si="20"/>
        <v>0</v>
      </c>
      <c r="AL72" s="401">
        <f t="shared" ca="1" si="21"/>
        <v>0</v>
      </c>
      <c r="AM72" s="402">
        <f t="shared" ca="1" si="22"/>
        <v>0</v>
      </c>
      <c r="AN72" s="403">
        <f t="shared" ca="1" si="23"/>
        <v>0</v>
      </c>
    </row>
    <row r="73" spans="1:40" x14ac:dyDescent="0.25">
      <c r="A73" s="6" t="s">
        <v>39</v>
      </c>
      <c r="B73" s="7"/>
      <c r="H73" s="15" t="s">
        <v>79</v>
      </c>
      <c r="I73" s="27" t="e">
        <f ca="1">_xll.EVPRO($B$1,$H73,"STYLE")</f>
        <v>#NAME?</v>
      </c>
      <c r="J73" s="27" t="e">
        <f ca="1">_xll.EVPRO($B$1,$H73,"CALC")</f>
        <v>#NAME?</v>
      </c>
      <c r="K73" s="26"/>
      <c r="N73" s="25" t="e">
        <f ca="1">IF(_xll.EVDES(H73,$B$1)="#NODATA","",_xll.EVDES(H73,$B$1))</f>
        <v>#NAME?</v>
      </c>
      <c r="O73" s="33">
        <v>57432.31</v>
      </c>
      <c r="P73" s="33">
        <v>58147.42</v>
      </c>
      <c r="Q73" s="33">
        <v>66235.16</v>
      </c>
      <c r="R73" s="33">
        <v>57511.89</v>
      </c>
      <c r="S73" s="33">
        <v>60668.81</v>
      </c>
      <c r="T73" s="33">
        <v>62277.34</v>
      </c>
      <c r="U73" s="33">
        <v>46246.21</v>
      </c>
      <c r="V73" s="33">
        <v>44011.92</v>
      </c>
      <c r="W73" s="33">
        <v>47883.22</v>
      </c>
      <c r="X73" s="33">
        <v>47458.04</v>
      </c>
      <c r="Y73" s="33">
        <v>43884.76</v>
      </c>
      <c r="Z73" s="33">
        <v>66045.850000000006</v>
      </c>
      <c r="AA73" s="33" t="e">
        <f t="shared" ca="1" si="12"/>
        <v>#NAME?</v>
      </c>
      <c r="AB73" s="34" t="e">
        <f t="shared" ca="1" si="13"/>
        <v>#NAME?</v>
      </c>
      <c r="AD73" s="33">
        <v>665230.79740000097</v>
      </c>
      <c r="AE73" s="34" t="str">
        <f t="shared" ca="1" si="14"/>
        <v/>
      </c>
      <c r="AF73" s="52" t="e">
        <f t="shared" ca="1" si="15"/>
        <v>#NAME?</v>
      </c>
      <c r="AG73" s="33">
        <v>707869.86</v>
      </c>
      <c r="AH73" s="34" t="str">
        <f ca="1">IF(AG73=0,"",IFERROR(AG73/AG$19,""))</f>
        <v/>
      </c>
      <c r="AI73" s="52" t="e">
        <f ca="1">IF(AND($AA73="",AG73=""),"",$AA73-AG73)</f>
        <v>#NAME?</v>
      </c>
      <c r="AJ73" s="415">
        <f ca="1">IFERROR(AA73/AA$20,0)</f>
        <v>0</v>
      </c>
      <c r="AK73" s="416">
        <f ca="1">IFERROR(AD73/AD$20,0)</f>
        <v>0</v>
      </c>
      <c r="AL73" s="417">
        <f ca="1">IFERROR(AG73/AG$20,0)</f>
        <v>0</v>
      </c>
      <c r="AM73" s="418">
        <f ca="1">+IFERROR(ROUND(($AB73-AE73)*100,2)&amp;" pts.",0)</f>
        <v>0</v>
      </c>
      <c r="AN73" s="436">
        <f ca="1">+IFERROR(ROUND(($AB73-AH73)*100,2)&amp;" pts.",0)</f>
        <v>0</v>
      </c>
    </row>
    <row r="74" spans="1:40" x14ac:dyDescent="0.25">
      <c r="A74" s="6" t="s">
        <v>40</v>
      </c>
      <c r="B74" s="7"/>
    </row>
    <row r="75" spans="1:40" x14ac:dyDescent="0.25">
      <c r="A75" s="6" t="s">
        <v>41</v>
      </c>
      <c r="B75" s="7"/>
      <c r="H75" s="15" t="s">
        <v>80</v>
      </c>
      <c r="I75" s="27" t="e">
        <f ca="1">_xll.EVPRO($B$1,$H75,"STYLE")</f>
        <v>#NAME?</v>
      </c>
      <c r="J75" s="27" t="e">
        <f ca="1">_xll.EVPRO($B$1,$H75,"CALC")</f>
        <v>#NAME?</v>
      </c>
      <c r="K75" s="25"/>
      <c r="N75" s="25" t="e">
        <f ca="1">IF(_xll.EVDES(H75,$B$1)="#NODATA","",_xll.EVDES(H75,$B$1))</f>
        <v>#NAME?</v>
      </c>
      <c r="O75" s="36">
        <v>96911.83</v>
      </c>
      <c r="P75" s="36">
        <v>100822.98</v>
      </c>
      <c r="Q75" s="36">
        <v>117163.84</v>
      </c>
      <c r="R75" s="36">
        <v>110587.55</v>
      </c>
      <c r="S75" s="36">
        <v>102044.08</v>
      </c>
      <c r="T75" s="36">
        <v>107479.52</v>
      </c>
      <c r="U75" s="36">
        <v>86703.54</v>
      </c>
      <c r="V75" s="36">
        <v>86089.7</v>
      </c>
      <c r="W75" s="36">
        <v>87934.38</v>
      </c>
      <c r="X75" s="36">
        <v>90430.13</v>
      </c>
      <c r="Y75" s="36">
        <v>78008.490000000005</v>
      </c>
      <c r="Z75" s="36">
        <v>118170.36</v>
      </c>
      <c r="AA75" s="36" t="e">
        <f ca="1">IF($I75="B1","",SUM(O75:Z75))</f>
        <v>#NAME?</v>
      </c>
      <c r="AB75" s="37" t="e">
        <f ca="1">IF(AA75=0,"",IFERROR(AA75/AA$19,""))</f>
        <v>#NAME?</v>
      </c>
      <c r="AD75" s="36">
        <v>1242154.97350971</v>
      </c>
      <c r="AE75" s="37" t="str">
        <f ca="1">IF(AD75=0,"",IFERROR(AD75/AD$19,""))</f>
        <v/>
      </c>
      <c r="AF75" s="59" t="e">
        <f ca="1">IF(AND($AA75="",AD75=""),"",$AA75-AD75)</f>
        <v>#NAME?</v>
      </c>
      <c r="AG75" s="60">
        <v>1147796.1200000001</v>
      </c>
      <c r="AH75" s="61" t="str">
        <f ca="1">IF(AG75=0,"",IFERROR(AG75/AG$19,""))</f>
        <v/>
      </c>
      <c r="AI75" s="59" t="e">
        <f ca="1">IF(AND($AA75="",AG75=""),"",$AA75-AG75)</f>
        <v>#NAME?</v>
      </c>
      <c r="AJ75" s="392">
        <f ca="1">IFERROR(AA75/AA$20,0)</f>
        <v>0</v>
      </c>
      <c r="AK75" s="393">
        <f ca="1">IFERROR(AD75/AD$20,0)</f>
        <v>0</v>
      </c>
      <c r="AL75" s="394">
        <f ca="1">IFERROR(AG75/AG$20,0)</f>
        <v>0</v>
      </c>
      <c r="AM75" s="395">
        <f ca="1">+IFERROR(ROUND(($AB75-AE75)*100,2)&amp;" pts.",0)</f>
        <v>0</v>
      </c>
      <c r="AN75" s="437">
        <f ca="1">+IFERROR(ROUND(($AB75-AH75)*100,2)&amp;" pts.",0)</f>
        <v>0</v>
      </c>
    </row>
    <row r="76" spans="1:40" ht="15.75" thickBot="1" x14ac:dyDescent="0.3">
      <c r="A76" s="6" t="s">
        <v>42</v>
      </c>
      <c r="B76" s="7"/>
      <c r="H76" s="15" t="s">
        <v>81</v>
      </c>
      <c r="I76" s="27" t="e">
        <f ca="1">_xll.EVPRO($B$1,$H76,"STYLE")</f>
        <v>#NAME?</v>
      </c>
      <c r="J76" s="27" t="e">
        <f ca="1">_xll.EVPRO($B$1,$H76,"CALC")</f>
        <v>#NAME?</v>
      </c>
      <c r="K76" s="25"/>
      <c r="N76" s="25" t="e">
        <f ca="1">IF(_xll.EVDES(H76,$B$1)="#NODATA","",_xll.EVDES(H76,$B$1))</f>
        <v>#NAME?</v>
      </c>
      <c r="O76" s="62">
        <v>-96911.83</v>
      </c>
      <c r="P76" s="62">
        <v>-100822.98</v>
      </c>
      <c r="Q76" s="62">
        <v>-117163.84</v>
      </c>
      <c r="R76" s="62">
        <v>-110587.55</v>
      </c>
      <c r="S76" s="62">
        <v>-102044.08</v>
      </c>
      <c r="T76" s="62">
        <v>-107479.52</v>
      </c>
      <c r="U76" s="62">
        <v>-86703.54</v>
      </c>
      <c r="V76" s="62">
        <v>-86089.7</v>
      </c>
      <c r="W76" s="62">
        <v>-87934.38</v>
      </c>
      <c r="X76" s="62">
        <v>-90430.13</v>
      </c>
      <c r="Y76" s="62">
        <v>-78008.490000000005</v>
      </c>
      <c r="Z76" s="62">
        <v>-118170.36</v>
      </c>
      <c r="AA76" s="62" t="e">
        <f ca="1">IF($I76="B1","",SUM(O76:Z76))</f>
        <v>#NAME?</v>
      </c>
      <c r="AB76" s="63" t="e">
        <f ca="1">IF(AA76=0,"",IFERROR(AA76/AA$19,""))</f>
        <v>#NAME?</v>
      </c>
      <c r="AD76" s="62">
        <v>-1242154.97350971</v>
      </c>
      <c r="AE76" s="63" t="str">
        <f ca="1">IF(AD76=0,"",IFERROR(AD76/AD$19,""))</f>
        <v/>
      </c>
      <c r="AF76" s="64" t="e">
        <f ca="1">IF(AND($AA76="",AD76=""),"",$AA76-AD76)</f>
        <v>#NAME?</v>
      </c>
      <c r="AG76" s="62">
        <v>-1147796.1200000001</v>
      </c>
      <c r="AH76" s="63" t="str">
        <f ca="1">IF(AG76=0,"",IFERROR(AG76/AG$19,""))</f>
        <v/>
      </c>
      <c r="AI76" s="64" t="e">
        <f ca="1">IF(AND($AA76="",AG76=""),"",$AA76-AG76)</f>
        <v>#NAME?</v>
      </c>
      <c r="AJ76" s="430">
        <f ca="1">IFERROR(AA76/AA$20,0)</f>
        <v>0</v>
      </c>
      <c r="AK76" s="431">
        <f ca="1">IFERROR(AD76/AD$20,0)</f>
        <v>0</v>
      </c>
      <c r="AL76" s="432">
        <f ca="1">IFERROR(AG76/AG$20,0)</f>
        <v>0</v>
      </c>
      <c r="AM76" s="433">
        <f ca="1">+IFERROR(ROUND(($AB76-AE76)*100,2)&amp;" pts.",0)</f>
        <v>0</v>
      </c>
      <c r="AN76" s="438">
        <f ca="1">+IFERROR(ROUND(($AB76-AH76)*100,2)&amp;" pts.",0)</f>
        <v>0</v>
      </c>
    </row>
    <row r="77" spans="1:40" ht="15.75" thickTop="1" x14ac:dyDescent="0.25">
      <c r="A77" s="6" t="s">
        <v>43</v>
      </c>
      <c r="B77" s="7"/>
    </row>
    <row r="78" spans="1:40" x14ac:dyDescent="0.25">
      <c r="A78" s="6" t="s">
        <v>44</v>
      </c>
      <c r="B78" s="7"/>
      <c r="N78" s="26" t="e">
        <f ca="1">N75&amp;" - Check"</f>
        <v>#NAME?</v>
      </c>
      <c r="O78" s="139">
        <f t="shared" ref="O78:AA78" si="24">SUMIF($H$33:$H$76,"600000",O$33:O$76)+SUMIF($H$33:$H$76,"700000",O$33:O$76)-SUMIF($H$33:$H$76,"TOTDEPTEXP",O$33:O$76)</f>
        <v>0</v>
      </c>
      <c r="P78" s="139">
        <f t="shared" si="24"/>
        <v>0</v>
      </c>
      <c r="Q78" s="139">
        <f t="shared" si="24"/>
        <v>0</v>
      </c>
      <c r="R78" s="139">
        <f t="shared" si="24"/>
        <v>0</v>
      </c>
      <c r="S78" s="139">
        <f t="shared" si="24"/>
        <v>0</v>
      </c>
      <c r="T78" s="139">
        <f t="shared" si="24"/>
        <v>0</v>
      </c>
      <c r="U78" s="139">
        <f t="shared" si="24"/>
        <v>0</v>
      </c>
      <c r="V78" s="139">
        <f t="shared" si="24"/>
        <v>0</v>
      </c>
      <c r="W78" s="139">
        <f t="shared" si="24"/>
        <v>0</v>
      </c>
      <c r="X78" s="139">
        <f t="shared" si="24"/>
        <v>0</v>
      </c>
      <c r="Y78" s="139">
        <f t="shared" si="24"/>
        <v>0</v>
      </c>
      <c r="Z78" s="139">
        <f t="shared" si="24"/>
        <v>0</v>
      </c>
      <c r="AA78" s="139" t="e">
        <f t="shared" ca="1" si="24"/>
        <v>#NAME?</v>
      </c>
      <c r="AB78" s="17"/>
      <c r="AD78" s="139">
        <f>SUMIF($H$33:$H$76,"600000",AD$33:AD$76)+SUMIF($H$33:$H$76,"700000",AD$33:AD$76)-SUMIF($H$33:$H$76,"TOTDEPTEXP",AD$33:AD$76)</f>
        <v>-5.1222741603851318E-9</v>
      </c>
      <c r="AE78" s="17"/>
      <c r="AF78" s="21"/>
      <c r="AG78" s="139">
        <f>SUMIF($H$33:$H$76,"600000",AG$33:AG$76)+SUMIF($H$33:$H$76,"700000",AG$33:AG$76)-SUMIF($H$33:$H$76,"TOTDEPTEXP",AG$33:AG$76)</f>
        <v>0</v>
      </c>
      <c r="AH78" s="17"/>
      <c r="AI78" s="21"/>
    </row>
    <row r="79" spans="1:40" x14ac:dyDescent="0.25">
      <c r="A79" s="6" t="s">
        <v>45</v>
      </c>
      <c r="B79" s="7"/>
      <c r="N79" s="26" t="e">
        <f ca="1">N76&amp;" - Check"</f>
        <v>#NAME?</v>
      </c>
      <c r="O79" s="139">
        <f t="shared" ref="O79:AA79" si="25">SUMIF($H$33:$H$76,"TOTDEPTEXP",O$33:O$76)+SUMIF($H$33:$H$76,"TOTDEPTPL",O$33:O$76)</f>
        <v>0</v>
      </c>
      <c r="P79" s="139">
        <f t="shared" si="25"/>
        <v>0</v>
      </c>
      <c r="Q79" s="139">
        <f t="shared" si="25"/>
        <v>0</v>
      </c>
      <c r="R79" s="139">
        <f t="shared" si="25"/>
        <v>0</v>
      </c>
      <c r="S79" s="139">
        <f t="shared" si="25"/>
        <v>0</v>
      </c>
      <c r="T79" s="139">
        <f t="shared" si="25"/>
        <v>0</v>
      </c>
      <c r="U79" s="139">
        <f t="shared" si="25"/>
        <v>0</v>
      </c>
      <c r="V79" s="139">
        <f t="shared" si="25"/>
        <v>0</v>
      </c>
      <c r="W79" s="139">
        <f t="shared" si="25"/>
        <v>0</v>
      </c>
      <c r="X79" s="139">
        <f t="shared" si="25"/>
        <v>0</v>
      </c>
      <c r="Y79" s="139">
        <f t="shared" si="25"/>
        <v>0</v>
      </c>
      <c r="Z79" s="139">
        <f t="shared" si="25"/>
        <v>0</v>
      </c>
      <c r="AA79" s="139" t="e">
        <f t="shared" ca="1" si="25"/>
        <v>#NAME?</v>
      </c>
      <c r="AB79" s="17"/>
      <c r="AD79" s="139">
        <f>SUMIF($H$33:$H$76,"TOTDEPTEXP",AD$33:AD$76)+SUMIF($H$33:$H$76,"TOTDEPTPL",AD$33:AD$76)</f>
        <v>0</v>
      </c>
      <c r="AE79" s="17"/>
      <c r="AF79" s="21"/>
      <c r="AG79" s="139">
        <f>SUMIF($H$33:$H$76,"TOTDEPTEXP",AG$33:AG$76)+SUMIF($H$33:$H$76,"TOTDEPTPL",AG$33:AG$76)</f>
        <v>0</v>
      </c>
      <c r="AH79" s="17"/>
      <c r="AI79" s="21"/>
    </row>
    <row r="80" spans="1:40" x14ac:dyDescent="0.25">
      <c r="A80" s="6" t="s">
        <v>46</v>
      </c>
      <c r="B80" s="7"/>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row r="107" spans="8:10" x14ac:dyDescent="0.25">
      <c r="H107" s="11"/>
      <c r="J107" s="1"/>
    </row>
    <row r="108" spans="8:10" x14ac:dyDescent="0.25">
      <c r="H108" s="11"/>
      <c r="J108" s="1"/>
    </row>
  </sheetData>
  <mergeCells count="2">
    <mergeCell ref="AD31:AE31"/>
    <mergeCell ref="AG31:AH31"/>
  </mergeCells>
  <dataValidations disablePrompts="1" count="2">
    <dataValidation type="list" allowBlank="1" sqref="B29" xr:uid="{00000000-0002-0000-5200-000000000000}">
      <formula1>"SELF,ALL,BAS,DEP,BASMEMBERS,MEMBERS,NOEXPAND,GDEP"</formula1>
    </dataValidation>
    <dataValidation type="list" allowBlank="1" sqref="B28" xr:uid="{00000000-0002-0000-5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91">
    <pageSetUpPr fitToPage="1"/>
  </sheetPr>
  <dimension ref="A1:AO108"/>
  <sheetViews>
    <sheetView topLeftCell="K25" zoomScale="85" zoomScaleNormal="85" workbookViewId="0">
      <pane xSplit="4" ySplit="8" topLeftCell="O58" activePane="bottomRight" state="frozen"/>
      <selection activeCell="R47" sqref="R47"/>
      <selection pane="topRight" activeCell="R47" sqref="R47"/>
      <selection pane="bottomLeft" activeCell="R47" sqref="R47"/>
      <selection pane="bottomRight" activeCell="Y63" sqref="Y6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512</v>
      </c>
      <c r="C6" s="1" t="s">
        <v>1027</v>
      </c>
      <c r="E6" s="49" t="s">
        <v>1753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1754</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1755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1756</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1757</v>
      </c>
    </row>
    <row r="23" spans="1:40" hidden="1" outlineLevel="1" x14ac:dyDescent="0.25">
      <c r="A23" s="6" t="s">
        <v>47</v>
      </c>
      <c r="B23" s="16" t="s">
        <v>1758</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1759</v>
      </c>
    </row>
    <row r="28" spans="1:40" ht="15.75" x14ac:dyDescent="0.25">
      <c r="A28" s="6" t="s">
        <v>12</v>
      </c>
      <c r="B28" s="7" t="s">
        <v>22</v>
      </c>
      <c r="N28" s="71" t="s">
        <v>1005</v>
      </c>
    </row>
    <row r="29" spans="1:40" ht="15" customHeight="1" x14ac:dyDescent="0.25">
      <c r="A29" s="6" t="s">
        <v>13</v>
      </c>
      <c r="B29" s="7" t="s">
        <v>735</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ht="15" customHeight="1"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73</v>
      </c>
      <c r="I33" s="11" t="s">
        <v>1011</v>
      </c>
      <c r="J33" s="11" t="s">
        <v>78</v>
      </c>
      <c r="N33" s="40" t="s">
        <v>1079</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1011</v>
      </c>
      <c r="J34" s="11" t="s">
        <v>78</v>
      </c>
      <c r="N34" s="8" t="s">
        <v>1080</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855</v>
      </c>
      <c r="I35" s="161" t="s">
        <v>1012</v>
      </c>
      <c r="J35" s="161" t="s">
        <v>78</v>
      </c>
      <c r="K35" s="68" t="str">
        <f t="shared" ref="K35:K47" si="0">IF(AND(I35&gt;="T3"),"&gt;","")</f>
        <v>&gt;</v>
      </c>
      <c r="L35" s="162"/>
      <c r="M35" s="162"/>
      <c r="N35" s="162" t="s">
        <v>1081</v>
      </c>
      <c r="O35" s="38">
        <v>17080.18</v>
      </c>
      <c r="P35" s="38">
        <v>14848.3</v>
      </c>
      <c r="Q35" s="38">
        <v>22978.12</v>
      </c>
      <c r="R35" s="38">
        <v>24015.97</v>
      </c>
      <c r="S35" s="38">
        <v>22452.29</v>
      </c>
      <c r="T35" s="38">
        <v>27163.919999999998</v>
      </c>
      <c r="U35" s="38">
        <v>23812.639999999999</v>
      </c>
      <c r="V35" s="38">
        <v>24142.09</v>
      </c>
      <c r="W35" s="38">
        <v>23249.95</v>
      </c>
      <c r="X35" s="38">
        <v>24574.78</v>
      </c>
      <c r="Y35" s="38">
        <v>22343.05</v>
      </c>
      <c r="Z35" s="38">
        <v>26087.78</v>
      </c>
      <c r="AA35" s="38">
        <f t="shared" ref="AA35:AA47" si="1">IF($I35="B1","",SUM(O35:Z35))</f>
        <v>272749.07</v>
      </c>
      <c r="AB35" s="39">
        <f t="shared" ref="AB35:AB47" si="2">IF(AA35=0,"",IFERROR(AA35/AA$19,""))</f>
        <v>2.107764324230494E-2</v>
      </c>
      <c r="AD35" s="21">
        <v>305391.171226595</v>
      </c>
      <c r="AE35" s="17">
        <f t="shared" ref="AE35:AE47" si="3">IF(AD35=0,"",IFERROR(AD35/AD$19,""))</f>
        <v>1.8404817963135582E-2</v>
      </c>
      <c r="AF35" s="50">
        <f t="shared" ref="AF35:AF47" si="4">IF(AND($AA35="",AD35=""),"",$AA35-AD35)</f>
        <v>-32642.101226594998</v>
      </c>
      <c r="AG35" s="21">
        <v>207251.9</v>
      </c>
      <c r="AH35" s="17">
        <f t="shared" ref="AH35:AH47" si="5">IF(AG35=0,"",IFERROR(AG35/AG$19,""))</f>
        <v>1.4067438311765242E-2</v>
      </c>
      <c r="AI35" s="50">
        <f t="shared" ref="AI35:AI47" si="6">IF(AND($AA35="",AG35=""),"",$AA35-AG35)</f>
        <v>65497.170000000013</v>
      </c>
      <c r="AJ35" s="399">
        <f t="shared" ref="AJ35:AJ47" si="7">IFERROR(AA35/AA$20,0)</f>
        <v>5.6610433789954335</v>
      </c>
      <c r="AK35" s="400">
        <f t="shared" ref="AK35:AK47" si="8">IFERROR(AD35/AD$20,0)</f>
        <v>6.3385465177790579</v>
      </c>
      <c r="AL35" s="401">
        <f t="shared" ref="AL35:AL47" si="9">IFERROR(AG35/AG$20,0)</f>
        <v>4.3016168534661681</v>
      </c>
      <c r="AM35" s="402" t="str">
        <f t="shared" ref="AM35:AM47" si="10">+IFERROR(ROUND(($AB35-AE35)*100,2)&amp;" pts.",0)</f>
        <v>0.27 pts.</v>
      </c>
      <c r="AN35" s="403" t="str">
        <f t="shared" ref="AN35:AN47" si="11">+IFERROR(ROUND(($AB35-AH35)*100,2)&amp;" pts.",0)</f>
        <v>0.7 pts.</v>
      </c>
    </row>
    <row r="36" spans="1:40" hidden="1" x14ac:dyDescent="0.25">
      <c r="H36" s="15"/>
      <c r="I36" s="161"/>
      <c r="J36" s="161"/>
      <c r="K36" s="68" t="str">
        <f t="shared" si="0"/>
        <v/>
      </c>
      <c r="L36" s="162"/>
      <c r="M36" s="162"/>
      <c r="N36" s="162"/>
      <c r="O36" s="38"/>
      <c r="P36" s="38"/>
      <c r="Q36" s="38"/>
      <c r="R36" s="38"/>
      <c r="S36" s="38"/>
      <c r="T36" s="38"/>
      <c r="U36" s="38"/>
      <c r="V36" s="38"/>
      <c r="W36" s="38"/>
      <c r="X36" s="38"/>
      <c r="Y36" s="38"/>
      <c r="Z36" s="38"/>
      <c r="AA36" s="38">
        <f t="shared" si="1"/>
        <v>0</v>
      </c>
      <c r="AB36" s="39"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108</v>
      </c>
      <c r="C37" s="26" t="s">
        <v>101</v>
      </c>
      <c r="D37" s="1" t="s">
        <v>106</v>
      </c>
      <c r="F37" s="1" t="s">
        <v>98</v>
      </c>
      <c r="H37" s="15" t="s">
        <v>75</v>
      </c>
      <c r="I37" s="28" t="s">
        <v>1011</v>
      </c>
      <c r="J37" s="28" t="s">
        <v>78</v>
      </c>
      <c r="K37" s="69" t="str">
        <f t="shared" si="0"/>
        <v/>
      </c>
      <c r="L37" s="25"/>
      <c r="M37" s="162"/>
      <c r="N37" s="25" t="s">
        <v>1082</v>
      </c>
      <c r="O37" s="38"/>
      <c r="P37" s="38"/>
      <c r="Q37" s="38"/>
      <c r="R37" s="38"/>
      <c r="S37" s="38"/>
      <c r="T37" s="38"/>
      <c r="U37" s="38"/>
      <c r="V37" s="38"/>
      <c r="W37" s="38"/>
      <c r="X37" s="38"/>
      <c r="Y37" s="38"/>
      <c r="Z37" s="38"/>
      <c r="AA37" s="38" t="str">
        <f t="shared" si="1"/>
        <v/>
      </c>
      <c r="AB37" s="39" t="str">
        <f t="shared" si="2"/>
        <v/>
      </c>
      <c r="AD37" s="21"/>
      <c r="AE37" s="17" t="str">
        <f t="shared" si="3"/>
        <v/>
      </c>
      <c r="AF37" s="50" t="str">
        <f t="shared" si="4"/>
        <v/>
      </c>
      <c r="AG37" s="21"/>
      <c r="AH37" s="17" t="str">
        <f t="shared" si="5"/>
        <v/>
      </c>
      <c r="AI37" s="50" t="str">
        <f t="shared" si="6"/>
        <v/>
      </c>
      <c r="AJ37" s="399">
        <f t="shared" si="7"/>
        <v>0</v>
      </c>
      <c r="AK37" s="400">
        <f t="shared" si="8"/>
        <v>0</v>
      </c>
      <c r="AL37" s="401">
        <f t="shared" si="9"/>
        <v>0</v>
      </c>
      <c r="AM37" s="402">
        <f t="shared" si="10"/>
        <v>0</v>
      </c>
      <c r="AN37" s="403">
        <f t="shared" si="11"/>
        <v>0</v>
      </c>
    </row>
    <row r="38" spans="1:40" x14ac:dyDescent="0.25">
      <c r="A38" s="1" t="s">
        <v>100</v>
      </c>
      <c r="C38" s="8" t="s">
        <v>101</v>
      </c>
      <c r="D38" s="1" t="s">
        <v>106</v>
      </c>
      <c r="F38" s="1" t="s">
        <v>98</v>
      </c>
      <c r="H38" s="15" t="s">
        <v>951</v>
      </c>
      <c r="I38" s="161" t="s">
        <v>1012</v>
      </c>
      <c r="J38" s="161" t="s">
        <v>78</v>
      </c>
      <c r="K38" s="68" t="str">
        <f t="shared" si="0"/>
        <v>&gt;</v>
      </c>
      <c r="L38" s="162"/>
      <c r="M38" s="162"/>
      <c r="N38" s="162" t="s">
        <v>1760</v>
      </c>
      <c r="O38" s="47">
        <v>2923.9</v>
      </c>
      <c r="P38" s="47">
        <v>3362.6</v>
      </c>
      <c r="Q38" s="47">
        <v>3951.4</v>
      </c>
      <c r="R38" s="47">
        <v>1312.74</v>
      </c>
      <c r="S38" s="47"/>
      <c r="T38" s="47">
        <v>423</v>
      </c>
      <c r="U38" s="47"/>
      <c r="V38" s="47"/>
      <c r="W38" s="47"/>
      <c r="X38" s="47"/>
      <c r="Y38" s="47"/>
      <c r="Z38" s="47">
        <v>2317.6999999999998</v>
      </c>
      <c r="AA38" s="47">
        <f t="shared" si="1"/>
        <v>14291.34</v>
      </c>
      <c r="AB38" s="48">
        <f t="shared" si="2"/>
        <v>1.1044135401615935E-3</v>
      </c>
      <c r="AD38" s="30">
        <v>9771.4285714285998</v>
      </c>
      <c r="AE38" s="31">
        <f t="shared" si="3"/>
        <v>5.8888855029632194E-4</v>
      </c>
      <c r="AF38" s="51">
        <f t="shared" si="4"/>
        <v>4519.9114285714004</v>
      </c>
      <c r="AG38" s="30">
        <v>31642.6</v>
      </c>
      <c r="AH38" s="31">
        <f t="shared" si="5"/>
        <v>2.1477743920507498E-3</v>
      </c>
      <c r="AI38" s="51">
        <f t="shared" si="6"/>
        <v>-17351.259999999998</v>
      </c>
      <c r="AJ38" s="409">
        <f t="shared" si="7"/>
        <v>0.29662391033623908</v>
      </c>
      <c r="AK38" s="410">
        <f t="shared" si="8"/>
        <v>0.20281088774239517</v>
      </c>
      <c r="AL38" s="411">
        <f t="shared" si="9"/>
        <v>0.65675799086757991</v>
      </c>
      <c r="AM38" s="412" t="str">
        <f t="shared" si="10"/>
        <v>0.05 pts.</v>
      </c>
      <c r="AN38" s="413" t="str">
        <f t="shared" si="11"/>
        <v>-0.1 pts.</v>
      </c>
    </row>
    <row r="39" spans="1:40" x14ac:dyDescent="0.25">
      <c r="A39" s="1" t="s">
        <v>109</v>
      </c>
      <c r="C39" s="25" t="s">
        <v>101</v>
      </c>
      <c r="D39" s="1" t="s">
        <v>106</v>
      </c>
      <c r="F39" s="1" t="s">
        <v>98</v>
      </c>
      <c r="H39" s="15" t="s">
        <v>848</v>
      </c>
      <c r="I39" s="479" t="s">
        <v>1010</v>
      </c>
      <c r="J39" s="479" t="s">
        <v>78</v>
      </c>
      <c r="K39" s="480" t="str">
        <f t="shared" si="0"/>
        <v/>
      </c>
      <c r="L39" s="170"/>
      <c r="M39" s="170"/>
      <c r="N39" s="170" t="s">
        <v>1085</v>
      </c>
      <c r="O39" s="134">
        <v>20004.080000000002</v>
      </c>
      <c r="P39" s="134">
        <v>18210.900000000001</v>
      </c>
      <c r="Q39" s="134">
        <v>26929.52</v>
      </c>
      <c r="R39" s="134">
        <v>25328.71</v>
      </c>
      <c r="S39" s="134">
        <v>22452.29</v>
      </c>
      <c r="T39" s="134">
        <v>27586.92</v>
      </c>
      <c r="U39" s="134">
        <v>23812.639999999999</v>
      </c>
      <c r="V39" s="134">
        <v>24142.09</v>
      </c>
      <c r="W39" s="134">
        <v>23249.95</v>
      </c>
      <c r="X39" s="134">
        <v>24574.78</v>
      </c>
      <c r="Y39" s="134">
        <v>22343.05</v>
      </c>
      <c r="Z39" s="134">
        <v>28405.48</v>
      </c>
      <c r="AA39" s="134">
        <f t="shared" si="1"/>
        <v>287040.40999999997</v>
      </c>
      <c r="AB39" s="135">
        <f t="shared" si="2"/>
        <v>2.2182056782466531E-2</v>
      </c>
      <c r="AC39" s="137"/>
      <c r="AD39" s="134">
        <v>315162.599798023</v>
      </c>
      <c r="AE39" s="135">
        <f t="shared" si="3"/>
        <v>1.8993706513431869E-2</v>
      </c>
      <c r="AF39" s="136">
        <f t="shared" si="4"/>
        <v>-28122.189798023028</v>
      </c>
      <c r="AG39" s="134">
        <v>238894.5</v>
      </c>
      <c r="AH39" s="135">
        <f t="shared" si="5"/>
        <v>1.6215212703815991E-2</v>
      </c>
      <c r="AI39" s="136">
        <f t="shared" si="6"/>
        <v>48145.909999999974</v>
      </c>
      <c r="AJ39" s="360">
        <f t="shared" si="7"/>
        <v>5.9576672893316722</v>
      </c>
      <c r="AK39" s="361">
        <f t="shared" si="8"/>
        <v>6.5413574055214401</v>
      </c>
      <c r="AL39" s="363">
        <f t="shared" si="9"/>
        <v>4.9583748443337488</v>
      </c>
      <c r="AM39" s="405" t="str">
        <f t="shared" si="10"/>
        <v>0.32 pts.</v>
      </c>
      <c r="AN39" s="406" t="str">
        <f t="shared" si="11"/>
        <v>0.6 pts.</v>
      </c>
    </row>
    <row r="40" spans="1:40" x14ac:dyDescent="0.25">
      <c r="A40" s="1" t="s">
        <v>109</v>
      </c>
      <c r="C40" s="151" t="s">
        <v>101</v>
      </c>
      <c r="D40" s="1" t="s">
        <v>107</v>
      </c>
      <c r="F40" s="1" t="s">
        <v>99</v>
      </c>
      <c r="H40" s="15" t="s">
        <v>865</v>
      </c>
      <c r="I40" s="161" t="s">
        <v>1012</v>
      </c>
      <c r="J40" s="161" t="s">
        <v>78</v>
      </c>
      <c r="K40" s="68" t="str">
        <f t="shared" si="0"/>
        <v>&gt;</v>
      </c>
      <c r="L40" s="162"/>
      <c r="M40" s="162"/>
      <c r="N40" s="162" t="s">
        <v>1086</v>
      </c>
      <c r="O40" s="47">
        <v>4550</v>
      </c>
      <c r="P40" s="47">
        <v>8050</v>
      </c>
      <c r="Q40" s="47">
        <v>8050</v>
      </c>
      <c r="R40" s="47">
        <v>7300</v>
      </c>
      <c r="S40" s="47">
        <v>7300</v>
      </c>
      <c r="T40" s="47">
        <v>6223</v>
      </c>
      <c r="U40" s="47">
        <v>4900</v>
      </c>
      <c r="V40" s="47">
        <v>7000</v>
      </c>
      <c r="W40" s="47">
        <v>10500</v>
      </c>
      <c r="X40" s="47">
        <v>7000</v>
      </c>
      <c r="Y40" s="47">
        <v>7000</v>
      </c>
      <c r="Z40" s="47">
        <v>9500</v>
      </c>
      <c r="AA40" s="47">
        <f t="shared" si="1"/>
        <v>87373</v>
      </c>
      <c r="AB40" s="48">
        <f t="shared" si="2"/>
        <v>6.7520557375682693E-3</v>
      </c>
      <c r="AD40" s="47">
        <v>86350</v>
      </c>
      <c r="AE40" s="48">
        <f t="shared" si="3"/>
        <v>5.2040012313831988E-3</v>
      </c>
      <c r="AF40" s="150">
        <f t="shared" si="4"/>
        <v>1023</v>
      </c>
      <c r="AG40" s="47">
        <v>47525</v>
      </c>
      <c r="AH40" s="48">
        <f t="shared" si="5"/>
        <v>3.2258088141370145E-3</v>
      </c>
      <c r="AI40" s="150">
        <f t="shared" si="6"/>
        <v>39848</v>
      </c>
      <c r="AJ40" s="420">
        <f t="shared" si="7"/>
        <v>1.8134703196347033</v>
      </c>
      <c r="AK40" s="421">
        <f t="shared" si="8"/>
        <v>1.7922374429223744</v>
      </c>
      <c r="AL40" s="422">
        <f t="shared" si="9"/>
        <v>0.98640514736405149</v>
      </c>
      <c r="AM40" s="423" t="str">
        <f t="shared" si="10"/>
        <v>0.15 pts.</v>
      </c>
      <c r="AN40" s="424" t="str">
        <f t="shared" si="11"/>
        <v>0.35 pts.</v>
      </c>
    </row>
    <row r="41" spans="1:40" x14ac:dyDescent="0.25">
      <c r="A41" s="1" t="s">
        <v>110</v>
      </c>
      <c r="C41" s="25" t="s">
        <v>101</v>
      </c>
      <c r="D41" s="1" t="s">
        <v>106</v>
      </c>
      <c r="F41" s="1" t="s">
        <v>98</v>
      </c>
      <c r="H41" s="15" t="s">
        <v>849</v>
      </c>
      <c r="I41" s="161" t="s">
        <v>1012</v>
      </c>
      <c r="J41" s="161" t="s">
        <v>78</v>
      </c>
      <c r="K41" s="68" t="str">
        <f t="shared" si="0"/>
        <v>&gt;</v>
      </c>
      <c r="L41" s="162"/>
      <c r="M41" s="162"/>
      <c r="N41" s="162" t="s">
        <v>1087</v>
      </c>
      <c r="O41" s="47">
        <v>4810.5600000000004</v>
      </c>
      <c r="P41" s="47">
        <v>6902.16</v>
      </c>
      <c r="Q41" s="47">
        <v>5049.37</v>
      </c>
      <c r="R41" s="47">
        <v>9740.01</v>
      </c>
      <c r="S41" s="47">
        <v>736.73</v>
      </c>
      <c r="T41" s="47"/>
      <c r="U41" s="47">
        <v>1875</v>
      </c>
      <c r="V41" s="47">
        <v>1875</v>
      </c>
      <c r="W41" s="47">
        <v>1875</v>
      </c>
      <c r="X41" s="47">
        <v>2312.5</v>
      </c>
      <c r="Y41" s="47">
        <v>-3200.26</v>
      </c>
      <c r="Z41" s="47">
        <v>2368.62</v>
      </c>
      <c r="AA41" s="47">
        <f t="shared" si="1"/>
        <v>34344.69</v>
      </c>
      <c r="AB41" s="48">
        <f t="shared" si="2"/>
        <v>2.6541066596031219E-3</v>
      </c>
      <c r="AD41" s="30">
        <v>70541.626911734493</v>
      </c>
      <c r="AE41" s="31">
        <f t="shared" si="3"/>
        <v>4.2512879364498025E-3</v>
      </c>
      <c r="AF41" s="51">
        <f t="shared" si="4"/>
        <v>-36196.93691173449</v>
      </c>
      <c r="AG41" s="30">
        <v>77755.59</v>
      </c>
      <c r="AH41" s="31">
        <f t="shared" si="5"/>
        <v>5.277741558557052E-3</v>
      </c>
      <c r="AI41" s="51">
        <f t="shared" si="6"/>
        <v>-43410.899999999994</v>
      </c>
      <c r="AJ41" s="409">
        <f t="shared" si="7"/>
        <v>0.71284122042341225</v>
      </c>
      <c r="AK41" s="410">
        <f t="shared" si="8"/>
        <v>1.4641267520077728</v>
      </c>
      <c r="AL41" s="411">
        <f t="shared" si="9"/>
        <v>1.6138561643835616</v>
      </c>
      <c r="AM41" s="412" t="str">
        <f t="shared" si="10"/>
        <v>-0.16 pts.</v>
      </c>
      <c r="AN41" s="413" t="str">
        <f t="shared" si="11"/>
        <v>-0.26 pts.</v>
      </c>
    </row>
    <row r="42" spans="1:40" x14ac:dyDescent="0.25">
      <c r="A42" s="1" t="s">
        <v>110</v>
      </c>
      <c r="C42" s="29" t="s">
        <v>101</v>
      </c>
      <c r="D42" s="1" t="s">
        <v>107</v>
      </c>
      <c r="F42" s="1" t="s">
        <v>99</v>
      </c>
      <c r="H42" s="15" t="s">
        <v>850</v>
      </c>
      <c r="I42" s="479" t="s">
        <v>1010</v>
      </c>
      <c r="J42" s="479" t="s">
        <v>78</v>
      </c>
      <c r="K42" s="480" t="str">
        <f t="shared" si="0"/>
        <v/>
      </c>
      <c r="L42" s="170"/>
      <c r="M42" s="170"/>
      <c r="N42" s="170" t="s">
        <v>1088</v>
      </c>
      <c r="O42" s="134">
        <v>29364.639999999999</v>
      </c>
      <c r="P42" s="134">
        <v>33163.06</v>
      </c>
      <c r="Q42" s="134">
        <v>40028.89</v>
      </c>
      <c r="R42" s="134">
        <v>42368.72</v>
      </c>
      <c r="S42" s="134">
        <v>30489.02</v>
      </c>
      <c r="T42" s="134">
        <v>33809.919999999998</v>
      </c>
      <c r="U42" s="134">
        <v>30587.64</v>
      </c>
      <c r="V42" s="134">
        <v>33017.089999999997</v>
      </c>
      <c r="W42" s="134">
        <v>35624.949999999997</v>
      </c>
      <c r="X42" s="134">
        <v>33887.279999999999</v>
      </c>
      <c r="Y42" s="134">
        <v>26142.79</v>
      </c>
      <c r="Z42" s="134">
        <v>40274.1</v>
      </c>
      <c r="AA42" s="134">
        <f t="shared" si="1"/>
        <v>408758.09999999992</v>
      </c>
      <c r="AB42" s="135">
        <f t="shared" si="2"/>
        <v>3.1588219179637916E-2</v>
      </c>
      <c r="AC42" s="137"/>
      <c r="AD42" s="134">
        <v>472054.22670975799</v>
      </c>
      <c r="AE42" s="135">
        <f t="shared" si="3"/>
        <v>2.84489956812649E-2</v>
      </c>
      <c r="AF42" s="136">
        <f t="shared" si="4"/>
        <v>-63296.126709758071</v>
      </c>
      <c r="AG42" s="134">
        <v>364175.09</v>
      </c>
      <c r="AH42" s="135">
        <f t="shared" si="5"/>
        <v>2.471876307651006E-2</v>
      </c>
      <c r="AI42" s="136">
        <f t="shared" si="6"/>
        <v>44583.009999999893</v>
      </c>
      <c r="AJ42" s="360">
        <f t="shared" si="7"/>
        <v>8.4839788293897858</v>
      </c>
      <c r="AK42" s="361">
        <f t="shared" si="8"/>
        <v>9.7977216004515988</v>
      </c>
      <c r="AL42" s="363">
        <f t="shared" si="9"/>
        <v>7.558636156081362</v>
      </c>
      <c r="AM42" s="405" t="str">
        <f t="shared" si="10"/>
        <v>0.31 pts.</v>
      </c>
      <c r="AN42" s="406" t="str">
        <f t="shared" si="11"/>
        <v>0.69 pts.</v>
      </c>
    </row>
    <row r="43" spans="1:40" x14ac:dyDescent="0.25">
      <c r="C43" s="32"/>
      <c r="H43" s="15" t="s">
        <v>851</v>
      </c>
      <c r="I43" s="161" t="s">
        <v>1012</v>
      </c>
      <c r="J43" s="161" t="s">
        <v>78</v>
      </c>
      <c r="K43" s="68" t="str">
        <f t="shared" si="0"/>
        <v>&gt;</v>
      </c>
      <c r="L43" s="162"/>
      <c r="M43" s="162"/>
      <c r="N43" s="162" t="s">
        <v>561</v>
      </c>
      <c r="O43" s="47">
        <v>2141.1799999999998</v>
      </c>
      <c r="P43" s="47">
        <v>2788.63</v>
      </c>
      <c r="Q43" s="47">
        <v>2330.89</v>
      </c>
      <c r="R43" s="47">
        <v>3155.43</v>
      </c>
      <c r="S43" s="47">
        <v>1831.06</v>
      </c>
      <c r="T43" s="47">
        <v>2278.54</v>
      </c>
      <c r="U43" s="47">
        <v>1912.13</v>
      </c>
      <c r="V43" s="47">
        <v>1818.82</v>
      </c>
      <c r="W43" s="47">
        <v>1436.24</v>
      </c>
      <c r="X43" s="47">
        <v>1360.45</v>
      </c>
      <c r="Y43" s="47">
        <v>1159.43</v>
      </c>
      <c r="Z43" s="47">
        <v>2532.86</v>
      </c>
      <c r="AA43" s="47">
        <f t="shared" si="1"/>
        <v>24745.660000000003</v>
      </c>
      <c r="AB43" s="48">
        <f t="shared" si="2"/>
        <v>1.9123078706569951E-3</v>
      </c>
      <c r="AD43" s="47">
        <v>33719.097194747803</v>
      </c>
      <c r="AE43" s="48">
        <f t="shared" si="3"/>
        <v>2.032127658628805E-3</v>
      </c>
      <c r="AF43" s="150">
        <f t="shared" si="4"/>
        <v>-8973.4371947477994</v>
      </c>
      <c r="AG43" s="47">
        <v>24743.43</v>
      </c>
      <c r="AH43" s="48">
        <f t="shared" si="5"/>
        <v>1.6794860512568592E-3</v>
      </c>
      <c r="AI43" s="150">
        <f t="shared" si="6"/>
        <v>2.2300000000032014</v>
      </c>
      <c r="AJ43" s="420">
        <f t="shared" si="7"/>
        <v>0.51360855126608562</v>
      </c>
      <c r="AK43" s="421">
        <f t="shared" si="8"/>
        <v>0.69985672882415528</v>
      </c>
      <c r="AL43" s="422">
        <f t="shared" si="9"/>
        <v>0.51356226650062264</v>
      </c>
      <c r="AM43" s="423" t="str">
        <f t="shared" si="10"/>
        <v>-0.01 pts.</v>
      </c>
      <c r="AN43" s="424" t="str">
        <f t="shared" si="11"/>
        <v>0.02 pts.</v>
      </c>
    </row>
    <row r="44" spans="1:40" x14ac:dyDescent="0.25">
      <c r="H44" s="15" t="s">
        <v>852</v>
      </c>
      <c r="I44" s="161" t="s">
        <v>1012</v>
      </c>
      <c r="J44" s="161" t="s">
        <v>78</v>
      </c>
      <c r="K44" s="68" t="str">
        <f t="shared" si="0"/>
        <v>&gt;</v>
      </c>
      <c r="L44" s="162"/>
      <c r="M44" s="162"/>
      <c r="N44" s="162" t="s">
        <v>560</v>
      </c>
      <c r="O44" s="47">
        <v>3247.48</v>
      </c>
      <c r="P44" s="47">
        <v>1825.64</v>
      </c>
      <c r="Q44" s="47">
        <v>2361.35</v>
      </c>
      <c r="R44" s="47">
        <v>2329.52</v>
      </c>
      <c r="S44" s="47">
        <v>3723.26</v>
      </c>
      <c r="T44" s="47">
        <v>3370.95</v>
      </c>
      <c r="U44" s="47">
        <v>1929.68</v>
      </c>
      <c r="V44" s="47">
        <v>1182.0999999999999</v>
      </c>
      <c r="W44" s="47">
        <v>1516.69</v>
      </c>
      <c r="X44" s="47">
        <v>2564.89</v>
      </c>
      <c r="Y44" s="47">
        <v>1733.28</v>
      </c>
      <c r="Z44" s="47">
        <v>4113.21</v>
      </c>
      <c r="AA44" s="47">
        <f t="shared" si="1"/>
        <v>29898.049999999996</v>
      </c>
      <c r="AB44" s="48">
        <f t="shared" si="2"/>
        <v>2.3104769212983754E-3</v>
      </c>
      <c r="AD44" s="30">
        <v>35406.601104638197</v>
      </c>
      <c r="AE44" s="31">
        <f t="shared" si="3"/>
        <v>2.1338273971931777E-3</v>
      </c>
      <c r="AF44" s="51">
        <f t="shared" si="4"/>
        <v>-5508.5511046382017</v>
      </c>
      <c r="AG44" s="30">
        <v>23183.73</v>
      </c>
      <c r="AH44" s="31">
        <f t="shared" si="5"/>
        <v>1.5736197912377219E-3</v>
      </c>
      <c r="AI44" s="51">
        <f t="shared" si="6"/>
        <v>6714.3199999999961</v>
      </c>
      <c r="AJ44" s="409">
        <f t="shared" si="7"/>
        <v>0.62054898298048977</v>
      </c>
      <c r="AK44" s="410">
        <f t="shared" si="8"/>
        <v>0.73488171657613532</v>
      </c>
      <c r="AL44" s="411">
        <f t="shared" si="9"/>
        <v>0.4811899128268991</v>
      </c>
      <c r="AM44" s="412" t="str">
        <f t="shared" si="10"/>
        <v>0.02 pts.</v>
      </c>
      <c r="AN44" s="413" t="str">
        <f t="shared" si="11"/>
        <v>0.07 pts.</v>
      </c>
    </row>
    <row r="45" spans="1:40" x14ac:dyDescent="0.25">
      <c r="A45" s="4" t="s">
        <v>988</v>
      </c>
      <c r="B45" s="1" t="s">
        <v>739</v>
      </c>
      <c r="H45" s="15" t="s">
        <v>853</v>
      </c>
      <c r="I45" s="161" t="s">
        <v>1012</v>
      </c>
      <c r="J45" s="161" t="s">
        <v>78</v>
      </c>
      <c r="K45" s="68" t="str">
        <f t="shared" si="0"/>
        <v>&gt;</v>
      </c>
      <c r="L45" s="162"/>
      <c r="M45" s="162"/>
      <c r="N45" s="162" t="s">
        <v>562</v>
      </c>
      <c r="O45" s="47">
        <v>4726.22</v>
      </c>
      <c r="P45" s="47">
        <v>4898.2299999999996</v>
      </c>
      <c r="Q45" s="47">
        <v>6207.55</v>
      </c>
      <c r="R45" s="47">
        <v>5221.99</v>
      </c>
      <c r="S45" s="47">
        <v>5331.93</v>
      </c>
      <c r="T45" s="47">
        <v>5742.77</v>
      </c>
      <c r="U45" s="47">
        <v>6027.88</v>
      </c>
      <c r="V45" s="47">
        <v>6059.77</v>
      </c>
      <c r="W45" s="47">
        <v>1473.28</v>
      </c>
      <c r="X45" s="47">
        <v>5159.47</v>
      </c>
      <c r="Y45" s="47">
        <v>5088.2299999999996</v>
      </c>
      <c r="Z45" s="47">
        <v>5204.34</v>
      </c>
      <c r="AA45" s="47">
        <f t="shared" si="1"/>
        <v>61141.659999999989</v>
      </c>
      <c r="AB45" s="48">
        <f t="shared" si="2"/>
        <v>4.7249367219558474E-3</v>
      </c>
      <c r="AD45" s="30">
        <v>35744.251100560599</v>
      </c>
      <c r="AE45" s="31">
        <f t="shared" si="3"/>
        <v>2.1541763374891441E-3</v>
      </c>
      <c r="AF45" s="51">
        <f t="shared" si="4"/>
        <v>25397.40889943939</v>
      </c>
      <c r="AG45" s="30">
        <v>27824.01</v>
      </c>
      <c r="AH45" s="31">
        <f t="shared" si="5"/>
        <v>1.888583623411603E-3</v>
      </c>
      <c r="AI45" s="51">
        <f t="shared" si="6"/>
        <v>33317.649999999994</v>
      </c>
      <c r="AJ45" s="409">
        <f t="shared" si="7"/>
        <v>1.2690257368202571</v>
      </c>
      <c r="AK45" s="410">
        <f t="shared" si="8"/>
        <v>0.74188981113658359</v>
      </c>
      <c r="AL45" s="411">
        <f t="shared" si="9"/>
        <v>0.57750124533001246</v>
      </c>
      <c r="AM45" s="412" t="str">
        <f t="shared" si="10"/>
        <v>0.26 pts.</v>
      </c>
      <c r="AN45" s="413" t="str">
        <f t="shared" si="11"/>
        <v>0.28 pts.</v>
      </c>
    </row>
    <row r="46" spans="1:40" x14ac:dyDescent="0.25">
      <c r="H46" s="15" t="s">
        <v>854</v>
      </c>
      <c r="I46" s="479" t="s">
        <v>1010</v>
      </c>
      <c r="J46" s="479" t="s">
        <v>78</v>
      </c>
      <c r="K46" s="480" t="str">
        <f t="shared" si="0"/>
        <v/>
      </c>
      <c r="L46" s="170"/>
      <c r="M46" s="170"/>
      <c r="N46" s="170" t="s">
        <v>1089</v>
      </c>
      <c r="O46" s="36">
        <v>10114.879999999999</v>
      </c>
      <c r="P46" s="36">
        <v>9512.5</v>
      </c>
      <c r="Q46" s="36">
        <v>10899.79</v>
      </c>
      <c r="R46" s="36">
        <v>10706.94</v>
      </c>
      <c r="S46" s="36">
        <v>10886.25</v>
      </c>
      <c r="T46" s="36">
        <v>11392.26</v>
      </c>
      <c r="U46" s="36">
        <v>9869.69</v>
      </c>
      <c r="V46" s="36">
        <v>9060.69</v>
      </c>
      <c r="W46" s="36">
        <v>4426.21</v>
      </c>
      <c r="X46" s="36">
        <v>9084.81</v>
      </c>
      <c r="Y46" s="36">
        <v>7980.94</v>
      </c>
      <c r="Z46" s="36">
        <v>11850.41</v>
      </c>
      <c r="AA46" s="36">
        <f t="shared" si="1"/>
        <v>115785.37000000001</v>
      </c>
      <c r="AB46" s="37">
        <f t="shared" si="2"/>
        <v>8.9477215139112196E-3</v>
      </c>
      <c r="AC46" s="35"/>
      <c r="AD46" s="36">
        <v>104869.949399947</v>
      </c>
      <c r="AE46" s="37">
        <f t="shared" si="3"/>
        <v>6.3201313933111507E-3</v>
      </c>
      <c r="AF46" s="58">
        <f t="shared" si="4"/>
        <v>10915.42060005301</v>
      </c>
      <c r="AG46" s="36">
        <v>75751.17</v>
      </c>
      <c r="AH46" s="37">
        <f t="shared" si="5"/>
        <v>5.1416894659061839E-3</v>
      </c>
      <c r="AI46" s="58">
        <f t="shared" si="6"/>
        <v>40034.200000000012</v>
      </c>
      <c r="AJ46" s="372">
        <f t="shared" si="7"/>
        <v>2.4031832710668328</v>
      </c>
      <c r="AK46" s="373">
        <f t="shared" si="8"/>
        <v>2.1766282565368824</v>
      </c>
      <c r="AL46" s="375">
        <f t="shared" si="9"/>
        <v>1.5722534246575341</v>
      </c>
      <c r="AM46" s="407" t="str">
        <f t="shared" si="10"/>
        <v>0.26 pts.</v>
      </c>
      <c r="AN46" s="408" t="str">
        <f t="shared" si="11"/>
        <v>0.38 pts.</v>
      </c>
    </row>
    <row r="47" spans="1:40" x14ac:dyDescent="0.25">
      <c r="A47" s="3" t="s">
        <v>0</v>
      </c>
      <c r="B47" s="5" t="s">
        <v>1</v>
      </c>
      <c r="H47" s="15" t="s">
        <v>76</v>
      </c>
      <c r="I47" s="479" t="s">
        <v>1046</v>
      </c>
      <c r="J47" s="479" t="s">
        <v>78</v>
      </c>
      <c r="K47" s="480" t="str">
        <f t="shared" si="0"/>
        <v/>
      </c>
      <c r="L47" s="170">
        <v>600000</v>
      </c>
      <c r="M47" s="170"/>
      <c r="N47" s="170" t="s">
        <v>1090</v>
      </c>
      <c r="O47" s="36">
        <v>39479.519999999997</v>
      </c>
      <c r="P47" s="36">
        <v>42675.56</v>
      </c>
      <c r="Q47" s="36">
        <v>50928.68</v>
      </c>
      <c r="R47" s="36">
        <v>53075.66</v>
      </c>
      <c r="S47" s="36">
        <v>41375.269999999997</v>
      </c>
      <c r="T47" s="36">
        <v>45202.18</v>
      </c>
      <c r="U47" s="36">
        <v>40457.33</v>
      </c>
      <c r="V47" s="36">
        <v>42077.78</v>
      </c>
      <c r="W47" s="36">
        <v>40051.160000000003</v>
      </c>
      <c r="X47" s="36">
        <v>42972.09</v>
      </c>
      <c r="Y47" s="36">
        <v>34123.730000000003</v>
      </c>
      <c r="Z47" s="36">
        <v>52124.51</v>
      </c>
      <c r="AA47" s="36">
        <f t="shared" si="1"/>
        <v>524543.47</v>
      </c>
      <c r="AB47" s="37">
        <f t="shared" si="2"/>
        <v>4.0535940693549141E-2</v>
      </c>
      <c r="AC47" s="35"/>
      <c r="AD47" s="36">
        <v>576924.17610970396</v>
      </c>
      <c r="AE47" s="37">
        <f t="shared" si="3"/>
        <v>3.4769127074575988E-2</v>
      </c>
      <c r="AF47" s="58">
        <f t="shared" si="4"/>
        <v>-52380.706109703984</v>
      </c>
      <c r="AG47" s="36">
        <v>439926.26</v>
      </c>
      <c r="AH47" s="37">
        <f t="shared" si="5"/>
        <v>2.9860452542416243E-2</v>
      </c>
      <c r="AI47" s="58">
        <f t="shared" si="6"/>
        <v>84617.209999999963</v>
      </c>
      <c r="AJ47" s="372">
        <f t="shared" si="7"/>
        <v>10.887162100456621</v>
      </c>
      <c r="AK47" s="373">
        <f t="shared" si="8"/>
        <v>11.974349856988459</v>
      </c>
      <c r="AL47" s="375">
        <f t="shared" si="9"/>
        <v>9.1308895807388968</v>
      </c>
      <c r="AM47" s="407" t="str">
        <f t="shared" si="10"/>
        <v>0.58 pts.</v>
      </c>
      <c r="AN47" s="408" t="str">
        <f t="shared" si="11"/>
        <v>1.07 pts.</v>
      </c>
    </row>
    <row r="48" spans="1:40" x14ac:dyDescent="0.25">
      <c r="A48" s="6" t="s">
        <v>2</v>
      </c>
      <c r="B48" s="16" t="s">
        <v>1754</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16" t="s">
        <v>1755</v>
      </c>
      <c r="H49" s="1" t="s">
        <v>82</v>
      </c>
      <c r="I49" s="11" t="s">
        <v>1011</v>
      </c>
      <c r="J49" s="11" t="s">
        <v>78</v>
      </c>
      <c r="L49" s="1"/>
      <c r="M49" s="1"/>
      <c r="N49" s="40" t="s">
        <v>1092</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16" t="s">
        <v>1761</v>
      </c>
      <c r="H50" s="15" t="s">
        <v>829</v>
      </c>
      <c r="I50" s="161" t="s">
        <v>1009</v>
      </c>
      <c r="J50" s="161" t="s">
        <v>1009</v>
      </c>
      <c r="K50" s="68" t="str">
        <f t="shared" ref="K50:K72" si="12">IF(AND(I50&gt;="T3"),"&gt;","")</f>
        <v/>
      </c>
      <c r="L50" s="162">
        <v>701100</v>
      </c>
      <c r="M50" s="162">
        <v>690015</v>
      </c>
      <c r="N50" s="162" t="s">
        <v>1241</v>
      </c>
      <c r="O50" s="21">
        <v>2760.28</v>
      </c>
      <c r="P50" s="21">
        <v>3155</v>
      </c>
      <c r="Q50" s="21">
        <v>3341.61</v>
      </c>
      <c r="R50" s="21">
        <v>3378.86</v>
      </c>
      <c r="S50" s="21">
        <v>2994.31</v>
      </c>
      <c r="T50" s="21">
        <v>4046.39</v>
      </c>
      <c r="U50" s="21">
        <v>3632.29</v>
      </c>
      <c r="V50" s="21">
        <v>4936.26</v>
      </c>
      <c r="W50" s="21">
        <v>4269.04</v>
      </c>
      <c r="X50" s="21">
        <v>3932.88</v>
      </c>
      <c r="Y50" s="21">
        <v>3473.73</v>
      </c>
      <c r="Z50" s="21">
        <v>3193.25</v>
      </c>
      <c r="AA50" s="38">
        <f t="shared" ref="AA50:AA73" si="13">IF($I50="B1","",SUM(O50:Z50))</f>
        <v>43113.9</v>
      </c>
      <c r="AB50" s="17">
        <f t="shared" ref="AB50:AB73" si="14">IF(AA50=0,"",IFERROR(AA50/AA$19,""))</f>
        <v>3.3317781907905718E-3</v>
      </c>
      <c r="AD50" s="21">
        <v>35856.810000001198</v>
      </c>
      <c r="AE50" s="17">
        <f t="shared" ref="AE50:AE73" si="15">IF(AD50=0,"",IFERROR(AD50/AD$19,""))</f>
        <v>2.1609598540067126E-3</v>
      </c>
      <c r="AF50" s="50">
        <f t="shared" ref="AF50:AF73" si="16">IF(AND($AA50="",AD50=""),"",$AA50-AD50)</f>
        <v>7257.0899999988033</v>
      </c>
      <c r="AG50" s="21">
        <v>39910.35</v>
      </c>
      <c r="AH50" s="17">
        <f t="shared" ref="AH50:AH73" si="17">IF(AG50=0,"",IFERROR(AG50/AG$19,""))</f>
        <v>2.7089565240461483E-3</v>
      </c>
      <c r="AI50" s="50">
        <f t="shared" ref="AI50:AI73" si="18">IF(AND($AA50="",AG50=""),"",$AA50-AG50)</f>
        <v>3203.5500000000029</v>
      </c>
      <c r="AJ50" s="399">
        <f t="shared" ref="AJ50:AJ73" si="19">IFERROR(AA50/AA$20,0)</f>
        <v>0.89485056039850563</v>
      </c>
      <c r="AK50" s="400">
        <f t="shared" ref="AK50:AK73" si="20">IFERROR(AD50/AD$20,0)</f>
        <v>0.74422602739728516</v>
      </c>
      <c r="AL50" s="401">
        <f t="shared" ref="AL50:AL73" si="21">IFERROR(AG50/AG$20,0)</f>
        <v>0.82835927770859274</v>
      </c>
      <c r="AM50" s="402" t="str">
        <f t="shared" ref="AM50:AM73" si="22">+IFERROR(ROUND(($AB50-AE50)*100,2)&amp;" pts.",0)</f>
        <v>0.12 pts.</v>
      </c>
      <c r="AN50" s="403" t="str">
        <f t="shared" ref="AN50:AN73" si="23">+IFERROR(ROUND(($AB50-AH50)*100,2)&amp;" pts.",0)</f>
        <v>0.06 pts.</v>
      </c>
    </row>
    <row r="51" spans="1:40" x14ac:dyDescent="0.25">
      <c r="A51" s="6" t="s">
        <v>5</v>
      </c>
      <c r="B51" s="7"/>
      <c r="H51" s="15" t="s">
        <v>830</v>
      </c>
      <c r="I51" s="161" t="s">
        <v>1009</v>
      </c>
      <c r="J51" s="161" t="s">
        <v>1009</v>
      </c>
      <c r="K51" s="68" t="str">
        <f t="shared" si="12"/>
        <v/>
      </c>
      <c r="L51" s="162">
        <v>701200</v>
      </c>
      <c r="M51" s="162">
        <v>690010</v>
      </c>
      <c r="N51" s="162" t="s">
        <v>1242</v>
      </c>
      <c r="O51" s="21"/>
      <c r="P51" s="21"/>
      <c r="Q51" s="21"/>
      <c r="R51" s="21"/>
      <c r="S51" s="21"/>
      <c r="T51" s="21"/>
      <c r="U51" s="21"/>
      <c r="V51" s="21"/>
      <c r="W51" s="21"/>
      <c r="X51" s="21"/>
      <c r="Y51" s="21"/>
      <c r="Z51" s="21"/>
      <c r="AA51" s="38">
        <f t="shared" si="13"/>
        <v>0</v>
      </c>
      <c r="AB51" s="17" t="str">
        <f t="shared" si="14"/>
        <v/>
      </c>
      <c r="AD51" s="21">
        <v>111</v>
      </c>
      <c r="AE51" s="17">
        <f t="shared" si="15"/>
        <v>6.6895673038046906E-6</v>
      </c>
      <c r="AF51" s="50">
        <f t="shared" si="16"/>
        <v>-111</v>
      </c>
      <c r="AG51" s="21">
        <v>110.8</v>
      </c>
      <c r="AH51" s="17">
        <f t="shared" si="17"/>
        <v>7.5206652626276949E-6</v>
      </c>
      <c r="AI51" s="50">
        <f t="shared" si="18"/>
        <v>-110.8</v>
      </c>
      <c r="AJ51" s="399">
        <f t="shared" si="19"/>
        <v>0</v>
      </c>
      <c r="AK51" s="400">
        <f t="shared" si="20"/>
        <v>2.3038605230386051E-3</v>
      </c>
      <c r="AL51" s="401">
        <f t="shared" si="21"/>
        <v>2.299709422997094E-3</v>
      </c>
      <c r="AM51" s="402">
        <f t="shared" si="22"/>
        <v>0</v>
      </c>
      <c r="AN51" s="403">
        <f t="shared" si="23"/>
        <v>0</v>
      </c>
    </row>
    <row r="52" spans="1:40" x14ac:dyDescent="0.25">
      <c r="A52" s="6" t="s">
        <v>6</v>
      </c>
      <c r="B52" s="7"/>
      <c r="H52" s="15" t="s">
        <v>869</v>
      </c>
      <c r="I52" s="161" t="s">
        <v>1009</v>
      </c>
      <c r="J52" s="161" t="s">
        <v>1009</v>
      </c>
      <c r="K52" s="68" t="str">
        <f t="shared" si="12"/>
        <v/>
      </c>
      <c r="L52" s="162">
        <v>701300</v>
      </c>
      <c r="M52" s="162">
        <v>690205</v>
      </c>
      <c r="N52" s="162" t="s">
        <v>1093</v>
      </c>
      <c r="O52" s="21"/>
      <c r="P52" s="21"/>
      <c r="Q52" s="21"/>
      <c r="R52" s="21"/>
      <c r="S52" s="21"/>
      <c r="T52" s="21"/>
      <c r="U52" s="21"/>
      <c r="V52" s="21"/>
      <c r="W52" s="21"/>
      <c r="X52" s="21">
        <v>29.72</v>
      </c>
      <c r="Y52" s="21"/>
      <c r="Z52" s="21"/>
      <c r="AA52" s="38">
        <f t="shared" si="13"/>
        <v>29.72</v>
      </c>
      <c r="AB52" s="17">
        <f t="shared" si="14"/>
        <v>2.2967174816079216E-6</v>
      </c>
      <c r="AD52" s="21"/>
      <c r="AE52" s="17" t="str">
        <f t="shared" si="15"/>
        <v/>
      </c>
      <c r="AF52" s="50">
        <f t="shared" si="16"/>
        <v>29.72</v>
      </c>
      <c r="AG52" s="21">
        <v>0</v>
      </c>
      <c r="AH52" s="17" t="str">
        <f t="shared" si="17"/>
        <v/>
      </c>
      <c r="AI52" s="50">
        <f t="shared" si="18"/>
        <v>29.72</v>
      </c>
      <c r="AJ52" s="399">
        <f t="shared" si="19"/>
        <v>6.1685346616853465E-4</v>
      </c>
      <c r="AK52" s="400">
        <f t="shared" si="20"/>
        <v>0</v>
      </c>
      <c r="AL52" s="401">
        <f t="shared" si="21"/>
        <v>0</v>
      </c>
      <c r="AM52" s="402">
        <f t="shared" si="22"/>
        <v>0</v>
      </c>
      <c r="AN52" s="403">
        <f t="shared" si="23"/>
        <v>0</v>
      </c>
    </row>
    <row r="53" spans="1:40" x14ac:dyDescent="0.25">
      <c r="A53" s="6" t="s">
        <v>7</v>
      </c>
      <c r="B53" s="7"/>
      <c r="H53" s="15" t="s">
        <v>832</v>
      </c>
      <c r="I53" s="161" t="s">
        <v>1064</v>
      </c>
      <c r="J53" s="161" t="s">
        <v>78</v>
      </c>
      <c r="K53" s="68" t="str">
        <f t="shared" si="12"/>
        <v>&gt;</v>
      </c>
      <c r="L53" s="162">
        <v>701500</v>
      </c>
      <c r="M53" s="162"/>
      <c r="N53" s="162" t="s">
        <v>1094</v>
      </c>
      <c r="O53" s="21"/>
      <c r="P53" s="21"/>
      <c r="Q53" s="21">
        <v>24.6</v>
      </c>
      <c r="R53" s="21">
        <v>32.090000000000003</v>
      </c>
      <c r="S53" s="21">
        <v>16.7</v>
      </c>
      <c r="T53" s="21">
        <v>-0.2</v>
      </c>
      <c r="U53" s="21">
        <v>126</v>
      </c>
      <c r="V53" s="21"/>
      <c r="W53" s="21">
        <v>31.84</v>
      </c>
      <c r="X53" s="21"/>
      <c r="Y53" s="21"/>
      <c r="Z53" s="21">
        <v>114.54</v>
      </c>
      <c r="AA53" s="38">
        <f t="shared" si="13"/>
        <v>345.57</v>
      </c>
      <c r="AB53" s="17">
        <f t="shared" si="14"/>
        <v>2.6705136612356985E-5</v>
      </c>
      <c r="AD53" s="21">
        <v>150</v>
      </c>
      <c r="AE53" s="17">
        <f t="shared" si="15"/>
        <v>9.0399558159522846E-6</v>
      </c>
      <c r="AF53" s="50">
        <f t="shared" si="16"/>
        <v>195.57</v>
      </c>
      <c r="AG53" s="21">
        <v>757.45</v>
      </c>
      <c r="AH53" s="17">
        <f t="shared" si="17"/>
        <v>5.1412706707376791E-5</v>
      </c>
      <c r="AI53" s="50">
        <f t="shared" si="18"/>
        <v>-411.88000000000005</v>
      </c>
      <c r="AJ53" s="399">
        <f t="shared" si="19"/>
        <v>7.1724782067247818E-3</v>
      </c>
      <c r="AK53" s="400">
        <f t="shared" si="20"/>
        <v>3.1133250311332502E-3</v>
      </c>
      <c r="AL53" s="401">
        <f t="shared" si="21"/>
        <v>1.5721253632212537E-2</v>
      </c>
      <c r="AM53" s="402" t="str">
        <f t="shared" si="22"/>
        <v>0 pts.</v>
      </c>
      <c r="AN53" s="403" t="str">
        <f t="shared" si="23"/>
        <v>0 pts.</v>
      </c>
    </row>
    <row r="54" spans="1:40" x14ac:dyDescent="0.25">
      <c r="A54" s="6" t="s">
        <v>47</v>
      </c>
      <c r="B54" s="16" t="s">
        <v>1758</v>
      </c>
      <c r="H54" s="15" t="s">
        <v>833</v>
      </c>
      <c r="I54" s="161" t="s">
        <v>1064</v>
      </c>
      <c r="J54" s="161" t="s">
        <v>78</v>
      </c>
      <c r="K54" s="68" t="str">
        <f t="shared" si="12"/>
        <v>&gt;</v>
      </c>
      <c r="L54" s="162"/>
      <c r="M54" s="162"/>
      <c r="N54" s="162" t="s">
        <v>1099</v>
      </c>
      <c r="O54" s="21">
        <v>1400.59</v>
      </c>
      <c r="P54" s="21">
        <v>2321.9899999999998</v>
      </c>
      <c r="Q54" s="21">
        <v>1113.9000000000001</v>
      </c>
      <c r="R54" s="21">
        <v>475.98</v>
      </c>
      <c r="S54" s="21">
        <v>697.45</v>
      </c>
      <c r="T54" s="21">
        <v>590.79999999999995</v>
      </c>
      <c r="U54" s="21">
        <v>419</v>
      </c>
      <c r="V54" s="21">
        <v>420.52</v>
      </c>
      <c r="W54" s="21">
        <v>-1481</v>
      </c>
      <c r="X54" s="21">
        <v>429.51</v>
      </c>
      <c r="Y54" s="21">
        <v>432.24</v>
      </c>
      <c r="Z54" s="21">
        <v>413.95</v>
      </c>
      <c r="AA54" s="38">
        <f t="shared" si="13"/>
        <v>7234.9299999999994</v>
      </c>
      <c r="AB54" s="17">
        <f t="shared" si="14"/>
        <v>5.5910465037717371E-4</v>
      </c>
      <c r="AD54" s="21">
        <v>10290</v>
      </c>
      <c r="AE54" s="17">
        <f t="shared" si="15"/>
        <v>6.201409689743267E-4</v>
      </c>
      <c r="AF54" s="50">
        <f t="shared" si="16"/>
        <v>-3055.0700000000006</v>
      </c>
      <c r="AG54" s="21">
        <v>8760.0400000000009</v>
      </c>
      <c r="AH54" s="17">
        <f t="shared" si="17"/>
        <v>5.9459682786307873E-4</v>
      </c>
      <c r="AI54" s="50">
        <f t="shared" si="18"/>
        <v>-1525.1100000000015</v>
      </c>
      <c r="AJ54" s="399">
        <f t="shared" si="19"/>
        <v>0.1501645911166459</v>
      </c>
      <c r="AK54" s="400">
        <f t="shared" si="20"/>
        <v>0.21357409713574096</v>
      </c>
      <c r="AL54" s="401">
        <f t="shared" si="21"/>
        <v>0.18181901203819015</v>
      </c>
      <c r="AM54" s="402" t="str">
        <f t="shared" si="22"/>
        <v>-0.01 pts.</v>
      </c>
      <c r="AN54" s="403" t="str">
        <f t="shared" si="23"/>
        <v>0 pts.</v>
      </c>
    </row>
    <row r="55" spans="1:40" x14ac:dyDescent="0.25">
      <c r="A55" s="6" t="s">
        <v>8</v>
      </c>
      <c r="B55" s="7"/>
      <c r="H55" s="15" t="s">
        <v>834</v>
      </c>
      <c r="I55" s="161" t="s">
        <v>1064</v>
      </c>
      <c r="J55" s="161" t="s">
        <v>78</v>
      </c>
      <c r="K55" s="68" t="str">
        <f t="shared" si="12"/>
        <v>&gt;</v>
      </c>
      <c r="L55" s="162"/>
      <c r="M55" s="162"/>
      <c r="N55" s="162" t="s">
        <v>1100</v>
      </c>
      <c r="O55" s="21"/>
      <c r="P55" s="21"/>
      <c r="Q55" s="21">
        <v>300</v>
      </c>
      <c r="R55" s="21">
        <v>1710.12</v>
      </c>
      <c r="S55" s="21">
        <v>822.25</v>
      </c>
      <c r="T55" s="21">
        <v>998.92</v>
      </c>
      <c r="U55" s="21">
        <v>583.19000000000005</v>
      </c>
      <c r="V55" s="21">
        <v>33.24</v>
      </c>
      <c r="W55" s="21">
        <v>333.8</v>
      </c>
      <c r="X55" s="21">
        <v>502.06</v>
      </c>
      <c r="Y55" s="21">
        <v>156.03</v>
      </c>
      <c r="Z55" s="21">
        <v>441.23</v>
      </c>
      <c r="AA55" s="38">
        <f t="shared" si="13"/>
        <v>5880.84</v>
      </c>
      <c r="AB55" s="17">
        <f t="shared" si="14"/>
        <v>4.5446258528058993E-4</v>
      </c>
      <c r="AD55" s="21">
        <v>5640</v>
      </c>
      <c r="AE55" s="17">
        <f t="shared" si="15"/>
        <v>3.3990233867980588E-4</v>
      </c>
      <c r="AF55" s="50">
        <f t="shared" si="16"/>
        <v>240.84000000000015</v>
      </c>
      <c r="AG55" s="21">
        <v>4645.3100000000004</v>
      </c>
      <c r="AH55" s="17">
        <f t="shared" si="17"/>
        <v>3.1530524865647165E-4</v>
      </c>
      <c r="AI55" s="50">
        <f t="shared" si="18"/>
        <v>1235.5299999999997</v>
      </c>
      <c r="AJ55" s="399">
        <f t="shared" si="19"/>
        <v>0.12205977584059777</v>
      </c>
      <c r="AK55" s="400">
        <f t="shared" si="20"/>
        <v>0.11706102117061021</v>
      </c>
      <c r="AL55" s="401">
        <f t="shared" si="21"/>
        <v>9.6415732669157331E-2</v>
      </c>
      <c r="AM55" s="402" t="str">
        <f t="shared" si="22"/>
        <v>0.01 pts.</v>
      </c>
      <c r="AN55" s="403" t="str">
        <f t="shared" si="23"/>
        <v>0.01 pts.</v>
      </c>
    </row>
    <row r="56" spans="1:40" x14ac:dyDescent="0.25">
      <c r="H56" s="15" t="s">
        <v>835</v>
      </c>
      <c r="I56" s="161" t="s">
        <v>1064</v>
      </c>
      <c r="J56" s="161" t="s">
        <v>78</v>
      </c>
      <c r="K56" s="68" t="str">
        <f t="shared" si="12"/>
        <v>&gt;</v>
      </c>
      <c r="L56" s="162">
        <v>702900</v>
      </c>
      <c r="M56" s="162"/>
      <c r="N56" s="162" t="s">
        <v>1101</v>
      </c>
      <c r="O56" s="21">
        <v>94.77</v>
      </c>
      <c r="P56" s="21">
        <v>68.849999999999994</v>
      </c>
      <c r="Q56" s="21">
        <v>230.58</v>
      </c>
      <c r="R56" s="21"/>
      <c r="S56" s="21">
        <v>71.48</v>
      </c>
      <c r="T56" s="21">
        <v>649.67999999999995</v>
      </c>
      <c r="U56" s="21">
        <v>146.81</v>
      </c>
      <c r="V56" s="21">
        <v>143.96</v>
      </c>
      <c r="W56" s="21">
        <v>840.88</v>
      </c>
      <c r="X56" s="21">
        <v>121.92</v>
      </c>
      <c r="Y56" s="21">
        <v>143.62</v>
      </c>
      <c r="Z56" s="21">
        <v>275.83999999999997</v>
      </c>
      <c r="AA56" s="38">
        <f t="shared" si="13"/>
        <v>2788.3900000000003</v>
      </c>
      <c r="AB56" s="17">
        <f t="shared" si="14"/>
        <v>2.1548263992398096E-4</v>
      </c>
      <c r="AD56" s="21">
        <v>4480</v>
      </c>
      <c r="AE56" s="17">
        <f t="shared" si="15"/>
        <v>2.6999334703644158E-4</v>
      </c>
      <c r="AF56" s="50">
        <f t="shared" si="16"/>
        <v>-1691.6099999999997</v>
      </c>
      <c r="AG56" s="21">
        <v>839.76</v>
      </c>
      <c r="AH56" s="17">
        <f t="shared" si="17"/>
        <v>5.6999583582529178E-5</v>
      </c>
      <c r="AI56" s="50">
        <f t="shared" si="18"/>
        <v>1948.6300000000003</v>
      </c>
      <c r="AJ56" s="399">
        <f t="shared" si="19"/>
        <v>5.7874429223744299E-2</v>
      </c>
      <c r="AK56" s="400">
        <f t="shared" si="20"/>
        <v>9.2984640929846415E-2</v>
      </c>
      <c r="AL56" s="401">
        <f t="shared" si="21"/>
        <v>1.7429638854296388E-2</v>
      </c>
      <c r="AM56" s="402" t="str">
        <f t="shared" si="22"/>
        <v>-0.01 pts.</v>
      </c>
      <c r="AN56" s="403" t="str">
        <f t="shared" si="23"/>
        <v>0.02 pts.</v>
      </c>
    </row>
    <row r="57" spans="1:40" x14ac:dyDescent="0.25">
      <c r="H57" s="15" t="s">
        <v>874</v>
      </c>
      <c r="I57" s="161" t="s">
        <v>1064</v>
      </c>
      <c r="J57" s="161" t="s">
        <v>78</v>
      </c>
      <c r="K57" s="68" t="str">
        <f t="shared" si="12"/>
        <v>&gt;</v>
      </c>
      <c r="L57" s="162">
        <v>703000</v>
      </c>
      <c r="M57" s="162"/>
      <c r="N57" s="162" t="s">
        <v>1103</v>
      </c>
      <c r="O57" s="21">
        <v>116</v>
      </c>
      <c r="P57" s="21">
        <v>108</v>
      </c>
      <c r="Q57" s="21">
        <v>84</v>
      </c>
      <c r="R57" s="21">
        <v>48</v>
      </c>
      <c r="S57" s="21">
        <v>19.96</v>
      </c>
      <c r="T57" s="21">
        <v>2792.25</v>
      </c>
      <c r="U57" s="21">
        <v>32.619999999999997</v>
      </c>
      <c r="V57" s="21">
        <v>264</v>
      </c>
      <c r="W57" s="21">
        <v>1279.1500000000001</v>
      </c>
      <c r="X57" s="21">
        <v>-19.64</v>
      </c>
      <c r="Y57" s="21">
        <v>355.16</v>
      </c>
      <c r="Z57" s="21">
        <v>2180.9499999999998</v>
      </c>
      <c r="AA57" s="38">
        <f t="shared" si="13"/>
        <v>7260.4499999999989</v>
      </c>
      <c r="AB57" s="17">
        <f t="shared" si="14"/>
        <v>5.6107679809354761E-4</v>
      </c>
      <c r="AD57" s="21">
        <v>4798</v>
      </c>
      <c r="AE57" s="17">
        <f t="shared" si="15"/>
        <v>2.8915805336626038E-4</v>
      </c>
      <c r="AF57" s="50">
        <f t="shared" si="16"/>
        <v>2462.4499999999989</v>
      </c>
      <c r="AG57" s="21">
        <v>3747.68</v>
      </c>
      <c r="AH57" s="17">
        <f t="shared" si="17"/>
        <v>2.5437767862314587E-4</v>
      </c>
      <c r="AI57" s="50">
        <f t="shared" si="18"/>
        <v>3512.7699999999991</v>
      </c>
      <c r="AJ57" s="399">
        <f t="shared" si="19"/>
        <v>0.1506942714819427</v>
      </c>
      <c r="AK57" s="400">
        <f t="shared" si="20"/>
        <v>9.9584889995848899E-2</v>
      </c>
      <c r="AL57" s="401">
        <f t="shared" si="21"/>
        <v>7.7784973017849729E-2</v>
      </c>
      <c r="AM57" s="402" t="str">
        <f t="shared" si="22"/>
        <v>0.03 pts.</v>
      </c>
      <c r="AN57" s="403" t="str">
        <f t="shared" si="23"/>
        <v>0.03 pts.</v>
      </c>
    </row>
    <row r="58" spans="1:40" x14ac:dyDescent="0.25">
      <c r="A58" s="3" t="s">
        <v>23</v>
      </c>
      <c r="B58" s="5" t="s">
        <v>24</v>
      </c>
      <c r="H58" s="15" t="s">
        <v>875</v>
      </c>
      <c r="I58" s="161" t="s">
        <v>1009</v>
      </c>
      <c r="J58" s="161" t="s">
        <v>1009</v>
      </c>
      <c r="K58" s="68" t="str">
        <f t="shared" si="12"/>
        <v/>
      </c>
      <c r="L58" s="162">
        <v>703100</v>
      </c>
      <c r="M58" s="162">
        <v>690035</v>
      </c>
      <c r="N58" s="162" t="s">
        <v>1104</v>
      </c>
      <c r="O58" s="21"/>
      <c r="P58" s="21"/>
      <c r="Q58" s="21"/>
      <c r="R58" s="21"/>
      <c r="S58" s="21">
        <v>12.09</v>
      </c>
      <c r="T58" s="21"/>
      <c r="U58" s="21"/>
      <c r="V58" s="21"/>
      <c r="W58" s="21"/>
      <c r="X58" s="21"/>
      <c r="Y58" s="21"/>
      <c r="Z58" s="21"/>
      <c r="AA58" s="38">
        <f t="shared" si="13"/>
        <v>12.09</v>
      </c>
      <c r="AB58" s="17">
        <f t="shared" si="14"/>
        <v>9.3429725278061157E-7</v>
      </c>
      <c r="AD58" s="21">
        <v>1200</v>
      </c>
      <c r="AE58" s="17">
        <f t="shared" si="15"/>
        <v>7.2319646527618277E-5</v>
      </c>
      <c r="AF58" s="50">
        <f t="shared" si="16"/>
        <v>-1187.9100000000001</v>
      </c>
      <c r="AG58" s="21"/>
      <c r="AH58" s="17" t="str">
        <f t="shared" si="17"/>
        <v/>
      </c>
      <c r="AI58" s="50">
        <f t="shared" si="18"/>
        <v>12.09</v>
      </c>
      <c r="AJ58" s="399">
        <f t="shared" si="19"/>
        <v>2.5093399750934E-4</v>
      </c>
      <c r="AK58" s="400">
        <f t="shared" si="20"/>
        <v>2.4906600249066001E-2</v>
      </c>
      <c r="AL58" s="401">
        <f t="shared" si="21"/>
        <v>0</v>
      </c>
      <c r="AM58" s="402" t="str">
        <f t="shared" si="22"/>
        <v>-0.01 pts.</v>
      </c>
      <c r="AN58" s="403">
        <f t="shared" si="23"/>
        <v>0</v>
      </c>
    </row>
    <row r="59" spans="1:40" x14ac:dyDescent="0.25">
      <c r="A59" s="6" t="s">
        <v>25</v>
      </c>
      <c r="B59" s="7"/>
      <c r="H59" s="15" t="s">
        <v>876</v>
      </c>
      <c r="I59" s="161" t="s">
        <v>1009</v>
      </c>
      <c r="J59" s="161" t="s">
        <v>1009</v>
      </c>
      <c r="K59" s="68" t="str">
        <f t="shared" si="12"/>
        <v/>
      </c>
      <c r="L59" s="162">
        <v>703300</v>
      </c>
      <c r="M59" s="162">
        <v>590115</v>
      </c>
      <c r="N59" s="162" t="s">
        <v>1106</v>
      </c>
      <c r="O59" s="21">
        <v>30.83</v>
      </c>
      <c r="P59" s="21">
        <v>106.49</v>
      </c>
      <c r="Q59" s="21">
        <v>37.61</v>
      </c>
      <c r="R59" s="21">
        <v>64.599999999999994</v>
      </c>
      <c r="S59" s="21">
        <v>31.07</v>
      </c>
      <c r="T59" s="21">
        <v>44.25</v>
      </c>
      <c r="U59" s="21">
        <v>54.42</v>
      </c>
      <c r="V59" s="21">
        <v>64.44</v>
      </c>
      <c r="W59" s="21">
        <v>101.99</v>
      </c>
      <c r="X59" s="21">
        <v>127.81</v>
      </c>
      <c r="Y59" s="21">
        <v>56.14</v>
      </c>
      <c r="Z59" s="21">
        <v>136.1</v>
      </c>
      <c r="AA59" s="38">
        <f t="shared" si="13"/>
        <v>855.75</v>
      </c>
      <c r="AB59" s="17">
        <f t="shared" si="14"/>
        <v>6.6131089666419222E-5</v>
      </c>
      <c r="AD59" s="21">
        <v>434.00000000040001</v>
      </c>
      <c r="AE59" s="17">
        <f t="shared" si="15"/>
        <v>2.6155605494179382E-5</v>
      </c>
      <c r="AF59" s="50">
        <f t="shared" si="16"/>
        <v>421.74999999959999</v>
      </c>
      <c r="AG59" s="21">
        <v>725.94</v>
      </c>
      <c r="AH59" s="17">
        <f t="shared" si="17"/>
        <v>4.9273932678266691E-5</v>
      </c>
      <c r="AI59" s="50">
        <f t="shared" si="18"/>
        <v>129.80999999999995</v>
      </c>
      <c r="AJ59" s="399">
        <f t="shared" si="19"/>
        <v>1.7761519302615193E-2</v>
      </c>
      <c r="AK59" s="400">
        <f t="shared" si="20"/>
        <v>9.007887090087173E-3</v>
      </c>
      <c r="AL59" s="401">
        <f t="shared" si="21"/>
        <v>1.5067247820672479E-2</v>
      </c>
      <c r="AM59" s="402" t="str">
        <f t="shared" si="22"/>
        <v>0 pts.</v>
      </c>
      <c r="AN59" s="403" t="str">
        <f t="shared" si="23"/>
        <v>0 pts.</v>
      </c>
    </row>
    <row r="60" spans="1:40" x14ac:dyDescent="0.25">
      <c r="A60" s="6" t="s">
        <v>26</v>
      </c>
      <c r="B60" s="7"/>
      <c r="H60" s="15" t="s">
        <v>861</v>
      </c>
      <c r="I60" s="161" t="s">
        <v>1009</v>
      </c>
      <c r="J60" s="161" t="s">
        <v>1009</v>
      </c>
      <c r="K60" s="68" t="str">
        <f t="shared" si="12"/>
        <v/>
      </c>
      <c r="L60" s="162">
        <v>703800</v>
      </c>
      <c r="M60" s="162">
        <v>690065</v>
      </c>
      <c r="N60" s="162" t="s">
        <v>1251</v>
      </c>
      <c r="O60" s="21"/>
      <c r="P60" s="21"/>
      <c r="Q60" s="21"/>
      <c r="R60" s="21"/>
      <c r="S60" s="21">
        <v>245.6</v>
      </c>
      <c r="T60" s="21"/>
      <c r="U60" s="21"/>
      <c r="V60" s="21"/>
      <c r="W60" s="21">
        <v>-245.6</v>
      </c>
      <c r="X60" s="21"/>
      <c r="Y60" s="21"/>
      <c r="Z60" s="21"/>
      <c r="AA60" s="38">
        <f t="shared" si="13"/>
        <v>0</v>
      </c>
      <c r="AB60" s="17" t="str">
        <f t="shared" si="14"/>
        <v/>
      </c>
      <c r="AD60" s="21"/>
      <c r="AE60" s="17" t="str">
        <f t="shared" si="15"/>
        <v/>
      </c>
      <c r="AF60" s="50">
        <f t="shared" si="16"/>
        <v>0</v>
      </c>
      <c r="AG60" s="21"/>
      <c r="AH60" s="17" t="str">
        <f t="shared" si="17"/>
        <v/>
      </c>
      <c r="AI60" s="50">
        <f t="shared" si="18"/>
        <v>0</v>
      </c>
      <c r="AJ60" s="399">
        <f t="shared" si="19"/>
        <v>0</v>
      </c>
      <c r="AK60" s="400">
        <f t="shared" si="20"/>
        <v>0</v>
      </c>
      <c r="AL60" s="401">
        <f t="shared" si="21"/>
        <v>0</v>
      </c>
      <c r="AM60" s="402">
        <f t="shared" si="22"/>
        <v>0</v>
      </c>
      <c r="AN60" s="403">
        <f t="shared" si="23"/>
        <v>0</v>
      </c>
    </row>
    <row r="61" spans="1:40" x14ac:dyDescent="0.25">
      <c r="A61" s="6" t="s">
        <v>27</v>
      </c>
      <c r="B61" s="7"/>
      <c r="H61" s="15" t="s">
        <v>845</v>
      </c>
      <c r="I61" s="161" t="s">
        <v>1064</v>
      </c>
      <c r="J61" s="161" t="s">
        <v>78</v>
      </c>
      <c r="K61" s="68" t="str">
        <f t="shared" si="12"/>
        <v>&gt;</v>
      </c>
      <c r="L61" s="162">
        <v>706500</v>
      </c>
      <c r="M61" s="162"/>
      <c r="N61" s="162" t="s">
        <v>1114</v>
      </c>
      <c r="O61" s="21">
        <v>25900.45</v>
      </c>
      <c r="P61" s="21">
        <v>24079.22</v>
      </c>
      <c r="Q61" s="21">
        <v>23617.23</v>
      </c>
      <c r="R61" s="21">
        <v>18048.54</v>
      </c>
      <c r="S61" s="21">
        <v>16585.11</v>
      </c>
      <c r="T61" s="21">
        <v>12687.59</v>
      </c>
      <c r="U61" s="21">
        <v>12508.27</v>
      </c>
      <c r="V61" s="21">
        <v>10086.11</v>
      </c>
      <c r="W61" s="21">
        <v>8680.58</v>
      </c>
      <c r="X61" s="21">
        <v>11795.09</v>
      </c>
      <c r="Y61" s="21">
        <v>13461.11</v>
      </c>
      <c r="Z61" s="21">
        <v>22883.53</v>
      </c>
      <c r="AA61" s="38">
        <f t="shared" si="13"/>
        <v>200332.83</v>
      </c>
      <c r="AB61" s="17">
        <f t="shared" si="14"/>
        <v>1.5481423714703497E-2</v>
      </c>
      <c r="AD61" s="21">
        <v>232770.48740000001</v>
      </c>
      <c r="AE61" s="17">
        <f t="shared" si="15"/>
        <v>1.4028232809024521E-2</v>
      </c>
      <c r="AF61" s="50">
        <f t="shared" si="16"/>
        <v>-32437.657400000026</v>
      </c>
      <c r="AG61" s="21">
        <v>226203.49</v>
      </c>
      <c r="AH61" s="17">
        <f t="shared" si="17"/>
        <v>1.5353797197907502E-2</v>
      </c>
      <c r="AI61" s="50">
        <f t="shared" si="18"/>
        <v>-25870.660000000003</v>
      </c>
      <c r="AJ61" s="399">
        <f t="shared" si="19"/>
        <v>4.1580080946450808</v>
      </c>
      <c r="AK61" s="400">
        <f t="shared" si="20"/>
        <v>4.8312678995433789</v>
      </c>
      <c r="AL61" s="401">
        <f t="shared" si="21"/>
        <v>4.6949665836446659</v>
      </c>
      <c r="AM61" s="402" t="str">
        <f t="shared" si="22"/>
        <v>0.15 pts.</v>
      </c>
      <c r="AN61" s="403" t="str">
        <f t="shared" si="23"/>
        <v>0.01 pts.</v>
      </c>
    </row>
    <row r="62" spans="1:40" x14ac:dyDescent="0.25">
      <c r="A62" s="6" t="s">
        <v>28</v>
      </c>
      <c r="B62" s="7"/>
      <c r="H62" s="15" t="s">
        <v>940</v>
      </c>
      <c r="I62" s="161" t="s">
        <v>1064</v>
      </c>
      <c r="J62" s="161" t="s">
        <v>78</v>
      </c>
      <c r="K62" s="68" t="str">
        <f t="shared" si="12"/>
        <v>&gt;</v>
      </c>
      <c r="L62" s="162">
        <v>711100</v>
      </c>
      <c r="M62" s="162"/>
      <c r="N62" s="162" t="s">
        <v>1762</v>
      </c>
      <c r="O62" s="21">
        <v>499.58</v>
      </c>
      <c r="P62" s="21">
        <v>1673.11</v>
      </c>
      <c r="Q62" s="21">
        <v>1292.07</v>
      </c>
      <c r="R62" s="21">
        <v>3335.08</v>
      </c>
      <c r="S62" s="21">
        <v>1917.47</v>
      </c>
      <c r="T62" s="21">
        <v>7649.07</v>
      </c>
      <c r="U62" s="21">
        <v>2520.46</v>
      </c>
      <c r="V62" s="21">
        <v>-213</v>
      </c>
      <c r="W62" s="21">
        <v>2595.33</v>
      </c>
      <c r="X62" s="21">
        <v>4177.66</v>
      </c>
      <c r="Y62" s="21">
        <v>1119.5</v>
      </c>
      <c r="Z62" s="21">
        <v>5072.88</v>
      </c>
      <c r="AA62" s="38">
        <f t="shared" si="13"/>
        <v>31639.21</v>
      </c>
      <c r="AB62" s="17">
        <f t="shared" si="14"/>
        <v>2.4450311814018903E-3</v>
      </c>
      <c r="AD62" s="21">
        <v>25680</v>
      </c>
      <c r="AE62" s="17">
        <f t="shared" si="15"/>
        <v>1.5476404356910311E-3</v>
      </c>
      <c r="AF62" s="50">
        <f t="shared" si="16"/>
        <v>5959.2099999999991</v>
      </c>
      <c r="AG62" s="21">
        <v>30953.3</v>
      </c>
      <c r="AH62" s="17">
        <f t="shared" si="17"/>
        <v>2.1009874374882114E-3</v>
      </c>
      <c r="AI62" s="50">
        <f t="shared" si="18"/>
        <v>685.90999999999985</v>
      </c>
      <c r="AJ62" s="399">
        <f t="shared" si="19"/>
        <v>0.65668762972187633</v>
      </c>
      <c r="AK62" s="400">
        <f t="shared" si="20"/>
        <v>0.53300124533001247</v>
      </c>
      <c r="AL62" s="401">
        <f t="shared" si="21"/>
        <v>0.6424512245745122</v>
      </c>
      <c r="AM62" s="402" t="str">
        <f t="shared" si="22"/>
        <v>0.09 pts.</v>
      </c>
      <c r="AN62" s="403" t="str">
        <f t="shared" si="23"/>
        <v>0.03 pts.</v>
      </c>
    </row>
    <row r="63" spans="1:40" x14ac:dyDescent="0.25">
      <c r="A63" s="6" t="s">
        <v>29</v>
      </c>
      <c r="B63" s="7"/>
      <c r="H63" s="15" t="s">
        <v>941</v>
      </c>
      <c r="I63" s="161" t="s">
        <v>1009</v>
      </c>
      <c r="J63" s="161" t="s">
        <v>1009</v>
      </c>
      <c r="K63" s="68" t="str">
        <f t="shared" si="12"/>
        <v/>
      </c>
      <c r="L63" s="162">
        <v>711200</v>
      </c>
      <c r="M63" s="162">
        <v>690668</v>
      </c>
      <c r="N63" s="162" t="s">
        <v>1763</v>
      </c>
      <c r="O63" s="21"/>
      <c r="P63" s="21"/>
      <c r="Q63" s="21"/>
      <c r="R63" s="21">
        <v>1000</v>
      </c>
      <c r="S63" s="21"/>
      <c r="T63" s="21"/>
      <c r="U63" s="21">
        <v>2011.6</v>
      </c>
      <c r="V63" s="21"/>
      <c r="W63" s="21"/>
      <c r="X63" s="21"/>
      <c r="Y63" s="21"/>
      <c r="Z63" s="21"/>
      <c r="AA63" s="38">
        <f t="shared" si="13"/>
        <v>3011.6</v>
      </c>
      <c r="AB63" s="17">
        <f t="shared" si="14"/>
        <v>2.3273197737585523E-4</v>
      </c>
      <c r="AD63" s="21">
        <v>2000</v>
      </c>
      <c r="AE63" s="17">
        <f t="shared" si="15"/>
        <v>1.2053274421269713E-4</v>
      </c>
      <c r="AF63" s="50">
        <f t="shared" si="16"/>
        <v>1011.5999999999999</v>
      </c>
      <c r="AG63" s="21"/>
      <c r="AH63" s="17" t="str">
        <f t="shared" si="17"/>
        <v/>
      </c>
      <c r="AI63" s="50">
        <f t="shared" si="18"/>
        <v>3011.6</v>
      </c>
      <c r="AJ63" s="399">
        <f t="shared" si="19"/>
        <v>6.2507264425072637E-2</v>
      </c>
      <c r="AK63" s="400">
        <f t="shared" si="20"/>
        <v>4.1511000415110001E-2</v>
      </c>
      <c r="AL63" s="401">
        <f t="shared" si="21"/>
        <v>0</v>
      </c>
      <c r="AM63" s="402" t="str">
        <f t="shared" si="22"/>
        <v>0.01 pts.</v>
      </c>
      <c r="AN63" s="403">
        <f t="shared" si="23"/>
        <v>0</v>
      </c>
    </row>
    <row r="64" spans="1:40" x14ac:dyDescent="0.25">
      <c r="A64" s="6" t="s">
        <v>30</v>
      </c>
      <c r="B64" s="7" t="s">
        <v>78</v>
      </c>
      <c r="H64" s="15" t="s">
        <v>942</v>
      </c>
      <c r="I64" s="161" t="s">
        <v>1009</v>
      </c>
      <c r="J64" s="161" t="s">
        <v>1009</v>
      </c>
      <c r="K64" s="68" t="str">
        <f t="shared" si="12"/>
        <v/>
      </c>
      <c r="L64" s="162">
        <v>711400</v>
      </c>
      <c r="M64" s="162">
        <v>690674</v>
      </c>
      <c r="N64" s="162" t="s">
        <v>1764</v>
      </c>
      <c r="O64" s="21">
        <v>170.7</v>
      </c>
      <c r="P64" s="21">
        <v>72.69</v>
      </c>
      <c r="Q64" s="21">
        <v>61.9</v>
      </c>
      <c r="R64" s="21">
        <v>248.19</v>
      </c>
      <c r="S64" s="21">
        <v>216.09</v>
      </c>
      <c r="T64" s="21">
        <v>46.19</v>
      </c>
      <c r="U64" s="21">
        <v>326.12</v>
      </c>
      <c r="V64" s="21"/>
      <c r="W64" s="21"/>
      <c r="X64" s="21">
        <v>1601.53</v>
      </c>
      <c r="Y64" s="21">
        <v>225.97</v>
      </c>
      <c r="Z64" s="21">
        <v>100.92</v>
      </c>
      <c r="AA64" s="38">
        <f t="shared" si="13"/>
        <v>3070.2999999999997</v>
      </c>
      <c r="AB64" s="17">
        <f t="shared" si="14"/>
        <v>2.3726822623757745E-4</v>
      </c>
      <c r="AD64" s="21">
        <v>3300</v>
      </c>
      <c r="AE64" s="17">
        <f t="shared" si="15"/>
        <v>1.9887902795095026E-4</v>
      </c>
      <c r="AF64" s="50">
        <f t="shared" si="16"/>
        <v>-229.70000000000027</v>
      </c>
      <c r="AG64" s="21">
        <v>1840.22</v>
      </c>
      <c r="AH64" s="17">
        <f t="shared" si="17"/>
        <v>1.2490684683747958E-4</v>
      </c>
      <c r="AI64" s="50">
        <f t="shared" si="18"/>
        <v>1230.0799999999997</v>
      </c>
      <c r="AJ64" s="399">
        <f t="shared" si="19"/>
        <v>6.3725612287256123E-2</v>
      </c>
      <c r="AK64" s="400">
        <f t="shared" si="20"/>
        <v>6.8493150684931503E-2</v>
      </c>
      <c r="AL64" s="401">
        <f t="shared" si="21"/>
        <v>3.8194686591946865E-2</v>
      </c>
      <c r="AM64" s="402" t="str">
        <f t="shared" si="22"/>
        <v>0 pts.</v>
      </c>
      <c r="AN64" s="403" t="str">
        <f t="shared" si="23"/>
        <v>0.01 pts.</v>
      </c>
    </row>
    <row r="65" spans="1:40" x14ac:dyDescent="0.25">
      <c r="A65" s="6" t="s">
        <v>31</v>
      </c>
      <c r="B65" s="7" t="s">
        <v>78</v>
      </c>
      <c r="H65" s="15" t="s">
        <v>943</v>
      </c>
      <c r="I65" s="161" t="s">
        <v>1009</v>
      </c>
      <c r="J65" s="161" t="s">
        <v>78</v>
      </c>
      <c r="K65" s="68" t="str">
        <f t="shared" si="12"/>
        <v/>
      </c>
      <c r="L65" s="162">
        <v>712100</v>
      </c>
      <c r="M65" s="162"/>
      <c r="N65" s="162" t="s">
        <v>1765</v>
      </c>
      <c r="O65" s="21"/>
      <c r="P65" s="21"/>
      <c r="Q65" s="21"/>
      <c r="R65" s="21"/>
      <c r="S65" s="21"/>
      <c r="T65" s="21"/>
      <c r="U65" s="21"/>
      <c r="V65" s="21"/>
      <c r="W65" s="21"/>
      <c r="X65" s="21"/>
      <c r="Y65" s="21"/>
      <c r="Z65" s="21"/>
      <c r="AA65" s="38">
        <f t="shared" si="13"/>
        <v>0</v>
      </c>
      <c r="AB65" s="17" t="str">
        <f t="shared" si="14"/>
        <v/>
      </c>
      <c r="AD65" s="21">
        <v>300</v>
      </c>
      <c r="AE65" s="17">
        <f t="shared" si="15"/>
        <v>1.8079911631904569E-5</v>
      </c>
      <c r="AF65" s="50">
        <f t="shared" si="16"/>
        <v>-300</v>
      </c>
      <c r="AG65" s="21"/>
      <c r="AH65" s="17" t="str">
        <f t="shared" si="17"/>
        <v/>
      </c>
      <c r="AI65" s="50">
        <f t="shared" si="18"/>
        <v>0</v>
      </c>
      <c r="AJ65" s="399">
        <f t="shared" si="19"/>
        <v>0</v>
      </c>
      <c r="AK65" s="400">
        <f t="shared" si="20"/>
        <v>6.2266500622665004E-3</v>
      </c>
      <c r="AL65" s="401">
        <f t="shared" si="21"/>
        <v>0</v>
      </c>
      <c r="AM65" s="402">
        <f t="shared" si="22"/>
        <v>0</v>
      </c>
      <c r="AN65" s="403">
        <f t="shared" si="23"/>
        <v>0</v>
      </c>
    </row>
    <row r="66" spans="1:40" x14ac:dyDescent="0.25">
      <c r="A66" s="6" t="s">
        <v>32</v>
      </c>
      <c r="B66" s="7"/>
      <c r="H66" s="15" t="s">
        <v>944</v>
      </c>
      <c r="I66" s="161" t="s">
        <v>1009</v>
      </c>
      <c r="J66" s="161" t="s">
        <v>1009</v>
      </c>
      <c r="K66" s="68" t="str">
        <f t="shared" si="12"/>
        <v/>
      </c>
      <c r="L66" s="162">
        <v>712200</v>
      </c>
      <c r="M66" s="162">
        <v>690533</v>
      </c>
      <c r="N66" s="162" t="s">
        <v>1766</v>
      </c>
      <c r="O66" s="21"/>
      <c r="P66" s="21"/>
      <c r="Q66" s="21"/>
      <c r="R66" s="21">
        <v>176.57</v>
      </c>
      <c r="S66" s="21"/>
      <c r="T66" s="21"/>
      <c r="U66" s="21"/>
      <c r="V66" s="21"/>
      <c r="W66" s="21"/>
      <c r="X66" s="21"/>
      <c r="Y66" s="21"/>
      <c r="Z66" s="21"/>
      <c r="AA66" s="38">
        <f t="shared" si="13"/>
        <v>176.57</v>
      </c>
      <c r="AB66" s="17">
        <f t="shared" si="14"/>
        <v>1.3645067487466715E-5</v>
      </c>
      <c r="AD66" s="21"/>
      <c r="AE66" s="17" t="str">
        <f t="shared" si="15"/>
        <v/>
      </c>
      <c r="AF66" s="50">
        <f t="shared" si="16"/>
        <v>176.57</v>
      </c>
      <c r="AG66" s="21"/>
      <c r="AH66" s="17" t="str">
        <f t="shared" si="17"/>
        <v/>
      </c>
      <c r="AI66" s="50">
        <f t="shared" si="18"/>
        <v>176.57</v>
      </c>
      <c r="AJ66" s="399">
        <f t="shared" si="19"/>
        <v>3.6647986716479867E-3</v>
      </c>
      <c r="AK66" s="400">
        <f t="shared" si="20"/>
        <v>0</v>
      </c>
      <c r="AL66" s="401">
        <f t="shared" si="21"/>
        <v>0</v>
      </c>
      <c r="AM66" s="402">
        <f t="shared" si="22"/>
        <v>0</v>
      </c>
      <c r="AN66" s="403">
        <f t="shared" si="23"/>
        <v>0</v>
      </c>
    </row>
    <row r="67" spans="1:40" x14ac:dyDescent="0.25">
      <c r="A67" s="6" t="s">
        <v>33</v>
      </c>
      <c r="B67" s="7"/>
      <c r="H67" s="15" t="s">
        <v>945</v>
      </c>
      <c r="I67" s="161" t="s">
        <v>1009</v>
      </c>
      <c r="J67" s="161" t="s">
        <v>1009</v>
      </c>
      <c r="K67" s="68" t="str">
        <f t="shared" si="12"/>
        <v/>
      </c>
      <c r="L67" s="162">
        <v>712400</v>
      </c>
      <c r="M67" s="162">
        <v>690655</v>
      </c>
      <c r="N67" s="162" t="s">
        <v>1767</v>
      </c>
      <c r="O67" s="21">
        <v>2983.34</v>
      </c>
      <c r="P67" s="21">
        <v>2818.33</v>
      </c>
      <c r="Q67" s="21">
        <v>3218.33</v>
      </c>
      <c r="R67" s="21">
        <v>4435</v>
      </c>
      <c r="S67" s="21">
        <v>2775</v>
      </c>
      <c r="T67" s="21">
        <v>2666.67</v>
      </c>
      <c r="U67" s="21">
        <v>3625</v>
      </c>
      <c r="V67" s="21">
        <v>2625</v>
      </c>
      <c r="W67" s="21">
        <v>3035</v>
      </c>
      <c r="X67" s="21">
        <v>2666.68</v>
      </c>
      <c r="Y67" s="21">
        <v>2566.66</v>
      </c>
      <c r="Z67" s="21">
        <v>-148.34</v>
      </c>
      <c r="AA67" s="38">
        <f t="shared" si="13"/>
        <v>33266.67</v>
      </c>
      <c r="AB67" s="17">
        <f t="shared" si="14"/>
        <v>2.5707988742894282E-3</v>
      </c>
      <c r="AD67" s="21">
        <v>36335</v>
      </c>
      <c r="AE67" s="17">
        <f t="shared" si="15"/>
        <v>2.1897786304841751E-3</v>
      </c>
      <c r="AF67" s="50">
        <f t="shared" si="16"/>
        <v>-3068.3300000000017</v>
      </c>
      <c r="AG67" s="21">
        <v>36892.089999999997</v>
      </c>
      <c r="AH67" s="17">
        <f t="shared" si="17"/>
        <v>2.5040889867214309E-3</v>
      </c>
      <c r="AI67" s="50">
        <f t="shared" si="18"/>
        <v>-3625.4199999999983</v>
      </c>
      <c r="AJ67" s="399">
        <f t="shared" si="19"/>
        <v>0.69046637608966377</v>
      </c>
      <c r="AK67" s="400">
        <f t="shared" si="20"/>
        <v>0.75415110004151098</v>
      </c>
      <c r="AL67" s="401">
        <f t="shared" si="21"/>
        <v>0.76571378165213777</v>
      </c>
      <c r="AM67" s="402" t="str">
        <f t="shared" si="22"/>
        <v>0.04 pts.</v>
      </c>
      <c r="AN67" s="403" t="str">
        <f t="shared" si="23"/>
        <v>0.01 pts.</v>
      </c>
    </row>
    <row r="68" spans="1:40" x14ac:dyDescent="0.25">
      <c r="A68" s="6" t="s">
        <v>34</v>
      </c>
      <c r="B68" s="7"/>
      <c r="H68" s="15" t="s">
        <v>946</v>
      </c>
      <c r="I68" s="161" t="s">
        <v>1058</v>
      </c>
      <c r="J68" s="161" t="s">
        <v>78</v>
      </c>
      <c r="K68" s="68" t="str">
        <f t="shared" si="12"/>
        <v>&gt;</v>
      </c>
      <c r="L68" s="162">
        <v>712600</v>
      </c>
      <c r="M68" s="162"/>
      <c r="N68" s="162" t="s">
        <v>1768</v>
      </c>
      <c r="O68" s="21">
        <v>6359.03</v>
      </c>
      <c r="P68" s="21">
        <v>3553.07</v>
      </c>
      <c r="Q68" s="21">
        <v>13309.77</v>
      </c>
      <c r="R68" s="21">
        <v>4599.22</v>
      </c>
      <c r="S68" s="21">
        <v>7268.65</v>
      </c>
      <c r="T68" s="21">
        <v>13039.02</v>
      </c>
      <c r="U68" s="21">
        <v>7969.46</v>
      </c>
      <c r="V68" s="21">
        <v>10882.64</v>
      </c>
      <c r="W68" s="21">
        <v>17432.8</v>
      </c>
      <c r="X68" s="21">
        <v>8542.23</v>
      </c>
      <c r="Y68" s="21">
        <v>9648.73</v>
      </c>
      <c r="Z68" s="21">
        <v>13677.99</v>
      </c>
      <c r="AA68" s="38">
        <f t="shared" si="13"/>
        <v>116282.61000000002</v>
      </c>
      <c r="AB68" s="17">
        <f t="shared" si="14"/>
        <v>8.9861474829742993E-3</v>
      </c>
      <c r="AD68" s="21">
        <v>115355</v>
      </c>
      <c r="AE68" s="17">
        <f t="shared" si="15"/>
        <v>6.9520273543278383E-3</v>
      </c>
      <c r="AF68" s="50">
        <f t="shared" si="16"/>
        <v>927.61000000001513</v>
      </c>
      <c r="AG68" s="21">
        <v>121737.84</v>
      </c>
      <c r="AH68" s="17">
        <f t="shared" si="17"/>
        <v>8.2630825310047677E-3</v>
      </c>
      <c r="AI68" s="50">
        <f t="shared" si="18"/>
        <v>-5455.2299999999814</v>
      </c>
      <c r="AJ68" s="399">
        <f t="shared" si="19"/>
        <v>2.4135037359900378</v>
      </c>
      <c r="AK68" s="400">
        <f t="shared" si="20"/>
        <v>2.3942507264425075</v>
      </c>
      <c r="AL68" s="401">
        <f t="shared" si="21"/>
        <v>2.5267297633872974</v>
      </c>
      <c r="AM68" s="402" t="str">
        <f t="shared" si="22"/>
        <v>0.2 pts.</v>
      </c>
      <c r="AN68" s="403" t="str">
        <f t="shared" si="23"/>
        <v>0.07 pts.</v>
      </c>
    </row>
    <row r="69" spans="1:40" x14ac:dyDescent="0.25">
      <c r="A69" s="6" t="s">
        <v>35</v>
      </c>
      <c r="B69" s="7"/>
      <c r="H69" s="15" t="s">
        <v>947</v>
      </c>
      <c r="I69" s="161" t="s">
        <v>1009</v>
      </c>
      <c r="J69" s="161" t="s">
        <v>1009</v>
      </c>
      <c r="K69" s="68" t="str">
        <f t="shared" si="12"/>
        <v/>
      </c>
      <c r="L69" s="162">
        <v>712800</v>
      </c>
      <c r="M69" s="162">
        <v>690953</v>
      </c>
      <c r="N69" s="162" t="s">
        <v>1769</v>
      </c>
      <c r="O69" s="21">
        <v>833.53</v>
      </c>
      <c r="P69" s="21">
        <v>833.53</v>
      </c>
      <c r="Q69" s="21">
        <v>833.6</v>
      </c>
      <c r="R69" s="21">
        <v>833.53</v>
      </c>
      <c r="S69" s="21">
        <v>833.53</v>
      </c>
      <c r="T69" s="21">
        <v>1730.53</v>
      </c>
      <c r="U69" s="21">
        <v>362.28</v>
      </c>
      <c r="V69" s="21">
        <v>661.28</v>
      </c>
      <c r="W69" s="21">
        <v>960.28</v>
      </c>
      <c r="X69" s="21">
        <v>2654.56</v>
      </c>
      <c r="Y69" s="21">
        <v>820.12</v>
      </c>
      <c r="Z69" s="21">
        <v>622.12</v>
      </c>
      <c r="AA69" s="38">
        <f t="shared" si="13"/>
        <v>11978.89</v>
      </c>
      <c r="AB69" s="17">
        <f t="shared" si="14"/>
        <v>9.2571083691986268E-4</v>
      </c>
      <c r="AD69" s="21">
        <v>8792.9999999995998</v>
      </c>
      <c r="AE69" s="17">
        <f t="shared" si="15"/>
        <v>5.2992220993109882E-4</v>
      </c>
      <c r="AF69" s="50">
        <f t="shared" si="16"/>
        <v>3185.8900000003996</v>
      </c>
      <c r="AG69" s="21">
        <v>13288.3</v>
      </c>
      <c r="AH69" s="17">
        <f t="shared" si="17"/>
        <v>9.0195718600519497E-4</v>
      </c>
      <c r="AI69" s="50">
        <f t="shared" si="18"/>
        <v>-1309.4099999999999</v>
      </c>
      <c r="AJ69" s="399">
        <f t="shared" si="19"/>
        <v>0.24862785388127853</v>
      </c>
      <c r="AK69" s="400">
        <f t="shared" si="20"/>
        <v>0.18250311332502284</v>
      </c>
      <c r="AL69" s="401">
        <f t="shared" si="21"/>
        <v>0.27580531340805314</v>
      </c>
      <c r="AM69" s="402" t="str">
        <f t="shared" si="22"/>
        <v>0.04 pts.</v>
      </c>
      <c r="AN69" s="403" t="str">
        <f t="shared" si="23"/>
        <v>0 pts.</v>
      </c>
    </row>
    <row r="70" spans="1:40" x14ac:dyDescent="0.25">
      <c r="A70" s="6" t="s">
        <v>36</v>
      </c>
      <c r="B70" s="7"/>
      <c r="H70" s="15" t="s">
        <v>948</v>
      </c>
      <c r="I70" s="161" t="s">
        <v>1009</v>
      </c>
      <c r="J70" s="161" t="s">
        <v>1009</v>
      </c>
      <c r="K70" s="68" t="str">
        <f t="shared" si="12"/>
        <v/>
      </c>
      <c r="L70" s="162">
        <v>712900</v>
      </c>
      <c r="M70" s="162">
        <v>690540</v>
      </c>
      <c r="N70" s="162" t="s">
        <v>1770</v>
      </c>
      <c r="O70" s="21"/>
      <c r="P70" s="21"/>
      <c r="Q70" s="21">
        <v>224</v>
      </c>
      <c r="R70" s="21">
        <v>1271.26</v>
      </c>
      <c r="S70" s="21">
        <v>12625.17</v>
      </c>
      <c r="T70" s="21">
        <v>3475</v>
      </c>
      <c r="U70" s="21"/>
      <c r="V70" s="21">
        <v>1600</v>
      </c>
      <c r="W70" s="21"/>
      <c r="X70" s="21"/>
      <c r="Y70" s="21"/>
      <c r="Z70" s="21"/>
      <c r="AA70" s="38">
        <f t="shared" si="13"/>
        <v>19195.43</v>
      </c>
      <c r="AB70" s="17">
        <f t="shared" si="14"/>
        <v>1.483394335396405E-3</v>
      </c>
      <c r="AD70" s="21">
        <v>14100</v>
      </c>
      <c r="AE70" s="17">
        <f t="shared" si="15"/>
        <v>8.4975584669951475E-4</v>
      </c>
      <c r="AF70" s="50">
        <f t="shared" si="16"/>
        <v>5095.43</v>
      </c>
      <c r="AG70" s="21">
        <v>6400</v>
      </c>
      <c r="AH70" s="17">
        <f t="shared" si="17"/>
        <v>4.3440665776910874E-4</v>
      </c>
      <c r="AI70" s="50">
        <f t="shared" si="18"/>
        <v>12795.43</v>
      </c>
      <c r="AJ70" s="399">
        <f t="shared" si="19"/>
        <v>0.39841075134910753</v>
      </c>
      <c r="AK70" s="400">
        <f t="shared" si="20"/>
        <v>0.29265255292652553</v>
      </c>
      <c r="AL70" s="401">
        <f t="shared" si="21"/>
        <v>0.13283520132835203</v>
      </c>
      <c r="AM70" s="402" t="str">
        <f t="shared" si="22"/>
        <v>0.06 pts.</v>
      </c>
      <c r="AN70" s="403" t="str">
        <f t="shared" si="23"/>
        <v>0.1 pts.</v>
      </c>
    </row>
    <row r="71" spans="1:40" x14ac:dyDescent="0.25">
      <c r="A71" s="6" t="s">
        <v>37</v>
      </c>
      <c r="B71" s="7"/>
      <c r="H71" s="15" t="s">
        <v>949</v>
      </c>
      <c r="I71" s="161" t="s">
        <v>1058</v>
      </c>
      <c r="J71" s="161" t="s">
        <v>78</v>
      </c>
      <c r="K71" s="68" t="str">
        <f t="shared" si="12"/>
        <v>&gt;</v>
      </c>
      <c r="L71" s="162">
        <v>713000</v>
      </c>
      <c r="M71" s="162"/>
      <c r="N71" s="162" t="s">
        <v>1771</v>
      </c>
      <c r="O71" s="21">
        <v>13533.21</v>
      </c>
      <c r="P71" s="21">
        <v>16121.2</v>
      </c>
      <c r="Q71" s="21">
        <v>12042.99</v>
      </c>
      <c r="R71" s="21">
        <v>14604.85</v>
      </c>
      <c r="S71" s="21">
        <v>10027.969999999999</v>
      </c>
      <c r="T71" s="21">
        <v>8858.2099999999991</v>
      </c>
      <c r="U71" s="21">
        <v>8175.72</v>
      </c>
      <c r="V71" s="21">
        <v>6478.05</v>
      </c>
      <c r="W71" s="21">
        <v>6292.65</v>
      </c>
      <c r="X71" s="21">
        <v>4773.54</v>
      </c>
      <c r="Y71" s="21">
        <v>6325.75</v>
      </c>
      <c r="Z71" s="21">
        <v>11647.93</v>
      </c>
      <c r="AA71" s="38">
        <f t="shared" si="13"/>
        <v>118882.06999999998</v>
      </c>
      <c r="AB71" s="17">
        <f t="shared" si="14"/>
        <v>9.1870298929588364E-3</v>
      </c>
      <c r="AD71" s="21">
        <v>117137.5</v>
      </c>
      <c r="AE71" s="17">
        <f t="shared" si="15"/>
        <v>7.0594521626074049E-3</v>
      </c>
      <c r="AF71" s="50">
        <f t="shared" si="16"/>
        <v>1744.5699999999779</v>
      </c>
      <c r="AG71" s="21">
        <v>119732.4</v>
      </c>
      <c r="AH71" s="17">
        <f t="shared" si="17"/>
        <v>8.1269612047928184E-3</v>
      </c>
      <c r="AI71" s="50">
        <f t="shared" si="18"/>
        <v>-850.3300000000163</v>
      </c>
      <c r="AJ71" s="399">
        <f t="shared" si="19"/>
        <v>2.4674568285595679</v>
      </c>
      <c r="AK71" s="400">
        <f t="shared" si="20"/>
        <v>2.4312474055624742</v>
      </c>
      <c r="AL71" s="401">
        <f t="shared" si="21"/>
        <v>2.4851058530510586</v>
      </c>
      <c r="AM71" s="402" t="str">
        <f t="shared" si="22"/>
        <v>0.21 pts.</v>
      </c>
      <c r="AN71" s="403" t="str">
        <f t="shared" si="23"/>
        <v>0.11 pts.</v>
      </c>
    </row>
    <row r="72" spans="1:40" x14ac:dyDescent="0.25">
      <c r="A72" s="6" t="s">
        <v>38</v>
      </c>
      <c r="B72" s="7"/>
      <c r="H72" s="15" t="s">
        <v>950</v>
      </c>
      <c r="I72" s="161" t="s">
        <v>1009</v>
      </c>
      <c r="J72" s="161" t="s">
        <v>1009</v>
      </c>
      <c r="K72" s="68" t="str">
        <f t="shared" si="12"/>
        <v/>
      </c>
      <c r="L72" s="162">
        <v>713100</v>
      </c>
      <c r="M72" s="162">
        <v>690799</v>
      </c>
      <c r="N72" s="162" t="s">
        <v>1772</v>
      </c>
      <c r="O72" s="21">
        <v>2750</v>
      </c>
      <c r="P72" s="21">
        <v>3235.94</v>
      </c>
      <c r="Q72" s="21">
        <v>6502.97</v>
      </c>
      <c r="R72" s="21">
        <v>3250</v>
      </c>
      <c r="S72" s="21">
        <v>3508.91</v>
      </c>
      <c r="T72" s="21">
        <v>3002.97</v>
      </c>
      <c r="U72" s="21">
        <v>3752.97</v>
      </c>
      <c r="V72" s="21">
        <v>6029.42</v>
      </c>
      <c r="W72" s="21">
        <v>3756.48</v>
      </c>
      <c r="X72" s="21">
        <v>6122.49</v>
      </c>
      <c r="Y72" s="21">
        <v>5100</v>
      </c>
      <c r="Z72" s="21">
        <v>5432.96</v>
      </c>
      <c r="AA72" s="38">
        <f t="shared" si="13"/>
        <v>52445.11</v>
      </c>
      <c r="AB72" s="17">
        <f t="shared" si="14"/>
        <v>4.0528802477069461E-3</v>
      </c>
      <c r="AD72" s="21">
        <v>46500</v>
      </c>
      <c r="AE72" s="17">
        <f t="shared" si="15"/>
        <v>2.802386302945208E-3</v>
      </c>
      <c r="AF72" s="50">
        <f t="shared" si="16"/>
        <v>5945.1100000000006</v>
      </c>
      <c r="AG72" s="21">
        <v>91324.89</v>
      </c>
      <c r="AH72" s="17">
        <f t="shared" si="17"/>
        <v>6.1987719118799219E-3</v>
      </c>
      <c r="AI72" s="50">
        <f t="shared" si="18"/>
        <v>-38879.78</v>
      </c>
      <c r="AJ72" s="399">
        <f t="shared" si="19"/>
        <v>1.088524491490245</v>
      </c>
      <c r="AK72" s="400">
        <f t="shared" si="20"/>
        <v>0.96513075965130757</v>
      </c>
      <c r="AL72" s="401">
        <f t="shared" si="21"/>
        <v>1.8954937733499377</v>
      </c>
      <c r="AM72" s="402" t="str">
        <f t="shared" si="22"/>
        <v>0.13 pts.</v>
      </c>
      <c r="AN72" s="403" t="str">
        <f t="shared" si="23"/>
        <v>-0.21 pts.</v>
      </c>
    </row>
    <row r="73" spans="1:40" x14ac:dyDescent="0.25">
      <c r="A73" s="6" t="s">
        <v>39</v>
      </c>
      <c r="B73" s="7"/>
      <c r="H73" s="15" t="s">
        <v>79</v>
      </c>
      <c r="I73" s="27" t="s">
        <v>1012</v>
      </c>
      <c r="J73" s="27" t="s">
        <v>78</v>
      </c>
      <c r="K73" s="26"/>
      <c r="N73" s="25" t="s">
        <v>1116</v>
      </c>
      <c r="O73" s="33">
        <v>57432.31</v>
      </c>
      <c r="P73" s="33">
        <v>58147.42</v>
      </c>
      <c r="Q73" s="33">
        <v>66235.16</v>
      </c>
      <c r="R73" s="33">
        <v>57511.89</v>
      </c>
      <c r="S73" s="33">
        <v>60668.81</v>
      </c>
      <c r="T73" s="33">
        <v>62277.34</v>
      </c>
      <c r="U73" s="33">
        <v>46246.21</v>
      </c>
      <c r="V73" s="33">
        <v>44011.92</v>
      </c>
      <c r="W73" s="33">
        <v>47883.22</v>
      </c>
      <c r="X73" s="33">
        <v>47458.04</v>
      </c>
      <c r="Y73" s="33">
        <v>43884.76</v>
      </c>
      <c r="Z73" s="33">
        <v>66045.850000000006</v>
      </c>
      <c r="AA73" s="33">
        <f t="shared" si="13"/>
        <v>657802.93000000005</v>
      </c>
      <c r="AB73" s="34">
        <f t="shared" si="14"/>
        <v>5.0834033942931102E-2</v>
      </c>
      <c r="AD73" s="33">
        <v>665230.79740000097</v>
      </c>
      <c r="AE73" s="34">
        <f t="shared" si="15"/>
        <v>4.0091046772711428E-2</v>
      </c>
      <c r="AF73" s="52">
        <f t="shared" si="16"/>
        <v>-7427.8674000009196</v>
      </c>
      <c r="AG73" s="33">
        <v>707869.86</v>
      </c>
      <c r="AH73" s="34">
        <f t="shared" si="17"/>
        <v>4.8047403127826079E-2</v>
      </c>
      <c r="AI73" s="52">
        <f t="shared" si="18"/>
        <v>-50066.929999999935</v>
      </c>
      <c r="AJ73" s="415">
        <f t="shared" si="19"/>
        <v>13.65302885014529</v>
      </c>
      <c r="AK73" s="416">
        <f t="shared" si="20"/>
        <v>13.8071979535077</v>
      </c>
      <c r="AL73" s="417">
        <f t="shared" si="21"/>
        <v>14.69219302615193</v>
      </c>
      <c r="AM73" s="418" t="str">
        <f t="shared" si="22"/>
        <v>1.07 pts.</v>
      </c>
      <c r="AN73" s="436" t="str">
        <f t="shared" si="23"/>
        <v>0.28 pts.</v>
      </c>
    </row>
    <row r="74" spans="1:40" x14ac:dyDescent="0.25">
      <c r="A74" s="6" t="s">
        <v>40</v>
      </c>
      <c r="B74" s="7"/>
    </row>
    <row r="75" spans="1:40" x14ac:dyDescent="0.25">
      <c r="A75" s="6" t="s">
        <v>41</v>
      </c>
      <c r="B75" s="7"/>
      <c r="H75" s="15" t="s">
        <v>80</v>
      </c>
      <c r="I75" s="27" t="s">
        <v>1012</v>
      </c>
      <c r="J75" s="27" t="s">
        <v>78</v>
      </c>
      <c r="K75" s="25"/>
      <c r="N75" s="25" t="s">
        <v>1117</v>
      </c>
      <c r="O75" s="36">
        <v>96911.83</v>
      </c>
      <c r="P75" s="36">
        <v>100822.98</v>
      </c>
      <c r="Q75" s="36">
        <v>117163.84</v>
      </c>
      <c r="R75" s="36">
        <v>110587.55</v>
      </c>
      <c r="S75" s="36">
        <v>102044.08</v>
      </c>
      <c r="T75" s="36">
        <v>107479.52</v>
      </c>
      <c r="U75" s="36">
        <v>86703.54</v>
      </c>
      <c r="V75" s="36">
        <v>86089.7</v>
      </c>
      <c r="W75" s="36">
        <v>87934.38</v>
      </c>
      <c r="X75" s="36">
        <v>90430.13</v>
      </c>
      <c r="Y75" s="36">
        <v>78008.490000000005</v>
      </c>
      <c r="Z75" s="36">
        <v>118170.36</v>
      </c>
      <c r="AA75" s="36">
        <f>IF($I75="B1","",SUM(O75:Z75))</f>
        <v>1182346.4000000001</v>
      </c>
      <c r="AB75" s="37">
        <f>IF(AA75=0,"",IFERROR(AA75/AA$19,""))</f>
        <v>9.136997463648025E-2</v>
      </c>
      <c r="AD75" s="36">
        <v>1242154.97350971</v>
      </c>
      <c r="AE75" s="37">
        <f>IF(AD75=0,"",IFERROR(AD75/AD$19,""))</f>
        <v>7.4860173847287728E-2</v>
      </c>
      <c r="AF75" s="59">
        <f>IF(AND($AA75="",AD75=""),"",$AA75-AD75)</f>
        <v>-59808.57350970991</v>
      </c>
      <c r="AG75" s="60">
        <v>1147796.1200000001</v>
      </c>
      <c r="AH75" s="61">
        <f>IF(AG75=0,"",IFERROR(AG75/AG$19,""))</f>
        <v>7.7907855670242332E-2</v>
      </c>
      <c r="AI75" s="59">
        <f>IF(AND($AA75="",AG75=""),"",$AA75-AG75)</f>
        <v>34550.280000000028</v>
      </c>
      <c r="AJ75" s="392">
        <f>IFERROR(AA75/AA$20,0)</f>
        <v>24.540190950601911</v>
      </c>
      <c r="AK75" s="393">
        <f>IFERROR(AD75/AD$20,0)</f>
        <v>25.781547810496264</v>
      </c>
      <c r="AL75" s="394">
        <f>IFERROR(AG75/AG$20,0)</f>
        <v>23.823082606890829</v>
      </c>
      <c r="AM75" s="395" t="str">
        <f>+IFERROR(ROUND(($AB75-AE75)*100,2)&amp;" pts.",0)</f>
        <v>1.65 pts.</v>
      </c>
      <c r="AN75" s="437" t="str">
        <f>+IFERROR(ROUND(($AB75-AH75)*100,2)&amp;" pts.",0)</f>
        <v>1.35 pts.</v>
      </c>
    </row>
    <row r="76" spans="1:40" ht="15.75" thickBot="1" x14ac:dyDescent="0.3">
      <c r="A76" s="6" t="s">
        <v>42</v>
      </c>
      <c r="B76" s="7"/>
      <c r="H76" s="15" t="s">
        <v>81</v>
      </c>
      <c r="I76" s="27" t="s">
        <v>1012</v>
      </c>
      <c r="J76" s="27" t="s">
        <v>78</v>
      </c>
      <c r="K76" s="25"/>
      <c r="N76" s="25" t="s">
        <v>1118</v>
      </c>
      <c r="O76" s="62">
        <v>-96911.83</v>
      </c>
      <c r="P76" s="62">
        <v>-100822.98</v>
      </c>
      <c r="Q76" s="62">
        <v>-117163.84</v>
      </c>
      <c r="R76" s="62">
        <v>-110587.55</v>
      </c>
      <c r="S76" s="62">
        <v>-102044.08</v>
      </c>
      <c r="T76" s="62">
        <v>-107479.52</v>
      </c>
      <c r="U76" s="62">
        <v>-86703.54</v>
      </c>
      <c r="V76" s="62">
        <v>-86089.7</v>
      </c>
      <c r="W76" s="62">
        <v>-87934.38</v>
      </c>
      <c r="X76" s="62">
        <v>-90430.13</v>
      </c>
      <c r="Y76" s="62">
        <v>-78008.490000000005</v>
      </c>
      <c r="Z76" s="62">
        <v>-118170.36</v>
      </c>
      <c r="AA76" s="62">
        <f>IF($I76="B1","",SUM(O76:Z76))</f>
        <v>-1182346.4000000001</v>
      </c>
      <c r="AB76" s="63">
        <f>IF(AA76=0,"",IFERROR(AA76/AA$19,""))</f>
        <v>-9.136997463648025E-2</v>
      </c>
      <c r="AD76" s="62">
        <v>-1242154.97350971</v>
      </c>
      <c r="AE76" s="63">
        <f>IF(AD76=0,"",IFERROR(AD76/AD$19,""))</f>
        <v>-7.4860173847287728E-2</v>
      </c>
      <c r="AF76" s="64">
        <f>IF(AND($AA76="",AD76=""),"",$AA76-AD76)</f>
        <v>59808.57350970991</v>
      </c>
      <c r="AG76" s="62">
        <v>-1147796.1200000001</v>
      </c>
      <c r="AH76" s="63">
        <f>IF(AG76=0,"",IFERROR(AG76/AG$19,""))</f>
        <v>-7.7907855670242332E-2</v>
      </c>
      <c r="AI76" s="64">
        <f>IF(AND($AA76="",AG76=""),"",$AA76-AG76)</f>
        <v>-34550.280000000028</v>
      </c>
      <c r="AJ76" s="430">
        <f>IFERROR(AA76/AA$20,0)</f>
        <v>-24.540190950601911</v>
      </c>
      <c r="AK76" s="431">
        <f>IFERROR(AD76/AD$20,0)</f>
        <v>-25.781547810496264</v>
      </c>
      <c r="AL76" s="432">
        <f>IFERROR(AG76/AG$20,0)</f>
        <v>-23.823082606890829</v>
      </c>
      <c r="AM76" s="433" t="str">
        <f>+IFERROR(ROUND(($AB76-AE76)*100,2)&amp;" pts.",0)</f>
        <v>-1.65 pts.</v>
      </c>
      <c r="AN76" s="438" t="str">
        <f>+IFERROR(ROUND(($AB76-AH76)*100,2)&amp;" pts.",0)</f>
        <v>-1.35 pts.</v>
      </c>
    </row>
    <row r="77" spans="1:40" ht="15.75" thickTop="1" x14ac:dyDescent="0.25">
      <c r="A77" s="6" t="s">
        <v>43</v>
      </c>
      <c r="B77" s="7"/>
    </row>
    <row r="78" spans="1:40" x14ac:dyDescent="0.25">
      <c r="A78" s="6" t="s">
        <v>44</v>
      </c>
      <c r="B78" s="7"/>
      <c r="N78" s="26" t="str">
        <f>N75&amp;" - Check"</f>
        <v>Total Expenses - Check</v>
      </c>
      <c r="O78" s="139">
        <f t="shared" ref="O78:AA78" si="24">SUMIF($H$33:$H$76,"600000",O$33:O$76)+SUMIF($H$33:$H$76,"700000",O$33:O$76)-SUMIF($H$33:$H$76,"TOTDEPTEXP",O$33:O$76)</f>
        <v>0</v>
      </c>
      <c r="P78" s="139">
        <f t="shared" si="24"/>
        <v>0</v>
      </c>
      <c r="Q78" s="139">
        <f t="shared" si="24"/>
        <v>0</v>
      </c>
      <c r="R78" s="139">
        <f t="shared" si="24"/>
        <v>0</v>
      </c>
      <c r="S78" s="139">
        <f t="shared" si="24"/>
        <v>0</v>
      </c>
      <c r="T78" s="139">
        <f t="shared" si="24"/>
        <v>0</v>
      </c>
      <c r="U78" s="139">
        <f t="shared" si="24"/>
        <v>0</v>
      </c>
      <c r="V78" s="139">
        <f t="shared" si="24"/>
        <v>0</v>
      </c>
      <c r="W78" s="139">
        <f t="shared" si="24"/>
        <v>0</v>
      </c>
      <c r="X78" s="139">
        <f t="shared" si="24"/>
        <v>0</v>
      </c>
      <c r="Y78" s="139">
        <f t="shared" si="24"/>
        <v>0</v>
      </c>
      <c r="Z78" s="139">
        <f t="shared" si="24"/>
        <v>0</v>
      </c>
      <c r="AA78" s="139">
        <f t="shared" si="24"/>
        <v>0</v>
      </c>
      <c r="AB78" s="17"/>
      <c r="AD78" s="139">
        <f>SUMIF($H$33:$H$76,"600000",AD$33:AD$76)+SUMIF($H$33:$H$76,"700000",AD$33:AD$76)-SUMIF($H$33:$H$76,"TOTDEPTEXP",AD$33:AD$76)</f>
        <v>-5.1222741603851318E-9</v>
      </c>
      <c r="AE78" s="17"/>
      <c r="AF78" s="21"/>
      <c r="AG78" s="139">
        <f>SUMIF($H$33:$H$76,"600000",AG$33:AG$76)+SUMIF($H$33:$H$76,"700000",AG$33:AG$76)-SUMIF($H$33:$H$76,"TOTDEPTEXP",AG$33:AG$76)</f>
        <v>0</v>
      </c>
      <c r="AH78" s="17"/>
      <c r="AI78" s="21"/>
    </row>
    <row r="79" spans="1:40" x14ac:dyDescent="0.25">
      <c r="A79" s="6" t="s">
        <v>45</v>
      </c>
      <c r="B79" s="7"/>
      <c r="N79" s="26" t="str">
        <f>N76&amp;" - Check"</f>
        <v>Department Profit (Loss) - Check</v>
      </c>
      <c r="O79" s="139">
        <f t="shared" ref="O79:AA79" si="25">SUMIF($H$33:$H$76,"TOTDEPTEXP",O$33:O$76)+SUMIF($H$33:$H$76,"TOTDEPTPL",O$33:O$76)</f>
        <v>0</v>
      </c>
      <c r="P79" s="139">
        <f t="shared" si="25"/>
        <v>0</v>
      </c>
      <c r="Q79" s="139">
        <f t="shared" si="25"/>
        <v>0</v>
      </c>
      <c r="R79" s="139">
        <f t="shared" si="25"/>
        <v>0</v>
      </c>
      <c r="S79" s="139">
        <f t="shared" si="25"/>
        <v>0</v>
      </c>
      <c r="T79" s="139">
        <f t="shared" si="25"/>
        <v>0</v>
      </c>
      <c r="U79" s="139">
        <f t="shared" si="25"/>
        <v>0</v>
      </c>
      <c r="V79" s="139">
        <f t="shared" si="25"/>
        <v>0</v>
      </c>
      <c r="W79" s="139">
        <f t="shared" si="25"/>
        <v>0</v>
      </c>
      <c r="X79" s="139">
        <f t="shared" si="25"/>
        <v>0</v>
      </c>
      <c r="Y79" s="139">
        <f t="shared" si="25"/>
        <v>0</v>
      </c>
      <c r="Z79" s="139">
        <f t="shared" si="25"/>
        <v>0</v>
      </c>
      <c r="AA79" s="139">
        <f t="shared" si="25"/>
        <v>0</v>
      </c>
      <c r="AB79" s="17"/>
      <c r="AD79" s="139">
        <f>SUMIF($H$33:$H$76,"TOTDEPTEXP",AD$33:AD$76)+SUMIF($H$33:$H$76,"TOTDEPTPL",AD$33:AD$76)</f>
        <v>0</v>
      </c>
      <c r="AE79" s="17"/>
      <c r="AF79" s="21"/>
      <c r="AG79" s="139">
        <f>SUMIF($H$33:$H$76,"TOTDEPTEXP",AG$33:AG$76)+SUMIF($H$33:$H$76,"TOTDEPTPL",AG$33:AG$76)</f>
        <v>0</v>
      </c>
      <c r="AH79" s="17"/>
      <c r="AI79" s="21"/>
    </row>
    <row r="80" spans="1:40" x14ac:dyDescent="0.25">
      <c r="A80" s="6" t="s">
        <v>46</v>
      </c>
      <c r="B80" s="7"/>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row r="107" spans="8:10" x14ac:dyDescent="0.25">
      <c r="H107" s="11"/>
      <c r="J107" s="1"/>
    </row>
    <row r="108" spans="8:10" x14ac:dyDescent="0.25">
      <c r="H108" s="11"/>
      <c r="J108" s="1"/>
    </row>
  </sheetData>
  <mergeCells count="2">
    <mergeCell ref="AD31:AE31"/>
    <mergeCell ref="AG31:AH31"/>
  </mergeCells>
  <dataValidations count="2">
    <dataValidation type="list" allowBlank="1" sqref="B28" xr:uid="{00000000-0002-0000-5300-000000000000}">
      <formula1>"ACCOUNT,BUSINESSUNIT,CATEGORY,DATASRC,DEPARTMENT,INTCO,MEASURES,RPTCURRENCY,TIME"</formula1>
    </dataValidation>
    <dataValidation type="list" allowBlank="1" sqref="B29" xr:uid="{00000000-0002-0000-5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2739"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2739" r:id="rId5" name="FPMExcelClientSheetOptionstb1"/>
      </mc:Fallback>
    </mc:AlternateContent>
  </controls>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6">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513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_xll.EVRNG(H35:H36,H38:H47,H50:H71)</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735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855</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c r="P35" s="38">
        <v>9250</v>
      </c>
      <c r="Q35" s="38">
        <v>8750</v>
      </c>
      <c r="R35" s="38">
        <v>8750</v>
      </c>
      <c r="S35" s="38">
        <v>6327.26</v>
      </c>
      <c r="T35" s="38">
        <v>8750</v>
      </c>
      <c r="U35" s="38">
        <v>7942.64</v>
      </c>
      <c r="V35" s="38">
        <v>7134.79</v>
      </c>
      <c r="W35" s="38">
        <v>8346.32</v>
      </c>
      <c r="X35" s="38">
        <v>8750</v>
      </c>
      <c r="Y35" s="38">
        <v>7538.8</v>
      </c>
      <c r="Z35" s="38">
        <v>6731.11</v>
      </c>
      <c r="AA35" s="38" t="e">
        <f t="shared" ref="AA35:AA47" ca="1" si="0">IF($I35="B1","",SUM(O35:Z35))</f>
        <v>#NAME?</v>
      </c>
      <c r="AB35" s="39" t="e">
        <f t="shared" ref="AB35:AB47" ca="1" si="1">IF(AA35=0,"",IFERROR(AA35/AA$19,""))</f>
        <v>#NAME?</v>
      </c>
      <c r="AD35" s="21">
        <v>86291.978365436895</v>
      </c>
      <c r="AE35" s="17" t="str">
        <f t="shared" ref="AE35:AE47" ca="1" si="2">IF(AD35=0,"",IFERROR(AD35/AD$19,""))</f>
        <v/>
      </c>
      <c r="AF35" s="50" t="e">
        <f t="shared" ref="AF35:AF47" ca="1" si="3">IF(AND($AA35="",AD35=""),"",$AA35-AD35)</f>
        <v>#NAME?</v>
      </c>
      <c r="AG35" s="21">
        <v>75128</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8" t="e">
        <f t="shared" ca="1" si="0"/>
        <v>#NAME?</v>
      </c>
      <c r="AB36" s="39" t="e">
        <f t="shared" ca="1" si="1"/>
        <v>#NAME?</v>
      </c>
      <c r="AD36" s="21"/>
      <c r="AE36" s="17" t="str">
        <f t="shared" si="2"/>
        <v/>
      </c>
      <c r="AF36" s="50" t="e">
        <f t="shared" ca="1" si="3"/>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38" t="e">
        <f t="shared" ca="1" si="0"/>
        <v>#NAME?</v>
      </c>
      <c r="AB37" s="39" t="e">
        <f t="shared" ca="1" si="1"/>
        <v>#NAME?</v>
      </c>
      <c r="AD37" s="21"/>
      <c r="AE37" s="17" t="str">
        <f t="shared" si="2"/>
        <v/>
      </c>
      <c r="AF37" s="50" t="e">
        <f t="shared" ca="1" si="3"/>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x14ac:dyDescent="0.25">
      <c r="A38" s="1" t="s">
        <v>100</v>
      </c>
      <c r="C38" s="8" t="s">
        <v>101</v>
      </c>
      <c r="D38" s="1" t="s">
        <v>106</v>
      </c>
      <c r="F38" s="1" t="s">
        <v>98</v>
      </c>
      <c r="H38" s="15" t="s">
        <v>909</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11296.2</v>
      </c>
      <c r="P38" s="47">
        <v>10470.68</v>
      </c>
      <c r="Q38" s="47">
        <v>11489.32</v>
      </c>
      <c r="R38" s="47">
        <v>10789.36</v>
      </c>
      <c r="S38" s="47">
        <v>11226.72</v>
      </c>
      <c r="T38" s="47">
        <v>11383.44</v>
      </c>
      <c r="U38" s="47">
        <v>10195.09</v>
      </c>
      <c r="V38" s="47">
        <v>8087.39</v>
      </c>
      <c r="W38" s="47">
        <v>17231.36</v>
      </c>
      <c r="X38" s="47">
        <v>17838.16</v>
      </c>
      <c r="Y38" s="47">
        <v>16709</v>
      </c>
      <c r="Z38" s="47">
        <v>16675.669999999998</v>
      </c>
      <c r="AA38" s="47" t="e">
        <f t="shared" ca="1" si="0"/>
        <v>#NAME?</v>
      </c>
      <c r="AB38" s="48" t="e">
        <f t="shared" ca="1" si="1"/>
        <v>#NAME?</v>
      </c>
      <c r="AD38" s="30">
        <v>205820.714285714</v>
      </c>
      <c r="AE38" s="31" t="str">
        <f t="shared" ca="1" si="2"/>
        <v/>
      </c>
      <c r="AF38" s="51" t="e">
        <f t="shared" ca="1" si="3"/>
        <v>#NAME?</v>
      </c>
      <c r="AG38" s="30">
        <v>97280.3</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H39" s="15" t="s">
        <v>848</v>
      </c>
      <c r="I39" s="479" t="e">
        <f ca="1">_xll.EVPRO($B$1,$H39,"STYLE")</f>
        <v>#NAME?</v>
      </c>
      <c r="J39" s="479" t="e">
        <f ca="1">_xll.EVPRO($B$1,$H39,"CALC")</f>
        <v>#NAME?</v>
      </c>
      <c r="K39" s="480" t="e">
        <f t="shared" ref="K39:K47" ca="1" si="4">IF(AND(I39&gt;="T3"),"&gt;","")</f>
        <v>#NAME?</v>
      </c>
      <c r="L39" s="170" t="e">
        <f ca="1">_xll.EVPRO($B$1,H39,"JDEID")</f>
        <v>#NAME?</v>
      </c>
      <c r="M39" s="170" t="e">
        <f ca="1">IF(AND(I39="N",J39="N"),_xll.EVPRO($B$1,H39,"PSFTID"),"")</f>
        <v>#NAME?</v>
      </c>
      <c r="N39" s="170" t="e">
        <f ca="1">IF(_xll.EVDES(H39,$B$1)="#NODATA","",_xll.EVDES(H39,$B$1))</f>
        <v>#NAME?</v>
      </c>
      <c r="O39" s="134">
        <v>11296.2</v>
      </c>
      <c r="P39" s="134">
        <v>19720.68</v>
      </c>
      <c r="Q39" s="134">
        <v>20239.32</v>
      </c>
      <c r="R39" s="134">
        <v>19539.36</v>
      </c>
      <c r="S39" s="134">
        <v>17553.98</v>
      </c>
      <c r="T39" s="134">
        <v>20133.439999999999</v>
      </c>
      <c r="U39" s="134">
        <v>18137.73</v>
      </c>
      <c r="V39" s="134">
        <v>15222.18</v>
      </c>
      <c r="W39" s="134">
        <v>25577.68</v>
      </c>
      <c r="X39" s="134">
        <v>26588.16</v>
      </c>
      <c r="Y39" s="134">
        <v>24247.8</v>
      </c>
      <c r="Z39" s="134">
        <v>23406.78</v>
      </c>
      <c r="AA39" s="134" t="e">
        <f t="shared" ca="1" si="0"/>
        <v>#NAME?</v>
      </c>
      <c r="AB39" s="135" t="e">
        <f t="shared" ca="1" si="1"/>
        <v>#NAME?</v>
      </c>
      <c r="AC39" s="137"/>
      <c r="AD39" s="134">
        <v>292112.69265115098</v>
      </c>
      <c r="AE39" s="135" t="str">
        <f t="shared" ca="1" si="2"/>
        <v/>
      </c>
      <c r="AF39" s="136" t="e">
        <f t="shared" ca="1" si="3"/>
        <v>#NAME?</v>
      </c>
      <c r="AG39" s="134">
        <v>172408.3</v>
      </c>
      <c r="AH39" s="135" t="str">
        <f t="shared" ref="AH39:AH47" ca="1" si="5">IF(AG39=0,"",IFERROR(AG39/AG$19,""))</f>
        <v/>
      </c>
      <c r="AI39" s="136" t="e">
        <f t="shared" ref="AI39:AI47" ca="1" si="6">IF(AND($AA39="",AG39=""),"",$AA39-AG39)</f>
        <v>#NAME?</v>
      </c>
      <c r="AJ39" s="360">
        <f t="shared" ref="AJ39:AJ47" ca="1" si="7">IFERROR(AA39/AA$20,0)</f>
        <v>0</v>
      </c>
      <c r="AK39" s="361">
        <f t="shared" ref="AK39:AK47" ca="1" si="8">IFERROR(AD39/AD$20,0)</f>
        <v>0</v>
      </c>
      <c r="AL39" s="363">
        <f t="shared" ref="AL39:AL47" ca="1" si="9">IFERROR(AG39/AG$20,0)</f>
        <v>0</v>
      </c>
      <c r="AM39" s="405">
        <f t="shared" ref="AM39:AM47" ca="1" si="10">+IFERROR(ROUND(($AB39-AE39)*100,2)&amp;" pts.",0)</f>
        <v>0</v>
      </c>
      <c r="AN39" s="406">
        <f t="shared" ref="AN39:AN47" ca="1" si="11">+IFERROR(ROUND(($AB39-AH39)*100,2)&amp;" pts.",0)</f>
        <v>0</v>
      </c>
    </row>
    <row r="40" spans="1:40" x14ac:dyDescent="0.25">
      <c r="A40" s="1" t="s">
        <v>109</v>
      </c>
      <c r="C40" s="151" t="s">
        <v>101</v>
      </c>
      <c r="D40" s="1" t="s">
        <v>107</v>
      </c>
      <c r="F40" s="1" t="s">
        <v>99</v>
      </c>
      <c r="H40" s="15" t="s">
        <v>865</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7">
        <v>6434</v>
      </c>
      <c r="P40" s="47">
        <v>7996.42</v>
      </c>
      <c r="Q40" s="47">
        <v>6735.83</v>
      </c>
      <c r="R40" s="47">
        <v>6864</v>
      </c>
      <c r="S40" s="47">
        <v>7800</v>
      </c>
      <c r="T40" s="47">
        <v>6240</v>
      </c>
      <c r="U40" s="47">
        <v>6396</v>
      </c>
      <c r="V40" s="47">
        <v>6240</v>
      </c>
      <c r="W40" s="47">
        <v>468</v>
      </c>
      <c r="X40" s="47"/>
      <c r="Y40" s="47"/>
      <c r="Z40" s="47"/>
      <c r="AA40" s="47" t="e">
        <f t="shared" ca="1" si="0"/>
        <v>#NAME?</v>
      </c>
      <c r="AB40" s="48" t="e">
        <f t="shared" ca="1" si="1"/>
        <v>#NAME?</v>
      </c>
      <c r="AD40" s="47"/>
      <c r="AE40" s="48" t="str">
        <f t="shared" si="2"/>
        <v/>
      </c>
      <c r="AF40" s="150" t="e">
        <f t="shared" ca="1" si="3"/>
        <v>#NAME?</v>
      </c>
      <c r="AG40" s="47">
        <v>116239.99</v>
      </c>
      <c r="AH40" s="48" t="str">
        <f t="shared" ca="1" si="5"/>
        <v/>
      </c>
      <c r="AI40" s="150" t="e">
        <f t="shared" ca="1" si="6"/>
        <v>#NAME?</v>
      </c>
      <c r="AJ40" s="420">
        <f t="shared" ca="1" si="7"/>
        <v>0</v>
      </c>
      <c r="AK40" s="421">
        <f t="shared" ca="1" si="8"/>
        <v>0</v>
      </c>
      <c r="AL40" s="422">
        <f t="shared" ca="1" si="9"/>
        <v>0</v>
      </c>
      <c r="AM40" s="423">
        <f t="shared" ca="1" si="10"/>
        <v>0</v>
      </c>
      <c r="AN40" s="424">
        <f t="shared" ca="1" si="11"/>
        <v>0</v>
      </c>
    </row>
    <row r="41" spans="1:40" x14ac:dyDescent="0.25">
      <c r="A41" s="1" t="s">
        <v>110</v>
      </c>
      <c r="C41" s="25" t="s">
        <v>101</v>
      </c>
      <c r="D41" s="1" t="s">
        <v>106</v>
      </c>
      <c r="F41" s="1" t="s">
        <v>98</v>
      </c>
      <c r="H41" s="15" t="s">
        <v>849</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c r="P41" s="47">
        <v>756.88</v>
      </c>
      <c r="Q41" s="47">
        <v>993.12</v>
      </c>
      <c r="R41" s="47">
        <v>1400</v>
      </c>
      <c r="S41" s="47"/>
      <c r="T41" s="47"/>
      <c r="U41" s="47"/>
      <c r="V41" s="47"/>
      <c r="W41" s="47"/>
      <c r="X41" s="47">
        <v>437.5</v>
      </c>
      <c r="Y41" s="47">
        <v>437.5</v>
      </c>
      <c r="Z41" s="47">
        <v>437.5</v>
      </c>
      <c r="AA41" s="47" t="e">
        <f t="shared" ca="1" si="0"/>
        <v>#NAME?</v>
      </c>
      <c r="AB41" s="48" t="e">
        <f t="shared" ca="1" si="1"/>
        <v>#NAME?</v>
      </c>
      <c r="AD41" s="30">
        <v>11984.5921781323</v>
      </c>
      <c r="AE41" s="31" t="str">
        <f t="shared" ca="1" si="2"/>
        <v/>
      </c>
      <c r="AF41" s="51" t="e">
        <f t="shared" ca="1" si="3"/>
        <v>#NAME?</v>
      </c>
      <c r="AG41" s="30">
        <v>1255.95</v>
      </c>
      <c r="AH41" s="31" t="str">
        <f t="shared" ca="1" si="5"/>
        <v/>
      </c>
      <c r="AI41" s="51" t="e">
        <f t="shared" ca="1" si="6"/>
        <v>#NAME?</v>
      </c>
      <c r="AJ41" s="409">
        <f t="shared" ca="1" si="7"/>
        <v>0</v>
      </c>
      <c r="AK41" s="410">
        <f t="shared" ca="1" si="8"/>
        <v>0</v>
      </c>
      <c r="AL41" s="411">
        <f t="shared" ca="1" si="9"/>
        <v>0</v>
      </c>
      <c r="AM41" s="412">
        <f t="shared" ca="1" si="10"/>
        <v>0</v>
      </c>
      <c r="AN41" s="413">
        <f t="shared" ca="1" si="11"/>
        <v>0</v>
      </c>
    </row>
    <row r="42" spans="1:40" x14ac:dyDescent="0.25">
      <c r="A42" s="1" t="s">
        <v>110</v>
      </c>
      <c r="C42" s="29" t="s">
        <v>101</v>
      </c>
      <c r="D42" s="1" t="s">
        <v>107</v>
      </c>
      <c r="F42" s="1" t="s">
        <v>99</v>
      </c>
      <c r="H42" s="15" t="s">
        <v>850</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17730.2</v>
      </c>
      <c r="P42" s="134">
        <v>28473.98</v>
      </c>
      <c r="Q42" s="134">
        <v>27968.27</v>
      </c>
      <c r="R42" s="134">
        <v>27803.360000000001</v>
      </c>
      <c r="S42" s="134">
        <v>25353.98</v>
      </c>
      <c r="T42" s="134">
        <v>26373.439999999999</v>
      </c>
      <c r="U42" s="134">
        <v>24533.73</v>
      </c>
      <c r="V42" s="134">
        <v>21462.18</v>
      </c>
      <c r="W42" s="134">
        <v>26045.68</v>
      </c>
      <c r="X42" s="134">
        <v>27025.66</v>
      </c>
      <c r="Y42" s="134">
        <v>24685.3</v>
      </c>
      <c r="Z42" s="134">
        <v>23844.28</v>
      </c>
      <c r="AA42" s="134" t="e">
        <f t="shared" ca="1" si="0"/>
        <v>#NAME?</v>
      </c>
      <c r="AB42" s="135" t="e">
        <f t="shared" ca="1" si="1"/>
        <v>#NAME?</v>
      </c>
      <c r="AC42" s="137"/>
      <c r="AD42" s="134">
        <v>304097.28482928401</v>
      </c>
      <c r="AE42" s="135" t="str">
        <f t="shared" ca="1" si="2"/>
        <v/>
      </c>
      <c r="AF42" s="136" t="e">
        <f t="shared" ca="1" si="3"/>
        <v>#NAME?</v>
      </c>
      <c r="AG42" s="134">
        <v>289904.24</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H43" s="15" t="s">
        <v>851</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759.05</v>
      </c>
      <c r="P43" s="47">
        <v>1705.56</v>
      </c>
      <c r="Q43" s="47">
        <v>1634.43</v>
      </c>
      <c r="R43" s="47">
        <v>1578.94</v>
      </c>
      <c r="S43" s="47">
        <v>1587.31</v>
      </c>
      <c r="T43" s="47">
        <v>1498.4</v>
      </c>
      <c r="U43" s="47">
        <v>1537.36</v>
      </c>
      <c r="V43" s="47">
        <v>1529.94</v>
      </c>
      <c r="W43" s="47">
        <v>2058.94</v>
      </c>
      <c r="X43" s="47">
        <v>2079.2399999999998</v>
      </c>
      <c r="Y43" s="47">
        <v>2041.38</v>
      </c>
      <c r="Z43" s="47">
        <v>2341.41</v>
      </c>
      <c r="AA43" s="47" t="e">
        <f t="shared" ca="1" si="0"/>
        <v>#NAME?</v>
      </c>
      <c r="AB43" s="48" t="e">
        <f t="shared" ca="1" si="1"/>
        <v>#NAME?</v>
      </c>
      <c r="AD43" s="47">
        <v>24328.373291055701</v>
      </c>
      <c r="AE43" s="48" t="str">
        <f t="shared" ca="1" si="2"/>
        <v/>
      </c>
      <c r="AF43" s="150" t="e">
        <f t="shared" ca="1" si="3"/>
        <v>#NAME?</v>
      </c>
      <c r="AG43" s="47">
        <v>14557.66</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H44" s="15" t="s">
        <v>852</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1341.11</v>
      </c>
      <c r="P44" s="47">
        <v>2279.4899999999998</v>
      </c>
      <c r="Q44" s="47">
        <v>1938.71</v>
      </c>
      <c r="R44" s="47">
        <v>1638.58</v>
      </c>
      <c r="S44" s="47">
        <v>8314.16</v>
      </c>
      <c r="T44" s="47">
        <v>1670.07</v>
      </c>
      <c r="U44" s="47">
        <v>2366.87</v>
      </c>
      <c r="V44" s="47">
        <v>1511.62</v>
      </c>
      <c r="W44" s="47">
        <v>1983.69</v>
      </c>
      <c r="X44" s="47">
        <v>1952.47</v>
      </c>
      <c r="Y44" s="47">
        <v>2173.5700000000002</v>
      </c>
      <c r="Z44" s="47">
        <v>1559.94</v>
      </c>
      <c r="AA44" s="47" t="e">
        <f t="shared" ca="1" si="0"/>
        <v>#NAME?</v>
      </c>
      <c r="AB44" s="48" t="e">
        <f t="shared" ca="1" si="1"/>
        <v>#NAME?</v>
      </c>
      <c r="AD44" s="30">
        <v>27257.580213775502</v>
      </c>
      <c r="AE44" s="31" t="str">
        <f t="shared" ca="1" si="2"/>
        <v/>
      </c>
      <c r="AF44" s="51" t="e">
        <f t="shared" ca="1" si="3"/>
        <v>#NAME?</v>
      </c>
      <c r="AG44" s="30">
        <v>15634.8</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736</v>
      </c>
      <c r="H45" s="15" t="s">
        <v>853</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4349.21</v>
      </c>
      <c r="P45" s="47">
        <v>4182.4799999999996</v>
      </c>
      <c r="Q45" s="47">
        <v>1785.74</v>
      </c>
      <c r="R45" s="47">
        <v>4268.84</v>
      </c>
      <c r="S45" s="47">
        <v>4905.3100000000004</v>
      </c>
      <c r="T45" s="47">
        <v>4633.84</v>
      </c>
      <c r="U45" s="47">
        <v>4644.82</v>
      </c>
      <c r="V45" s="47">
        <v>4972.58</v>
      </c>
      <c r="W45" s="47">
        <v>5082.0600000000004</v>
      </c>
      <c r="X45" s="47">
        <v>5161.32</v>
      </c>
      <c r="Y45" s="47">
        <v>4911.16</v>
      </c>
      <c r="Z45" s="47">
        <v>5145.99</v>
      </c>
      <c r="AA45" s="47" t="e">
        <f t="shared" ca="1" si="0"/>
        <v>#NAME?</v>
      </c>
      <c r="AB45" s="48" t="e">
        <f t="shared" ca="1" si="1"/>
        <v>#NAME?</v>
      </c>
      <c r="AD45" s="30">
        <v>34082.420291924798</v>
      </c>
      <c r="AE45" s="31" t="str">
        <f t="shared" ca="1" si="2"/>
        <v/>
      </c>
      <c r="AF45" s="51" t="e">
        <f t="shared" ca="1" si="3"/>
        <v>#NAME?</v>
      </c>
      <c r="AG45" s="30">
        <v>23295.040000000001</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H46" s="15" t="s">
        <v>854</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6449.37</v>
      </c>
      <c r="P46" s="36">
        <v>8167.53</v>
      </c>
      <c r="Q46" s="36">
        <v>5358.88</v>
      </c>
      <c r="R46" s="36">
        <v>7486.36</v>
      </c>
      <c r="S46" s="36">
        <v>14806.78</v>
      </c>
      <c r="T46" s="36">
        <v>7802.31</v>
      </c>
      <c r="U46" s="36">
        <v>8549.0499999999993</v>
      </c>
      <c r="V46" s="36">
        <v>8014.14</v>
      </c>
      <c r="W46" s="36">
        <v>9124.69</v>
      </c>
      <c r="X46" s="36">
        <v>9193.0300000000007</v>
      </c>
      <c r="Y46" s="36">
        <v>9126.11</v>
      </c>
      <c r="Z46" s="36">
        <v>9047.34</v>
      </c>
      <c r="AA46" s="36" t="e">
        <f t="shared" ca="1" si="0"/>
        <v>#NAME?</v>
      </c>
      <c r="AB46" s="37" t="e">
        <f t="shared" ca="1" si="1"/>
        <v>#NAME?</v>
      </c>
      <c r="AC46" s="35"/>
      <c r="AD46" s="36">
        <v>85668.373796756001</v>
      </c>
      <c r="AE46" s="37" t="str">
        <f t="shared" ca="1" si="2"/>
        <v/>
      </c>
      <c r="AF46" s="58" t="e">
        <f t="shared" ca="1" si="3"/>
        <v>#NAME?</v>
      </c>
      <c r="AG46" s="36">
        <v>53487.5</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H47" s="15"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24179.57</v>
      </c>
      <c r="P47" s="36">
        <v>36641.51</v>
      </c>
      <c r="Q47" s="36">
        <v>33327.15</v>
      </c>
      <c r="R47" s="36">
        <v>35289.72</v>
      </c>
      <c r="S47" s="36">
        <v>40160.76</v>
      </c>
      <c r="T47" s="36">
        <v>34175.75</v>
      </c>
      <c r="U47" s="36">
        <v>33082.78</v>
      </c>
      <c r="V47" s="36">
        <v>29476.32</v>
      </c>
      <c r="W47" s="36">
        <v>35170.370000000003</v>
      </c>
      <c r="X47" s="36">
        <v>36218.69</v>
      </c>
      <c r="Y47" s="36">
        <v>33811.410000000003</v>
      </c>
      <c r="Z47" s="36">
        <v>32891.620000000003</v>
      </c>
      <c r="AA47" s="36" t="e">
        <f t="shared" ca="1" si="0"/>
        <v>#NAME?</v>
      </c>
      <c r="AB47" s="37" t="e">
        <f t="shared" ca="1" si="1"/>
        <v>#NAME?</v>
      </c>
      <c r="AC47" s="35"/>
      <c r="AD47" s="36">
        <v>389765.65862603899</v>
      </c>
      <c r="AE47" s="37" t="str">
        <f t="shared" ca="1" si="2"/>
        <v/>
      </c>
      <c r="AF47" s="58" t="e">
        <f t="shared" ca="1" si="3"/>
        <v>#NAME?</v>
      </c>
      <c r="AG47" s="36">
        <v>343391.74</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_xll.EVRNG(H72:H75)</f>
        <v>#NAME?</v>
      </c>
      <c r="H50" s="15" t="s">
        <v>832</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v>117.66</v>
      </c>
      <c r="P50" s="21">
        <v>164.1</v>
      </c>
      <c r="Q50" s="21">
        <v>247.64</v>
      </c>
      <c r="R50" s="21">
        <v>126.78</v>
      </c>
      <c r="S50" s="21">
        <v>199.45</v>
      </c>
      <c r="T50" s="21">
        <v>279.95999999999998</v>
      </c>
      <c r="U50" s="21">
        <v>749</v>
      </c>
      <c r="V50" s="21">
        <v>23.68</v>
      </c>
      <c r="W50" s="21">
        <v>124.23</v>
      </c>
      <c r="X50" s="21">
        <v>784.42</v>
      </c>
      <c r="Y50" s="21">
        <v>277.25</v>
      </c>
      <c r="Z50" s="21">
        <v>405.1</v>
      </c>
      <c r="AA50" s="38" t="e">
        <f t="shared" ref="AA50:AA72" ca="1" si="12">IF($I50="B1","",SUM(O50:Z50))</f>
        <v>#NAME?</v>
      </c>
      <c r="AB50" s="17" t="e">
        <f t="shared" ref="AB50:AB72" ca="1" si="13">IF(AA50=0,"",IFERROR(AA50/AA$19,""))</f>
        <v>#NAME?</v>
      </c>
      <c r="AD50" s="21">
        <v>4400</v>
      </c>
      <c r="AE50" s="17" t="str">
        <f t="shared" ref="AE50:AE72" ca="1" si="14">IF(AD50=0,"",IFERROR(AD50/AD$19,""))</f>
        <v/>
      </c>
      <c r="AF50" s="50" t="e">
        <f t="shared" ref="AF50:AF72" ca="1" si="15">IF(AND($AA50="",AD50=""),"",$AA50-AD50)</f>
        <v>#NAME?</v>
      </c>
      <c r="AG50" s="21">
        <v>4052.71</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H51" s="15" t="s">
        <v>833</v>
      </c>
      <c r="I51" s="161" t="e">
        <f ca="1">_xll.EVPRO($B$1,$H51,"STYLE")</f>
        <v>#NAME?</v>
      </c>
      <c r="J51" s="161" t="e">
        <f ca="1">_xll.EVPRO($B$1,$H51,"CALC")</f>
        <v>#NAME?</v>
      </c>
      <c r="K51" s="68" t="e">
        <f t="shared" ref="K51:K71" ca="1" si="16">IF(AND(I51&gt;="T3"),"&gt;","")</f>
        <v>#NAME?</v>
      </c>
      <c r="L51" s="162" t="e">
        <f ca="1">_xll.EVPRO($B$1,H51,"JDEID")</f>
        <v>#NAME?</v>
      </c>
      <c r="M51" s="162" t="e">
        <f ca="1">IF(AND(I51="N",J51="N"),_xll.EVPRO($B$1,H51,"PSFTID"),"")</f>
        <v>#NAME?</v>
      </c>
      <c r="N51" s="162" t="e">
        <f ca="1">IF(_xll.EVDES(H51,$B$1)="#NODATA","",_xll.EVDES(H51,$B$1))</f>
        <v>#NAME?</v>
      </c>
      <c r="O51" s="21">
        <v>1274.25</v>
      </c>
      <c r="P51" s="21">
        <v>1494.77</v>
      </c>
      <c r="Q51" s="21">
        <v>3313.57</v>
      </c>
      <c r="R51" s="21">
        <v>1798.47</v>
      </c>
      <c r="S51" s="21">
        <v>1574.77</v>
      </c>
      <c r="T51" s="21">
        <v>1524.47</v>
      </c>
      <c r="U51" s="21">
        <v>2019.07</v>
      </c>
      <c r="V51" s="21">
        <v>1506.04</v>
      </c>
      <c r="W51" s="21">
        <v>1407.47</v>
      </c>
      <c r="X51" s="21">
        <v>1398.47</v>
      </c>
      <c r="Y51" s="21">
        <v>1450.29</v>
      </c>
      <c r="Z51" s="21">
        <v>1279.48</v>
      </c>
      <c r="AA51" s="38" t="e">
        <f t="shared" ca="1" si="12"/>
        <v>#NAME?</v>
      </c>
      <c r="AB51" s="17" t="e">
        <f t="shared" ca="1" si="13"/>
        <v>#NAME?</v>
      </c>
      <c r="AD51" s="21">
        <v>17496</v>
      </c>
      <c r="AE51" s="17" t="str">
        <f t="shared" ca="1" si="14"/>
        <v/>
      </c>
      <c r="AF51" s="50" t="e">
        <f t="shared" ca="1" si="15"/>
        <v>#NAME?</v>
      </c>
      <c r="AG51" s="21">
        <v>24477.86</v>
      </c>
      <c r="AH51" s="17" t="str">
        <f t="shared" ref="AH51:AH71" ca="1" si="17">IF(AG51=0,"",IFERROR(AG51/AG$19,""))</f>
        <v/>
      </c>
      <c r="AI51" s="50" t="e">
        <f t="shared" ref="AI51:AI71" ca="1" si="18">IF(AND($AA51="",AG51=""),"",$AA51-AG51)</f>
        <v>#NAME?</v>
      </c>
      <c r="AJ51" s="399">
        <f t="shared" ref="AJ51:AJ71" ca="1" si="19">IFERROR(AA51/AA$20,0)</f>
        <v>0</v>
      </c>
      <c r="AK51" s="400">
        <f t="shared" ref="AK51:AK71" ca="1" si="20">IFERROR(AD51/AD$20,0)</f>
        <v>0</v>
      </c>
      <c r="AL51" s="401">
        <f t="shared" ref="AL51:AL71" ca="1" si="21">IFERROR(AG51/AG$20,0)</f>
        <v>0</v>
      </c>
      <c r="AM51" s="402">
        <f t="shared" ref="AM51:AM71" ca="1" si="22">+IFERROR(ROUND(($AB51-AE51)*100,2)&amp;" pts.",0)</f>
        <v>0</v>
      </c>
      <c r="AN51" s="403">
        <f t="shared" ref="AN51:AN71" ca="1" si="23">+IFERROR(ROUND(($AB51-AH51)*100,2)&amp;" pts.",0)</f>
        <v>0</v>
      </c>
    </row>
    <row r="52" spans="1:40" x14ac:dyDescent="0.25">
      <c r="A52" s="6" t="s">
        <v>6</v>
      </c>
      <c r="B52" s="7"/>
      <c r="H52" s="15" t="s">
        <v>834</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v>51.38</v>
      </c>
      <c r="P52" s="21">
        <v>134.68</v>
      </c>
      <c r="Q52" s="21">
        <v>1497.01</v>
      </c>
      <c r="R52" s="21">
        <v>58.95</v>
      </c>
      <c r="S52" s="21">
        <v>18.34</v>
      </c>
      <c r="T52" s="21">
        <v>41.92</v>
      </c>
      <c r="U52" s="21">
        <v>52</v>
      </c>
      <c r="V52" s="21">
        <v>24.64</v>
      </c>
      <c r="W52" s="21">
        <v>86.46</v>
      </c>
      <c r="X52" s="21">
        <v>117.5</v>
      </c>
      <c r="Y52" s="21">
        <v>144.76</v>
      </c>
      <c r="Z52" s="21"/>
      <c r="AA52" s="38" t="e">
        <f t="shared" ca="1" si="12"/>
        <v>#NAME?</v>
      </c>
      <c r="AB52" s="17" t="e">
        <f t="shared" ca="1" si="13"/>
        <v>#NAME?</v>
      </c>
      <c r="AD52" s="21">
        <v>621</v>
      </c>
      <c r="AE52" s="17" t="str">
        <f t="shared" ca="1" si="14"/>
        <v/>
      </c>
      <c r="AF52" s="50" t="e">
        <f t="shared" ca="1" si="15"/>
        <v>#NAME?</v>
      </c>
      <c r="AG52" s="21">
        <v>2247.27</v>
      </c>
      <c r="AH52" s="17" t="str">
        <f t="shared" ca="1"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H53" s="15" t="s">
        <v>835</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c r="P53" s="21"/>
      <c r="Q53" s="21">
        <v>171.14</v>
      </c>
      <c r="R53" s="21"/>
      <c r="S53" s="21">
        <v>132.08000000000001</v>
      </c>
      <c r="T53" s="21"/>
      <c r="U53" s="21"/>
      <c r="V53" s="21"/>
      <c r="W53" s="21"/>
      <c r="X53" s="21"/>
      <c r="Y53" s="21"/>
      <c r="Z53" s="21"/>
      <c r="AA53" s="38" t="e">
        <f t="shared" ca="1" si="12"/>
        <v>#NAME?</v>
      </c>
      <c r="AB53" s="17" t="e">
        <f t="shared" ca="1" si="13"/>
        <v>#NAME?</v>
      </c>
      <c r="AD53" s="21"/>
      <c r="AE53" s="17" t="str">
        <f t="shared" si="14"/>
        <v/>
      </c>
      <c r="AF53" s="50" t="e">
        <f t="shared" ca="1" si="15"/>
        <v>#NAME?</v>
      </c>
      <c r="AG53" s="21">
        <v>26.44</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H54" s="15" t="s">
        <v>859</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c r="P54" s="21"/>
      <c r="Q54" s="21"/>
      <c r="R54" s="21"/>
      <c r="S54" s="21">
        <v>471.34</v>
      </c>
      <c r="T54" s="21"/>
      <c r="U54" s="21">
        <v>408.34</v>
      </c>
      <c r="V54" s="21"/>
      <c r="W54" s="21"/>
      <c r="X54" s="21">
        <v>445.06</v>
      </c>
      <c r="Y54" s="21"/>
      <c r="Z54" s="21">
        <v>593.65</v>
      </c>
      <c r="AA54" s="38" t="e">
        <f t="shared" ca="1" si="12"/>
        <v>#NAME?</v>
      </c>
      <c r="AB54" s="17" t="e">
        <f t="shared" ca="1" si="13"/>
        <v>#NAME?</v>
      </c>
      <c r="AD54" s="21">
        <v>2102</v>
      </c>
      <c r="AE54" s="17" t="str">
        <f t="shared" ca="1" si="14"/>
        <v/>
      </c>
      <c r="AF54" s="50" t="e">
        <f t="shared" ca="1" si="15"/>
        <v>#NAME?</v>
      </c>
      <c r="AG54" s="21">
        <v>2306.0500000000002</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H55" s="15" t="s">
        <v>876</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v>145.86000000000001</v>
      </c>
      <c r="P55" s="21">
        <v>244.95</v>
      </c>
      <c r="Q55" s="21">
        <v>215.81</v>
      </c>
      <c r="R55" s="21">
        <v>258.08</v>
      </c>
      <c r="S55" s="21">
        <v>234.13</v>
      </c>
      <c r="T55" s="21">
        <v>271.68</v>
      </c>
      <c r="U55" s="21">
        <v>267.67</v>
      </c>
      <c r="V55" s="21">
        <v>315.66000000000003</v>
      </c>
      <c r="W55" s="21">
        <v>267.58</v>
      </c>
      <c r="X55" s="21">
        <v>380.38</v>
      </c>
      <c r="Y55" s="21">
        <v>461.44</v>
      </c>
      <c r="Z55" s="21">
        <v>330.63</v>
      </c>
      <c r="AA55" s="38" t="e">
        <f t="shared" ca="1" si="12"/>
        <v>#NAME?</v>
      </c>
      <c r="AB55" s="17" t="e">
        <f t="shared" ca="1" si="13"/>
        <v>#NAME?</v>
      </c>
      <c r="AD55" s="21">
        <v>4722</v>
      </c>
      <c r="AE55" s="17" t="str">
        <f t="shared" ca="1" si="14"/>
        <v/>
      </c>
      <c r="AF55" s="50" t="e">
        <f t="shared" ca="1" si="15"/>
        <v>#NAME?</v>
      </c>
      <c r="AG55" s="21">
        <v>5016.2</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H56" s="15" t="s">
        <v>861</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v>1281.8599999999999</v>
      </c>
      <c r="Y56" s="21">
        <v>-1281.8599999999999</v>
      </c>
      <c r="Z56" s="21"/>
      <c r="AA56" s="38" t="e">
        <f t="shared" ca="1" si="12"/>
        <v>#NAME?</v>
      </c>
      <c r="AB56" s="17" t="e">
        <f t="shared" ca="1" si="13"/>
        <v>#NAME?</v>
      </c>
      <c r="AD56" s="21"/>
      <c r="AE56" s="17" t="str">
        <f t="shared" si="14"/>
        <v/>
      </c>
      <c r="AF56" s="50" t="e">
        <f t="shared" ca="1" si="15"/>
        <v>#NAME?</v>
      </c>
      <c r="AG56" s="21"/>
      <c r="AH56" s="17" t="str">
        <f t="shared"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H57" s="15" t="s">
        <v>841</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c r="P57" s="21"/>
      <c r="Q57" s="21"/>
      <c r="R57" s="21"/>
      <c r="S57" s="21"/>
      <c r="T57" s="21">
        <v>250.35</v>
      </c>
      <c r="U57" s="21"/>
      <c r="V57" s="21">
        <v>1890</v>
      </c>
      <c r="W57" s="21"/>
      <c r="X57" s="21"/>
      <c r="Y57" s="21">
        <v>5300</v>
      </c>
      <c r="Z57" s="21"/>
      <c r="AA57" s="38" t="e">
        <f t="shared" ca="1" si="12"/>
        <v>#NAME?</v>
      </c>
      <c r="AB57" s="17" t="e">
        <f t="shared" ca="1" si="13"/>
        <v>#NAME?</v>
      </c>
      <c r="AD57" s="21">
        <v>6573</v>
      </c>
      <c r="AE57" s="17" t="str">
        <f t="shared" ca="1" si="14"/>
        <v/>
      </c>
      <c r="AF57" s="50" t="e">
        <f t="shared" ca="1" si="15"/>
        <v>#NAME?</v>
      </c>
      <c r="AG57" s="21">
        <v>3385.08</v>
      </c>
      <c r="AH57" s="17" t="str">
        <f t="shared" ca="1"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H58" s="15" t="s">
        <v>895</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v>657</v>
      </c>
      <c r="P58" s="21">
        <v>325.25</v>
      </c>
      <c r="Q58" s="21">
        <v>166.16</v>
      </c>
      <c r="R58" s="21">
        <v>597.82000000000005</v>
      </c>
      <c r="S58" s="21">
        <v>1651.89</v>
      </c>
      <c r="T58" s="21">
        <v>878.83</v>
      </c>
      <c r="U58" s="21">
        <v>345.56</v>
      </c>
      <c r="V58" s="21">
        <v>80.25</v>
      </c>
      <c r="W58" s="21">
        <v>1184.9100000000001</v>
      </c>
      <c r="X58" s="21">
        <v>1916.31</v>
      </c>
      <c r="Y58" s="21">
        <v>404.78</v>
      </c>
      <c r="Z58" s="21">
        <v>299.25</v>
      </c>
      <c r="AA58" s="38" t="e">
        <f t="shared" ca="1" si="12"/>
        <v>#NAME?</v>
      </c>
      <c r="AB58" s="17" t="e">
        <f t="shared" ca="1" si="13"/>
        <v>#NAME?</v>
      </c>
      <c r="AD58" s="21">
        <v>6225</v>
      </c>
      <c r="AE58" s="17" t="str">
        <f t="shared" ca="1" si="14"/>
        <v/>
      </c>
      <c r="AF58" s="50" t="e">
        <f t="shared" ca="1" si="15"/>
        <v>#NAME?</v>
      </c>
      <c r="AG58" s="21">
        <v>12741.62</v>
      </c>
      <c r="AH58" s="17" t="str">
        <f t="shared" ca="1"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H59" s="15" t="s">
        <v>896</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c r="P59" s="21"/>
      <c r="Q59" s="21">
        <v>407.75</v>
      </c>
      <c r="R59" s="21">
        <v>1832.11</v>
      </c>
      <c r="S59" s="21">
        <v>5038.2700000000004</v>
      </c>
      <c r="T59" s="21">
        <v>31.02</v>
      </c>
      <c r="U59" s="21">
        <v>1347.07</v>
      </c>
      <c r="V59" s="21">
        <v>2674.46</v>
      </c>
      <c r="W59" s="21">
        <v>38.04</v>
      </c>
      <c r="X59" s="21">
        <v>1337.5</v>
      </c>
      <c r="Y59" s="21">
        <v>4499.74</v>
      </c>
      <c r="Z59" s="21">
        <v>1241.78</v>
      </c>
      <c r="AA59" s="38" t="e">
        <f t="shared" ca="1" si="12"/>
        <v>#NAME?</v>
      </c>
      <c r="AB59" s="17" t="e">
        <f t="shared" ca="1" si="13"/>
        <v>#NAME?</v>
      </c>
      <c r="AD59" s="21">
        <v>24250</v>
      </c>
      <c r="AE59" s="17" t="str">
        <f t="shared" ca="1" si="14"/>
        <v/>
      </c>
      <c r="AF59" s="50" t="e">
        <f t="shared" ca="1" si="15"/>
        <v>#NAME?</v>
      </c>
      <c r="AG59" s="21">
        <v>24908.38</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H60" s="15" t="s">
        <v>897</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v>1000.29</v>
      </c>
      <c r="P60" s="21">
        <v>-2.09</v>
      </c>
      <c r="Q60" s="21">
        <v>343.86</v>
      </c>
      <c r="R60" s="21">
        <v>4996.6400000000003</v>
      </c>
      <c r="S60" s="21">
        <v>2419.2399999999998</v>
      </c>
      <c r="T60" s="21">
        <v>1974.69</v>
      </c>
      <c r="U60" s="21">
        <v>2850</v>
      </c>
      <c r="V60" s="21">
        <v>6293.57</v>
      </c>
      <c r="W60" s="21">
        <v>2049.25</v>
      </c>
      <c r="X60" s="21">
        <v>2783.92</v>
      </c>
      <c r="Y60" s="21">
        <v>5499.8</v>
      </c>
      <c r="Z60" s="21">
        <v>2500.16</v>
      </c>
      <c r="AA60" s="38" t="e">
        <f t="shared" ca="1" si="12"/>
        <v>#NAME?</v>
      </c>
      <c r="AB60" s="17" t="e">
        <f t="shared" ca="1" si="13"/>
        <v>#NAME?</v>
      </c>
      <c r="AD60" s="21">
        <v>38000</v>
      </c>
      <c r="AE60" s="17" t="str">
        <f t="shared" ca="1" si="14"/>
        <v/>
      </c>
      <c r="AF60" s="50" t="e">
        <f t="shared" ca="1" si="15"/>
        <v>#NAME?</v>
      </c>
      <c r="AG60" s="21">
        <v>32026.09</v>
      </c>
      <c r="AH60" s="17" t="str">
        <f t="shared" ca="1"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H61" s="15" t="s">
        <v>898</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c r="P61" s="21">
        <v>-28.3</v>
      </c>
      <c r="Q61" s="21">
        <v>202.05</v>
      </c>
      <c r="R61" s="21">
        <v>521.48</v>
      </c>
      <c r="S61" s="21"/>
      <c r="T61" s="21">
        <v>2500</v>
      </c>
      <c r="U61" s="21">
        <v>412.52</v>
      </c>
      <c r="V61" s="21">
        <v>1177.32</v>
      </c>
      <c r="W61" s="21">
        <v>1281.8599999999999</v>
      </c>
      <c r="X61" s="21">
        <v>-1295.7</v>
      </c>
      <c r="Y61" s="21">
        <v>1523.33</v>
      </c>
      <c r="Z61" s="21">
        <v>1243.4000000000001</v>
      </c>
      <c r="AA61" s="38" t="e">
        <f t="shared" ca="1" si="12"/>
        <v>#NAME?</v>
      </c>
      <c r="AB61" s="17" t="e">
        <f t="shared" ca="1" si="13"/>
        <v>#NAME?</v>
      </c>
      <c r="AD61" s="21">
        <v>8250</v>
      </c>
      <c r="AE61" s="17" t="str">
        <f t="shared" ca="1" si="14"/>
        <v/>
      </c>
      <c r="AF61" s="50" t="e">
        <f t="shared" ca="1" si="15"/>
        <v>#NAME?</v>
      </c>
      <c r="AG61" s="21">
        <v>10569.18</v>
      </c>
      <c r="AH61" s="17" t="str">
        <f t="shared" ca="1"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H62" s="15" t="s">
        <v>899</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v>1455.56</v>
      </c>
      <c r="P62" s="21">
        <v>1334.97</v>
      </c>
      <c r="Q62" s="21">
        <v>1170.56</v>
      </c>
      <c r="R62" s="21">
        <v>1609.55</v>
      </c>
      <c r="S62" s="21">
        <v>4253.91</v>
      </c>
      <c r="T62" s="21">
        <v>1603.41</v>
      </c>
      <c r="U62" s="21">
        <v>2253.9899999999998</v>
      </c>
      <c r="V62" s="21">
        <v>2058.94</v>
      </c>
      <c r="W62" s="21">
        <v>3614.32</v>
      </c>
      <c r="X62" s="21">
        <v>1970.15</v>
      </c>
      <c r="Y62" s="21">
        <v>1842.66</v>
      </c>
      <c r="Z62" s="21">
        <v>4261.9399999999996</v>
      </c>
      <c r="AA62" s="38" t="e">
        <f t="shared" ca="1" si="12"/>
        <v>#NAME?</v>
      </c>
      <c r="AB62" s="17" t="e">
        <f t="shared" ca="1" si="13"/>
        <v>#NAME?</v>
      </c>
      <c r="AD62" s="21">
        <v>20624</v>
      </c>
      <c r="AE62" s="17" t="str">
        <f t="shared" ca="1" si="14"/>
        <v/>
      </c>
      <c r="AF62" s="50" t="e">
        <f t="shared" ca="1" si="15"/>
        <v>#NAME?</v>
      </c>
      <c r="AG62" s="21">
        <v>22997.61</v>
      </c>
      <c r="AH62" s="17" t="str">
        <f t="shared" ca="1"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H63" s="15" t="s">
        <v>900</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v>761</v>
      </c>
      <c r="P63" s="21">
        <v>2039.79</v>
      </c>
      <c r="Q63" s="21">
        <v>400.78</v>
      </c>
      <c r="R63" s="21">
        <v>823.26</v>
      </c>
      <c r="S63" s="21"/>
      <c r="T63" s="21">
        <v>745.46</v>
      </c>
      <c r="U63" s="21">
        <v>305.22000000000003</v>
      </c>
      <c r="V63" s="21">
        <v>300</v>
      </c>
      <c r="W63" s="21">
        <v>298.31</v>
      </c>
      <c r="X63" s="21">
        <v>405.63</v>
      </c>
      <c r="Y63" s="21">
        <v>1077.3399999999999</v>
      </c>
      <c r="Z63" s="21">
        <v>800.83</v>
      </c>
      <c r="AA63" s="38" t="e">
        <f t="shared" ca="1" si="12"/>
        <v>#NAME?</v>
      </c>
      <c r="AB63" s="17" t="e">
        <f t="shared" ca="1" si="13"/>
        <v>#NAME?</v>
      </c>
      <c r="AD63" s="21">
        <v>5781</v>
      </c>
      <c r="AE63" s="17" t="str">
        <f t="shared" ca="1" si="14"/>
        <v/>
      </c>
      <c r="AF63" s="50" t="e">
        <f t="shared" ca="1" si="15"/>
        <v>#NAME?</v>
      </c>
      <c r="AG63" s="21">
        <v>5492.79</v>
      </c>
      <c r="AH63" s="17" t="str">
        <f t="shared" ca="1"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H64" s="15" t="s">
        <v>901</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c r="P64" s="21"/>
      <c r="Q64" s="21">
        <v>55.16</v>
      </c>
      <c r="R64" s="21"/>
      <c r="S64" s="21"/>
      <c r="T64" s="21"/>
      <c r="U64" s="21"/>
      <c r="V64" s="21"/>
      <c r="W64" s="21"/>
      <c r="X64" s="21"/>
      <c r="Y64" s="21"/>
      <c r="Z64" s="21"/>
      <c r="AA64" s="38" t="e">
        <f t="shared" ca="1" si="12"/>
        <v>#NAME?</v>
      </c>
      <c r="AB64" s="17" t="e">
        <f t="shared" ca="1" si="13"/>
        <v>#NAME?</v>
      </c>
      <c r="AD64" s="21">
        <v>350</v>
      </c>
      <c r="AE64" s="17" t="str">
        <f t="shared" ca="1" si="14"/>
        <v/>
      </c>
      <c r="AF64" s="50" t="e">
        <f t="shared" ca="1" si="15"/>
        <v>#NAME?</v>
      </c>
      <c r="AG64" s="21"/>
      <c r="AH64" s="17" t="str">
        <f t="shared"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H65" s="15" t="s">
        <v>902</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v>524.79</v>
      </c>
      <c r="P65" s="21">
        <v>183.81</v>
      </c>
      <c r="Q65" s="21">
        <v>1000</v>
      </c>
      <c r="R65" s="21">
        <v>2044.28</v>
      </c>
      <c r="S65" s="21">
        <v>2105.31</v>
      </c>
      <c r="T65" s="21">
        <v>979.79</v>
      </c>
      <c r="U65" s="21">
        <v>1043.79</v>
      </c>
      <c r="V65" s="21">
        <v>1194.93</v>
      </c>
      <c r="W65" s="21">
        <v>713.4</v>
      </c>
      <c r="X65" s="21">
        <v>995.57</v>
      </c>
      <c r="Y65" s="21">
        <v>1374.8</v>
      </c>
      <c r="Z65" s="21">
        <v>2046.75</v>
      </c>
      <c r="AA65" s="38" t="e">
        <f t="shared" ca="1" si="12"/>
        <v>#NAME?</v>
      </c>
      <c r="AB65" s="17" t="e">
        <f t="shared" ca="1" si="13"/>
        <v>#NAME?</v>
      </c>
      <c r="AD65" s="21">
        <v>13050</v>
      </c>
      <c r="AE65" s="17" t="str">
        <f t="shared" ca="1" si="14"/>
        <v/>
      </c>
      <c r="AF65" s="50" t="e">
        <f t="shared" ca="1" si="15"/>
        <v>#NAME?</v>
      </c>
      <c r="AG65" s="21">
        <v>16735.7</v>
      </c>
      <c r="AH65" s="17" t="str">
        <f t="shared" ca="1"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H66" s="15" t="s">
        <v>903</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v>2779.24</v>
      </c>
      <c r="P66" s="21">
        <v>1990.8</v>
      </c>
      <c r="Q66" s="21">
        <v>3657.8</v>
      </c>
      <c r="R66" s="21">
        <v>2687.8</v>
      </c>
      <c r="S66" s="21">
        <v>2720.49</v>
      </c>
      <c r="T66" s="21">
        <v>2720.49</v>
      </c>
      <c r="U66" s="21">
        <v>4537.49</v>
      </c>
      <c r="V66" s="21">
        <v>1720.49</v>
      </c>
      <c r="W66" s="21">
        <v>2403.14</v>
      </c>
      <c r="X66" s="21">
        <v>1537.84</v>
      </c>
      <c r="Y66" s="21">
        <v>1720.49</v>
      </c>
      <c r="Z66" s="21">
        <v>2820.29</v>
      </c>
      <c r="AA66" s="38" t="e">
        <f t="shared" ca="1" si="12"/>
        <v>#NAME?</v>
      </c>
      <c r="AB66" s="17" t="e">
        <f t="shared" ca="1" si="13"/>
        <v>#NAME?</v>
      </c>
      <c r="AD66" s="21">
        <v>34200</v>
      </c>
      <c r="AE66" s="17" t="str">
        <f t="shared" ca="1" si="14"/>
        <v/>
      </c>
      <c r="AF66" s="50" t="e">
        <f t="shared" ca="1" si="15"/>
        <v>#NAME?</v>
      </c>
      <c r="AG66" s="21">
        <v>33508.559999999998</v>
      </c>
      <c r="AH66" s="17" t="str">
        <f t="shared" ca="1"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H67" s="15" t="s">
        <v>904</v>
      </c>
      <c r="I67" s="161" t="e">
        <f ca="1">_xll.EVPRO($B$1,$H67,"STYLE")</f>
        <v>#NAME?</v>
      </c>
      <c r="J67" s="161" t="e">
        <f ca="1">_xll.EVPRO($B$1,$H67,"CALC")</f>
        <v>#NAME?</v>
      </c>
      <c r="K67" s="68" t="e">
        <f t="shared" ca="1" si="16"/>
        <v>#NAME?</v>
      </c>
      <c r="L67" s="162" t="e">
        <f ca="1">_xll.EVPRO($B$1,H67,"JDEID")</f>
        <v>#NAME?</v>
      </c>
      <c r="M67" s="162" t="e">
        <f ca="1">IF(AND(I67="N",J67="N"),_xll.EVPRO($B$1,H67,"PSFTID"),"")</f>
        <v>#NAME?</v>
      </c>
      <c r="N67" s="162" t="e">
        <f ca="1">IF(_xll.EVDES(H67,$B$1)="#NODATA","",_xll.EVDES(H67,$B$1))</f>
        <v>#NAME?</v>
      </c>
      <c r="O67" s="21">
        <v>2590.2600000000002</v>
      </c>
      <c r="P67" s="21">
        <v>3587.73</v>
      </c>
      <c r="Q67" s="21">
        <v>2915.43</v>
      </c>
      <c r="R67" s="21">
        <v>2787.22</v>
      </c>
      <c r="S67" s="21">
        <v>3308.06</v>
      </c>
      <c r="T67" s="21">
        <v>4024.59</v>
      </c>
      <c r="U67" s="21">
        <v>4506.03</v>
      </c>
      <c r="V67" s="21">
        <v>2830.72</v>
      </c>
      <c r="W67" s="21">
        <v>2777.66</v>
      </c>
      <c r="X67" s="21">
        <v>2704.98</v>
      </c>
      <c r="Y67" s="21">
        <v>2772.02</v>
      </c>
      <c r="Z67" s="21">
        <v>3266.9</v>
      </c>
      <c r="AA67" s="38" t="e">
        <f t="shared" ca="1" si="12"/>
        <v>#NAME?</v>
      </c>
      <c r="AB67" s="17" t="e">
        <f t="shared" ca="1" si="13"/>
        <v>#NAME?</v>
      </c>
      <c r="AD67" s="21">
        <v>34040</v>
      </c>
      <c r="AE67" s="17" t="str">
        <f t="shared" ca="1" si="14"/>
        <v/>
      </c>
      <c r="AF67" s="50" t="e">
        <f t="shared" ca="1" si="15"/>
        <v>#NAME?</v>
      </c>
      <c r="AG67" s="21">
        <v>40287.96</v>
      </c>
      <c r="AH67" s="17" t="str">
        <f t="shared" ca="1" si="17"/>
        <v/>
      </c>
      <c r="AI67" s="50" t="e">
        <f t="shared" ca="1" si="18"/>
        <v>#NAME?</v>
      </c>
      <c r="AJ67" s="399">
        <f t="shared" ca="1" si="19"/>
        <v>0</v>
      </c>
      <c r="AK67" s="400">
        <f t="shared" ca="1" si="20"/>
        <v>0</v>
      </c>
      <c r="AL67" s="401">
        <f t="shared" ca="1" si="21"/>
        <v>0</v>
      </c>
      <c r="AM67" s="402">
        <f t="shared" ca="1" si="22"/>
        <v>0</v>
      </c>
      <c r="AN67" s="403">
        <f t="shared" ca="1" si="23"/>
        <v>0</v>
      </c>
    </row>
    <row r="68" spans="1:40" x14ac:dyDescent="0.25">
      <c r="A68" s="6" t="s">
        <v>34</v>
      </c>
      <c r="B68" s="7"/>
      <c r="H68" s="15" t="s">
        <v>905</v>
      </c>
      <c r="I68" s="161" t="e">
        <f ca="1">_xll.EVPRO($B$1,$H68,"STYLE")</f>
        <v>#NAME?</v>
      </c>
      <c r="J68" s="161" t="e">
        <f ca="1">_xll.EVPRO($B$1,$H68,"CALC")</f>
        <v>#NAME?</v>
      </c>
      <c r="K68" s="68" t="e">
        <f t="shared" ca="1" si="16"/>
        <v>#NAME?</v>
      </c>
      <c r="L68" s="162" t="e">
        <f ca="1">_xll.EVPRO($B$1,H68,"JDEID")</f>
        <v>#NAME?</v>
      </c>
      <c r="M68" s="162" t="e">
        <f ca="1">IF(AND(I68="N",J68="N"),_xll.EVPRO($B$1,H68,"PSFTID"),"")</f>
        <v>#NAME?</v>
      </c>
      <c r="N68" s="162" t="e">
        <f ca="1">IF(_xll.EVDES(H68,$B$1)="#NODATA","",_xll.EVDES(H68,$B$1))</f>
        <v>#NAME?</v>
      </c>
      <c r="O68" s="21">
        <v>2850</v>
      </c>
      <c r="P68" s="21">
        <v>2850</v>
      </c>
      <c r="Q68" s="21">
        <v>3261.53</v>
      </c>
      <c r="R68" s="21">
        <v>2850</v>
      </c>
      <c r="S68" s="21">
        <v>4461.54</v>
      </c>
      <c r="T68" s="21">
        <v>3126.86</v>
      </c>
      <c r="U68" s="21">
        <v>2940</v>
      </c>
      <c r="V68" s="21">
        <v>4450</v>
      </c>
      <c r="W68" s="21">
        <v>2775</v>
      </c>
      <c r="X68" s="21">
        <v>2850</v>
      </c>
      <c r="Y68" s="21">
        <v>6259.42</v>
      </c>
      <c r="Z68" s="21">
        <v>4450.87</v>
      </c>
      <c r="AA68" s="38" t="e">
        <f t="shared" ca="1" si="12"/>
        <v>#NAME?</v>
      </c>
      <c r="AB68" s="17" t="e">
        <f t="shared" ca="1" si="13"/>
        <v>#NAME?</v>
      </c>
      <c r="AD68" s="21">
        <v>39000</v>
      </c>
      <c r="AE68" s="17" t="str">
        <f t="shared" ca="1" si="14"/>
        <v/>
      </c>
      <c r="AF68" s="50" t="e">
        <f t="shared" ca="1" si="15"/>
        <v>#NAME?</v>
      </c>
      <c r="AG68" s="21">
        <v>39671.160000000003</v>
      </c>
      <c r="AH68" s="17" t="str">
        <f t="shared" ca="1" si="17"/>
        <v/>
      </c>
      <c r="AI68" s="50" t="e">
        <f t="shared" ca="1" si="18"/>
        <v>#NAME?</v>
      </c>
      <c r="AJ68" s="399">
        <f t="shared" ca="1" si="19"/>
        <v>0</v>
      </c>
      <c r="AK68" s="400">
        <f t="shared" ca="1" si="20"/>
        <v>0</v>
      </c>
      <c r="AL68" s="401">
        <f t="shared" ca="1" si="21"/>
        <v>0</v>
      </c>
      <c r="AM68" s="402">
        <f t="shared" ca="1" si="22"/>
        <v>0</v>
      </c>
      <c r="AN68" s="403">
        <f t="shared" ca="1" si="23"/>
        <v>0</v>
      </c>
    </row>
    <row r="69" spans="1:40" x14ac:dyDescent="0.25">
      <c r="A69" s="6" t="s">
        <v>35</v>
      </c>
      <c r="B69" s="7"/>
      <c r="H69" s="15" t="s">
        <v>906</v>
      </c>
      <c r="I69" s="161" t="e">
        <f ca="1">_xll.EVPRO($B$1,$H69,"STYLE")</f>
        <v>#NAME?</v>
      </c>
      <c r="J69" s="161" t="e">
        <f ca="1">_xll.EVPRO($B$1,$H69,"CALC")</f>
        <v>#NAME?</v>
      </c>
      <c r="K69" s="68" t="e">
        <f t="shared" ca="1" si="16"/>
        <v>#NAME?</v>
      </c>
      <c r="L69" s="162" t="e">
        <f ca="1">_xll.EVPRO($B$1,H69,"JDEID")</f>
        <v>#NAME?</v>
      </c>
      <c r="M69" s="162" t="e">
        <f ca="1">IF(AND(I69="N",J69="N"),_xll.EVPRO($B$1,H69,"PSFTID"),"")</f>
        <v>#NAME?</v>
      </c>
      <c r="N69" s="162" t="e">
        <f ca="1">IF(_xll.EVDES(H69,$B$1)="#NODATA","",_xll.EVDES(H69,$B$1))</f>
        <v>#NAME?</v>
      </c>
      <c r="O69" s="21">
        <v>255.41</v>
      </c>
      <c r="P69" s="21">
        <v>538.29</v>
      </c>
      <c r="Q69" s="21">
        <v>50.72</v>
      </c>
      <c r="R69" s="21"/>
      <c r="S69" s="21">
        <v>654.48</v>
      </c>
      <c r="T69" s="21">
        <v>24.06</v>
      </c>
      <c r="U69" s="21">
        <v>790.27</v>
      </c>
      <c r="V69" s="21">
        <v>50.42</v>
      </c>
      <c r="W69" s="21">
        <v>92.67</v>
      </c>
      <c r="X69" s="21">
        <v>209.23</v>
      </c>
      <c r="Y69" s="21">
        <v>488</v>
      </c>
      <c r="Z69" s="21">
        <v>698.16</v>
      </c>
      <c r="AA69" s="38" t="e">
        <f t="shared" ca="1" si="12"/>
        <v>#NAME?</v>
      </c>
      <c r="AB69" s="17" t="e">
        <f t="shared" ca="1" si="13"/>
        <v>#NAME?</v>
      </c>
      <c r="AD69" s="21">
        <v>4793</v>
      </c>
      <c r="AE69" s="17" t="str">
        <f t="shared" ca="1" si="14"/>
        <v/>
      </c>
      <c r="AF69" s="50" t="e">
        <f t="shared" ca="1" si="15"/>
        <v>#NAME?</v>
      </c>
      <c r="AG69" s="21">
        <v>4191.3900000000003</v>
      </c>
      <c r="AH69" s="17" t="str">
        <f t="shared" ca="1" si="17"/>
        <v/>
      </c>
      <c r="AI69" s="50" t="e">
        <f t="shared" ca="1" si="18"/>
        <v>#NAME?</v>
      </c>
      <c r="AJ69" s="399">
        <f t="shared" ca="1" si="19"/>
        <v>0</v>
      </c>
      <c r="AK69" s="400">
        <f t="shared" ca="1" si="20"/>
        <v>0</v>
      </c>
      <c r="AL69" s="401">
        <f t="shared" ca="1" si="21"/>
        <v>0</v>
      </c>
      <c r="AM69" s="402">
        <f t="shared" ca="1" si="22"/>
        <v>0</v>
      </c>
      <c r="AN69" s="403">
        <f t="shared" ca="1" si="23"/>
        <v>0</v>
      </c>
    </row>
    <row r="70" spans="1:40" x14ac:dyDescent="0.25">
      <c r="A70" s="6" t="s">
        <v>36</v>
      </c>
      <c r="B70" s="7"/>
      <c r="H70" s="15" t="s">
        <v>907</v>
      </c>
      <c r="I70" s="161" t="e">
        <f ca="1">_xll.EVPRO($B$1,$H70,"STYLE")</f>
        <v>#NAME?</v>
      </c>
      <c r="J70" s="161" t="e">
        <f ca="1">_xll.EVPRO($B$1,$H70,"CALC")</f>
        <v>#NAME?</v>
      </c>
      <c r="K70" s="68" t="e">
        <f t="shared" ca="1" si="16"/>
        <v>#NAME?</v>
      </c>
      <c r="L70" s="162" t="e">
        <f ca="1">_xll.EVPRO($B$1,H70,"JDEID")</f>
        <v>#NAME?</v>
      </c>
      <c r="M70" s="162" t="e">
        <f ca="1">IF(AND(I70="N",J70="N"),_xll.EVPRO($B$1,H70,"PSFTID"),"")</f>
        <v>#NAME?</v>
      </c>
      <c r="N70" s="162" t="e">
        <f ca="1">IF(_xll.EVDES(H70,$B$1)="#NODATA","",_xll.EVDES(H70,$B$1))</f>
        <v>#NAME?</v>
      </c>
      <c r="O70" s="21">
        <v>1149.49</v>
      </c>
      <c r="P70" s="21">
        <v>333.36</v>
      </c>
      <c r="Q70" s="21">
        <v>1264.77</v>
      </c>
      <c r="R70" s="21">
        <v>625.97</v>
      </c>
      <c r="S70" s="21">
        <v>362.25</v>
      </c>
      <c r="T70" s="21">
        <v>960.24</v>
      </c>
      <c r="U70" s="21">
        <v>291.17</v>
      </c>
      <c r="V70" s="21">
        <v>743.65</v>
      </c>
      <c r="W70" s="21">
        <v>606.91999999999996</v>
      </c>
      <c r="X70" s="21">
        <v>498.93</v>
      </c>
      <c r="Y70" s="21">
        <v>921.01</v>
      </c>
      <c r="Z70" s="21">
        <v>1002.72</v>
      </c>
      <c r="AA70" s="38" t="e">
        <f t="shared" ca="1" si="12"/>
        <v>#NAME?</v>
      </c>
      <c r="AB70" s="17" t="e">
        <f t="shared" ca="1" si="13"/>
        <v>#NAME?</v>
      </c>
      <c r="AD70" s="21">
        <v>9823.6749390437999</v>
      </c>
      <c r="AE70" s="17" t="str">
        <f t="shared" ca="1" si="14"/>
        <v/>
      </c>
      <c r="AF70" s="50" t="e">
        <f t="shared" ca="1" si="15"/>
        <v>#NAME?</v>
      </c>
      <c r="AG70" s="21">
        <v>8405.3799999999992</v>
      </c>
      <c r="AH70" s="17" t="str">
        <f t="shared" ca="1" si="17"/>
        <v/>
      </c>
      <c r="AI70" s="50" t="e">
        <f t="shared" ca="1" si="18"/>
        <v>#NAME?</v>
      </c>
      <c r="AJ70" s="399">
        <f t="shared" ca="1" si="19"/>
        <v>0</v>
      </c>
      <c r="AK70" s="400">
        <f t="shared" ca="1" si="20"/>
        <v>0</v>
      </c>
      <c r="AL70" s="401">
        <f t="shared" ca="1" si="21"/>
        <v>0</v>
      </c>
      <c r="AM70" s="402">
        <f t="shared" ca="1" si="22"/>
        <v>0</v>
      </c>
      <c r="AN70" s="403">
        <f t="shared" ca="1" si="23"/>
        <v>0</v>
      </c>
    </row>
    <row r="71" spans="1:40" x14ac:dyDescent="0.25">
      <c r="A71" s="6" t="s">
        <v>37</v>
      </c>
      <c r="B71" s="7"/>
      <c r="H71" s="15" t="s">
        <v>908</v>
      </c>
      <c r="I71" s="161" t="e">
        <f ca="1">_xll.EVPRO($B$1,$H71,"STYLE")</f>
        <v>#NAME?</v>
      </c>
      <c r="J71" s="161" t="e">
        <f ca="1">_xll.EVPRO($B$1,$H71,"CALC")</f>
        <v>#NAME?</v>
      </c>
      <c r="K71" s="68" t="e">
        <f t="shared" ca="1" si="16"/>
        <v>#NAME?</v>
      </c>
      <c r="L71" s="162" t="e">
        <f ca="1">_xll.EVPRO($B$1,H71,"JDEID")</f>
        <v>#NAME?</v>
      </c>
      <c r="M71" s="162" t="e">
        <f ca="1">IF(AND(I71="N",J71="N"),_xll.EVPRO($B$1,H71,"PSFTID"),"")</f>
        <v>#NAME?</v>
      </c>
      <c r="N71" s="162" t="e">
        <f ca="1">IF(_xll.EVDES(H71,$B$1)="#NODATA","",_xll.EVDES(H71,$B$1))</f>
        <v>#NAME?</v>
      </c>
      <c r="O71" s="21">
        <v>3200</v>
      </c>
      <c r="P71" s="21">
        <v>3851.52</v>
      </c>
      <c r="Q71" s="21">
        <v>3656.28</v>
      </c>
      <c r="R71" s="21">
        <v>3531.1</v>
      </c>
      <c r="S71" s="21">
        <v>3519.21</v>
      </c>
      <c r="T71" s="21">
        <v>3504.31</v>
      </c>
      <c r="U71" s="21">
        <v>3549.46</v>
      </c>
      <c r="V71" s="21">
        <v>4617.09</v>
      </c>
      <c r="W71" s="21">
        <v>4158.57</v>
      </c>
      <c r="X71" s="21">
        <v>2543.25</v>
      </c>
      <c r="Y71" s="21">
        <v>3584.34</v>
      </c>
      <c r="Z71" s="21">
        <v>4120.6000000000004</v>
      </c>
      <c r="AA71" s="38" t="e">
        <f t="shared" ca="1" si="12"/>
        <v>#NAME?</v>
      </c>
      <c r="AB71" s="17" t="e">
        <f t="shared" ca="1" si="13"/>
        <v>#NAME?</v>
      </c>
      <c r="AD71" s="21">
        <v>41795</v>
      </c>
      <c r="AE71" s="17" t="str">
        <f t="shared" ca="1" si="14"/>
        <v/>
      </c>
      <c r="AF71" s="50" t="e">
        <f t="shared" ca="1" si="15"/>
        <v>#NAME?</v>
      </c>
      <c r="AG71" s="21">
        <v>42440.45</v>
      </c>
      <c r="AH71" s="17" t="str">
        <f t="shared" ca="1" si="17"/>
        <v/>
      </c>
      <c r="AI71" s="50" t="e">
        <f t="shared" ca="1" si="18"/>
        <v>#NAME?</v>
      </c>
      <c r="AJ71" s="399">
        <f t="shared" ca="1" si="19"/>
        <v>0</v>
      </c>
      <c r="AK71" s="400">
        <f t="shared" ca="1" si="20"/>
        <v>0</v>
      </c>
      <c r="AL71" s="401">
        <f t="shared" ca="1" si="21"/>
        <v>0</v>
      </c>
      <c r="AM71" s="402">
        <f t="shared" ca="1" si="22"/>
        <v>0</v>
      </c>
      <c r="AN71" s="403">
        <f t="shared" ca="1" si="23"/>
        <v>0</v>
      </c>
    </row>
    <row r="72" spans="1:40" x14ac:dyDescent="0.25">
      <c r="A72" s="6" t="s">
        <v>38</v>
      </c>
      <c r="B72" s="7"/>
      <c r="H72" s="15" t="s">
        <v>79</v>
      </c>
      <c r="I72" s="27" t="e">
        <f ca="1">_xll.EVPRO($B$1,$H72,"STYLE")</f>
        <v>#NAME?</v>
      </c>
      <c r="J72" s="27" t="e">
        <f ca="1">_xll.EVPRO($B$1,$H72,"CALC")</f>
        <v>#NAME?</v>
      </c>
      <c r="K72" s="26"/>
      <c r="N72" s="25" t="e">
        <f ca="1">IF(_xll.EVDES(H72,$B$1)="#NODATA","",_xll.EVDES(H72,$B$1))</f>
        <v>#NAME?</v>
      </c>
      <c r="O72" s="33">
        <v>18812.189999999999</v>
      </c>
      <c r="P72" s="33">
        <v>19043.63</v>
      </c>
      <c r="Q72" s="33">
        <v>23998.02</v>
      </c>
      <c r="R72" s="33">
        <v>27149.51</v>
      </c>
      <c r="S72" s="33">
        <v>33124.76</v>
      </c>
      <c r="T72" s="33">
        <v>25442.13</v>
      </c>
      <c r="U72" s="33">
        <v>28668.65</v>
      </c>
      <c r="V72" s="33">
        <v>31951.86</v>
      </c>
      <c r="W72" s="33">
        <v>23879.79</v>
      </c>
      <c r="X72" s="33">
        <v>22865.3</v>
      </c>
      <c r="Y72" s="33">
        <v>38319.61</v>
      </c>
      <c r="Z72" s="33">
        <v>31362.51</v>
      </c>
      <c r="AA72" s="33" t="e">
        <f t="shared" ca="1" si="12"/>
        <v>#NAME?</v>
      </c>
      <c r="AB72" s="34" t="e">
        <f t="shared" ca="1" si="13"/>
        <v>#NAME?</v>
      </c>
      <c r="AD72" s="33">
        <v>316095.67493904399</v>
      </c>
      <c r="AE72" s="34" t="str">
        <f t="shared" ca="1" si="14"/>
        <v/>
      </c>
      <c r="AF72" s="52" t="e">
        <f t="shared" ca="1" si="15"/>
        <v>#NAME?</v>
      </c>
      <c r="AG72" s="33">
        <v>335487.88</v>
      </c>
      <c r="AH72" s="34" t="str">
        <f ca="1">IF(AG72=0,"",IFERROR(AG72/AG$19,""))</f>
        <v/>
      </c>
      <c r="AI72" s="52" t="e">
        <f ca="1">IF(AND($AA72="",AG72=""),"",$AA72-AG72)</f>
        <v>#NAME?</v>
      </c>
      <c r="AJ72" s="415">
        <f ca="1">IFERROR(AA72/AA$20,0)</f>
        <v>0</v>
      </c>
      <c r="AK72" s="416">
        <f ca="1">IFERROR(AD72/AD$20,0)</f>
        <v>0</v>
      </c>
      <c r="AL72" s="417">
        <f ca="1">IFERROR(AG72/AG$20,0)</f>
        <v>0</v>
      </c>
      <c r="AM72" s="418">
        <f ca="1">+IFERROR(ROUND(($AB72-AE72)*100,2)&amp;" pts.",0)</f>
        <v>0</v>
      </c>
      <c r="AN72" s="436">
        <f ca="1">+IFERROR(ROUND(($AB72-AH72)*100,2)&amp;" pts.",0)</f>
        <v>0</v>
      </c>
    </row>
    <row r="73" spans="1:40" x14ac:dyDescent="0.25">
      <c r="A73" s="6" t="s">
        <v>39</v>
      </c>
      <c r="B73" s="7"/>
    </row>
    <row r="74" spans="1:40" x14ac:dyDescent="0.25">
      <c r="A74" s="6" t="s">
        <v>40</v>
      </c>
      <c r="B74" s="7"/>
      <c r="H74" s="15" t="s">
        <v>80</v>
      </c>
      <c r="I74" s="27" t="e">
        <f ca="1">_xll.EVPRO($B$1,$H74,"STYLE")</f>
        <v>#NAME?</v>
      </c>
      <c r="J74" s="27" t="e">
        <f ca="1">_xll.EVPRO($B$1,$H74,"CALC")</f>
        <v>#NAME?</v>
      </c>
      <c r="K74" s="25"/>
      <c r="N74" s="25" t="e">
        <f ca="1">IF(_xll.EVDES(H74,$B$1)="#NODATA","",_xll.EVDES(H74,$B$1))</f>
        <v>#NAME?</v>
      </c>
      <c r="O74" s="36">
        <v>42991.76</v>
      </c>
      <c r="P74" s="36">
        <v>55685.14</v>
      </c>
      <c r="Q74" s="36">
        <v>57325.17</v>
      </c>
      <c r="R74" s="36">
        <v>62439.23</v>
      </c>
      <c r="S74" s="36">
        <v>73285.52</v>
      </c>
      <c r="T74" s="36">
        <v>59617.88</v>
      </c>
      <c r="U74" s="36">
        <v>61751.43</v>
      </c>
      <c r="V74" s="36">
        <v>61428.18</v>
      </c>
      <c r="W74" s="36">
        <v>59050.16</v>
      </c>
      <c r="X74" s="36">
        <v>59083.99</v>
      </c>
      <c r="Y74" s="36">
        <v>72131.02</v>
      </c>
      <c r="Z74" s="36">
        <v>64254.13</v>
      </c>
      <c r="AA74" s="36" t="e">
        <f ca="1">IF($I74="B1","",SUM(O74:Z74))</f>
        <v>#NAME?</v>
      </c>
      <c r="AB74" s="37" t="e">
        <f ca="1">IF(AA74=0,"",IFERROR(AA74/AA$19,""))</f>
        <v>#NAME?</v>
      </c>
      <c r="AD74" s="36">
        <v>705861.33356508298</v>
      </c>
      <c r="AE74" s="37" t="str">
        <f ca="1">IF(AD74=0,"",IFERROR(AD74/AD$19,""))</f>
        <v/>
      </c>
      <c r="AF74" s="59" t="e">
        <f ca="1">IF(AND($AA74="",AD74=""),"",$AA74-AD74)</f>
        <v>#NAME?</v>
      </c>
      <c r="AG74" s="60">
        <v>678879.62</v>
      </c>
      <c r="AH74" s="61" t="str">
        <f ca="1">IF(AG74=0,"",IFERROR(AG74/AG$19,""))</f>
        <v/>
      </c>
      <c r="AI74" s="59" t="e">
        <f ca="1">IF(AND($AA74="",AG74=""),"",$AA74-AG74)</f>
        <v>#NAME?</v>
      </c>
      <c r="AJ74" s="392">
        <f ca="1">IFERROR(AA74/AA$20,0)</f>
        <v>0</v>
      </c>
      <c r="AK74" s="393">
        <f ca="1">IFERROR(AD74/AD$20,0)</f>
        <v>0</v>
      </c>
      <c r="AL74" s="394">
        <f ca="1">IFERROR(AG74/AG$20,0)</f>
        <v>0</v>
      </c>
      <c r="AM74" s="395">
        <f ca="1">+IFERROR(ROUND(($AB74-AE74)*100,2)&amp;" pts.",0)</f>
        <v>0</v>
      </c>
      <c r="AN74" s="437">
        <f ca="1">+IFERROR(ROUND(($AB74-AH74)*100,2)&amp;" pts.",0)</f>
        <v>0</v>
      </c>
    </row>
    <row r="75" spans="1:40" ht="15.75" thickBot="1" x14ac:dyDescent="0.3">
      <c r="A75" s="6" t="s">
        <v>41</v>
      </c>
      <c r="B75" s="7"/>
      <c r="H75" s="15" t="s">
        <v>81</v>
      </c>
      <c r="I75" s="27" t="e">
        <f ca="1">_xll.EVPRO($B$1,$H75,"STYLE")</f>
        <v>#NAME?</v>
      </c>
      <c r="J75" s="27" t="e">
        <f ca="1">_xll.EVPRO($B$1,$H75,"CALC")</f>
        <v>#NAME?</v>
      </c>
      <c r="K75" s="25"/>
      <c r="N75" s="25" t="e">
        <f ca="1">IF(_xll.EVDES(H75,$B$1)="#NODATA","",_xll.EVDES(H75,$B$1))</f>
        <v>#NAME?</v>
      </c>
      <c r="O75" s="62">
        <v>-42991.76</v>
      </c>
      <c r="P75" s="62">
        <v>-55685.14</v>
      </c>
      <c r="Q75" s="62">
        <v>-57325.17</v>
      </c>
      <c r="R75" s="62">
        <v>-62439.23</v>
      </c>
      <c r="S75" s="62">
        <v>-73285.52</v>
      </c>
      <c r="T75" s="62">
        <v>-59617.88</v>
      </c>
      <c r="U75" s="62">
        <v>-61751.43</v>
      </c>
      <c r="V75" s="62">
        <v>-61428.18</v>
      </c>
      <c r="W75" s="62">
        <v>-59050.16</v>
      </c>
      <c r="X75" s="62">
        <v>-59083.99</v>
      </c>
      <c r="Y75" s="62">
        <v>-72131.02</v>
      </c>
      <c r="Z75" s="62">
        <v>-64254.13</v>
      </c>
      <c r="AA75" s="62" t="e">
        <f ca="1">IF($I75="B1","",SUM(O75:Z75))</f>
        <v>#NAME?</v>
      </c>
      <c r="AB75" s="63" t="e">
        <f ca="1">IF(AA75=0,"",IFERROR(AA75/AA$19,""))</f>
        <v>#NAME?</v>
      </c>
      <c r="AD75" s="62">
        <v>-705861.33356508298</v>
      </c>
      <c r="AE75" s="63" t="str">
        <f ca="1">IF(AD75=0,"",IFERROR(AD75/AD$19,""))</f>
        <v/>
      </c>
      <c r="AF75" s="64" t="e">
        <f ca="1">IF(AND($AA75="",AD75=""),"",$AA75-AD75)</f>
        <v>#NAME?</v>
      </c>
      <c r="AG75" s="62">
        <v>-678879.62</v>
      </c>
      <c r="AH75" s="63" t="str">
        <f ca="1">IF(AG75=0,"",IFERROR(AG75/AG$19,""))</f>
        <v/>
      </c>
      <c r="AI75" s="64" t="e">
        <f ca="1">IF(AND($AA75="",AG75=""),"",$AA75-AG75)</f>
        <v>#NAME?</v>
      </c>
      <c r="AJ75" s="430">
        <f ca="1">IFERROR(AA75/AA$20,0)</f>
        <v>0</v>
      </c>
      <c r="AK75" s="431">
        <f ca="1">IFERROR(AD75/AD$20,0)</f>
        <v>0</v>
      </c>
      <c r="AL75" s="432">
        <f ca="1">IFERROR(AG75/AG$20,0)</f>
        <v>0</v>
      </c>
      <c r="AM75" s="433">
        <f ca="1">+IFERROR(ROUND(($AB75-AE75)*100,2)&amp;" pts.",0)</f>
        <v>0</v>
      </c>
      <c r="AN75" s="438">
        <f ca="1">+IFERROR(ROUND(($AB75-AH75)*100,2)&amp;" pts.",0)</f>
        <v>0</v>
      </c>
    </row>
    <row r="76" spans="1:40" ht="15.75" thickTop="1" x14ac:dyDescent="0.25">
      <c r="A76" s="6" t="s">
        <v>42</v>
      </c>
      <c r="B76" s="7"/>
    </row>
    <row r="77" spans="1:40" x14ac:dyDescent="0.25">
      <c r="A77" s="6" t="s">
        <v>43</v>
      </c>
      <c r="B77" s="7"/>
      <c r="N77" s="26" t="e">
        <f ca="1">N74&amp;" - Check"</f>
        <v>#NAME?</v>
      </c>
      <c r="O77" s="139">
        <f t="shared" ref="O77:AA77" si="24">SUMIF($H$33:$H$75,"600000",O$33:O$75)+SUMIF($H$33:$H$75,"700000",O$33:O$75)-SUMIF($H$33:$H$75,"TOTDEPTEXP",O$33:O$75)</f>
        <v>0</v>
      </c>
      <c r="P77" s="139">
        <f t="shared" si="24"/>
        <v>0</v>
      </c>
      <c r="Q77" s="139">
        <f t="shared" si="24"/>
        <v>0</v>
      </c>
      <c r="R77" s="139">
        <f t="shared" si="24"/>
        <v>0</v>
      </c>
      <c r="S77" s="139">
        <f t="shared" si="24"/>
        <v>0</v>
      </c>
      <c r="T77" s="139">
        <f t="shared" si="24"/>
        <v>0</v>
      </c>
      <c r="U77" s="139">
        <f t="shared" si="24"/>
        <v>0</v>
      </c>
      <c r="V77" s="139">
        <f t="shared" si="24"/>
        <v>0</v>
      </c>
      <c r="W77" s="139">
        <f t="shared" si="24"/>
        <v>0</v>
      </c>
      <c r="X77" s="139">
        <f t="shared" si="24"/>
        <v>0</v>
      </c>
      <c r="Y77" s="139">
        <f t="shared" si="24"/>
        <v>0</v>
      </c>
      <c r="Z77" s="139">
        <f t="shared" si="24"/>
        <v>0</v>
      </c>
      <c r="AA77" s="139" t="e">
        <f t="shared" ca="1" si="24"/>
        <v>#NAME?</v>
      </c>
      <c r="AB77" s="17"/>
      <c r="AD77" s="139">
        <f>SUMIF($H$33:$H$75,"600000",AD$33:AD$75)+SUMIF($H$33:$H$75,"700000",AD$33:AD$75)-SUMIF($H$33:$H$75,"TOTDEPTEXP",AD$33:AD$75)</f>
        <v>0</v>
      </c>
      <c r="AE77" s="17"/>
      <c r="AF77" s="21"/>
      <c r="AG77" s="139">
        <f>SUMIF($H$33:$H$75,"600000",AG$33:AG$75)+SUMIF($H$33:$H$75,"700000",AG$33:AG$75)-SUMIF($H$33:$H$75,"TOTDEPTEXP",AG$33:AG$75)</f>
        <v>0</v>
      </c>
      <c r="AH77" s="17"/>
      <c r="AI77" s="21"/>
    </row>
    <row r="78" spans="1:40" x14ac:dyDescent="0.25">
      <c r="A78" s="6" t="s">
        <v>44</v>
      </c>
      <c r="B78" s="7"/>
      <c r="N78" s="26" t="e">
        <f ca="1">N75&amp;" - Check"</f>
        <v>#NAME?</v>
      </c>
      <c r="O78" s="139">
        <f t="shared" ref="O78:AA78" si="25">SUMIF($H$33:$H$75,"TOTDEPTEXP",O$33:O$75)+SUMIF($H$33:$H$75,"TOTDEPTPL",O$33:O$75)</f>
        <v>0</v>
      </c>
      <c r="P78" s="139">
        <f t="shared" si="25"/>
        <v>0</v>
      </c>
      <c r="Q78" s="139">
        <f t="shared" si="25"/>
        <v>0</v>
      </c>
      <c r="R78" s="139">
        <f t="shared" si="25"/>
        <v>0</v>
      </c>
      <c r="S78" s="139">
        <f t="shared" si="25"/>
        <v>0</v>
      </c>
      <c r="T78" s="139">
        <f t="shared" si="25"/>
        <v>0</v>
      </c>
      <c r="U78" s="139">
        <f t="shared" si="25"/>
        <v>0</v>
      </c>
      <c r="V78" s="139">
        <f t="shared" si="25"/>
        <v>0</v>
      </c>
      <c r="W78" s="139">
        <f t="shared" si="25"/>
        <v>0</v>
      </c>
      <c r="X78" s="139">
        <f t="shared" si="25"/>
        <v>0</v>
      </c>
      <c r="Y78" s="139">
        <f t="shared" si="25"/>
        <v>0</v>
      </c>
      <c r="Z78" s="139">
        <f t="shared" si="25"/>
        <v>0</v>
      </c>
      <c r="AA78" s="139" t="e">
        <f t="shared" ca="1" si="25"/>
        <v>#NAME?</v>
      </c>
      <c r="AB78" s="17"/>
      <c r="AD78" s="139">
        <f>SUMIF($H$33:$H$75,"TOTDEPTEXP",AD$33:AD$75)+SUMIF($H$33:$H$75,"TOTDEPTPL",AD$33:AD$75)</f>
        <v>0</v>
      </c>
      <c r="AE78" s="17"/>
      <c r="AF78" s="21"/>
      <c r="AG78" s="139">
        <f>SUMIF($H$33:$H$75,"TOTDEPTEXP",AG$33:AG$75)+SUMIF($H$33:$H$75,"TOTDEPTPL",AG$33:AG$75)</f>
        <v>0</v>
      </c>
      <c r="AH78" s="17"/>
      <c r="AI78" s="21"/>
    </row>
    <row r="79" spans="1:40" x14ac:dyDescent="0.25">
      <c r="A79" s="6" t="s">
        <v>45</v>
      </c>
      <c r="B79" s="7"/>
    </row>
    <row r="80" spans="1:40" x14ac:dyDescent="0.25">
      <c r="A80" s="6" t="s">
        <v>46</v>
      </c>
      <c r="B80" s="7"/>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row r="107" spans="8:10" x14ac:dyDescent="0.25">
      <c r="H107" s="11"/>
      <c r="J107" s="1"/>
    </row>
  </sheetData>
  <mergeCells count="2">
    <mergeCell ref="AD31:AE31"/>
    <mergeCell ref="AG31:AH31"/>
  </mergeCells>
  <dataValidations disablePrompts="1" count="2">
    <dataValidation type="list" allowBlank="1" sqref="B28" xr:uid="{00000000-0002-0000-5400-000000000000}">
      <formula1>"ACCOUNT,BUSINESSUNIT,CATEGORY,DATASRC,DEPARTMENT,INTCO,MEASURES,RPTCURRENCY,TIME"</formula1>
    </dataValidation>
    <dataValidation type="list" allowBlank="1" sqref="B29" xr:uid="{00000000-0002-0000-5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837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8374" r:id="rId7" name="FPMExcelClientSheetOptionstb1"/>
      </mc:Fallback>
    </mc:AlternateContent>
  </controls>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92">
    <pageSetUpPr fitToPage="1"/>
  </sheetPr>
  <dimension ref="A1:AO10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513</v>
      </c>
      <c r="C6" s="1" t="s">
        <v>1028</v>
      </c>
      <c r="E6" s="49" t="s">
        <v>1773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1774</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1775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1776</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1777</v>
      </c>
    </row>
    <row r="23" spans="1:40" hidden="1" outlineLevel="1" x14ac:dyDescent="0.25">
      <c r="A23" s="6" t="s">
        <v>47</v>
      </c>
      <c r="B23" s="16" t="s">
        <v>1778</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1779</v>
      </c>
    </row>
    <row r="28" spans="1:40" ht="15.75" x14ac:dyDescent="0.25">
      <c r="A28" s="6" t="s">
        <v>12</v>
      </c>
      <c r="B28" s="7" t="s">
        <v>22</v>
      </c>
      <c r="N28" s="71" t="s">
        <v>1005</v>
      </c>
    </row>
    <row r="29" spans="1:40" ht="15" customHeight="1" x14ac:dyDescent="0.25">
      <c r="A29" s="6" t="s">
        <v>13</v>
      </c>
      <c r="B29" s="7" t="s">
        <v>735</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73</v>
      </c>
      <c r="I33" s="11" t="s">
        <v>1011</v>
      </c>
      <c r="J33" s="11" t="s">
        <v>78</v>
      </c>
      <c r="N33" s="40" t="s">
        <v>1079</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1011</v>
      </c>
      <c r="J34" s="11" t="s">
        <v>78</v>
      </c>
      <c r="N34" s="8" t="s">
        <v>1080</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855</v>
      </c>
      <c r="I35" s="161" t="s">
        <v>1012</v>
      </c>
      <c r="J35" s="161" t="s">
        <v>78</v>
      </c>
      <c r="K35" s="68" t="str">
        <f t="shared" ref="K35:K47" si="0">IF(AND(I35&gt;="T3"),"&gt;","")</f>
        <v>&gt;</v>
      </c>
      <c r="L35" s="162"/>
      <c r="M35" s="162"/>
      <c r="N35" s="162" t="s">
        <v>1081</v>
      </c>
      <c r="O35" s="38"/>
      <c r="P35" s="38">
        <v>9250</v>
      </c>
      <c r="Q35" s="38">
        <v>8750</v>
      </c>
      <c r="R35" s="38">
        <v>8750</v>
      </c>
      <c r="S35" s="38">
        <v>6327.26</v>
      </c>
      <c r="T35" s="38">
        <v>8750</v>
      </c>
      <c r="U35" s="38">
        <v>7942.64</v>
      </c>
      <c r="V35" s="38">
        <v>7134.79</v>
      </c>
      <c r="W35" s="38">
        <v>8346.32</v>
      </c>
      <c r="X35" s="38">
        <v>8750</v>
      </c>
      <c r="Y35" s="38">
        <v>7538.8</v>
      </c>
      <c r="Z35" s="38">
        <v>6731.11</v>
      </c>
      <c r="AA35" s="38">
        <f t="shared" ref="AA35:AA47" si="1">IF($I35="B1","",SUM(O35:Z35))</f>
        <v>88270.920000000013</v>
      </c>
      <c r="AB35" s="39">
        <f t="shared" ref="AB35:AB47" si="2">IF(AA35=0,"",IFERROR(AA35/AA$19,""))</f>
        <v>6.8214456622346696E-3</v>
      </c>
      <c r="AD35" s="21">
        <v>86291.978365436895</v>
      </c>
      <c r="AE35" s="17">
        <f t="shared" ref="AE35:AE47" si="3">IF(AD35=0,"",IFERROR(AD35/AD$19,""))</f>
        <v>5.2005044779643997E-3</v>
      </c>
      <c r="AF35" s="50">
        <f t="shared" ref="AF35:AF47" si="4">IF(AND($AA35="",AD35=""),"",$AA35-AD35)</f>
        <v>1978.941634563118</v>
      </c>
      <c r="AG35" s="21">
        <v>75128</v>
      </c>
      <c r="AH35" s="17">
        <f t="shared" ref="AH35:AH47" si="5">IF(AG35=0,"",IFERROR(AG35/AG$19,""))</f>
        <v>5.0993911538871253E-3</v>
      </c>
      <c r="AI35" s="50">
        <f t="shared" ref="AI35:AI47" si="6">IF(AND($AA35="",AG35=""),"",$AA35-AG35)</f>
        <v>13142.920000000013</v>
      </c>
      <c r="AJ35" s="399">
        <f t="shared" ref="AJ35:AJ47" si="7">IFERROR(AA35/AA$20,0)</f>
        <v>1.8321070983810712</v>
      </c>
      <c r="AK35" s="400">
        <f t="shared" ref="AK35:AK47" si="8">IFERROR(AD35/AD$20,0)</f>
        <v>1.7910331748741573</v>
      </c>
      <c r="AL35" s="401">
        <f t="shared" ref="AL35:AL47" si="9">IFERROR(AG35/AG$20,0)</f>
        <v>1.5593192195931922</v>
      </c>
      <c r="AM35" s="402" t="str">
        <f t="shared" ref="AM35:AM47" si="10">+IFERROR(ROUND(($AB35-AE35)*100,2)&amp;" pts.",0)</f>
        <v>0.16 pts.</v>
      </c>
      <c r="AN35" s="403" t="str">
        <f t="shared" ref="AN35:AN47" si="11">+IFERROR(ROUND(($AB35-AH35)*100,2)&amp;" pts.",0)</f>
        <v>0.17 pts.</v>
      </c>
    </row>
    <row r="36" spans="1:40" hidden="1" x14ac:dyDescent="0.25">
      <c r="H36" s="15"/>
      <c r="I36" s="161"/>
      <c r="J36" s="161"/>
      <c r="K36" s="68" t="str">
        <f t="shared" si="0"/>
        <v/>
      </c>
      <c r="L36" s="162"/>
      <c r="M36" s="162"/>
      <c r="N36" s="162"/>
      <c r="O36" s="38"/>
      <c r="P36" s="38"/>
      <c r="Q36" s="38"/>
      <c r="R36" s="38"/>
      <c r="S36" s="38"/>
      <c r="T36" s="38"/>
      <c r="U36" s="38"/>
      <c r="V36" s="38"/>
      <c r="W36" s="38"/>
      <c r="X36" s="38"/>
      <c r="Y36" s="38"/>
      <c r="Z36" s="38"/>
      <c r="AA36" s="38">
        <f t="shared" si="1"/>
        <v>0</v>
      </c>
      <c r="AB36" s="39"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108</v>
      </c>
      <c r="C37" s="26" t="s">
        <v>101</v>
      </c>
      <c r="D37" s="1" t="s">
        <v>106</v>
      </c>
      <c r="F37" s="1" t="s">
        <v>98</v>
      </c>
      <c r="H37" s="15" t="s">
        <v>75</v>
      </c>
      <c r="I37" s="28" t="s">
        <v>1011</v>
      </c>
      <c r="J37" s="28" t="s">
        <v>78</v>
      </c>
      <c r="K37" s="69" t="str">
        <f t="shared" si="0"/>
        <v/>
      </c>
      <c r="L37" s="25"/>
      <c r="M37" s="162"/>
      <c r="N37" s="25" t="s">
        <v>1082</v>
      </c>
      <c r="O37" s="38"/>
      <c r="P37" s="38"/>
      <c r="Q37" s="38"/>
      <c r="R37" s="38"/>
      <c r="S37" s="38"/>
      <c r="T37" s="38"/>
      <c r="U37" s="38"/>
      <c r="V37" s="38"/>
      <c r="W37" s="38"/>
      <c r="X37" s="38"/>
      <c r="Y37" s="38"/>
      <c r="Z37" s="38"/>
      <c r="AA37" s="38" t="str">
        <f t="shared" si="1"/>
        <v/>
      </c>
      <c r="AB37" s="39" t="str">
        <f t="shared" si="2"/>
        <v/>
      </c>
      <c r="AD37" s="21"/>
      <c r="AE37" s="17" t="str">
        <f t="shared" si="3"/>
        <v/>
      </c>
      <c r="AF37" s="50" t="str">
        <f t="shared" si="4"/>
        <v/>
      </c>
      <c r="AG37" s="21"/>
      <c r="AH37" s="17" t="str">
        <f t="shared" si="5"/>
        <v/>
      </c>
      <c r="AI37" s="50" t="str">
        <f t="shared" si="6"/>
        <v/>
      </c>
      <c r="AJ37" s="399">
        <f t="shared" si="7"/>
        <v>0</v>
      </c>
      <c r="AK37" s="400">
        <f t="shared" si="8"/>
        <v>0</v>
      </c>
      <c r="AL37" s="401">
        <f t="shared" si="9"/>
        <v>0</v>
      </c>
      <c r="AM37" s="402">
        <f t="shared" si="10"/>
        <v>0</v>
      </c>
      <c r="AN37" s="403">
        <f t="shared" si="11"/>
        <v>0</v>
      </c>
    </row>
    <row r="38" spans="1:40" x14ac:dyDescent="0.25">
      <c r="A38" s="1" t="s">
        <v>100</v>
      </c>
      <c r="C38" s="8" t="s">
        <v>101</v>
      </c>
      <c r="D38" s="1" t="s">
        <v>106</v>
      </c>
      <c r="F38" s="1" t="s">
        <v>98</v>
      </c>
      <c r="H38" s="15" t="s">
        <v>909</v>
      </c>
      <c r="I38" s="161" t="s">
        <v>1012</v>
      </c>
      <c r="J38" s="161" t="s">
        <v>78</v>
      </c>
      <c r="K38" s="68" t="str">
        <f t="shared" si="0"/>
        <v>&gt;</v>
      </c>
      <c r="L38" s="162"/>
      <c r="M38" s="162"/>
      <c r="N38" s="162" t="s">
        <v>1780</v>
      </c>
      <c r="O38" s="47">
        <v>11296.2</v>
      </c>
      <c r="P38" s="47">
        <v>10470.68</v>
      </c>
      <c r="Q38" s="47">
        <v>11489.32</v>
      </c>
      <c r="R38" s="47">
        <v>10789.36</v>
      </c>
      <c r="S38" s="47">
        <v>11226.72</v>
      </c>
      <c r="T38" s="47">
        <v>11383.44</v>
      </c>
      <c r="U38" s="47">
        <v>10195.09</v>
      </c>
      <c r="V38" s="47">
        <v>8087.39</v>
      </c>
      <c r="W38" s="47">
        <v>17231.36</v>
      </c>
      <c r="X38" s="47">
        <v>17838.16</v>
      </c>
      <c r="Y38" s="47">
        <v>16709</v>
      </c>
      <c r="Z38" s="47">
        <v>16675.669999999998</v>
      </c>
      <c r="AA38" s="47">
        <f t="shared" si="1"/>
        <v>153392.39000000001</v>
      </c>
      <c r="AB38" s="48">
        <f t="shared" si="2"/>
        <v>1.1853936193089509E-2</v>
      </c>
      <c r="AD38" s="30">
        <v>205820.714285714</v>
      </c>
      <c r="AE38" s="31">
        <f t="shared" si="3"/>
        <v>1.2404067754337292E-2</v>
      </c>
      <c r="AF38" s="51">
        <f t="shared" si="4"/>
        <v>-52428.324285713985</v>
      </c>
      <c r="AG38" s="30">
        <v>97280.3</v>
      </c>
      <c r="AH38" s="31">
        <f t="shared" si="5"/>
        <v>6.6030015609025361E-3</v>
      </c>
      <c r="AI38" s="51">
        <f t="shared" si="6"/>
        <v>56112.090000000011</v>
      </c>
      <c r="AJ38" s="409">
        <f t="shared" si="7"/>
        <v>3.183735782482358</v>
      </c>
      <c r="AK38" s="410">
        <f t="shared" si="8"/>
        <v>4.2719118780762555</v>
      </c>
      <c r="AL38" s="411">
        <f t="shared" si="9"/>
        <v>2.0191012868410128</v>
      </c>
      <c r="AM38" s="412" t="str">
        <f t="shared" si="10"/>
        <v>-0.06 pts.</v>
      </c>
      <c r="AN38" s="413" t="str">
        <f t="shared" si="11"/>
        <v>0.53 pts.</v>
      </c>
    </row>
    <row r="39" spans="1:40" x14ac:dyDescent="0.25">
      <c r="A39" s="1" t="s">
        <v>109</v>
      </c>
      <c r="C39" s="25" t="s">
        <v>101</v>
      </c>
      <c r="D39" s="1" t="s">
        <v>106</v>
      </c>
      <c r="F39" s="1" t="s">
        <v>98</v>
      </c>
      <c r="H39" s="15" t="s">
        <v>848</v>
      </c>
      <c r="I39" s="479" t="s">
        <v>1010</v>
      </c>
      <c r="J39" s="479" t="s">
        <v>78</v>
      </c>
      <c r="K39" s="480" t="str">
        <f t="shared" si="0"/>
        <v/>
      </c>
      <c r="L39" s="170"/>
      <c r="M39" s="170"/>
      <c r="N39" s="170" t="s">
        <v>1085</v>
      </c>
      <c r="O39" s="134">
        <v>11296.2</v>
      </c>
      <c r="P39" s="134">
        <v>19720.68</v>
      </c>
      <c r="Q39" s="134">
        <v>20239.32</v>
      </c>
      <c r="R39" s="134">
        <v>19539.36</v>
      </c>
      <c r="S39" s="134">
        <v>17553.98</v>
      </c>
      <c r="T39" s="134">
        <v>20133.439999999999</v>
      </c>
      <c r="U39" s="134">
        <v>18137.73</v>
      </c>
      <c r="V39" s="134">
        <v>15222.18</v>
      </c>
      <c r="W39" s="134">
        <v>25577.68</v>
      </c>
      <c r="X39" s="134">
        <v>26588.16</v>
      </c>
      <c r="Y39" s="134">
        <v>24247.8</v>
      </c>
      <c r="Z39" s="134">
        <v>23406.78</v>
      </c>
      <c r="AA39" s="134">
        <f t="shared" si="1"/>
        <v>241663.30999999997</v>
      </c>
      <c r="AB39" s="135">
        <f t="shared" si="2"/>
        <v>1.8675381855324174E-2</v>
      </c>
      <c r="AC39" s="137"/>
      <c r="AD39" s="134">
        <v>292112.69265115098</v>
      </c>
      <c r="AE39" s="135">
        <f t="shared" si="3"/>
        <v>1.7604572232301698E-2</v>
      </c>
      <c r="AF39" s="136">
        <f t="shared" si="4"/>
        <v>-50449.382651151012</v>
      </c>
      <c r="AG39" s="134">
        <v>172408.3</v>
      </c>
      <c r="AH39" s="135">
        <f t="shared" si="5"/>
        <v>1.170239271478966E-2</v>
      </c>
      <c r="AI39" s="136">
        <f t="shared" si="6"/>
        <v>69255.00999999998</v>
      </c>
      <c r="AJ39" s="360">
        <f t="shared" si="7"/>
        <v>5.0158428808634286</v>
      </c>
      <c r="AK39" s="361">
        <f t="shared" si="8"/>
        <v>6.0629450529504147</v>
      </c>
      <c r="AL39" s="363">
        <f t="shared" si="9"/>
        <v>3.5784205064342047</v>
      </c>
      <c r="AM39" s="405" t="str">
        <f t="shared" si="10"/>
        <v>0.11 pts.</v>
      </c>
      <c r="AN39" s="406" t="str">
        <f t="shared" si="11"/>
        <v>0.7 pts.</v>
      </c>
    </row>
    <row r="40" spans="1:40" x14ac:dyDescent="0.25">
      <c r="A40" s="1" t="s">
        <v>109</v>
      </c>
      <c r="C40" s="151" t="s">
        <v>101</v>
      </c>
      <c r="D40" s="1" t="s">
        <v>107</v>
      </c>
      <c r="F40" s="1" t="s">
        <v>99</v>
      </c>
      <c r="H40" s="15" t="s">
        <v>865</v>
      </c>
      <c r="I40" s="161" t="s">
        <v>1012</v>
      </c>
      <c r="J40" s="161" t="s">
        <v>78</v>
      </c>
      <c r="K40" s="68" t="str">
        <f t="shared" si="0"/>
        <v>&gt;</v>
      </c>
      <c r="L40" s="162"/>
      <c r="M40" s="162"/>
      <c r="N40" s="162" t="s">
        <v>1086</v>
      </c>
      <c r="O40" s="47">
        <v>6434</v>
      </c>
      <c r="P40" s="47">
        <v>7996.42</v>
      </c>
      <c r="Q40" s="47">
        <v>6735.83</v>
      </c>
      <c r="R40" s="47">
        <v>6864</v>
      </c>
      <c r="S40" s="47">
        <v>7800</v>
      </c>
      <c r="T40" s="47">
        <v>6240</v>
      </c>
      <c r="U40" s="47">
        <v>6396</v>
      </c>
      <c r="V40" s="47">
        <v>6240</v>
      </c>
      <c r="W40" s="47">
        <v>468</v>
      </c>
      <c r="X40" s="47"/>
      <c r="Y40" s="47"/>
      <c r="Z40" s="47"/>
      <c r="AA40" s="47">
        <f t="shared" si="1"/>
        <v>55174.25</v>
      </c>
      <c r="AB40" s="48">
        <f t="shared" si="2"/>
        <v>4.2637841355856621E-3</v>
      </c>
      <c r="AD40" s="47"/>
      <c r="AE40" s="48" t="str">
        <f t="shared" si="3"/>
        <v/>
      </c>
      <c r="AF40" s="150">
        <f t="shared" si="4"/>
        <v>55174.25</v>
      </c>
      <c r="AG40" s="47">
        <v>116239.99</v>
      </c>
      <c r="AH40" s="48">
        <f t="shared" si="5"/>
        <v>7.8899102429710356E-3</v>
      </c>
      <c r="AI40" s="150">
        <f t="shared" si="6"/>
        <v>-61065.740000000005</v>
      </c>
      <c r="AJ40" s="420">
        <f t="shared" si="7"/>
        <v>1.1451691573266916</v>
      </c>
      <c r="AK40" s="421">
        <f t="shared" si="8"/>
        <v>0</v>
      </c>
      <c r="AL40" s="422">
        <f t="shared" si="9"/>
        <v>2.4126191365711915</v>
      </c>
      <c r="AM40" s="423">
        <f t="shared" si="10"/>
        <v>0</v>
      </c>
      <c r="AN40" s="424" t="str">
        <f t="shared" si="11"/>
        <v>-0.36 pts.</v>
      </c>
    </row>
    <row r="41" spans="1:40" x14ac:dyDescent="0.25">
      <c r="A41" s="1" t="s">
        <v>110</v>
      </c>
      <c r="C41" s="25" t="s">
        <v>101</v>
      </c>
      <c r="D41" s="1" t="s">
        <v>106</v>
      </c>
      <c r="F41" s="1" t="s">
        <v>98</v>
      </c>
      <c r="H41" s="15" t="s">
        <v>849</v>
      </c>
      <c r="I41" s="161" t="s">
        <v>1012</v>
      </c>
      <c r="J41" s="161" t="s">
        <v>78</v>
      </c>
      <c r="K41" s="68" t="str">
        <f t="shared" si="0"/>
        <v>&gt;</v>
      </c>
      <c r="L41" s="162"/>
      <c r="M41" s="162"/>
      <c r="N41" s="162" t="s">
        <v>1087</v>
      </c>
      <c r="O41" s="47"/>
      <c r="P41" s="47">
        <v>756.88</v>
      </c>
      <c r="Q41" s="47">
        <v>993.12</v>
      </c>
      <c r="R41" s="47">
        <v>1400</v>
      </c>
      <c r="S41" s="47"/>
      <c r="T41" s="47"/>
      <c r="U41" s="47"/>
      <c r="V41" s="47"/>
      <c r="W41" s="47"/>
      <c r="X41" s="47">
        <v>437.5</v>
      </c>
      <c r="Y41" s="47">
        <v>437.5</v>
      </c>
      <c r="Z41" s="47">
        <v>437.5</v>
      </c>
      <c r="AA41" s="47">
        <f t="shared" si="1"/>
        <v>4462.5</v>
      </c>
      <c r="AB41" s="48">
        <f t="shared" si="2"/>
        <v>3.4485537556108183E-4</v>
      </c>
      <c r="AD41" s="30">
        <v>11984.5921781323</v>
      </c>
      <c r="AE41" s="31">
        <f t="shared" si="3"/>
        <v>7.2226789175015556E-4</v>
      </c>
      <c r="AF41" s="51">
        <f t="shared" si="4"/>
        <v>-7522.0921781322995</v>
      </c>
      <c r="AG41" s="30">
        <v>1255.95</v>
      </c>
      <c r="AH41" s="31">
        <f t="shared" si="5"/>
        <v>8.5248912785173774E-5</v>
      </c>
      <c r="AI41" s="51">
        <f t="shared" si="6"/>
        <v>3206.55</v>
      </c>
      <c r="AJ41" s="409">
        <f t="shared" si="7"/>
        <v>9.2621419676214192E-2</v>
      </c>
      <c r="AK41" s="410">
        <f t="shared" si="8"/>
        <v>0.24874620544068698</v>
      </c>
      <c r="AL41" s="411">
        <f t="shared" si="9"/>
        <v>2.6067870485678706E-2</v>
      </c>
      <c r="AM41" s="412" t="str">
        <f t="shared" si="10"/>
        <v>-0.04 pts.</v>
      </c>
      <c r="AN41" s="413" t="str">
        <f t="shared" si="11"/>
        <v>0.03 pts.</v>
      </c>
    </row>
    <row r="42" spans="1:40" x14ac:dyDescent="0.25">
      <c r="A42" s="1" t="s">
        <v>110</v>
      </c>
      <c r="C42" s="29" t="s">
        <v>101</v>
      </c>
      <c r="D42" s="1" t="s">
        <v>107</v>
      </c>
      <c r="F42" s="1" t="s">
        <v>99</v>
      </c>
      <c r="H42" s="15" t="s">
        <v>850</v>
      </c>
      <c r="I42" s="479" t="s">
        <v>1010</v>
      </c>
      <c r="J42" s="479" t="s">
        <v>78</v>
      </c>
      <c r="K42" s="480" t="str">
        <f t="shared" si="0"/>
        <v/>
      </c>
      <c r="L42" s="170"/>
      <c r="M42" s="170"/>
      <c r="N42" s="170" t="s">
        <v>1088</v>
      </c>
      <c r="O42" s="134">
        <v>17730.2</v>
      </c>
      <c r="P42" s="134">
        <v>28473.98</v>
      </c>
      <c r="Q42" s="134">
        <v>27968.27</v>
      </c>
      <c r="R42" s="134">
        <v>27803.360000000001</v>
      </c>
      <c r="S42" s="134">
        <v>25353.98</v>
      </c>
      <c r="T42" s="134">
        <v>26373.439999999999</v>
      </c>
      <c r="U42" s="134">
        <v>24533.73</v>
      </c>
      <c r="V42" s="134">
        <v>21462.18</v>
      </c>
      <c r="W42" s="134">
        <v>26045.68</v>
      </c>
      <c r="X42" s="134">
        <v>27025.66</v>
      </c>
      <c r="Y42" s="134">
        <v>24685.3</v>
      </c>
      <c r="Z42" s="134">
        <v>23844.28</v>
      </c>
      <c r="AA42" s="134">
        <f t="shared" si="1"/>
        <v>301300.05999999994</v>
      </c>
      <c r="AB42" s="135">
        <f t="shared" si="2"/>
        <v>2.3284021366470918E-2</v>
      </c>
      <c r="AC42" s="137"/>
      <c r="AD42" s="134">
        <v>304097.28482928401</v>
      </c>
      <c r="AE42" s="135">
        <f t="shared" si="3"/>
        <v>1.8326840124051894E-2</v>
      </c>
      <c r="AF42" s="136">
        <f t="shared" si="4"/>
        <v>-2797.2248292840668</v>
      </c>
      <c r="AG42" s="134">
        <v>289904.24</v>
      </c>
      <c r="AH42" s="135">
        <f t="shared" si="5"/>
        <v>1.9677551870545869E-2</v>
      </c>
      <c r="AI42" s="136">
        <f t="shared" si="6"/>
        <v>11395.819999999949</v>
      </c>
      <c r="AJ42" s="360">
        <f t="shared" si="7"/>
        <v>6.2536334578663331</v>
      </c>
      <c r="AK42" s="361">
        <f t="shared" si="8"/>
        <v>6.3116912583911171</v>
      </c>
      <c r="AL42" s="363">
        <f t="shared" si="9"/>
        <v>6.0171075134910748</v>
      </c>
      <c r="AM42" s="405" t="str">
        <f t="shared" si="10"/>
        <v>0.5 pts.</v>
      </c>
      <c r="AN42" s="406" t="str">
        <f t="shared" si="11"/>
        <v>0.36 pts.</v>
      </c>
    </row>
    <row r="43" spans="1:40" x14ac:dyDescent="0.25">
      <c r="C43" s="32"/>
      <c r="H43" s="15" t="s">
        <v>851</v>
      </c>
      <c r="I43" s="161" t="s">
        <v>1012</v>
      </c>
      <c r="J43" s="161" t="s">
        <v>78</v>
      </c>
      <c r="K43" s="68" t="str">
        <f t="shared" si="0"/>
        <v>&gt;</v>
      </c>
      <c r="L43" s="162"/>
      <c r="M43" s="162"/>
      <c r="N43" s="162" t="s">
        <v>561</v>
      </c>
      <c r="O43" s="47">
        <v>759.05</v>
      </c>
      <c r="P43" s="47">
        <v>1705.56</v>
      </c>
      <c r="Q43" s="47">
        <v>1634.43</v>
      </c>
      <c r="R43" s="47">
        <v>1578.94</v>
      </c>
      <c r="S43" s="47">
        <v>1587.31</v>
      </c>
      <c r="T43" s="47">
        <v>1498.4</v>
      </c>
      <c r="U43" s="47">
        <v>1537.36</v>
      </c>
      <c r="V43" s="47">
        <v>1529.94</v>
      </c>
      <c r="W43" s="47">
        <v>2058.94</v>
      </c>
      <c r="X43" s="47">
        <v>2079.2399999999998</v>
      </c>
      <c r="Y43" s="47">
        <v>2041.38</v>
      </c>
      <c r="Z43" s="47">
        <v>2341.41</v>
      </c>
      <c r="AA43" s="47">
        <f t="shared" si="1"/>
        <v>20351.96</v>
      </c>
      <c r="AB43" s="48">
        <f t="shared" si="2"/>
        <v>1.5727692569645075E-3</v>
      </c>
      <c r="AD43" s="47">
        <v>24328.373291055701</v>
      </c>
      <c r="AE43" s="48">
        <f t="shared" si="3"/>
        <v>1.4661827975009146E-3</v>
      </c>
      <c r="AF43" s="150">
        <f t="shared" si="4"/>
        <v>-3976.4132910557018</v>
      </c>
      <c r="AG43" s="47">
        <v>14557.66</v>
      </c>
      <c r="AH43" s="48">
        <f t="shared" si="5"/>
        <v>9.8811631649047557E-4</v>
      </c>
      <c r="AI43" s="150">
        <f t="shared" si="6"/>
        <v>5794.2999999999993</v>
      </c>
      <c r="AJ43" s="420">
        <f t="shared" si="7"/>
        <v>0.42241511000415111</v>
      </c>
      <c r="AK43" s="421">
        <f t="shared" si="8"/>
        <v>0.50494755689198212</v>
      </c>
      <c r="AL43" s="422">
        <f t="shared" si="9"/>
        <v>0.30215151515151517</v>
      </c>
      <c r="AM43" s="423" t="str">
        <f t="shared" si="10"/>
        <v>0.01 pts.</v>
      </c>
      <c r="AN43" s="424" t="str">
        <f t="shared" si="11"/>
        <v>0.06 pts.</v>
      </c>
    </row>
    <row r="44" spans="1:40" x14ac:dyDescent="0.25">
      <c r="H44" s="15" t="s">
        <v>852</v>
      </c>
      <c r="I44" s="161" t="s">
        <v>1012</v>
      </c>
      <c r="J44" s="161" t="s">
        <v>78</v>
      </c>
      <c r="K44" s="68" t="str">
        <f t="shared" si="0"/>
        <v>&gt;</v>
      </c>
      <c r="L44" s="162"/>
      <c r="M44" s="162"/>
      <c r="N44" s="162" t="s">
        <v>560</v>
      </c>
      <c r="O44" s="47">
        <v>1341.11</v>
      </c>
      <c r="P44" s="47">
        <v>2279.4899999999998</v>
      </c>
      <c r="Q44" s="47">
        <v>1938.71</v>
      </c>
      <c r="R44" s="47">
        <v>1638.58</v>
      </c>
      <c r="S44" s="47">
        <v>8314.16</v>
      </c>
      <c r="T44" s="47">
        <v>1670.07</v>
      </c>
      <c r="U44" s="47">
        <v>2366.87</v>
      </c>
      <c r="V44" s="47">
        <v>1511.62</v>
      </c>
      <c r="W44" s="47">
        <v>1983.69</v>
      </c>
      <c r="X44" s="47">
        <v>1952.47</v>
      </c>
      <c r="Y44" s="47">
        <v>2173.5700000000002</v>
      </c>
      <c r="Z44" s="47">
        <v>1559.94</v>
      </c>
      <c r="AA44" s="47">
        <f t="shared" si="1"/>
        <v>28730.279999999995</v>
      </c>
      <c r="AB44" s="48">
        <f t="shared" si="2"/>
        <v>2.2202333892156942E-3</v>
      </c>
      <c r="AD44" s="30">
        <v>27257.580213775502</v>
      </c>
      <c r="AE44" s="31">
        <f t="shared" si="3"/>
        <v>1.6427154718820383E-3</v>
      </c>
      <c r="AF44" s="51">
        <f t="shared" si="4"/>
        <v>1472.6997862244934</v>
      </c>
      <c r="AG44" s="30">
        <v>15634.8</v>
      </c>
      <c r="AH44" s="31">
        <f t="shared" si="5"/>
        <v>1.0612283145138221E-3</v>
      </c>
      <c r="AI44" s="51">
        <f t="shared" si="6"/>
        <v>13095.479999999996</v>
      </c>
      <c r="AJ44" s="409">
        <f t="shared" si="7"/>
        <v>0.59631133250311319</v>
      </c>
      <c r="AK44" s="410">
        <f t="shared" si="8"/>
        <v>0.5657447117844645</v>
      </c>
      <c r="AL44" s="411">
        <f t="shared" si="9"/>
        <v>0.32450809464508096</v>
      </c>
      <c r="AM44" s="412" t="str">
        <f t="shared" si="10"/>
        <v>0.06 pts.</v>
      </c>
      <c r="AN44" s="413" t="str">
        <f t="shared" si="11"/>
        <v>0.12 pts.</v>
      </c>
    </row>
    <row r="45" spans="1:40" x14ac:dyDescent="0.25">
      <c r="A45" s="4" t="s">
        <v>988</v>
      </c>
      <c r="B45" s="1" t="s">
        <v>736</v>
      </c>
      <c r="H45" s="15" t="s">
        <v>853</v>
      </c>
      <c r="I45" s="161" t="s">
        <v>1012</v>
      </c>
      <c r="J45" s="161" t="s">
        <v>78</v>
      </c>
      <c r="K45" s="68" t="str">
        <f t="shared" si="0"/>
        <v>&gt;</v>
      </c>
      <c r="L45" s="162"/>
      <c r="M45" s="162"/>
      <c r="N45" s="162" t="s">
        <v>562</v>
      </c>
      <c r="O45" s="47">
        <v>4349.21</v>
      </c>
      <c r="P45" s="47">
        <v>4182.4799999999996</v>
      </c>
      <c r="Q45" s="47">
        <v>1785.74</v>
      </c>
      <c r="R45" s="47">
        <v>4268.84</v>
      </c>
      <c r="S45" s="47">
        <v>4905.3100000000004</v>
      </c>
      <c r="T45" s="47">
        <v>4633.84</v>
      </c>
      <c r="U45" s="47">
        <v>4644.82</v>
      </c>
      <c r="V45" s="47">
        <v>4972.58</v>
      </c>
      <c r="W45" s="47">
        <v>5082.0600000000004</v>
      </c>
      <c r="X45" s="47">
        <v>5161.32</v>
      </c>
      <c r="Y45" s="47">
        <v>4911.16</v>
      </c>
      <c r="Z45" s="47">
        <v>5145.99</v>
      </c>
      <c r="AA45" s="47">
        <f t="shared" si="1"/>
        <v>54043.35</v>
      </c>
      <c r="AB45" s="48">
        <f t="shared" si="2"/>
        <v>4.1763898623706419E-3</v>
      </c>
      <c r="AD45" s="30">
        <v>34082.420291924798</v>
      </c>
      <c r="AE45" s="31">
        <f t="shared" si="3"/>
        <v>2.054023823598105E-3</v>
      </c>
      <c r="AF45" s="51">
        <f t="shared" si="4"/>
        <v>19960.9297080752</v>
      </c>
      <c r="AG45" s="30">
        <v>23295.040000000001</v>
      </c>
      <c r="AH45" s="31">
        <f t="shared" si="5"/>
        <v>1.5811750732808905E-3</v>
      </c>
      <c r="AI45" s="51">
        <f t="shared" si="6"/>
        <v>30748.309999999998</v>
      </c>
      <c r="AJ45" s="409">
        <f t="shared" si="7"/>
        <v>1.1216967621419676</v>
      </c>
      <c r="AK45" s="410">
        <f t="shared" si="8"/>
        <v>0.70739768144302195</v>
      </c>
      <c r="AL45" s="411">
        <f t="shared" si="9"/>
        <v>0.48350020755500212</v>
      </c>
      <c r="AM45" s="412" t="str">
        <f t="shared" si="10"/>
        <v>0.21 pts.</v>
      </c>
      <c r="AN45" s="413" t="str">
        <f t="shared" si="11"/>
        <v>0.26 pts.</v>
      </c>
    </row>
    <row r="46" spans="1:40" x14ac:dyDescent="0.25">
      <c r="H46" s="15" t="s">
        <v>854</v>
      </c>
      <c r="I46" s="479" t="s">
        <v>1010</v>
      </c>
      <c r="J46" s="479" t="s">
        <v>78</v>
      </c>
      <c r="K46" s="480" t="str">
        <f t="shared" si="0"/>
        <v/>
      </c>
      <c r="L46" s="170"/>
      <c r="M46" s="170"/>
      <c r="N46" s="170" t="s">
        <v>1089</v>
      </c>
      <c r="O46" s="36">
        <v>6449.37</v>
      </c>
      <c r="P46" s="36">
        <v>8167.53</v>
      </c>
      <c r="Q46" s="36">
        <v>5358.88</v>
      </c>
      <c r="R46" s="36">
        <v>7486.36</v>
      </c>
      <c r="S46" s="36">
        <v>14806.78</v>
      </c>
      <c r="T46" s="36">
        <v>7802.31</v>
      </c>
      <c r="U46" s="36">
        <v>8549.0499999999993</v>
      </c>
      <c r="V46" s="36">
        <v>8014.14</v>
      </c>
      <c r="W46" s="36">
        <v>9124.69</v>
      </c>
      <c r="X46" s="36">
        <v>9193.0300000000007</v>
      </c>
      <c r="Y46" s="36">
        <v>9126.11</v>
      </c>
      <c r="Z46" s="36">
        <v>9047.34</v>
      </c>
      <c r="AA46" s="36">
        <f t="shared" si="1"/>
        <v>103125.59</v>
      </c>
      <c r="AB46" s="37">
        <f t="shared" si="2"/>
        <v>7.9693925085508443E-3</v>
      </c>
      <c r="AC46" s="35"/>
      <c r="AD46" s="36">
        <v>85668.373796756001</v>
      </c>
      <c r="AE46" s="37">
        <f t="shared" si="3"/>
        <v>5.1629220929810581E-3</v>
      </c>
      <c r="AF46" s="58">
        <f t="shared" si="4"/>
        <v>17457.216203243996</v>
      </c>
      <c r="AG46" s="36">
        <v>53487.5</v>
      </c>
      <c r="AH46" s="37">
        <f t="shared" si="5"/>
        <v>3.6305197042851883E-3</v>
      </c>
      <c r="AI46" s="58">
        <f t="shared" si="6"/>
        <v>49638.09</v>
      </c>
      <c r="AJ46" s="372">
        <f t="shared" si="7"/>
        <v>2.140423204649232</v>
      </c>
      <c r="AK46" s="373">
        <f t="shared" si="8"/>
        <v>1.7780899501194687</v>
      </c>
      <c r="AL46" s="375">
        <f t="shared" si="9"/>
        <v>1.1101598173515981</v>
      </c>
      <c r="AM46" s="407" t="str">
        <f t="shared" si="10"/>
        <v>0.28 pts.</v>
      </c>
      <c r="AN46" s="408" t="str">
        <f t="shared" si="11"/>
        <v>0.43 pts.</v>
      </c>
    </row>
    <row r="47" spans="1:40" x14ac:dyDescent="0.25">
      <c r="A47" s="3" t="s">
        <v>0</v>
      </c>
      <c r="B47" s="5" t="s">
        <v>1</v>
      </c>
      <c r="H47" s="15" t="s">
        <v>76</v>
      </c>
      <c r="I47" s="479" t="s">
        <v>1046</v>
      </c>
      <c r="J47" s="479" t="s">
        <v>78</v>
      </c>
      <c r="K47" s="480" t="str">
        <f t="shared" si="0"/>
        <v/>
      </c>
      <c r="L47" s="170">
        <v>600000</v>
      </c>
      <c r="M47" s="170"/>
      <c r="N47" s="170" t="s">
        <v>1090</v>
      </c>
      <c r="O47" s="36">
        <v>24179.57</v>
      </c>
      <c r="P47" s="36">
        <v>36641.51</v>
      </c>
      <c r="Q47" s="36">
        <v>33327.15</v>
      </c>
      <c r="R47" s="36">
        <v>35289.72</v>
      </c>
      <c r="S47" s="36">
        <v>40160.76</v>
      </c>
      <c r="T47" s="36">
        <v>34175.75</v>
      </c>
      <c r="U47" s="36">
        <v>33082.78</v>
      </c>
      <c r="V47" s="36">
        <v>29476.32</v>
      </c>
      <c r="W47" s="36">
        <v>35170.370000000003</v>
      </c>
      <c r="X47" s="36">
        <v>36218.69</v>
      </c>
      <c r="Y47" s="36">
        <v>33811.410000000003</v>
      </c>
      <c r="Z47" s="36">
        <v>32891.620000000003</v>
      </c>
      <c r="AA47" s="36">
        <f t="shared" si="1"/>
        <v>404425.65</v>
      </c>
      <c r="AB47" s="37">
        <f t="shared" si="2"/>
        <v>3.1253413875021764E-2</v>
      </c>
      <c r="AC47" s="35"/>
      <c r="AD47" s="36">
        <v>389765.65862603899</v>
      </c>
      <c r="AE47" s="37">
        <f t="shared" si="3"/>
        <v>2.3489762217032892E-2</v>
      </c>
      <c r="AF47" s="58">
        <f t="shared" si="4"/>
        <v>14659.991373961035</v>
      </c>
      <c r="AG47" s="36">
        <v>343391.74</v>
      </c>
      <c r="AH47" s="37">
        <f t="shared" si="5"/>
        <v>2.3308071574831057E-2</v>
      </c>
      <c r="AI47" s="58">
        <f t="shared" si="6"/>
        <v>61033.910000000033</v>
      </c>
      <c r="AJ47" s="372">
        <f t="shared" si="7"/>
        <v>8.3940566625155668</v>
      </c>
      <c r="AK47" s="373">
        <f t="shared" si="8"/>
        <v>8.0897812085105638</v>
      </c>
      <c r="AL47" s="375">
        <f t="shared" si="9"/>
        <v>7.1272673308426731</v>
      </c>
      <c r="AM47" s="407" t="str">
        <f t="shared" si="10"/>
        <v>0.78 pts.</v>
      </c>
      <c r="AN47" s="408" t="str">
        <f t="shared" si="11"/>
        <v>0.79 pts.</v>
      </c>
    </row>
    <row r="48" spans="1:40" x14ac:dyDescent="0.25">
      <c r="A48" s="6" t="s">
        <v>2</v>
      </c>
      <c r="B48" s="16" t="s">
        <v>1774</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16" t="s">
        <v>1775</v>
      </c>
      <c r="H49" s="1" t="s">
        <v>82</v>
      </c>
      <c r="I49" s="11" t="s">
        <v>1011</v>
      </c>
      <c r="J49" s="11" t="s">
        <v>78</v>
      </c>
      <c r="L49" s="1"/>
      <c r="M49" s="1"/>
      <c r="N49" s="40" t="s">
        <v>1092</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16" t="s">
        <v>1781</v>
      </c>
      <c r="H50" s="15" t="s">
        <v>832</v>
      </c>
      <c r="I50" s="161" t="s">
        <v>1064</v>
      </c>
      <c r="J50" s="161" t="s">
        <v>78</v>
      </c>
      <c r="K50" s="68" t="str">
        <f t="shared" ref="K50:K71" si="12">IF(AND(I50&gt;="T3"),"&gt;","")</f>
        <v>&gt;</v>
      </c>
      <c r="L50" s="162">
        <v>701500</v>
      </c>
      <c r="M50" s="162"/>
      <c r="N50" s="162" t="s">
        <v>1094</v>
      </c>
      <c r="O50" s="21">
        <v>117.66</v>
      </c>
      <c r="P50" s="21">
        <v>164.1</v>
      </c>
      <c r="Q50" s="21">
        <v>247.64</v>
      </c>
      <c r="R50" s="21">
        <v>126.78</v>
      </c>
      <c r="S50" s="21">
        <v>199.45</v>
      </c>
      <c r="T50" s="21">
        <v>279.95999999999998</v>
      </c>
      <c r="U50" s="21">
        <v>749</v>
      </c>
      <c r="V50" s="21">
        <v>23.68</v>
      </c>
      <c r="W50" s="21">
        <v>124.23</v>
      </c>
      <c r="X50" s="21">
        <v>784.42</v>
      </c>
      <c r="Y50" s="21">
        <v>277.25</v>
      </c>
      <c r="Z50" s="21">
        <v>405.1</v>
      </c>
      <c r="AA50" s="38">
        <f t="shared" ref="AA50:AA72" si="13">IF($I50="B1","",SUM(O50:Z50))</f>
        <v>3499.27</v>
      </c>
      <c r="AB50" s="17">
        <f t="shared" ref="AB50:AB72" si="14">IF(AA50=0,"",IFERROR(AA50/AA$19,""))</f>
        <v>2.7041839104529453E-4</v>
      </c>
      <c r="AD50" s="21">
        <v>4400</v>
      </c>
      <c r="AE50" s="17">
        <f t="shared" ref="AE50:AE72" si="15">IF(AD50=0,"",IFERROR(AD50/AD$19,""))</f>
        <v>2.6517203726793368E-4</v>
      </c>
      <c r="AF50" s="50">
        <f t="shared" ref="AF50:AF72" si="16">IF(AND($AA50="",AD50=""),"",$AA50-AD50)</f>
        <v>-900.73</v>
      </c>
      <c r="AG50" s="21">
        <v>4052.71</v>
      </c>
      <c r="AH50" s="17">
        <f t="shared" ref="AH50:AH72" si="17">IF(AG50=0,"",IFERROR(AG50/AG$19,""))</f>
        <v>2.7508190718866327E-4</v>
      </c>
      <c r="AI50" s="50">
        <f t="shared" ref="AI50:AI72" si="18">IF(AND($AA50="",AG50=""),"",$AA50-AG50)</f>
        <v>-553.44000000000005</v>
      </c>
      <c r="AJ50" s="399">
        <f t="shared" ref="AJ50:AJ72" si="19">IFERROR(AA50/AA$20,0)</f>
        <v>7.2629099211290987E-2</v>
      </c>
      <c r="AK50" s="400">
        <f t="shared" ref="AK50:AK72" si="20">IFERROR(AD50/AD$20,0)</f>
        <v>9.1324200913242004E-2</v>
      </c>
      <c r="AL50" s="401">
        <f t="shared" ref="AL50:AL72" si="21">IFERROR(AG50/AG$20,0)</f>
        <v>8.4116023246160229E-2</v>
      </c>
      <c r="AM50" s="402" t="str">
        <f t="shared" ref="AM50:AM72" si="22">+IFERROR(ROUND(($AB50-AE50)*100,2)&amp;" pts.",0)</f>
        <v>0 pts.</v>
      </c>
      <c r="AN50" s="403" t="str">
        <f t="shared" ref="AN50:AN72" si="23">+IFERROR(ROUND(($AB50-AH50)*100,2)&amp;" pts.",0)</f>
        <v>0 pts.</v>
      </c>
    </row>
    <row r="51" spans="1:40" x14ac:dyDescent="0.25">
      <c r="A51" s="6" t="s">
        <v>5</v>
      </c>
      <c r="B51" s="7"/>
      <c r="H51" s="15" t="s">
        <v>833</v>
      </c>
      <c r="I51" s="161" t="s">
        <v>1064</v>
      </c>
      <c r="J51" s="161" t="s">
        <v>78</v>
      </c>
      <c r="K51" s="68" t="str">
        <f t="shared" si="12"/>
        <v>&gt;</v>
      </c>
      <c r="L51" s="162"/>
      <c r="M51" s="162"/>
      <c r="N51" s="162" t="s">
        <v>1099</v>
      </c>
      <c r="O51" s="21">
        <v>1274.25</v>
      </c>
      <c r="P51" s="21">
        <v>1494.77</v>
      </c>
      <c r="Q51" s="21">
        <v>3313.57</v>
      </c>
      <c r="R51" s="21">
        <v>1798.47</v>
      </c>
      <c r="S51" s="21">
        <v>1574.77</v>
      </c>
      <c r="T51" s="21">
        <v>1524.47</v>
      </c>
      <c r="U51" s="21">
        <v>2019.07</v>
      </c>
      <c r="V51" s="21">
        <v>1506.04</v>
      </c>
      <c r="W51" s="21">
        <v>1407.47</v>
      </c>
      <c r="X51" s="21">
        <v>1398.47</v>
      </c>
      <c r="Y51" s="21">
        <v>1450.29</v>
      </c>
      <c r="Z51" s="21">
        <v>1279.48</v>
      </c>
      <c r="AA51" s="38">
        <f t="shared" si="13"/>
        <v>20041.12</v>
      </c>
      <c r="AB51" s="17">
        <f t="shared" si="14"/>
        <v>1.5487480031965732E-3</v>
      </c>
      <c r="AD51" s="21">
        <v>17496</v>
      </c>
      <c r="AE51" s="17">
        <f t="shared" si="15"/>
        <v>1.0544204463726744E-3</v>
      </c>
      <c r="AF51" s="50">
        <f t="shared" si="16"/>
        <v>2545.119999999999</v>
      </c>
      <c r="AG51" s="21">
        <v>24477.86</v>
      </c>
      <c r="AH51" s="17">
        <f t="shared" si="17"/>
        <v>1.6614602112406496E-3</v>
      </c>
      <c r="AI51" s="50">
        <f t="shared" si="18"/>
        <v>-4436.7400000000016</v>
      </c>
      <c r="AJ51" s="399">
        <f t="shared" si="19"/>
        <v>0.41596347031963471</v>
      </c>
      <c r="AK51" s="400">
        <f t="shared" si="20"/>
        <v>0.36313823163138231</v>
      </c>
      <c r="AL51" s="401">
        <f t="shared" si="21"/>
        <v>0.50805022831050228</v>
      </c>
      <c r="AM51" s="402" t="str">
        <f t="shared" si="22"/>
        <v>0.05 pts.</v>
      </c>
      <c r="AN51" s="403" t="str">
        <f t="shared" si="23"/>
        <v>-0.01 pts.</v>
      </c>
    </row>
    <row r="52" spans="1:40" x14ac:dyDescent="0.25">
      <c r="A52" s="6" t="s">
        <v>6</v>
      </c>
      <c r="B52" s="7"/>
      <c r="H52" s="15" t="s">
        <v>834</v>
      </c>
      <c r="I52" s="161" t="s">
        <v>1064</v>
      </c>
      <c r="J52" s="161" t="s">
        <v>78</v>
      </c>
      <c r="K52" s="68" t="str">
        <f t="shared" si="12"/>
        <v>&gt;</v>
      </c>
      <c r="L52" s="162"/>
      <c r="M52" s="162"/>
      <c r="N52" s="162" t="s">
        <v>1100</v>
      </c>
      <c r="O52" s="21">
        <v>51.38</v>
      </c>
      <c r="P52" s="21">
        <v>134.68</v>
      </c>
      <c r="Q52" s="21">
        <v>1497.01</v>
      </c>
      <c r="R52" s="21">
        <v>58.95</v>
      </c>
      <c r="S52" s="21">
        <v>18.34</v>
      </c>
      <c r="T52" s="21">
        <v>41.92</v>
      </c>
      <c r="U52" s="21">
        <v>52</v>
      </c>
      <c r="V52" s="21">
        <v>24.64</v>
      </c>
      <c r="W52" s="21">
        <v>86.46</v>
      </c>
      <c r="X52" s="21">
        <v>117.5</v>
      </c>
      <c r="Y52" s="21">
        <v>144.76</v>
      </c>
      <c r="Z52" s="21"/>
      <c r="AA52" s="38">
        <f t="shared" si="13"/>
        <v>2227.6400000000003</v>
      </c>
      <c r="AB52" s="17">
        <f t="shared" si="14"/>
        <v>1.7214871233947078E-4</v>
      </c>
      <c r="AD52" s="21">
        <v>621</v>
      </c>
      <c r="AE52" s="17">
        <f t="shared" si="15"/>
        <v>3.742541707804246E-5</v>
      </c>
      <c r="AF52" s="50">
        <f t="shared" si="16"/>
        <v>1606.6400000000003</v>
      </c>
      <c r="AG52" s="21">
        <v>2247.27</v>
      </c>
      <c r="AH52" s="17">
        <f t="shared" si="17"/>
        <v>1.5253578903199765E-4</v>
      </c>
      <c r="AI52" s="50">
        <f t="shared" si="18"/>
        <v>-19.629999999999654</v>
      </c>
      <c r="AJ52" s="399">
        <f t="shared" si="19"/>
        <v>4.623578248235783E-2</v>
      </c>
      <c r="AK52" s="400">
        <f t="shared" si="20"/>
        <v>1.2889165628891657E-2</v>
      </c>
      <c r="AL52" s="401">
        <f t="shared" si="21"/>
        <v>4.6643212951432131E-2</v>
      </c>
      <c r="AM52" s="402" t="str">
        <f t="shared" si="22"/>
        <v>0.01 pts.</v>
      </c>
      <c r="AN52" s="403" t="str">
        <f t="shared" si="23"/>
        <v>0 pts.</v>
      </c>
    </row>
    <row r="53" spans="1:40" x14ac:dyDescent="0.25">
      <c r="A53" s="6" t="s">
        <v>7</v>
      </c>
      <c r="B53" s="7"/>
      <c r="H53" s="15" t="s">
        <v>835</v>
      </c>
      <c r="I53" s="161" t="s">
        <v>1064</v>
      </c>
      <c r="J53" s="161" t="s">
        <v>78</v>
      </c>
      <c r="K53" s="68" t="str">
        <f t="shared" si="12"/>
        <v>&gt;</v>
      </c>
      <c r="L53" s="162">
        <v>702900</v>
      </c>
      <c r="M53" s="162"/>
      <c r="N53" s="162" t="s">
        <v>1101</v>
      </c>
      <c r="O53" s="21"/>
      <c r="P53" s="21"/>
      <c r="Q53" s="21">
        <v>171.14</v>
      </c>
      <c r="R53" s="21"/>
      <c r="S53" s="21">
        <v>132.08000000000001</v>
      </c>
      <c r="T53" s="21"/>
      <c r="U53" s="21"/>
      <c r="V53" s="21"/>
      <c r="W53" s="21"/>
      <c r="X53" s="21"/>
      <c r="Y53" s="21"/>
      <c r="Z53" s="21"/>
      <c r="AA53" s="38">
        <f t="shared" si="13"/>
        <v>303.22000000000003</v>
      </c>
      <c r="AB53" s="17">
        <f t="shared" si="14"/>
        <v>2.343239147958123E-5</v>
      </c>
      <c r="AD53" s="21"/>
      <c r="AE53" s="17" t="str">
        <f t="shared" si="15"/>
        <v/>
      </c>
      <c r="AF53" s="50">
        <f t="shared" si="16"/>
        <v>303.22000000000003</v>
      </c>
      <c r="AG53" s="21">
        <v>26.44</v>
      </c>
      <c r="AH53" s="17">
        <f t="shared" si="17"/>
        <v>1.7946425049086306E-6</v>
      </c>
      <c r="AI53" s="50">
        <f t="shared" si="18"/>
        <v>276.78000000000003</v>
      </c>
      <c r="AJ53" s="399">
        <f t="shared" si="19"/>
        <v>6.2934827729348285E-3</v>
      </c>
      <c r="AK53" s="400">
        <f t="shared" si="20"/>
        <v>0</v>
      </c>
      <c r="AL53" s="401">
        <f t="shared" si="21"/>
        <v>5.4877542548775423E-4</v>
      </c>
      <c r="AM53" s="402">
        <f t="shared" si="22"/>
        <v>0</v>
      </c>
      <c r="AN53" s="403" t="str">
        <f t="shared" si="23"/>
        <v>0 pts.</v>
      </c>
    </row>
    <row r="54" spans="1:40" x14ac:dyDescent="0.25">
      <c r="A54" s="6" t="s">
        <v>47</v>
      </c>
      <c r="B54" s="16" t="s">
        <v>1778</v>
      </c>
      <c r="H54" s="15" t="s">
        <v>859</v>
      </c>
      <c r="I54" s="161" t="s">
        <v>1009</v>
      </c>
      <c r="J54" s="161" t="s">
        <v>1009</v>
      </c>
      <c r="K54" s="68" t="str">
        <f t="shared" si="12"/>
        <v/>
      </c>
      <c r="L54" s="162">
        <v>703200</v>
      </c>
      <c r="M54" s="162">
        <v>590035</v>
      </c>
      <c r="N54" s="162" t="s">
        <v>1105</v>
      </c>
      <c r="O54" s="21"/>
      <c r="P54" s="21"/>
      <c r="Q54" s="21"/>
      <c r="R54" s="21"/>
      <c r="S54" s="21">
        <v>471.34</v>
      </c>
      <c r="T54" s="21"/>
      <c r="U54" s="21">
        <v>408.34</v>
      </c>
      <c r="V54" s="21"/>
      <c r="W54" s="21"/>
      <c r="X54" s="21">
        <v>445.06</v>
      </c>
      <c r="Y54" s="21"/>
      <c r="Z54" s="21">
        <v>593.65</v>
      </c>
      <c r="AA54" s="38">
        <f t="shared" si="13"/>
        <v>1918.3899999999999</v>
      </c>
      <c r="AB54" s="17">
        <f t="shared" si="14"/>
        <v>1.482503314112322E-4</v>
      </c>
      <c r="AD54" s="21">
        <v>2102</v>
      </c>
      <c r="AE54" s="17">
        <f t="shared" si="15"/>
        <v>1.2667991416754468E-4</v>
      </c>
      <c r="AF54" s="50">
        <f t="shared" si="16"/>
        <v>-183.61000000000013</v>
      </c>
      <c r="AG54" s="21">
        <v>2306.0500000000002</v>
      </c>
      <c r="AH54" s="17">
        <f t="shared" si="17"/>
        <v>1.5652554267944584E-4</v>
      </c>
      <c r="AI54" s="50">
        <f t="shared" si="18"/>
        <v>-387.66000000000031</v>
      </c>
      <c r="AJ54" s="399">
        <f t="shared" si="19"/>
        <v>3.9817144043171437E-2</v>
      </c>
      <c r="AK54" s="400">
        <f t="shared" si="20"/>
        <v>4.3628061436280612E-2</v>
      </c>
      <c r="AL54" s="401">
        <f t="shared" si="21"/>
        <v>4.7863221253632217E-2</v>
      </c>
      <c r="AM54" s="402" t="str">
        <f t="shared" si="22"/>
        <v>0 pts.</v>
      </c>
      <c r="AN54" s="403" t="str">
        <f t="shared" si="23"/>
        <v>0 pts.</v>
      </c>
    </row>
    <row r="55" spans="1:40" x14ac:dyDescent="0.25">
      <c r="A55" s="6" t="s">
        <v>8</v>
      </c>
      <c r="B55" s="7"/>
      <c r="H55" s="15" t="s">
        <v>876</v>
      </c>
      <c r="I55" s="161" t="s">
        <v>1009</v>
      </c>
      <c r="J55" s="161" t="s">
        <v>1009</v>
      </c>
      <c r="K55" s="68" t="str">
        <f t="shared" si="12"/>
        <v/>
      </c>
      <c r="L55" s="162">
        <v>703300</v>
      </c>
      <c r="M55" s="162">
        <v>590115</v>
      </c>
      <c r="N55" s="162" t="s">
        <v>1106</v>
      </c>
      <c r="O55" s="21">
        <v>145.86000000000001</v>
      </c>
      <c r="P55" s="21">
        <v>244.95</v>
      </c>
      <c r="Q55" s="21">
        <v>215.81</v>
      </c>
      <c r="R55" s="21">
        <v>258.08</v>
      </c>
      <c r="S55" s="21">
        <v>234.13</v>
      </c>
      <c r="T55" s="21">
        <v>271.68</v>
      </c>
      <c r="U55" s="21">
        <v>267.67</v>
      </c>
      <c r="V55" s="21">
        <v>315.66000000000003</v>
      </c>
      <c r="W55" s="21">
        <v>267.58</v>
      </c>
      <c r="X55" s="21">
        <v>380.38</v>
      </c>
      <c r="Y55" s="21">
        <v>461.44</v>
      </c>
      <c r="Z55" s="21">
        <v>330.63</v>
      </c>
      <c r="AA55" s="38">
        <f t="shared" si="13"/>
        <v>3393.8700000000003</v>
      </c>
      <c r="AB55" s="17">
        <f t="shared" si="14"/>
        <v>2.622732355082328E-4</v>
      </c>
      <c r="AD55" s="21">
        <v>4722</v>
      </c>
      <c r="AE55" s="17">
        <f t="shared" si="15"/>
        <v>2.8457780908617793E-4</v>
      </c>
      <c r="AF55" s="50">
        <f t="shared" si="16"/>
        <v>-1328.1299999999997</v>
      </c>
      <c r="AG55" s="21">
        <v>5016.2</v>
      </c>
      <c r="AH55" s="17">
        <f t="shared" si="17"/>
        <v>3.4047979323459425E-4</v>
      </c>
      <c r="AI55" s="50">
        <f t="shared" si="18"/>
        <v>-1622.3299999999995</v>
      </c>
      <c r="AJ55" s="399">
        <f t="shared" si="19"/>
        <v>7.0441469489414696E-2</v>
      </c>
      <c r="AK55" s="400">
        <f t="shared" si="20"/>
        <v>9.8007471980074715E-2</v>
      </c>
      <c r="AL55" s="401">
        <f t="shared" si="21"/>
        <v>0.1041137401411374</v>
      </c>
      <c r="AM55" s="402" t="str">
        <f t="shared" si="22"/>
        <v>0 pts.</v>
      </c>
      <c r="AN55" s="403" t="str">
        <f t="shared" si="23"/>
        <v>-0.01 pts.</v>
      </c>
    </row>
    <row r="56" spans="1:40" x14ac:dyDescent="0.25">
      <c r="H56" s="15" t="s">
        <v>861</v>
      </c>
      <c r="I56" s="161" t="s">
        <v>1009</v>
      </c>
      <c r="J56" s="161" t="s">
        <v>1009</v>
      </c>
      <c r="K56" s="68" t="str">
        <f t="shared" si="12"/>
        <v/>
      </c>
      <c r="L56" s="162">
        <v>703800</v>
      </c>
      <c r="M56" s="162">
        <v>690065</v>
      </c>
      <c r="N56" s="162" t="s">
        <v>1251</v>
      </c>
      <c r="O56" s="21"/>
      <c r="P56" s="21"/>
      <c r="Q56" s="21"/>
      <c r="R56" s="21"/>
      <c r="S56" s="21"/>
      <c r="T56" s="21"/>
      <c r="U56" s="21"/>
      <c r="V56" s="21"/>
      <c r="W56" s="21"/>
      <c r="X56" s="21">
        <v>1281.8599999999999</v>
      </c>
      <c r="Y56" s="21">
        <v>-1281.8599999999999</v>
      </c>
      <c r="Z56" s="21"/>
      <c r="AA56" s="38">
        <f t="shared" si="13"/>
        <v>0</v>
      </c>
      <c r="AB56" s="17" t="str">
        <f t="shared" si="14"/>
        <v/>
      </c>
      <c r="AD56" s="21"/>
      <c r="AE56" s="17" t="str">
        <f t="shared" si="15"/>
        <v/>
      </c>
      <c r="AF56" s="50">
        <f t="shared" si="16"/>
        <v>0</v>
      </c>
      <c r="AG56" s="21"/>
      <c r="AH56" s="17" t="str">
        <f t="shared" si="17"/>
        <v/>
      </c>
      <c r="AI56" s="50">
        <f t="shared" si="18"/>
        <v>0</v>
      </c>
      <c r="AJ56" s="399">
        <f t="shared" si="19"/>
        <v>0</v>
      </c>
      <c r="AK56" s="400">
        <f t="shared" si="20"/>
        <v>0</v>
      </c>
      <c r="AL56" s="401">
        <f t="shared" si="21"/>
        <v>0</v>
      </c>
      <c r="AM56" s="402">
        <f t="shared" si="22"/>
        <v>0</v>
      </c>
      <c r="AN56" s="403">
        <f t="shared" si="23"/>
        <v>0</v>
      </c>
    </row>
    <row r="57" spans="1:40" x14ac:dyDescent="0.25">
      <c r="H57" s="15" t="s">
        <v>841</v>
      </c>
      <c r="I57" s="161" t="s">
        <v>1009</v>
      </c>
      <c r="J57" s="161" t="s">
        <v>1009</v>
      </c>
      <c r="K57" s="68" t="str">
        <f t="shared" si="12"/>
        <v/>
      </c>
      <c r="L57" s="162">
        <v>705500</v>
      </c>
      <c r="M57" s="162">
        <v>690105</v>
      </c>
      <c r="N57" s="162" t="s">
        <v>1113</v>
      </c>
      <c r="O57" s="21"/>
      <c r="P57" s="21"/>
      <c r="Q57" s="21"/>
      <c r="R57" s="21"/>
      <c r="S57" s="21"/>
      <c r="T57" s="21">
        <v>250.35</v>
      </c>
      <c r="U57" s="21"/>
      <c r="V57" s="21">
        <v>1890</v>
      </c>
      <c r="W57" s="21"/>
      <c r="X57" s="21"/>
      <c r="Y57" s="21">
        <v>5300</v>
      </c>
      <c r="Z57" s="21"/>
      <c r="AA57" s="38">
        <f t="shared" si="13"/>
        <v>7440.35</v>
      </c>
      <c r="AB57" s="17">
        <f t="shared" si="14"/>
        <v>5.7497920303773559E-4</v>
      </c>
      <c r="AD57" s="21">
        <v>6573</v>
      </c>
      <c r="AE57" s="17">
        <f t="shared" si="15"/>
        <v>3.9613086385502909E-4</v>
      </c>
      <c r="AF57" s="50">
        <f t="shared" si="16"/>
        <v>867.35000000000036</v>
      </c>
      <c r="AG57" s="21">
        <v>3385.08</v>
      </c>
      <c r="AH57" s="17">
        <f t="shared" si="17"/>
        <v>2.2976582641891479E-4</v>
      </c>
      <c r="AI57" s="50">
        <f t="shared" si="18"/>
        <v>4055.2700000000004</v>
      </c>
      <c r="AJ57" s="399">
        <f t="shared" si="19"/>
        <v>0.15442818596928187</v>
      </c>
      <c r="AK57" s="400">
        <f t="shared" si="20"/>
        <v>0.13642590286425904</v>
      </c>
      <c r="AL57" s="401">
        <f t="shared" si="21"/>
        <v>7.0259028642590288E-2</v>
      </c>
      <c r="AM57" s="402" t="str">
        <f t="shared" si="22"/>
        <v>0.02 pts.</v>
      </c>
      <c r="AN57" s="403" t="str">
        <f t="shared" si="23"/>
        <v>0.03 pts.</v>
      </c>
    </row>
    <row r="58" spans="1:40" x14ac:dyDescent="0.25">
      <c r="A58" s="3" t="s">
        <v>23</v>
      </c>
      <c r="B58" s="5" t="s">
        <v>24</v>
      </c>
      <c r="H58" s="15" t="s">
        <v>895</v>
      </c>
      <c r="I58" s="161" t="s">
        <v>1009</v>
      </c>
      <c r="J58" s="161" t="s">
        <v>1009</v>
      </c>
      <c r="K58" s="68" t="str">
        <f t="shared" si="12"/>
        <v/>
      </c>
      <c r="L58" s="162">
        <v>715100</v>
      </c>
      <c r="M58" s="162">
        <v>691055</v>
      </c>
      <c r="N58" s="162" t="s">
        <v>1782</v>
      </c>
      <c r="O58" s="21">
        <v>657</v>
      </c>
      <c r="P58" s="21">
        <v>325.25</v>
      </c>
      <c r="Q58" s="21">
        <v>166.16</v>
      </c>
      <c r="R58" s="21">
        <v>597.82000000000005</v>
      </c>
      <c r="S58" s="21">
        <v>1651.89</v>
      </c>
      <c r="T58" s="21">
        <v>878.83</v>
      </c>
      <c r="U58" s="21">
        <v>345.56</v>
      </c>
      <c r="V58" s="21">
        <v>80.25</v>
      </c>
      <c r="W58" s="21">
        <v>1184.9100000000001</v>
      </c>
      <c r="X58" s="21">
        <v>1916.31</v>
      </c>
      <c r="Y58" s="21">
        <v>404.78</v>
      </c>
      <c r="Z58" s="21">
        <v>299.25</v>
      </c>
      <c r="AA58" s="38">
        <f t="shared" si="13"/>
        <v>8508.01</v>
      </c>
      <c r="AB58" s="17">
        <f t="shared" si="14"/>
        <v>6.5748638293051877E-4</v>
      </c>
      <c r="AD58" s="21">
        <v>6225</v>
      </c>
      <c r="AE58" s="17">
        <f t="shared" si="15"/>
        <v>3.7515816636201981E-4</v>
      </c>
      <c r="AF58" s="50">
        <f t="shared" si="16"/>
        <v>2283.0100000000002</v>
      </c>
      <c r="AG58" s="21">
        <v>12741.62</v>
      </c>
      <c r="AH58" s="17">
        <f t="shared" si="17"/>
        <v>8.6485071230687994E-4</v>
      </c>
      <c r="AI58" s="50">
        <f t="shared" si="18"/>
        <v>-4233.6100000000006</v>
      </c>
      <c r="AJ58" s="399">
        <f t="shared" si="19"/>
        <v>0.17658800332088004</v>
      </c>
      <c r="AK58" s="400">
        <f t="shared" si="20"/>
        <v>0.12920298879202988</v>
      </c>
      <c r="AL58" s="401">
        <f t="shared" si="21"/>
        <v>0.26445869655458698</v>
      </c>
      <c r="AM58" s="402" t="str">
        <f t="shared" si="22"/>
        <v>0.03 pts.</v>
      </c>
      <c r="AN58" s="403" t="str">
        <f t="shared" si="23"/>
        <v>-0.02 pts.</v>
      </c>
    </row>
    <row r="59" spans="1:40" x14ac:dyDescent="0.25">
      <c r="A59" s="6" t="s">
        <v>25</v>
      </c>
      <c r="B59" s="7"/>
      <c r="H59" s="15" t="s">
        <v>896</v>
      </c>
      <c r="I59" s="161" t="s">
        <v>1009</v>
      </c>
      <c r="J59" s="161" t="s">
        <v>1009</v>
      </c>
      <c r="K59" s="68" t="str">
        <f t="shared" si="12"/>
        <v/>
      </c>
      <c r="L59" s="162">
        <v>715200</v>
      </c>
      <c r="M59" s="162">
        <v>691095</v>
      </c>
      <c r="N59" s="162" t="s">
        <v>1783</v>
      </c>
      <c r="O59" s="21"/>
      <c r="P59" s="21"/>
      <c r="Q59" s="21">
        <v>407.75</v>
      </c>
      <c r="R59" s="21">
        <v>1832.11</v>
      </c>
      <c r="S59" s="21">
        <v>5038.2700000000004</v>
      </c>
      <c r="T59" s="21">
        <v>31.02</v>
      </c>
      <c r="U59" s="21">
        <v>1347.07</v>
      </c>
      <c r="V59" s="21">
        <v>2674.46</v>
      </c>
      <c r="W59" s="21">
        <v>38.04</v>
      </c>
      <c r="X59" s="21">
        <v>1337.5</v>
      </c>
      <c r="Y59" s="21">
        <v>4499.74</v>
      </c>
      <c r="Z59" s="21">
        <v>1241.78</v>
      </c>
      <c r="AA59" s="38">
        <f t="shared" si="13"/>
        <v>18447.739999999998</v>
      </c>
      <c r="AB59" s="17">
        <f t="shared" si="14"/>
        <v>1.425613962118362E-3</v>
      </c>
      <c r="AD59" s="21">
        <v>24250</v>
      </c>
      <c r="AE59" s="17">
        <f t="shared" si="15"/>
        <v>1.4614595235789526E-3</v>
      </c>
      <c r="AF59" s="50">
        <f t="shared" si="16"/>
        <v>-5802.260000000002</v>
      </c>
      <c r="AG59" s="21">
        <v>24908.38</v>
      </c>
      <c r="AH59" s="17">
        <f t="shared" si="17"/>
        <v>1.6906822041004553E-3</v>
      </c>
      <c r="AI59" s="50">
        <f t="shared" si="18"/>
        <v>-6460.6400000000031</v>
      </c>
      <c r="AJ59" s="399">
        <f t="shared" si="19"/>
        <v>0.38289207139892067</v>
      </c>
      <c r="AK59" s="400">
        <f t="shared" si="20"/>
        <v>0.50332088003320885</v>
      </c>
      <c r="AL59" s="401">
        <f t="shared" si="21"/>
        <v>0.51698588625985886</v>
      </c>
      <c r="AM59" s="402" t="str">
        <f t="shared" si="22"/>
        <v>0 pts.</v>
      </c>
      <c r="AN59" s="403" t="str">
        <f t="shared" si="23"/>
        <v>-0.03 pts.</v>
      </c>
    </row>
    <row r="60" spans="1:40" x14ac:dyDescent="0.25">
      <c r="A60" s="6" t="s">
        <v>26</v>
      </c>
      <c r="B60" s="7"/>
      <c r="H60" s="15" t="s">
        <v>897</v>
      </c>
      <c r="I60" s="161" t="s">
        <v>1009</v>
      </c>
      <c r="J60" s="161" t="s">
        <v>1009</v>
      </c>
      <c r="K60" s="68" t="str">
        <f t="shared" si="12"/>
        <v/>
      </c>
      <c r="L60" s="162">
        <v>715300</v>
      </c>
      <c r="M60" s="162">
        <v>690922</v>
      </c>
      <c r="N60" s="162" t="s">
        <v>1784</v>
      </c>
      <c r="O60" s="21">
        <v>1000.29</v>
      </c>
      <c r="P60" s="21">
        <v>-2.09</v>
      </c>
      <c r="Q60" s="21">
        <v>343.86</v>
      </c>
      <c r="R60" s="21">
        <v>4996.6400000000003</v>
      </c>
      <c r="S60" s="21">
        <v>2419.2399999999998</v>
      </c>
      <c r="T60" s="21">
        <v>1974.69</v>
      </c>
      <c r="U60" s="21">
        <v>2850</v>
      </c>
      <c r="V60" s="21">
        <v>6293.57</v>
      </c>
      <c r="W60" s="21">
        <v>2049.25</v>
      </c>
      <c r="X60" s="21">
        <v>2783.92</v>
      </c>
      <c r="Y60" s="21">
        <v>5499.8</v>
      </c>
      <c r="Z60" s="21">
        <v>2500.16</v>
      </c>
      <c r="AA60" s="38">
        <f t="shared" si="13"/>
        <v>32709.33</v>
      </c>
      <c r="AB60" s="17">
        <f t="shared" si="14"/>
        <v>2.5277284664428821E-3</v>
      </c>
      <c r="AD60" s="21">
        <v>38000</v>
      </c>
      <c r="AE60" s="17">
        <f t="shared" si="15"/>
        <v>2.2901221400412454E-3</v>
      </c>
      <c r="AF60" s="50">
        <f t="shared" si="16"/>
        <v>-5290.6699999999983</v>
      </c>
      <c r="AG60" s="21">
        <v>32026.09</v>
      </c>
      <c r="AH60" s="17">
        <f t="shared" si="17"/>
        <v>2.1738041747363557E-3</v>
      </c>
      <c r="AI60" s="50">
        <f t="shared" si="18"/>
        <v>683.2400000000016</v>
      </c>
      <c r="AJ60" s="399">
        <f t="shared" si="19"/>
        <v>0.67889850560398513</v>
      </c>
      <c r="AK60" s="400">
        <f t="shared" si="20"/>
        <v>0.78870900788709009</v>
      </c>
      <c r="AL60" s="401">
        <f t="shared" si="21"/>
        <v>0.66471751764217513</v>
      </c>
      <c r="AM60" s="402" t="str">
        <f t="shared" si="22"/>
        <v>0.02 pts.</v>
      </c>
      <c r="AN60" s="403" t="str">
        <f t="shared" si="23"/>
        <v>0.04 pts.</v>
      </c>
    </row>
    <row r="61" spans="1:40" x14ac:dyDescent="0.25">
      <c r="A61" s="6" t="s">
        <v>27</v>
      </c>
      <c r="B61" s="7"/>
      <c r="H61" s="15" t="s">
        <v>898</v>
      </c>
      <c r="I61" s="161" t="s">
        <v>1064</v>
      </c>
      <c r="J61" s="161" t="s">
        <v>78</v>
      </c>
      <c r="K61" s="68" t="str">
        <f t="shared" si="12"/>
        <v>&gt;</v>
      </c>
      <c r="L61" s="162"/>
      <c r="M61" s="162"/>
      <c r="N61" s="162" t="s">
        <v>1785</v>
      </c>
      <c r="O61" s="21"/>
      <c r="P61" s="21">
        <v>-28.3</v>
      </c>
      <c r="Q61" s="21">
        <v>202.05</v>
      </c>
      <c r="R61" s="21">
        <v>521.48</v>
      </c>
      <c r="S61" s="21"/>
      <c r="T61" s="21">
        <v>2500</v>
      </c>
      <c r="U61" s="21">
        <v>412.52</v>
      </c>
      <c r="V61" s="21">
        <v>1177.32</v>
      </c>
      <c r="W61" s="21">
        <v>1281.8599999999999</v>
      </c>
      <c r="X61" s="21">
        <v>-1295.7</v>
      </c>
      <c r="Y61" s="21">
        <v>1523.33</v>
      </c>
      <c r="Z61" s="21">
        <v>1243.4000000000001</v>
      </c>
      <c r="AA61" s="38">
        <f t="shared" si="13"/>
        <v>7537.9599999999991</v>
      </c>
      <c r="AB61" s="17">
        <f t="shared" si="14"/>
        <v>5.8252235893880384E-4</v>
      </c>
      <c r="AD61" s="21">
        <v>8250</v>
      </c>
      <c r="AE61" s="17">
        <f t="shared" si="15"/>
        <v>4.9719756987737565E-4</v>
      </c>
      <c r="AF61" s="50">
        <f t="shared" si="16"/>
        <v>-712.04000000000087</v>
      </c>
      <c r="AG61" s="21">
        <v>10569.18</v>
      </c>
      <c r="AH61" s="17">
        <f t="shared" si="17"/>
        <v>7.1739408736876706E-4</v>
      </c>
      <c r="AI61" s="50">
        <f t="shared" si="18"/>
        <v>-3031.2200000000012</v>
      </c>
      <c r="AJ61" s="399">
        <f t="shared" si="19"/>
        <v>0.15645413034454128</v>
      </c>
      <c r="AK61" s="400">
        <f t="shared" si="20"/>
        <v>0.17123287671232876</v>
      </c>
      <c r="AL61" s="401">
        <f t="shared" si="21"/>
        <v>0.21936861768368618</v>
      </c>
      <c r="AM61" s="402" t="str">
        <f t="shared" si="22"/>
        <v>0.01 pts.</v>
      </c>
      <c r="AN61" s="403" t="str">
        <f t="shared" si="23"/>
        <v>-0.01 pts.</v>
      </c>
    </row>
    <row r="62" spans="1:40" x14ac:dyDescent="0.25">
      <c r="A62" s="6" t="s">
        <v>28</v>
      </c>
      <c r="B62" s="7"/>
      <c r="H62" s="15" t="s">
        <v>899</v>
      </c>
      <c r="I62" s="161" t="s">
        <v>1009</v>
      </c>
      <c r="J62" s="161" t="s">
        <v>1009</v>
      </c>
      <c r="K62" s="68" t="str">
        <f t="shared" si="12"/>
        <v/>
      </c>
      <c r="L62" s="162">
        <v>715600</v>
      </c>
      <c r="M62" s="162">
        <v>690905</v>
      </c>
      <c r="N62" s="162" t="s">
        <v>1786</v>
      </c>
      <c r="O62" s="21">
        <v>1455.56</v>
      </c>
      <c r="P62" s="21">
        <v>1334.97</v>
      </c>
      <c r="Q62" s="21">
        <v>1170.56</v>
      </c>
      <c r="R62" s="21">
        <v>1609.55</v>
      </c>
      <c r="S62" s="21">
        <v>4253.91</v>
      </c>
      <c r="T62" s="21">
        <v>1603.41</v>
      </c>
      <c r="U62" s="21">
        <v>2253.9899999999998</v>
      </c>
      <c r="V62" s="21">
        <v>2058.94</v>
      </c>
      <c r="W62" s="21">
        <v>3614.32</v>
      </c>
      <c r="X62" s="21">
        <v>1970.15</v>
      </c>
      <c r="Y62" s="21">
        <v>1842.66</v>
      </c>
      <c r="Z62" s="21">
        <v>4261.9399999999996</v>
      </c>
      <c r="AA62" s="38">
        <f t="shared" si="13"/>
        <v>27429.96</v>
      </c>
      <c r="AB62" s="17">
        <f t="shared" si="14"/>
        <v>2.119746589899261E-3</v>
      </c>
      <c r="AD62" s="21">
        <v>20624</v>
      </c>
      <c r="AE62" s="17">
        <f t="shared" si="15"/>
        <v>1.2429336583213327E-3</v>
      </c>
      <c r="AF62" s="50">
        <f t="shared" si="16"/>
        <v>6805.9599999999991</v>
      </c>
      <c r="AG62" s="21">
        <v>22997.61</v>
      </c>
      <c r="AH62" s="17">
        <f t="shared" si="17"/>
        <v>1.5609867026214739E-3</v>
      </c>
      <c r="AI62" s="50">
        <f t="shared" si="18"/>
        <v>4432.3499999999985</v>
      </c>
      <c r="AJ62" s="399">
        <f t="shared" si="19"/>
        <v>0.56932254047322539</v>
      </c>
      <c r="AK62" s="400">
        <f t="shared" si="20"/>
        <v>0.42806143628061438</v>
      </c>
      <c r="AL62" s="401">
        <f t="shared" si="21"/>
        <v>0.47732689912826898</v>
      </c>
      <c r="AM62" s="402" t="str">
        <f t="shared" si="22"/>
        <v>0.09 pts.</v>
      </c>
      <c r="AN62" s="403" t="str">
        <f t="shared" si="23"/>
        <v>0.06 pts.</v>
      </c>
    </row>
    <row r="63" spans="1:40" x14ac:dyDescent="0.25">
      <c r="A63" s="6" t="s">
        <v>29</v>
      </c>
      <c r="B63" s="7"/>
      <c r="H63" s="15" t="s">
        <v>900</v>
      </c>
      <c r="I63" s="161" t="s">
        <v>1009</v>
      </c>
      <c r="J63" s="161" t="s">
        <v>1009</v>
      </c>
      <c r="K63" s="68" t="str">
        <f t="shared" si="12"/>
        <v/>
      </c>
      <c r="L63" s="162">
        <v>715700</v>
      </c>
      <c r="M63" s="162">
        <v>690921</v>
      </c>
      <c r="N63" s="162" t="s">
        <v>1787</v>
      </c>
      <c r="O63" s="21">
        <v>761</v>
      </c>
      <c r="P63" s="21">
        <v>2039.79</v>
      </c>
      <c r="Q63" s="21">
        <v>400.78</v>
      </c>
      <c r="R63" s="21">
        <v>823.26</v>
      </c>
      <c r="S63" s="21"/>
      <c r="T63" s="21">
        <v>745.46</v>
      </c>
      <c r="U63" s="21">
        <v>305.22000000000003</v>
      </c>
      <c r="V63" s="21">
        <v>300</v>
      </c>
      <c r="W63" s="21">
        <v>298.31</v>
      </c>
      <c r="X63" s="21">
        <v>405.63</v>
      </c>
      <c r="Y63" s="21">
        <v>1077.3399999999999</v>
      </c>
      <c r="Z63" s="21">
        <v>800.83</v>
      </c>
      <c r="AA63" s="38">
        <f t="shared" si="13"/>
        <v>7957.6200000000008</v>
      </c>
      <c r="AB63" s="17">
        <f t="shared" si="14"/>
        <v>6.1495306076691906E-4</v>
      </c>
      <c r="AD63" s="21">
        <v>5781</v>
      </c>
      <c r="AE63" s="17">
        <f t="shared" si="15"/>
        <v>3.4839989714680102E-4</v>
      </c>
      <c r="AF63" s="50">
        <f t="shared" si="16"/>
        <v>2176.6200000000008</v>
      </c>
      <c r="AG63" s="21">
        <v>5492.79</v>
      </c>
      <c r="AH63" s="17">
        <f t="shared" si="17"/>
        <v>3.7282883526993483E-4</v>
      </c>
      <c r="AI63" s="50">
        <f t="shared" si="18"/>
        <v>2464.8300000000008</v>
      </c>
      <c r="AJ63" s="399">
        <f t="shared" si="19"/>
        <v>0.16516438356164384</v>
      </c>
      <c r="AK63" s="400">
        <f t="shared" si="20"/>
        <v>0.11998754669987546</v>
      </c>
      <c r="AL63" s="401">
        <f t="shared" si="21"/>
        <v>0.11400560398505603</v>
      </c>
      <c r="AM63" s="402" t="str">
        <f t="shared" si="22"/>
        <v>0.03 pts.</v>
      </c>
      <c r="AN63" s="403" t="str">
        <f t="shared" si="23"/>
        <v>0.02 pts.</v>
      </c>
    </row>
    <row r="64" spans="1:40" x14ac:dyDescent="0.25">
      <c r="A64" s="6" t="s">
        <v>30</v>
      </c>
      <c r="B64" s="7" t="s">
        <v>78</v>
      </c>
      <c r="H64" s="15" t="s">
        <v>901</v>
      </c>
      <c r="I64" s="161" t="s">
        <v>1009</v>
      </c>
      <c r="J64" s="161" t="s">
        <v>1009</v>
      </c>
      <c r="K64" s="68" t="str">
        <f t="shared" si="12"/>
        <v/>
      </c>
      <c r="L64" s="162">
        <v>715800</v>
      </c>
      <c r="M64" s="162">
        <v>691060</v>
      </c>
      <c r="N64" s="162" t="s">
        <v>1788</v>
      </c>
      <c r="O64" s="21"/>
      <c r="P64" s="21"/>
      <c r="Q64" s="21">
        <v>55.16</v>
      </c>
      <c r="R64" s="21"/>
      <c r="S64" s="21"/>
      <c r="T64" s="21"/>
      <c r="U64" s="21"/>
      <c r="V64" s="21"/>
      <c r="W64" s="21"/>
      <c r="X64" s="21"/>
      <c r="Y64" s="21"/>
      <c r="Z64" s="21"/>
      <c r="AA64" s="38">
        <f t="shared" si="13"/>
        <v>55.16</v>
      </c>
      <c r="AB64" s="17">
        <f t="shared" si="14"/>
        <v>4.2626829167393329E-6</v>
      </c>
      <c r="AD64" s="21">
        <v>350</v>
      </c>
      <c r="AE64" s="17">
        <f t="shared" si="15"/>
        <v>2.1093230237221997E-5</v>
      </c>
      <c r="AF64" s="50">
        <f t="shared" si="16"/>
        <v>-294.84000000000003</v>
      </c>
      <c r="AG64" s="21"/>
      <c r="AH64" s="17" t="str">
        <f t="shared" si="17"/>
        <v/>
      </c>
      <c r="AI64" s="50">
        <f t="shared" si="18"/>
        <v>55.16</v>
      </c>
      <c r="AJ64" s="399">
        <f t="shared" si="19"/>
        <v>1.1448733914487339E-3</v>
      </c>
      <c r="AK64" s="400">
        <f t="shared" si="20"/>
        <v>7.2644250726442506E-3</v>
      </c>
      <c r="AL64" s="401">
        <f t="shared" si="21"/>
        <v>0</v>
      </c>
      <c r="AM64" s="402" t="str">
        <f t="shared" si="22"/>
        <v>0 pts.</v>
      </c>
      <c r="AN64" s="403">
        <f t="shared" si="23"/>
        <v>0</v>
      </c>
    </row>
    <row r="65" spans="1:40" x14ac:dyDescent="0.25">
      <c r="A65" s="6" t="s">
        <v>31</v>
      </c>
      <c r="B65" s="7" t="s">
        <v>78</v>
      </c>
      <c r="H65" s="15" t="s">
        <v>902</v>
      </c>
      <c r="I65" s="161" t="s">
        <v>1009</v>
      </c>
      <c r="J65" s="161" t="s">
        <v>1009</v>
      </c>
      <c r="K65" s="68" t="str">
        <f t="shared" si="12"/>
        <v/>
      </c>
      <c r="L65" s="162">
        <v>715900</v>
      </c>
      <c r="M65" s="162">
        <v>690925</v>
      </c>
      <c r="N65" s="162" t="s">
        <v>1789</v>
      </c>
      <c r="O65" s="21">
        <v>524.79</v>
      </c>
      <c r="P65" s="21">
        <v>183.81</v>
      </c>
      <c r="Q65" s="21">
        <v>1000</v>
      </c>
      <c r="R65" s="21">
        <v>2044.28</v>
      </c>
      <c r="S65" s="21">
        <v>2105.31</v>
      </c>
      <c r="T65" s="21">
        <v>979.79</v>
      </c>
      <c r="U65" s="21">
        <v>1043.79</v>
      </c>
      <c r="V65" s="21">
        <v>1194.93</v>
      </c>
      <c r="W65" s="21">
        <v>713.4</v>
      </c>
      <c r="X65" s="21">
        <v>995.57</v>
      </c>
      <c r="Y65" s="21">
        <v>1374.8</v>
      </c>
      <c r="Z65" s="21">
        <v>2046.75</v>
      </c>
      <c r="AA65" s="38">
        <f t="shared" si="13"/>
        <v>14207.22</v>
      </c>
      <c r="AB65" s="17">
        <f t="shared" si="14"/>
        <v>1.0979128714350504E-3</v>
      </c>
      <c r="AD65" s="21">
        <v>13050</v>
      </c>
      <c r="AE65" s="17">
        <f t="shared" si="15"/>
        <v>7.8647615598784876E-4</v>
      </c>
      <c r="AF65" s="50">
        <f t="shared" si="16"/>
        <v>1157.2199999999993</v>
      </c>
      <c r="AG65" s="21">
        <v>16735.7</v>
      </c>
      <c r="AH65" s="17">
        <f t="shared" si="17"/>
        <v>1.1359530472541365E-3</v>
      </c>
      <c r="AI65" s="50">
        <f t="shared" si="18"/>
        <v>-2528.4800000000014</v>
      </c>
      <c r="AJ65" s="399">
        <f t="shared" si="19"/>
        <v>0.29487795765877955</v>
      </c>
      <c r="AK65" s="400">
        <f t="shared" si="20"/>
        <v>0.27085927770859275</v>
      </c>
      <c r="AL65" s="401">
        <f t="shared" si="21"/>
        <v>0.34735782482357824</v>
      </c>
      <c r="AM65" s="402" t="str">
        <f t="shared" si="22"/>
        <v>0.03 pts.</v>
      </c>
      <c r="AN65" s="403" t="str">
        <f t="shared" si="23"/>
        <v>0 pts.</v>
      </c>
    </row>
    <row r="66" spans="1:40" x14ac:dyDescent="0.25">
      <c r="A66" s="6" t="s">
        <v>32</v>
      </c>
      <c r="B66" s="7"/>
      <c r="H66" s="15" t="s">
        <v>903</v>
      </c>
      <c r="I66" s="161" t="s">
        <v>1009</v>
      </c>
      <c r="J66" s="161" t="s">
        <v>1009</v>
      </c>
      <c r="K66" s="68" t="str">
        <f t="shared" si="12"/>
        <v/>
      </c>
      <c r="L66" s="162">
        <v>716000</v>
      </c>
      <c r="M66" s="162">
        <v>690910</v>
      </c>
      <c r="N66" s="162" t="s">
        <v>1790</v>
      </c>
      <c r="O66" s="21">
        <v>2779.24</v>
      </c>
      <c r="P66" s="21">
        <v>1990.8</v>
      </c>
      <c r="Q66" s="21">
        <v>3657.8</v>
      </c>
      <c r="R66" s="21">
        <v>2687.8</v>
      </c>
      <c r="S66" s="21">
        <v>2720.49</v>
      </c>
      <c r="T66" s="21">
        <v>2720.49</v>
      </c>
      <c r="U66" s="21">
        <v>4537.49</v>
      </c>
      <c r="V66" s="21">
        <v>1720.49</v>
      </c>
      <c r="W66" s="21">
        <v>2403.14</v>
      </c>
      <c r="X66" s="21">
        <v>1537.84</v>
      </c>
      <c r="Y66" s="21">
        <v>1720.49</v>
      </c>
      <c r="Z66" s="21">
        <v>2820.29</v>
      </c>
      <c r="AA66" s="38">
        <f t="shared" si="13"/>
        <v>31296.360000000004</v>
      </c>
      <c r="AB66" s="17">
        <f t="shared" si="14"/>
        <v>2.4185362423517803E-3</v>
      </c>
      <c r="AD66" s="21">
        <v>34200</v>
      </c>
      <c r="AE66" s="17">
        <f t="shared" si="15"/>
        <v>2.0611099260371209E-3</v>
      </c>
      <c r="AF66" s="50">
        <f t="shared" si="16"/>
        <v>-2903.6399999999958</v>
      </c>
      <c r="AG66" s="21">
        <v>33508.559999999998</v>
      </c>
      <c r="AH66" s="17">
        <f t="shared" si="17"/>
        <v>2.2744283681649445E-3</v>
      </c>
      <c r="AI66" s="50">
        <f t="shared" si="18"/>
        <v>-2212.1999999999935</v>
      </c>
      <c r="AJ66" s="399">
        <f t="shared" si="19"/>
        <v>0.6495716064757161</v>
      </c>
      <c r="AK66" s="400">
        <f t="shared" si="20"/>
        <v>0.70983810709838102</v>
      </c>
      <c r="AL66" s="401">
        <f t="shared" si="21"/>
        <v>0.69548692403486922</v>
      </c>
      <c r="AM66" s="402" t="str">
        <f t="shared" si="22"/>
        <v>0.04 pts.</v>
      </c>
      <c r="AN66" s="403" t="str">
        <f t="shared" si="23"/>
        <v>0.01 pts.</v>
      </c>
    </row>
    <row r="67" spans="1:40" x14ac:dyDescent="0.25">
      <c r="A67" s="6" t="s">
        <v>33</v>
      </c>
      <c r="B67" s="7"/>
      <c r="H67" s="15" t="s">
        <v>904</v>
      </c>
      <c r="I67" s="161" t="s">
        <v>1009</v>
      </c>
      <c r="J67" s="161" t="s">
        <v>1009</v>
      </c>
      <c r="K67" s="68" t="str">
        <f t="shared" si="12"/>
        <v/>
      </c>
      <c r="L67" s="162">
        <v>716100</v>
      </c>
      <c r="M67" s="162">
        <v>690930</v>
      </c>
      <c r="N67" s="162" t="s">
        <v>1791</v>
      </c>
      <c r="O67" s="21">
        <v>2590.2600000000002</v>
      </c>
      <c r="P67" s="21">
        <v>3587.73</v>
      </c>
      <c r="Q67" s="21">
        <v>2915.43</v>
      </c>
      <c r="R67" s="21">
        <v>2787.22</v>
      </c>
      <c r="S67" s="21">
        <v>3308.06</v>
      </c>
      <c r="T67" s="21">
        <v>4024.59</v>
      </c>
      <c r="U67" s="21">
        <v>4506.03</v>
      </c>
      <c r="V67" s="21">
        <v>2830.72</v>
      </c>
      <c r="W67" s="21">
        <v>2777.66</v>
      </c>
      <c r="X67" s="21">
        <v>2704.98</v>
      </c>
      <c r="Y67" s="21">
        <v>2772.02</v>
      </c>
      <c r="Z67" s="21">
        <v>3266.9</v>
      </c>
      <c r="AA67" s="38">
        <f t="shared" si="13"/>
        <v>38071.599999999999</v>
      </c>
      <c r="AB67" s="17">
        <f t="shared" si="14"/>
        <v>2.9421167319240967E-3</v>
      </c>
      <c r="AD67" s="21">
        <v>34040</v>
      </c>
      <c r="AE67" s="17">
        <f t="shared" si="15"/>
        <v>2.0514673065001052E-3</v>
      </c>
      <c r="AF67" s="50">
        <f t="shared" si="16"/>
        <v>4031.5999999999985</v>
      </c>
      <c r="AG67" s="21">
        <v>40287.96</v>
      </c>
      <c r="AH67" s="17">
        <f t="shared" si="17"/>
        <v>2.7345871956149285E-3</v>
      </c>
      <c r="AI67" s="50">
        <f t="shared" si="18"/>
        <v>-2216.3600000000006</v>
      </c>
      <c r="AJ67" s="399">
        <f t="shared" si="19"/>
        <v>0.79019510170195095</v>
      </c>
      <c r="AK67" s="400">
        <f t="shared" si="20"/>
        <v>0.70651722706517228</v>
      </c>
      <c r="AL67" s="401">
        <f t="shared" si="21"/>
        <v>0.83619676214196759</v>
      </c>
      <c r="AM67" s="402" t="str">
        <f t="shared" si="22"/>
        <v>0.09 pts.</v>
      </c>
      <c r="AN67" s="403" t="str">
        <f t="shared" si="23"/>
        <v>0.02 pts.</v>
      </c>
    </row>
    <row r="68" spans="1:40" x14ac:dyDescent="0.25">
      <c r="A68" s="6" t="s">
        <v>34</v>
      </c>
      <c r="B68" s="7"/>
      <c r="H68" s="15" t="s">
        <v>905</v>
      </c>
      <c r="I68" s="161" t="s">
        <v>1009</v>
      </c>
      <c r="J68" s="161" t="s">
        <v>1009</v>
      </c>
      <c r="K68" s="68" t="str">
        <f t="shared" si="12"/>
        <v/>
      </c>
      <c r="L68" s="162">
        <v>716200</v>
      </c>
      <c r="M68" s="162">
        <v>690915</v>
      </c>
      <c r="N68" s="162" t="s">
        <v>1792</v>
      </c>
      <c r="O68" s="21">
        <v>2850</v>
      </c>
      <c r="P68" s="21">
        <v>2850</v>
      </c>
      <c r="Q68" s="21">
        <v>3261.53</v>
      </c>
      <c r="R68" s="21">
        <v>2850</v>
      </c>
      <c r="S68" s="21">
        <v>4461.54</v>
      </c>
      <c r="T68" s="21">
        <v>3126.86</v>
      </c>
      <c r="U68" s="21">
        <v>2940</v>
      </c>
      <c r="V68" s="21">
        <v>4450</v>
      </c>
      <c r="W68" s="21">
        <v>2775</v>
      </c>
      <c r="X68" s="21">
        <v>2850</v>
      </c>
      <c r="Y68" s="21">
        <v>6259.42</v>
      </c>
      <c r="Z68" s="21">
        <v>4450.87</v>
      </c>
      <c r="AA68" s="38">
        <f t="shared" si="13"/>
        <v>43125.22</v>
      </c>
      <c r="AB68" s="17">
        <f t="shared" si="14"/>
        <v>3.3326529835863926E-3</v>
      </c>
      <c r="AD68" s="21">
        <v>39000</v>
      </c>
      <c r="AE68" s="17">
        <f t="shared" si="15"/>
        <v>2.350388512147594E-3</v>
      </c>
      <c r="AF68" s="50">
        <f t="shared" si="16"/>
        <v>4125.2200000000012</v>
      </c>
      <c r="AG68" s="21">
        <v>39671.160000000003</v>
      </c>
      <c r="AH68" s="17">
        <f t="shared" si="17"/>
        <v>2.6927212539724311E-3</v>
      </c>
      <c r="AI68" s="50">
        <f t="shared" si="18"/>
        <v>3454.0599999999977</v>
      </c>
      <c r="AJ68" s="399">
        <f t="shared" si="19"/>
        <v>0.89508551266085512</v>
      </c>
      <c r="AK68" s="400">
        <f t="shared" si="20"/>
        <v>0.8094645080946451</v>
      </c>
      <c r="AL68" s="401">
        <f t="shared" si="21"/>
        <v>0.82339476961394775</v>
      </c>
      <c r="AM68" s="402" t="str">
        <f t="shared" si="22"/>
        <v>0.1 pts.</v>
      </c>
      <c r="AN68" s="403" t="str">
        <f t="shared" si="23"/>
        <v>0.06 pts.</v>
      </c>
    </row>
    <row r="69" spans="1:40" x14ac:dyDescent="0.25">
      <c r="A69" s="6" t="s">
        <v>35</v>
      </c>
      <c r="B69" s="7"/>
      <c r="H69" s="15" t="s">
        <v>906</v>
      </c>
      <c r="I69" s="161" t="s">
        <v>1009</v>
      </c>
      <c r="J69" s="161" t="s">
        <v>1009</v>
      </c>
      <c r="K69" s="68" t="str">
        <f t="shared" si="12"/>
        <v/>
      </c>
      <c r="L69" s="162">
        <v>716300</v>
      </c>
      <c r="M69" s="162">
        <v>691099</v>
      </c>
      <c r="N69" s="162" t="s">
        <v>1793</v>
      </c>
      <c r="O69" s="21">
        <v>255.41</v>
      </c>
      <c r="P69" s="21">
        <v>538.29</v>
      </c>
      <c r="Q69" s="21">
        <v>50.72</v>
      </c>
      <c r="R69" s="21"/>
      <c r="S69" s="21">
        <v>654.48</v>
      </c>
      <c r="T69" s="21">
        <v>24.06</v>
      </c>
      <c r="U69" s="21">
        <v>790.27</v>
      </c>
      <c r="V69" s="21">
        <v>50.42</v>
      </c>
      <c r="W69" s="21">
        <v>92.67</v>
      </c>
      <c r="X69" s="21">
        <v>209.23</v>
      </c>
      <c r="Y69" s="21">
        <v>488</v>
      </c>
      <c r="Z69" s="21">
        <v>698.16</v>
      </c>
      <c r="AA69" s="38">
        <f t="shared" si="13"/>
        <v>3851.71</v>
      </c>
      <c r="AB69" s="17">
        <f t="shared" si="14"/>
        <v>2.9765443105935564E-4</v>
      </c>
      <c r="AD69" s="21">
        <v>4793</v>
      </c>
      <c r="AE69" s="17">
        <f t="shared" si="15"/>
        <v>2.8885672150572868E-4</v>
      </c>
      <c r="AF69" s="50">
        <f t="shared" si="16"/>
        <v>-941.29</v>
      </c>
      <c r="AG69" s="21">
        <v>4191.3900000000003</v>
      </c>
      <c r="AH69" s="17">
        <f t="shared" si="17"/>
        <v>2.8449495645419763E-4</v>
      </c>
      <c r="AI69" s="50">
        <f t="shared" si="18"/>
        <v>-339.68000000000029</v>
      </c>
      <c r="AJ69" s="399">
        <f t="shared" si="19"/>
        <v>7.9944167704441682E-2</v>
      </c>
      <c r="AK69" s="400">
        <f t="shared" si="20"/>
        <v>9.9481112494811119E-2</v>
      </c>
      <c r="AL69" s="401">
        <f t="shared" si="21"/>
        <v>8.6994396014943964E-2</v>
      </c>
      <c r="AM69" s="402" t="str">
        <f t="shared" si="22"/>
        <v>0 pts.</v>
      </c>
      <c r="AN69" s="403" t="str">
        <f t="shared" si="23"/>
        <v>0 pts.</v>
      </c>
    </row>
    <row r="70" spans="1:40" x14ac:dyDescent="0.25">
      <c r="A70" s="6" t="s">
        <v>36</v>
      </c>
      <c r="B70" s="7"/>
      <c r="H70" s="15" t="s">
        <v>907</v>
      </c>
      <c r="I70" s="161" t="s">
        <v>1009</v>
      </c>
      <c r="J70" s="161" t="s">
        <v>1009</v>
      </c>
      <c r="K70" s="68" t="str">
        <f t="shared" si="12"/>
        <v/>
      </c>
      <c r="L70" s="162">
        <v>716400</v>
      </c>
      <c r="M70" s="162">
        <v>691070</v>
      </c>
      <c r="N70" s="162" t="s">
        <v>1794</v>
      </c>
      <c r="O70" s="21">
        <v>1149.49</v>
      </c>
      <c r="P70" s="21">
        <v>333.36</v>
      </c>
      <c r="Q70" s="21">
        <v>1264.77</v>
      </c>
      <c r="R70" s="21">
        <v>625.97</v>
      </c>
      <c r="S70" s="21">
        <v>362.25</v>
      </c>
      <c r="T70" s="21">
        <v>960.24</v>
      </c>
      <c r="U70" s="21">
        <v>291.17</v>
      </c>
      <c r="V70" s="21">
        <v>743.65</v>
      </c>
      <c r="W70" s="21">
        <v>606.91999999999996</v>
      </c>
      <c r="X70" s="21">
        <v>498.93</v>
      </c>
      <c r="Y70" s="21">
        <v>921.01</v>
      </c>
      <c r="Z70" s="21">
        <v>1002.72</v>
      </c>
      <c r="AA70" s="38">
        <f t="shared" si="13"/>
        <v>8760.48</v>
      </c>
      <c r="AB70" s="17">
        <f t="shared" si="14"/>
        <v>6.7699688974685618E-4</v>
      </c>
      <c r="AD70" s="21">
        <v>9823.6749390437999</v>
      </c>
      <c r="AE70" s="17">
        <f t="shared" si="15"/>
        <v>5.9203724932822463E-4</v>
      </c>
      <c r="AF70" s="50">
        <f t="shared" si="16"/>
        <v>-1063.1949390438003</v>
      </c>
      <c r="AG70" s="21">
        <v>8405.3799999999992</v>
      </c>
      <c r="AH70" s="17">
        <f t="shared" si="17"/>
        <v>5.7052391141864235E-4</v>
      </c>
      <c r="AI70" s="50">
        <f t="shared" si="18"/>
        <v>355.10000000000036</v>
      </c>
      <c r="AJ70" s="399">
        <f t="shared" si="19"/>
        <v>0.18182814445828144</v>
      </c>
      <c r="AK70" s="400">
        <f t="shared" si="20"/>
        <v>0.20389528723627645</v>
      </c>
      <c r="AL70" s="401">
        <f t="shared" si="21"/>
        <v>0.17445786633457866</v>
      </c>
      <c r="AM70" s="402" t="str">
        <f t="shared" si="22"/>
        <v>0.01 pts.</v>
      </c>
      <c r="AN70" s="403" t="str">
        <f t="shared" si="23"/>
        <v>0.01 pts.</v>
      </c>
    </row>
    <row r="71" spans="1:40" x14ac:dyDescent="0.25">
      <c r="A71" s="6" t="s">
        <v>37</v>
      </c>
      <c r="B71" s="7"/>
      <c r="H71" s="15" t="s">
        <v>908</v>
      </c>
      <c r="I71" s="161" t="s">
        <v>1009</v>
      </c>
      <c r="J71" s="161" t="s">
        <v>1009</v>
      </c>
      <c r="K71" s="68" t="str">
        <f t="shared" si="12"/>
        <v/>
      </c>
      <c r="L71" s="162">
        <v>716500</v>
      </c>
      <c r="M71" s="162">
        <v>691080</v>
      </c>
      <c r="N71" s="162" t="s">
        <v>1795</v>
      </c>
      <c r="O71" s="21">
        <v>3200</v>
      </c>
      <c r="P71" s="21">
        <v>3851.52</v>
      </c>
      <c r="Q71" s="21">
        <v>3656.28</v>
      </c>
      <c r="R71" s="21">
        <v>3531.1</v>
      </c>
      <c r="S71" s="21">
        <v>3519.21</v>
      </c>
      <c r="T71" s="21">
        <v>3504.31</v>
      </c>
      <c r="U71" s="21">
        <v>3549.46</v>
      </c>
      <c r="V71" s="21">
        <v>4617.09</v>
      </c>
      <c r="W71" s="21">
        <v>4158.57</v>
      </c>
      <c r="X71" s="21">
        <v>2543.25</v>
      </c>
      <c r="Y71" s="21">
        <v>3584.34</v>
      </c>
      <c r="Z71" s="21">
        <v>4120.6000000000004</v>
      </c>
      <c r="AA71" s="38">
        <f t="shared" si="13"/>
        <v>43835.73</v>
      </c>
      <c r="AB71" s="17">
        <f t="shared" si="14"/>
        <v>3.3875601416569596E-3</v>
      </c>
      <c r="AD71" s="21">
        <v>41795</v>
      </c>
      <c r="AE71" s="17">
        <f t="shared" si="15"/>
        <v>2.518833022184838E-3</v>
      </c>
      <c r="AF71" s="50">
        <f t="shared" si="16"/>
        <v>2040.7300000000032</v>
      </c>
      <c r="AG71" s="21">
        <v>42440.45</v>
      </c>
      <c r="AH71" s="17">
        <f t="shared" si="17"/>
        <v>2.8806896935495265E-3</v>
      </c>
      <c r="AI71" s="50">
        <f t="shared" si="18"/>
        <v>1395.2800000000061</v>
      </c>
      <c r="AJ71" s="399">
        <f t="shared" si="19"/>
        <v>0.90983250311332509</v>
      </c>
      <c r="AK71" s="400">
        <f t="shared" si="20"/>
        <v>0.8674761311747613</v>
      </c>
      <c r="AL71" s="401">
        <f t="shared" si="21"/>
        <v>0.88087276878372767</v>
      </c>
      <c r="AM71" s="402" t="str">
        <f t="shared" si="22"/>
        <v>0.09 pts.</v>
      </c>
      <c r="AN71" s="403" t="str">
        <f t="shared" si="23"/>
        <v>0.05 pts.</v>
      </c>
    </row>
    <row r="72" spans="1:40" x14ac:dyDescent="0.25">
      <c r="A72" s="6" t="s">
        <v>38</v>
      </c>
      <c r="B72" s="7"/>
      <c r="H72" s="15" t="s">
        <v>79</v>
      </c>
      <c r="I72" s="27" t="s">
        <v>1012</v>
      </c>
      <c r="J72" s="27" t="s">
        <v>78</v>
      </c>
      <c r="K72" s="26"/>
      <c r="N72" s="25" t="s">
        <v>1116</v>
      </c>
      <c r="O72" s="33">
        <v>18812.189999999999</v>
      </c>
      <c r="P72" s="33">
        <v>19043.63</v>
      </c>
      <c r="Q72" s="33">
        <v>23998.02</v>
      </c>
      <c r="R72" s="33">
        <v>27149.51</v>
      </c>
      <c r="S72" s="33">
        <v>33124.76</v>
      </c>
      <c r="T72" s="33">
        <v>25442.13</v>
      </c>
      <c r="U72" s="33">
        <v>28668.65</v>
      </c>
      <c r="V72" s="33">
        <v>31951.86</v>
      </c>
      <c r="W72" s="33">
        <v>23879.79</v>
      </c>
      <c r="X72" s="33">
        <v>22865.3</v>
      </c>
      <c r="Y72" s="33">
        <v>38319.61</v>
      </c>
      <c r="Z72" s="33">
        <v>31362.51</v>
      </c>
      <c r="AA72" s="33">
        <f t="shared" si="13"/>
        <v>324617.96000000002</v>
      </c>
      <c r="AB72" s="34">
        <f t="shared" si="14"/>
        <v>2.50859940637921E-2</v>
      </c>
      <c r="AD72" s="33">
        <v>316095.67493904399</v>
      </c>
      <c r="AE72" s="34">
        <f t="shared" si="15"/>
        <v>1.9049939567083823E-2</v>
      </c>
      <c r="AF72" s="52">
        <f t="shared" si="16"/>
        <v>8522.2850609560264</v>
      </c>
      <c r="AG72" s="33">
        <v>335487.88</v>
      </c>
      <c r="AH72" s="34">
        <f t="shared" si="17"/>
        <v>2.2771588855131846E-2</v>
      </c>
      <c r="AI72" s="52">
        <f t="shared" si="18"/>
        <v>-10869.919999999984</v>
      </c>
      <c r="AJ72" s="415">
        <f t="shared" si="19"/>
        <v>6.7376081361560818</v>
      </c>
      <c r="AK72" s="416">
        <f t="shared" si="20"/>
        <v>6.5607238468045663</v>
      </c>
      <c r="AL72" s="417">
        <f t="shared" si="21"/>
        <v>6.963218762972188</v>
      </c>
      <c r="AM72" s="418" t="str">
        <f t="shared" si="22"/>
        <v>0.6 pts.</v>
      </c>
      <c r="AN72" s="436" t="str">
        <f t="shared" si="23"/>
        <v>0.23 pts.</v>
      </c>
    </row>
    <row r="73" spans="1:40" x14ac:dyDescent="0.25">
      <c r="A73" s="6" t="s">
        <v>39</v>
      </c>
      <c r="B73" s="7"/>
    </row>
    <row r="74" spans="1:40" x14ac:dyDescent="0.25">
      <c r="A74" s="6" t="s">
        <v>40</v>
      </c>
      <c r="B74" s="7"/>
      <c r="H74" s="15" t="s">
        <v>80</v>
      </c>
      <c r="I74" s="27" t="s">
        <v>1012</v>
      </c>
      <c r="J74" s="27" t="s">
        <v>78</v>
      </c>
      <c r="K74" s="25"/>
      <c r="N74" s="25" t="s">
        <v>1117</v>
      </c>
      <c r="O74" s="36">
        <v>42991.76</v>
      </c>
      <c r="P74" s="36">
        <v>55685.14</v>
      </c>
      <c r="Q74" s="36">
        <v>57325.17</v>
      </c>
      <c r="R74" s="36">
        <v>62439.23</v>
      </c>
      <c r="S74" s="36">
        <v>73285.52</v>
      </c>
      <c r="T74" s="36">
        <v>59617.88</v>
      </c>
      <c r="U74" s="36">
        <v>61751.43</v>
      </c>
      <c r="V74" s="36">
        <v>61428.18</v>
      </c>
      <c r="W74" s="36">
        <v>59050.16</v>
      </c>
      <c r="X74" s="36">
        <v>59083.99</v>
      </c>
      <c r="Y74" s="36">
        <v>72131.02</v>
      </c>
      <c r="Z74" s="36">
        <v>64254.13</v>
      </c>
      <c r="AA74" s="36">
        <f>IF($I74="B1","",SUM(O74:Z74))</f>
        <v>729043.61</v>
      </c>
      <c r="AB74" s="37">
        <f>IF(AA74=0,"",IFERROR(AA74/AA$19,""))</f>
        <v>5.6339407938813861E-2</v>
      </c>
      <c r="AD74" s="36">
        <v>705861.33356508298</v>
      </c>
      <c r="AE74" s="37">
        <f>IF(AD74=0,"",IFERROR(AD74/AD$19,""))</f>
        <v>4.2539701784116715E-2</v>
      </c>
      <c r="AF74" s="59">
        <f>IF(AND($AA74="",AD74=""),"",$AA74-AD74)</f>
        <v>23182.276434917003</v>
      </c>
      <c r="AG74" s="60">
        <v>678879.62</v>
      </c>
      <c r="AH74" s="61">
        <f>IF(AG74=0,"",IFERROR(AG74/AG$19,""))</f>
        <v>4.6079660429962907E-2</v>
      </c>
      <c r="AI74" s="59">
        <f>IF(AND($AA74="",AG74=""),"",$AA74-AG74)</f>
        <v>50163.989999999991</v>
      </c>
      <c r="AJ74" s="392">
        <f>IFERROR(AA74/AA$20,0)</f>
        <v>15.131664798671647</v>
      </c>
      <c r="AK74" s="393">
        <f>IFERROR(AD74/AD$20,0)</f>
        <v>14.650505055315131</v>
      </c>
      <c r="AL74" s="394">
        <f>IFERROR(AG74/AG$20,0)</f>
        <v>14.09048609381486</v>
      </c>
      <c r="AM74" s="395" t="str">
        <f>+IFERROR(ROUND(($AB74-AE74)*100,2)&amp;" pts.",0)</f>
        <v>1.38 pts.</v>
      </c>
      <c r="AN74" s="437" t="str">
        <f>+IFERROR(ROUND(($AB74-AH74)*100,2)&amp;" pts.",0)</f>
        <v>1.03 pts.</v>
      </c>
    </row>
    <row r="75" spans="1:40" ht="15.75" thickBot="1" x14ac:dyDescent="0.3">
      <c r="A75" s="6" t="s">
        <v>41</v>
      </c>
      <c r="B75" s="7"/>
      <c r="H75" s="15" t="s">
        <v>81</v>
      </c>
      <c r="I75" s="27" t="s">
        <v>1012</v>
      </c>
      <c r="J75" s="27" t="s">
        <v>78</v>
      </c>
      <c r="K75" s="25"/>
      <c r="N75" s="25" t="s">
        <v>1118</v>
      </c>
      <c r="O75" s="62">
        <v>-42991.76</v>
      </c>
      <c r="P75" s="62">
        <v>-55685.14</v>
      </c>
      <c r="Q75" s="62">
        <v>-57325.17</v>
      </c>
      <c r="R75" s="62">
        <v>-62439.23</v>
      </c>
      <c r="S75" s="62">
        <v>-73285.52</v>
      </c>
      <c r="T75" s="62">
        <v>-59617.88</v>
      </c>
      <c r="U75" s="62">
        <v>-61751.43</v>
      </c>
      <c r="V75" s="62">
        <v>-61428.18</v>
      </c>
      <c r="W75" s="62">
        <v>-59050.16</v>
      </c>
      <c r="X75" s="62">
        <v>-59083.99</v>
      </c>
      <c r="Y75" s="62">
        <v>-72131.02</v>
      </c>
      <c r="Z75" s="62">
        <v>-64254.13</v>
      </c>
      <c r="AA75" s="62">
        <f>IF($I75="B1","",SUM(O75:Z75))</f>
        <v>-729043.61</v>
      </c>
      <c r="AB75" s="63">
        <f>IF(AA75=0,"",IFERROR(AA75/AA$19,""))</f>
        <v>-5.6339407938813861E-2</v>
      </c>
      <c r="AD75" s="62">
        <v>-705861.33356508298</v>
      </c>
      <c r="AE75" s="63">
        <f>IF(AD75=0,"",IFERROR(AD75/AD$19,""))</f>
        <v>-4.2539701784116715E-2</v>
      </c>
      <c r="AF75" s="64">
        <f>IF(AND($AA75="",AD75=""),"",$AA75-AD75)</f>
        <v>-23182.276434917003</v>
      </c>
      <c r="AG75" s="62">
        <v>-678879.62</v>
      </c>
      <c r="AH75" s="63">
        <f>IF(AG75=0,"",IFERROR(AG75/AG$19,""))</f>
        <v>-4.6079660429962907E-2</v>
      </c>
      <c r="AI75" s="64">
        <f>IF(AND($AA75="",AG75=""),"",$AA75-AG75)</f>
        <v>-50163.989999999991</v>
      </c>
      <c r="AJ75" s="430">
        <f>IFERROR(AA75/AA$20,0)</f>
        <v>-15.131664798671647</v>
      </c>
      <c r="AK75" s="431">
        <f>IFERROR(AD75/AD$20,0)</f>
        <v>-14.650505055315131</v>
      </c>
      <c r="AL75" s="432">
        <f>IFERROR(AG75/AG$20,0)</f>
        <v>-14.09048609381486</v>
      </c>
      <c r="AM75" s="433" t="str">
        <f>+IFERROR(ROUND(($AB75-AE75)*100,2)&amp;" pts.",0)</f>
        <v>-1.38 pts.</v>
      </c>
      <c r="AN75" s="438" t="str">
        <f>+IFERROR(ROUND(($AB75-AH75)*100,2)&amp;" pts.",0)</f>
        <v>-1.03 pts.</v>
      </c>
    </row>
    <row r="76" spans="1:40" ht="15.75" thickTop="1" x14ac:dyDescent="0.25">
      <c r="A76" s="6" t="s">
        <v>42</v>
      </c>
      <c r="B76" s="7"/>
    </row>
    <row r="77" spans="1:40" x14ac:dyDescent="0.25">
      <c r="A77" s="6" t="s">
        <v>43</v>
      </c>
      <c r="B77" s="7"/>
      <c r="N77" s="26" t="str">
        <f>N74&amp;" - Check"</f>
        <v>Total Expenses - Check</v>
      </c>
      <c r="O77" s="139">
        <f t="shared" ref="O77:AA77" si="24">SUMIF($H$33:$H$75,"600000",O$33:O$75)+SUMIF($H$33:$H$75,"700000",O$33:O$75)-SUMIF($H$33:$H$75,"TOTDEPTEXP",O$33:O$75)</f>
        <v>0</v>
      </c>
      <c r="P77" s="139">
        <f t="shared" si="24"/>
        <v>0</v>
      </c>
      <c r="Q77" s="139">
        <f t="shared" si="24"/>
        <v>0</v>
      </c>
      <c r="R77" s="139">
        <f t="shared" si="24"/>
        <v>0</v>
      </c>
      <c r="S77" s="139">
        <f t="shared" si="24"/>
        <v>0</v>
      </c>
      <c r="T77" s="139">
        <f t="shared" si="24"/>
        <v>0</v>
      </c>
      <c r="U77" s="139">
        <f t="shared" si="24"/>
        <v>0</v>
      </c>
      <c r="V77" s="139">
        <f t="shared" si="24"/>
        <v>0</v>
      </c>
      <c r="W77" s="139">
        <f t="shared" si="24"/>
        <v>0</v>
      </c>
      <c r="X77" s="139">
        <f t="shared" si="24"/>
        <v>0</v>
      </c>
      <c r="Y77" s="139">
        <f t="shared" si="24"/>
        <v>0</v>
      </c>
      <c r="Z77" s="139">
        <f t="shared" si="24"/>
        <v>0</v>
      </c>
      <c r="AA77" s="139">
        <f t="shared" si="24"/>
        <v>0</v>
      </c>
      <c r="AB77" s="17"/>
      <c r="AD77" s="139">
        <f>SUMIF($H$33:$H$75,"600000",AD$33:AD$75)+SUMIF($H$33:$H$75,"700000",AD$33:AD$75)-SUMIF($H$33:$H$75,"TOTDEPTEXP",AD$33:AD$75)</f>
        <v>0</v>
      </c>
      <c r="AE77" s="17"/>
      <c r="AF77" s="21"/>
      <c r="AG77" s="139">
        <f>SUMIF($H$33:$H$75,"600000",AG$33:AG$75)+SUMIF($H$33:$H$75,"700000",AG$33:AG$75)-SUMIF($H$33:$H$75,"TOTDEPTEXP",AG$33:AG$75)</f>
        <v>0</v>
      </c>
      <c r="AH77" s="17"/>
      <c r="AI77" s="21"/>
    </row>
    <row r="78" spans="1:40" x14ac:dyDescent="0.25">
      <c r="A78" s="6" t="s">
        <v>44</v>
      </c>
      <c r="B78" s="7"/>
      <c r="N78" s="26" t="str">
        <f>N75&amp;" - Check"</f>
        <v>Department Profit (Loss) - Check</v>
      </c>
      <c r="O78" s="139">
        <f t="shared" ref="O78:AA78" si="25">SUMIF($H$33:$H$75,"TOTDEPTEXP",O$33:O$75)+SUMIF($H$33:$H$75,"TOTDEPTPL",O$33:O$75)</f>
        <v>0</v>
      </c>
      <c r="P78" s="139">
        <f t="shared" si="25"/>
        <v>0</v>
      </c>
      <c r="Q78" s="139">
        <f t="shared" si="25"/>
        <v>0</v>
      </c>
      <c r="R78" s="139">
        <f t="shared" si="25"/>
        <v>0</v>
      </c>
      <c r="S78" s="139">
        <f t="shared" si="25"/>
        <v>0</v>
      </c>
      <c r="T78" s="139">
        <f t="shared" si="25"/>
        <v>0</v>
      </c>
      <c r="U78" s="139">
        <f t="shared" si="25"/>
        <v>0</v>
      </c>
      <c r="V78" s="139">
        <f t="shared" si="25"/>
        <v>0</v>
      </c>
      <c r="W78" s="139">
        <f t="shared" si="25"/>
        <v>0</v>
      </c>
      <c r="X78" s="139">
        <f t="shared" si="25"/>
        <v>0</v>
      </c>
      <c r="Y78" s="139">
        <f t="shared" si="25"/>
        <v>0</v>
      </c>
      <c r="Z78" s="139">
        <f t="shared" si="25"/>
        <v>0</v>
      </c>
      <c r="AA78" s="139">
        <f t="shared" si="25"/>
        <v>0</v>
      </c>
      <c r="AB78" s="17"/>
      <c r="AD78" s="139">
        <f>SUMIF($H$33:$H$75,"TOTDEPTEXP",AD$33:AD$75)+SUMIF($H$33:$H$75,"TOTDEPTPL",AD$33:AD$75)</f>
        <v>0</v>
      </c>
      <c r="AE78" s="17"/>
      <c r="AF78" s="21"/>
      <c r="AG78" s="139">
        <f>SUMIF($H$33:$H$75,"TOTDEPTEXP",AG$33:AG$75)+SUMIF($H$33:$H$75,"TOTDEPTPL",AG$33:AG$75)</f>
        <v>0</v>
      </c>
      <c r="AH78" s="17"/>
      <c r="AI78" s="21"/>
    </row>
    <row r="79" spans="1:40" x14ac:dyDescent="0.25">
      <c r="A79" s="6" t="s">
        <v>45</v>
      </c>
      <c r="B79" s="7"/>
    </row>
    <row r="80" spans="1:40" x14ac:dyDescent="0.25">
      <c r="A80" s="6" t="s">
        <v>46</v>
      </c>
      <c r="B80" s="7"/>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row r="107" spans="8:10" x14ac:dyDescent="0.25">
      <c r="H107" s="11"/>
      <c r="J107" s="1"/>
    </row>
  </sheetData>
  <mergeCells count="2">
    <mergeCell ref="AD31:AE31"/>
    <mergeCell ref="AG31:AH31"/>
  </mergeCells>
  <dataValidations count="2">
    <dataValidation type="list" allowBlank="1" sqref="B29" xr:uid="{00000000-0002-0000-5500-000000000000}">
      <formula1>"SELF,ALL,BAS,DEP,BASMEMBERS,MEMBERS,NOEXPAND,GDEP"</formula1>
    </dataValidation>
    <dataValidation type="list" allowBlank="1" sqref="B28" xr:uid="{00000000-0002-0000-5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3764"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3764" r:id="rId5" name="FPMExcelClientSheetOptionstb1"/>
      </mc:Fallback>
    </mc:AlternateContent>
  </controls>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7">
    <pageSetUpPr fitToPage="1"/>
  </sheetPr>
  <dimension ref="A1:AO6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514</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_xll.EVRNG(H34:H36)</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515</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548</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866</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v>12341.63</v>
      </c>
      <c r="P34" s="21">
        <v>12334.5</v>
      </c>
      <c r="Q34" s="21">
        <v>18277.52</v>
      </c>
      <c r="R34" s="21">
        <v>15834.43</v>
      </c>
      <c r="S34" s="21">
        <v>15359.17</v>
      </c>
      <c r="T34" s="21">
        <v>16562.72</v>
      </c>
      <c r="U34" s="21">
        <v>18543.45</v>
      </c>
      <c r="V34" s="21">
        <v>18482.810000000001</v>
      </c>
      <c r="W34" s="21">
        <v>19431.04</v>
      </c>
      <c r="X34" s="21">
        <v>14207.63</v>
      </c>
      <c r="Y34" s="21">
        <v>15058.05</v>
      </c>
      <c r="Z34" s="21">
        <v>14620.13</v>
      </c>
      <c r="AA34" s="38" t="e">
        <f ca="1">IF($I34="B1","",SUM(O34:Z34))</f>
        <v>#NAME?</v>
      </c>
      <c r="AB34" s="17" t="e">
        <f ca="1">IF(AA34=0,"",IFERROR(AA34/AA$19,""))</f>
        <v>#NAME?</v>
      </c>
      <c r="AD34" s="21">
        <v>163602.96</v>
      </c>
      <c r="AE34" s="17" t="str">
        <f ca="1">IF(AD34=0,"",IFERROR(AD34/AD$19,""))</f>
        <v/>
      </c>
      <c r="AF34" s="50" t="e">
        <f ca="1">IF(AND($AA34="",AD34=""),"",$AA34-AD34)</f>
        <v>#NAME?</v>
      </c>
      <c r="AG34" s="21">
        <v>158920.47</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C35" s="32"/>
      <c r="H35" s="15" t="s">
        <v>867</v>
      </c>
      <c r="I35" s="161" t="e">
        <f ca="1">_xll.EVPRO($B$1,$H35,"STYLE")</f>
        <v>#NAME?</v>
      </c>
      <c r="J35" s="161" t="e">
        <f ca="1">_xll.EVPRO($B$1,$H35,"CALC")</f>
        <v>#NAME?</v>
      </c>
      <c r="K35" s="68" t="e">
        <f t="shared" ref="K35:K36" ca="1" si="0">IF(AND(I35&gt;="T3"),"&gt;","")</f>
        <v>#NAME?</v>
      </c>
      <c r="L35" s="162" t="e">
        <f ca="1">_xll.EVPRO($B$1,H35,"JDEID")</f>
        <v>#NAME?</v>
      </c>
      <c r="M35" s="162" t="e">
        <f ca="1">IF(AND(I35="N",J35="N"),_xll.EVPRO($B$1,H35,"PSFTID"),"")</f>
        <v>#NAME?</v>
      </c>
      <c r="N35" s="162" t="e">
        <f ca="1">IF(_xll.EVDES(H35,$B$1)="#NODATA","",_xll.EVDES(H35,$B$1))</f>
        <v>#NAME?</v>
      </c>
      <c r="O35" s="21">
        <v>820.09</v>
      </c>
      <c r="P35" s="21">
        <v>575.76</v>
      </c>
      <c r="Q35" s="21">
        <v>1031.3800000000001</v>
      </c>
      <c r="R35" s="21">
        <v>876.19</v>
      </c>
      <c r="S35" s="21">
        <v>948.97</v>
      </c>
      <c r="T35" s="21">
        <v>525.75</v>
      </c>
      <c r="U35" s="21">
        <v>366.16</v>
      </c>
      <c r="V35" s="21">
        <v>438.37</v>
      </c>
      <c r="W35" s="21">
        <v>664.27</v>
      </c>
      <c r="X35" s="21">
        <v>405.41</v>
      </c>
      <c r="Y35" s="21">
        <v>1110.8900000000001</v>
      </c>
      <c r="Z35" s="21">
        <v>3555.98</v>
      </c>
      <c r="AA35" s="38" t="e">
        <f ca="1">IF($I35="B1","",SUM(O35:Z35))</f>
        <v>#NAME?</v>
      </c>
      <c r="AB35" s="17" t="e">
        <f ca="1">IF(AA35=0,"",IFERROR(AA35/AA$19,""))</f>
        <v>#NAME?</v>
      </c>
      <c r="AD35" s="21">
        <v>25818.09</v>
      </c>
      <c r="AE35" s="17" t="str">
        <f ca="1">IF(AD35=0,"",IFERROR(AD35/AD$19,""))</f>
        <v/>
      </c>
      <c r="AF35" s="50" t="e">
        <f ca="1">IF(AND($AA35="",AD35=""),"",$AA35-AD35)</f>
        <v>#NAME?</v>
      </c>
      <c r="AG35" s="21">
        <v>20428.13</v>
      </c>
      <c r="AH35" s="17" t="str">
        <f t="shared" ref="AH35:AH36" ca="1" si="1">IF(AG35=0,"",IFERROR(AG35/AG$19,""))</f>
        <v/>
      </c>
      <c r="AI35" s="50" t="e">
        <f t="shared" ref="AI35:AI36" ca="1" si="2">IF(AND($AA35="",AG35=""),"",$AA35-AG35)</f>
        <v>#NAME?</v>
      </c>
      <c r="AJ35" s="399">
        <f t="shared" ref="AJ35:AJ36" ca="1" si="3">IFERROR(AA35/AA$20,0)</f>
        <v>0</v>
      </c>
      <c r="AK35" s="400">
        <f t="shared" ref="AK35:AK36" ca="1" si="4">IFERROR(AD35/AD$20,0)</f>
        <v>0</v>
      </c>
      <c r="AL35" s="401">
        <f t="shared" ref="AL35:AL36" ca="1" si="5">IFERROR(AG35/AG$20,0)</f>
        <v>0</v>
      </c>
      <c r="AM35" s="402">
        <f t="shared" ref="AM35:AM36" ca="1" si="6">+IFERROR(ROUND(($AB35-AE35)*100,2)&amp;" pts.",0)</f>
        <v>0</v>
      </c>
      <c r="AN35" s="403">
        <f t="shared" ref="AN35:AN36" ca="1" si="7">+IFERROR(ROUND(($AB35-AH35)*100,2)&amp;" pts.",0)</f>
        <v>0</v>
      </c>
    </row>
    <row r="36" spans="1:40" x14ac:dyDescent="0.25">
      <c r="A36" s="3" t="s">
        <v>23</v>
      </c>
      <c r="B36" s="5" t="s">
        <v>24</v>
      </c>
      <c r="H36" s="15" t="s">
        <v>868</v>
      </c>
      <c r="I36" s="161" t="e">
        <f ca="1">_xll.EVPRO($B$1,$H36,"STYLE")</f>
        <v>#NAME?</v>
      </c>
      <c r="J36" s="161" t="e">
        <f ca="1">_xll.EVPRO($B$1,$H36,"CALC")</f>
        <v>#NAME?</v>
      </c>
      <c r="K36" s="68" t="e">
        <f t="shared" ca="1" si="0"/>
        <v>#NAME?</v>
      </c>
      <c r="L36" s="162" t="e">
        <f ca="1">_xll.EVPRO($B$1,H36,"JDEID")</f>
        <v>#NAME?</v>
      </c>
      <c r="M36" s="162" t="e">
        <f ca="1">IF(AND(I36="N",J36="N"),_xll.EVPRO($B$1,H36,"PSFTID"),"")</f>
        <v>#NAME?</v>
      </c>
      <c r="N36" s="162" t="e">
        <f ca="1">IF(_xll.EVDES(H36,$B$1)="#NODATA","",_xll.EVDES(H36,$B$1))</f>
        <v>#NAME?</v>
      </c>
      <c r="O36" s="21">
        <v>2222.96</v>
      </c>
      <c r="P36" s="21">
        <v>2546.63</v>
      </c>
      <c r="Q36" s="21">
        <v>1900.47</v>
      </c>
      <c r="R36" s="21">
        <v>1544.26</v>
      </c>
      <c r="S36" s="21">
        <v>2842.67</v>
      </c>
      <c r="T36" s="21">
        <v>2827.89</v>
      </c>
      <c r="U36" s="21">
        <v>2510.2199999999998</v>
      </c>
      <c r="V36" s="21">
        <v>834.4</v>
      </c>
      <c r="W36" s="21">
        <v>1905.65</v>
      </c>
      <c r="X36" s="21">
        <v>3354.58</v>
      </c>
      <c r="Y36" s="21">
        <v>7265.61</v>
      </c>
      <c r="Z36" s="21">
        <v>4228</v>
      </c>
      <c r="AA36" s="38" t="e">
        <f ca="1">IF($I36="B1","",SUM(O36:Z36))</f>
        <v>#NAME?</v>
      </c>
      <c r="AB36" s="17" t="e">
        <f ca="1">IF(AA36=0,"",IFERROR(AA36/AA$19,""))</f>
        <v>#NAME?</v>
      </c>
      <c r="AD36" s="21">
        <v>25645.879999999601</v>
      </c>
      <c r="AE36" s="17" t="str">
        <f ca="1">IF(AD36=0,"",IFERROR(AD36/AD$19,""))</f>
        <v/>
      </c>
      <c r="AF36" s="50" t="e">
        <f ca="1">IF(AND($AA36="",AD36=""),"",$AA36-AD36)</f>
        <v>#NAME?</v>
      </c>
      <c r="AG36" s="21">
        <v>24689.84</v>
      </c>
      <c r="AH36" s="17" t="str">
        <f t="shared" ca="1" si="1"/>
        <v/>
      </c>
      <c r="AI36" s="50" t="e">
        <f t="shared" ca="1" si="2"/>
        <v>#NAME?</v>
      </c>
      <c r="AJ36" s="399">
        <f t="shared" ca="1" si="3"/>
        <v>0</v>
      </c>
      <c r="AK36" s="400">
        <f t="shared" ca="1" si="4"/>
        <v>0</v>
      </c>
      <c r="AL36" s="401">
        <f t="shared" ca="1" si="5"/>
        <v>0</v>
      </c>
      <c r="AM36" s="402">
        <f t="shared" ca="1" si="6"/>
        <v>0</v>
      </c>
      <c r="AN36" s="403">
        <f t="shared" ca="1" si="7"/>
        <v>0</v>
      </c>
    </row>
    <row r="37" spans="1:40" x14ac:dyDescent="0.25">
      <c r="A37" s="6" t="s">
        <v>25</v>
      </c>
      <c r="B37" s="7"/>
      <c r="H37" s="15" t="s">
        <v>79</v>
      </c>
      <c r="I37" s="27" t="e">
        <f ca="1">_xll.EVPRO($B$1,$H37,"STYLE")</f>
        <v>#NAME?</v>
      </c>
      <c r="J37" s="27" t="e">
        <f ca="1">_xll.EVPRO($B$1,$H37,"CALC")</f>
        <v>#NAME?</v>
      </c>
      <c r="K37" s="26"/>
      <c r="N37" s="25" t="e">
        <f ca="1">IF(_xll.EVDES(H37,$B$1)="#NODATA","",_xll.EVDES(H37,$B$1))</f>
        <v>#NAME?</v>
      </c>
      <c r="O37" s="33">
        <f t="shared" ref="O37:Z37" si="8">SUM(O34:O36)</f>
        <v>15384.68</v>
      </c>
      <c r="P37" s="33">
        <f t="shared" si="8"/>
        <v>15456.89</v>
      </c>
      <c r="Q37" s="33">
        <f t="shared" si="8"/>
        <v>21209.370000000003</v>
      </c>
      <c r="R37" s="33">
        <f t="shared" si="8"/>
        <v>18254.879999999997</v>
      </c>
      <c r="S37" s="33">
        <f t="shared" si="8"/>
        <v>19150.809999999998</v>
      </c>
      <c r="T37" s="33">
        <f t="shared" si="8"/>
        <v>19916.36</v>
      </c>
      <c r="U37" s="33">
        <f t="shared" si="8"/>
        <v>21419.83</v>
      </c>
      <c r="V37" s="33">
        <f t="shared" si="8"/>
        <v>19755.580000000002</v>
      </c>
      <c r="W37" s="33">
        <f t="shared" si="8"/>
        <v>22000.960000000003</v>
      </c>
      <c r="X37" s="33">
        <f t="shared" si="8"/>
        <v>17967.62</v>
      </c>
      <c r="Y37" s="33">
        <f t="shared" si="8"/>
        <v>23434.55</v>
      </c>
      <c r="Z37" s="33">
        <f t="shared" si="8"/>
        <v>22404.11</v>
      </c>
      <c r="AA37" s="33" t="e">
        <f ca="1">IF($I37="B1","",SUM(O37:Z37))</f>
        <v>#NAME?</v>
      </c>
      <c r="AB37" s="34" t="e">
        <f ca="1">IF(AA37=0,"",IFERROR(AA37/AA$19,""))</f>
        <v>#NAME?</v>
      </c>
      <c r="AD37" s="33">
        <f>SUM(AD34:AD36)</f>
        <v>215066.92999999959</v>
      </c>
      <c r="AE37" s="34" t="str">
        <f ca="1">IF(AD37=0,"",IFERROR(AD37/AD$19,""))</f>
        <v/>
      </c>
      <c r="AF37" s="52" t="e">
        <f ca="1">IF(AND($AA37="",AD37=""),"",$AA37-AD37)</f>
        <v>#NAME?</v>
      </c>
      <c r="AG37" s="33">
        <f>SUM(AG34:AG36)</f>
        <v>204038.44</v>
      </c>
      <c r="AH37" s="34" t="str">
        <f ca="1">IF(AG37=0,"",IFERROR(AG37/AG$19,""))</f>
        <v/>
      </c>
      <c r="AI37" s="52" t="e">
        <f ca="1">IF(AND($AA37="",AG37=""),"",$AA37-AG37)</f>
        <v>#NAME?</v>
      </c>
      <c r="AJ37" s="415">
        <f ca="1">IFERROR(AA37/AA$20,0)</f>
        <v>0</v>
      </c>
      <c r="AK37" s="416">
        <f ca="1">IFERROR(AD37/AD$20,0)</f>
        <v>0</v>
      </c>
      <c r="AL37" s="417">
        <f ca="1">IFERROR(AG37/AG$20,0)</f>
        <v>0</v>
      </c>
      <c r="AM37" s="418">
        <f ca="1">+IFERROR(ROUND(($AB37-AE37)*100,2)&amp;" pts.",0)</f>
        <v>0</v>
      </c>
      <c r="AN37" s="436">
        <f ca="1">+IFERROR(ROUND(($AB37-AH37)*100,2)&amp;" pts.",0)</f>
        <v>0</v>
      </c>
    </row>
    <row r="38" spans="1:40" x14ac:dyDescent="0.25">
      <c r="A38" s="6" t="s">
        <v>26</v>
      </c>
      <c r="B38" s="7"/>
    </row>
    <row r="39" spans="1:40" x14ac:dyDescent="0.25">
      <c r="A39" s="6" t="s">
        <v>27</v>
      </c>
      <c r="B39" s="7"/>
      <c r="H39" s="15" t="s">
        <v>79</v>
      </c>
      <c r="N39" s="26" t="e">
        <f ca="1">N37&amp;" - Check"</f>
        <v>#NAME?</v>
      </c>
      <c r="O39" s="139" t="e">
        <f ca="1">_xll.EVGTS($B$1,1,$B$3,$B$5,$B$7,$B$9,O$16,O$17,O$18,$B$6,$H39)-O37</f>
        <v>#NAME?</v>
      </c>
      <c r="P39" s="139" t="e">
        <f ca="1">_xll.EVGTS($B$1,1,$B$3,$B$5,$B$7,$B$9,P$16,P$17,P$18,$B$6,$H39)-P37</f>
        <v>#NAME?</v>
      </c>
      <c r="Q39" s="139" t="e">
        <f ca="1">_xll.EVGTS($B$1,1,$B$3,$B$5,$B$7,$B$9,Q$16,Q$17,Q$18,$B$6,$H39)-Q37</f>
        <v>#NAME?</v>
      </c>
      <c r="R39" s="139" t="e">
        <f ca="1">_xll.EVGTS($B$1,1,$B$3,$B$5,$B$7,$B$9,R$16,R$17,R$18,$B$6,$H39)-R37</f>
        <v>#NAME?</v>
      </c>
      <c r="S39" s="139" t="e">
        <f ca="1">_xll.EVGTS($B$1,1,$B$3,$B$5,$B$7,$B$9,S$16,S$17,S$18,$B$6,$H39)-S37</f>
        <v>#NAME?</v>
      </c>
      <c r="T39" s="139" t="e">
        <f ca="1">_xll.EVGTS($B$1,1,$B$3,$B$5,$B$7,$B$9,T$16,T$17,T$18,$B$6,$H39)-T37</f>
        <v>#NAME?</v>
      </c>
      <c r="U39" s="139" t="e">
        <f ca="1">_xll.EVGTS($B$1,1,$B$3,$B$5,$B$7,$B$9,U$16,U$17,U$18,$B$6,$H39)-U37</f>
        <v>#NAME?</v>
      </c>
      <c r="V39" s="139" t="e">
        <f ca="1">_xll.EVGTS($B$1,1,$B$3,$B$5,$B$7,$B$9,V$16,V$17,V$18,$B$6,$H39)-V37</f>
        <v>#NAME?</v>
      </c>
      <c r="W39" s="139" t="e">
        <f ca="1">_xll.EVGTS($B$1,1,$B$3,$B$5,$B$7,$B$9,W$16,W$17,W$18,$B$6,$H39)-W37</f>
        <v>#NAME?</v>
      </c>
      <c r="X39" s="139" t="e">
        <f ca="1">_xll.EVGTS($B$1,1,$B$3,$B$5,$B$7,$B$9,X$16,X$17,X$18,$B$6,$H39)-X37</f>
        <v>#NAME?</v>
      </c>
      <c r="Y39" s="139" t="e">
        <f ca="1">_xll.EVGTS($B$1,1,$B$3,$B$5,$B$7,$B$9,Y$16,Y$17,Y$18,$B$6,$H39)-Y37</f>
        <v>#NAME?</v>
      </c>
      <c r="Z39" s="139" t="e">
        <f ca="1">_xll.EVGTS($B$1,1,$B$3,$B$5,$B$7,$B$9,Z$16,Z$17,Z$18,$B$6,$H39)-Z37</f>
        <v>#NAME?</v>
      </c>
      <c r="AA39" s="139" t="e">
        <f ca="1">SUM(O39:Z39)</f>
        <v>#NAME?</v>
      </c>
      <c r="AB39" s="17"/>
      <c r="AD39" s="139" t="e">
        <f ca="1">_xll.EVGTS($B$1,1,$B$3,$B$5,$B$7,$B$9,AD$16,AD$17,AD$18,$B$6,$H39)-AD37</f>
        <v>#NAME?</v>
      </c>
      <c r="AE39" s="17"/>
      <c r="AF39" s="21"/>
      <c r="AG39" s="139" t="e">
        <f ca="1">_xll.EVGTS($B$1,1,$B$3,$B$5,$B$7,$B$9,AG$16,AG$17,AG$18,$B$6,$H39)-AG37</f>
        <v>#NAME?</v>
      </c>
      <c r="AH39" s="17"/>
      <c r="AI39" s="21"/>
    </row>
    <row r="40" spans="1:40" x14ac:dyDescent="0.25">
      <c r="A40" s="6" t="s">
        <v>28</v>
      </c>
      <c r="B40" s="7"/>
      <c r="N40" s="11"/>
      <c r="O40" s="11"/>
      <c r="P40" s="11"/>
      <c r="Q40" s="11"/>
      <c r="R40" s="11"/>
      <c r="S40" s="11"/>
      <c r="T40" s="11"/>
      <c r="U40" s="11"/>
      <c r="V40" s="11"/>
      <c r="W40" s="11"/>
      <c r="X40" s="11"/>
      <c r="Y40" s="11"/>
      <c r="Z40" s="11"/>
      <c r="AA40" s="11"/>
      <c r="AB40" s="11"/>
      <c r="AD40" s="11"/>
      <c r="AE40" s="11"/>
      <c r="AF40" s="11"/>
      <c r="AG40" s="11"/>
      <c r="AH40" s="11"/>
      <c r="AI40" s="11"/>
    </row>
    <row r="41" spans="1:40" x14ac:dyDescent="0.25">
      <c r="A41" s="6" t="s">
        <v>29</v>
      </c>
      <c r="B41" s="7"/>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row>
    <row r="47" spans="1:40" x14ac:dyDescent="0.25">
      <c r="A47" s="6" t="s">
        <v>35</v>
      </c>
      <c r="B47" s="7"/>
      <c r="H47" s="11"/>
      <c r="J47" s="1"/>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sheetData>
  <mergeCells count="2">
    <mergeCell ref="AD31:AE31"/>
    <mergeCell ref="AG31:AH31"/>
  </mergeCells>
  <dataValidations disablePrompts="1" count="2">
    <dataValidation type="list" allowBlank="1" sqref="B28" xr:uid="{00000000-0002-0000-5600-000000000000}">
      <formula1>"ACCOUNT,BUSINESSUNIT,CATEGORY,DATASRC,DEPARTMENT,INTCO,MEASURES,RPTCURRENCY,TIME"</formula1>
    </dataValidation>
    <dataValidation type="list" allowBlank="1" sqref="B29" xr:uid="{00000000-0002-0000-5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0419"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0419" r:id="rId7" name="FPMExcelClientSheetOptionstb1"/>
      </mc:Fallback>
    </mc:AlternateContent>
  </controls>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93">
    <pageSetUpPr fitToPage="1"/>
  </sheetPr>
  <dimension ref="A1:AO6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514</v>
      </c>
      <c r="C6" s="1" t="s">
        <v>1029</v>
      </c>
      <c r="E6" s="49" t="s">
        <v>1796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1797</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1798</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1799</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16" t="s">
        <v>1800</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1801</v>
      </c>
    </row>
    <row r="28" spans="1:40" ht="15.75" x14ac:dyDescent="0.25">
      <c r="A28" s="6" t="s">
        <v>12</v>
      </c>
      <c r="B28" s="7" t="s">
        <v>22</v>
      </c>
      <c r="N28" s="71" t="s">
        <v>1005</v>
      </c>
    </row>
    <row r="29" spans="1:40" ht="15" customHeight="1" x14ac:dyDescent="0.25">
      <c r="A29" s="6" t="s">
        <v>13</v>
      </c>
      <c r="B29" s="7" t="s">
        <v>515</v>
      </c>
      <c r="N29" s="71" t="s">
        <v>985</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548</v>
      </c>
      <c r="I33" s="11" t="s">
        <v>1011</v>
      </c>
      <c r="J33" s="11" t="s">
        <v>78</v>
      </c>
      <c r="L33" s="1"/>
      <c r="M33" s="1"/>
      <c r="N33" s="40" t="s">
        <v>1029</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866</v>
      </c>
      <c r="I34" s="161" t="s">
        <v>1009</v>
      </c>
      <c r="J34" s="161" t="s">
        <v>1009</v>
      </c>
      <c r="K34" s="68" t="str">
        <f>IF(AND(I34&gt;="T3"),"&gt;","")</f>
        <v/>
      </c>
      <c r="L34" s="162">
        <v>717100</v>
      </c>
      <c r="M34" s="162">
        <v>690800</v>
      </c>
      <c r="N34" s="162" t="s">
        <v>1802</v>
      </c>
      <c r="O34" s="21">
        <v>12341.63</v>
      </c>
      <c r="P34" s="21">
        <v>12334.5</v>
      </c>
      <c r="Q34" s="21">
        <v>18277.52</v>
      </c>
      <c r="R34" s="21">
        <v>15834.43</v>
      </c>
      <c r="S34" s="21">
        <v>15359.17</v>
      </c>
      <c r="T34" s="21">
        <v>16562.72</v>
      </c>
      <c r="U34" s="21">
        <v>18543.45</v>
      </c>
      <c r="V34" s="21">
        <v>18482.810000000001</v>
      </c>
      <c r="W34" s="21">
        <v>19431.04</v>
      </c>
      <c r="X34" s="21">
        <v>14207.63</v>
      </c>
      <c r="Y34" s="21">
        <v>15058.05</v>
      </c>
      <c r="Z34" s="21">
        <v>14620.13</v>
      </c>
      <c r="AA34" s="38">
        <f>IF($I34="B1","",SUM(O34:Z34))</f>
        <v>191053.08</v>
      </c>
      <c r="AB34" s="17">
        <f>IF(AA34=0,"",IFERROR(AA34/AA$19,""))</f>
        <v>1.4764298410196393E-2</v>
      </c>
      <c r="AD34" s="21">
        <v>163602.96</v>
      </c>
      <c r="AE34" s="17">
        <f>IF(AD34=0,"",IFERROR(AD34/AD$19,""))</f>
        <v>9.8597568650600591E-3</v>
      </c>
      <c r="AF34" s="50">
        <f>IF(AND($AA34="",AD34=""),"",$AA34-AD34)</f>
        <v>27450.119999999995</v>
      </c>
      <c r="AG34" s="21">
        <v>158920.47</v>
      </c>
      <c r="AH34" s="17">
        <f>IF(AG34=0,"",IFERROR(AG34/AG$19,""))</f>
        <v>1.0786892222468111E-2</v>
      </c>
      <c r="AI34" s="50">
        <f>IF(AND($AA34="",AG34=""),"",$AA34-AG34)</f>
        <v>32132.609999999986</v>
      </c>
      <c r="AJ34" s="399">
        <f>IFERROR(AA34/AA$20,0)</f>
        <v>3.9654022415940222</v>
      </c>
      <c r="AK34" s="400">
        <f>IFERROR(AD34/AD$20,0)</f>
        <v>3.3956612702366127</v>
      </c>
      <c r="AL34" s="401">
        <f>IFERROR(AG34/AG$20,0)</f>
        <v>3.2984738480697384</v>
      </c>
      <c r="AM34" s="402" t="str">
        <f>+IFERROR(ROUND(($AB34-AE34)*100,2)&amp;" pts.",0)</f>
        <v>0.49 pts.</v>
      </c>
      <c r="AN34" s="403" t="str">
        <f>+IFERROR(ROUND(($AB34-AH34)*100,2)&amp;" pts.",0)</f>
        <v>0.4 pts.</v>
      </c>
    </row>
    <row r="35" spans="1:40" x14ac:dyDescent="0.25">
      <c r="C35" s="32"/>
      <c r="H35" s="15" t="s">
        <v>867</v>
      </c>
      <c r="I35" s="161" t="s">
        <v>1009</v>
      </c>
      <c r="J35" s="161" t="s">
        <v>1009</v>
      </c>
      <c r="K35" s="68" t="str">
        <f>IF(AND(I35&gt;="T3"),"&gt;","")</f>
        <v/>
      </c>
      <c r="L35" s="162">
        <v>717200</v>
      </c>
      <c r="M35" s="162">
        <v>690805</v>
      </c>
      <c r="N35" s="162" t="s">
        <v>1803</v>
      </c>
      <c r="O35" s="21">
        <v>820.09</v>
      </c>
      <c r="P35" s="21">
        <v>575.76</v>
      </c>
      <c r="Q35" s="21">
        <v>1031.3800000000001</v>
      </c>
      <c r="R35" s="21">
        <v>876.19</v>
      </c>
      <c r="S35" s="21">
        <v>948.97</v>
      </c>
      <c r="T35" s="21">
        <v>525.75</v>
      </c>
      <c r="U35" s="21">
        <v>366.16</v>
      </c>
      <c r="V35" s="21">
        <v>438.37</v>
      </c>
      <c r="W35" s="21">
        <v>664.27</v>
      </c>
      <c r="X35" s="21">
        <v>405.41</v>
      </c>
      <c r="Y35" s="21">
        <v>1110.8900000000001</v>
      </c>
      <c r="Z35" s="21">
        <v>3555.98</v>
      </c>
      <c r="AA35" s="38">
        <f>IF($I35="B1","",SUM(O35:Z35))</f>
        <v>11319.220000000001</v>
      </c>
      <c r="AB35" s="17">
        <f>IF(AA35=0,"",IFERROR(AA35/AA$19,""))</f>
        <v>8.7473251857893752E-4</v>
      </c>
      <c r="AD35" s="21">
        <v>25818.09</v>
      </c>
      <c r="AE35" s="17">
        <f>IF(AD35=0,"",IFERROR(AD35/AD$19,""))</f>
        <v>1.5559626190151969E-3</v>
      </c>
      <c r="AF35" s="50">
        <f>IF(AND($AA35="",AD35=""),"",$AA35-AD35)</f>
        <v>-14498.869999999999</v>
      </c>
      <c r="AG35" s="21">
        <v>20428.13</v>
      </c>
      <c r="AH35" s="17">
        <f>IF(AG35=0,"",IFERROR(AG35/AG$19,""))</f>
        <v>1.3865805746520099E-3</v>
      </c>
      <c r="AI35" s="50">
        <f>IF(AND($AA35="",AG35=""),"",$AA35-AG35)</f>
        <v>-9108.91</v>
      </c>
      <c r="AJ35" s="399">
        <f>IFERROR(AA35/AA$20,0)</f>
        <v>0.23493607305936076</v>
      </c>
      <c r="AK35" s="400">
        <f>IFERROR(AD35/AD$20,0)</f>
        <v>0.53586737235367377</v>
      </c>
      <c r="AL35" s="401">
        <f>IFERROR(AG35/AG$20,0)</f>
        <v>0.42399605645496058</v>
      </c>
      <c r="AM35" s="402" t="str">
        <f>+IFERROR(ROUND(($AB35-AE35)*100,2)&amp;" pts.",0)</f>
        <v>-0.07 pts.</v>
      </c>
      <c r="AN35" s="403" t="str">
        <f>+IFERROR(ROUND(($AB35-AH35)*100,2)&amp;" pts.",0)</f>
        <v>-0.05 pts.</v>
      </c>
    </row>
    <row r="36" spans="1:40" x14ac:dyDescent="0.25">
      <c r="A36" s="3" t="s">
        <v>23</v>
      </c>
      <c r="B36" s="5" t="s">
        <v>24</v>
      </c>
      <c r="H36" s="15" t="s">
        <v>868</v>
      </c>
      <c r="I36" s="161" t="s">
        <v>1058</v>
      </c>
      <c r="J36" s="161" t="s">
        <v>78</v>
      </c>
      <c r="K36" s="68" t="str">
        <f>IF(AND(I36&gt;="T3"),"&gt;","")</f>
        <v>&gt;</v>
      </c>
      <c r="L36" s="162"/>
      <c r="M36" s="162"/>
      <c r="N36" s="162" t="s">
        <v>1804</v>
      </c>
      <c r="O36" s="21">
        <v>2222.96</v>
      </c>
      <c r="P36" s="21">
        <v>2546.63</v>
      </c>
      <c r="Q36" s="21">
        <v>1900.47</v>
      </c>
      <c r="R36" s="21">
        <v>1544.26</v>
      </c>
      <c r="S36" s="21">
        <v>2842.67</v>
      </c>
      <c r="T36" s="21">
        <v>2827.89</v>
      </c>
      <c r="U36" s="21">
        <v>2510.2199999999998</v>
      </c>
      <c r="V36" s="21">
        <v>834.4</v>
      </c>
      <c r="W36" s="21">
        <v>1905.65</v>
      </c>
      <c r="X36" s="21">
        <v>3354.58</v>
      </c>
      <c r="Y36" s="21">
        <v>7265.61</v>
      </c>
      <c r="Z36" s="21">
        <v>4228</v>
      </c>
      <c r="AA36" s="38">
        <f>IF($I36="B1","",SUM(O36:Z36))</f>
        <v>33983.340000000004</v>
      </c>
      <c r="AB36" s="17">
        <f>IF(AA36=0,"",IFERROR(AA36/AA$19,""))</f>
        <v>2.626182068015672E-3</v>
      </c>
      <c r="AD36" s="21">
        <v>25645.879999999601</v>
      </c>
      <c r="AE36" s="17">
        <f>IF(AD36=0,"",IFERROR(AD36/AD$19,""))</f>
        <v>1.5455841470747385E-3</v>
      </c>
      <c r="AF36" s="50">
        <f>IF(AND($AA36="",AD36=""),"",$AA36-AD36)</f>
        <v>8337.4600000004029</v>
      </c>
      <c r="AG36" s="21">
        <v>24689.84</v>
      </c>
      <c r="AH36" s="17">
        <f>IF(AG36=0,"",IFERROR(AG36/AG$19,""))</f>
        <v>1.6758485742584457E-3</v>
      </c>
      <c r="AI36" s="50">
        <f>IF(AND($AA36="",AG36=""),"",$AA36-AG36)</f>
        <v>9293.5000000000036</v>
      </c>
      <c r="AJ36" s="399">
        <f>IFERROR(AA36/AA$20,0)</f>
        <v>0.7053412204234123</v>
      </c>
      <c r="AK36" s="400">
        <f>IFERROR(AD36/AD$20,0)</f>
        <v>0.53229306766292239</v>
      </c>
      <c r="AL36" s="401">
        <f>IFERROR(AG36/AG$20,0)</f>
        <v>0.51244997924449975</v>
      </c>
      <c r="AM36" s="402" t="str">
        <f>+IFERROR(ROUND(($AB36-AE36)*100,2)&amp;" pts.",0)</f>
        <v>0.11 pts.</v>
      </c>
      <c r="AN36" s="403" t="str">
        <f>+IFERROR(ROUND(($AB36-AH36)*100,2)&amp;" pts.",0)</f>
        <v>0.1 pts.</v>
      </c>
    </row>
    <row r="37" spans="1:40" x14ac:dyDescent="0.25">
      <c r="A37" s="6" t="s">
        <v>25</v>
      </c>
      <c r="B37" s="7"/>
      <c r="H37" s="15" t="s">
        <v>79</v>
      </c>
      <c r="I37" s="27" t="s">
        <v>1012</v>
      </c>
      <c r="J37" s="27" t="s">
        <v>78</v>
      </c>
      <c r="K37" s="26"/>
      <c r="N37" s="25" t="s">
        <v>1116</v>
      </c>
      <c r="O37" s="33">
        <f t="shared" ref="O37:Z37" si="0">SUM(O34:O36)</f>
        <v>15384.68</v>
      </c>
      <c r="P37" s="33">
        <f t="shared" si="0"/>
        <v>15456.89</v>
      </c>
      <c r="Q37" s="33">
        <f t="shared" si="0"/>
        <v>21209.370000000003</v>
      </c>
      <c r="R37" s="33">
        <f t="shared" si="0"/>
        <v>18254.879999999997</v>
      </c>
      <c r="S37" s="33">
        <f t="shared" si="0"/>
        <v>19150.809999999998</v>
      </c>
      <c r="T37" s="33">
        <f t="shared" si="0"/>
        <v>19916.36</v>
      </c>
      <c r="U37" s="33">
        <f t="shared" si="0"/>
        <v>21419.83</v>
      </c>
      <c r="V37" s="33">
        <f t="shared" si="0"/>
        <v>19755.580000000002</v>
      </c>
      <c r="W37" s="33">
        <f t="shared" si="0"/>
        <v>22000.960000000003</v>
      </c>
      <c r="X37" s="33">
        <f t="shared" si="0"/>
        <v>17967.62</v>
      </c>
      <c r="Y37" s="33">
        <f t="shared" si="0"/>
        <v>23434.55</v>
      </c>
      <c r="Z37" s="33">
        <f t="shared" si="0"/>
        <v>22404.11</v>
      </c>
      <c r="AA37" s="33">
        <f>IF($I37="B1","",SUM(O37:Z37))</f>
        <v>236355.64</v>
      </c>
      <c r="AB37" s="34">
        <f>IF(AA37=0,"",IFERROR(AA37/AA$19,""))</f>
        <v>1.8265212996791003E-2</v>
      </c>
      <c r="AD37" s="33">
        <f>SUM(AD34:AD36)</f>
        <v>215066.92999999959</v>
      </c>
      <c r="AE37" s="34">
        <f>IF(AD37=0,"",IFERROR(AD37/AD$19,""))</f>
        <v>1.2961303631149994E-2</v>
      </c>
      <c r="AF37" s="52">
        <f>IF(AND($AA37="",AD37=""),"",$AA37-AD37)</f>
        <v>21288.710000000428</v>
      </c>
      <c r="AG37" s="33">
        <f>SUM(AG34:AG36)</f>
        <v>204038.44</v>
      </c>
      <c r="AH37" s="34">
        <f>IF(AG37=0,"",IFERROR(AG37/AG$19,""))</f>
        <v>1.3849321371378568E-2</v>
      </c>
      <c r="AI37" s="52">
        <f>IF(AND($AA37="",AG37=""),"",$AA37-AG37)</f>
        <v>32317.200000000012</v>
      </c>
      <c r="AJ37" s="415">
        <f>IFERROR(AA37/AA$20,0)</f>
        <v>4.9056795350767954</v>
      </c>
      <c r="AK37" s="416">
        <f>IFERROR(AD37/AD$20,0)</f>
        <v>4.4638217102532085</v>
      </c>
      <c r="AL37" s="417">
        <f>IFERROR(AG37/AG$20,0)</f>
        <v>4.2349198837691988</v>
      </c>
      <c r="AM37" s="418" t="str">
        <f>+IFERROR(ROUND(($AB37-AE37)*100,2)&amp;" pts.",0)</f>
        <v>0.53 pts.</v>
      </c>
      <c r="AN37" s="436" t="str">
        <f>+IFERROR(ROUND(($AB37-AH37)*100,2)&amp;" pts.",0)</f>
        <v>0.44 pts.</v>
      </c>
    </row>
    <row r="38" spans="1:40" x14ac:dyDescent="0.25">
      <c r="A38" s="6" t="s">
        <v>26</v>
      </c>
      <c r="B38" s="7"/>
    </row>
    <row r="39" spans="1:40" x14ac:dyDescent="0.25">
      <c r="A39" s="6" t="s">
        <v>27</v>
      </c>
      <c r="B39" s="7"/>
      <c r="H39" s="15" t="s">
        <v>79</v>
      </c>
      <c r="N39" s="26" t="str">
        <f>N37&amp;" - Check"</f>
        <v>Total Operations Expense - Check</v>
      </c>
      <c r="O39" s="139">
        <v>0</v>
      </c>
      <c r="P39" s="139">
        <v>0</v>
      </c>
      <c r="Q39" s="139">
        <v>0</v>
      </c>
      <c r="R39" s="139">
        <v>0</v>
      </c>
      <c r="S39" s="139">
        <v>0</v>
      </c>
      <c r="T39" s="139">
        <v>0</v>
      </c>
      <c r="U39" s="139">
        <v>0</v>
      </c>
      <c r="V39" s="139">
        <v>0</v>
      </c>
      <c r="W39" s="139">
        <v>0</v>
      </c>
      <c r="X39" s="139">
        <v>0</v>
      </c>
      <c r="Y39" s="139">
        <v>0</v>
      </c>
      <c r="Z39" s="139">
        <v>0</v>
      </c>
      <c r="AA39" s="139">
        <f>SUM(O39:Z39)</f>
        <v>0</v>
      </c>
      <c r="AB39" s="17"/>
      <c r="AD39" s="139">
        <v>4.0745362639427201E-10</v>
      </c>
      <c r="AE39" s="17"/>
      <c r="AF39" s="21"/>
      <c r="AG39" s="139">
        <v>0</v>
      </c>
      <c r="AH39" s="17"/>
      <c r="AI39" s="21"/>
    </row>
    <row r="40" spans="1:40" x14ac:dyDescent="0.25">
      <c r="A40" s="6" t="s">
        <v>28</v>
      </c>
      <c r="B40" s="7"/>
      <c r="N40" s="11"/>
      <c r="O40" s="11"/>
      <c r="P40" s="11"/>
      <c r="Q40" s="11"/>
      <c r="R40" s="11"/>
      <c r="S40" s="11"/>
      <c r="T40" s="11"/>
      <c r="U40" s="11"/>
      <c r="V40" s="11"/>
      <c r="W40" s="11"/>
      <c r="X40" s="11"/>
      <c r="Y40" s="11"/>
      <c r="Z40" s="11"/>
      <c r="AA40" s="11"/>
      <c r="AB40" s="11"/>
      <c r="AD40" s="11"/>
      <c r="AE40" s="11"/>
      <c r="AF40" s="11"/>
      <c r="AG40" s="11"/>
      <c r="AH40" s="11"/>
      <c r="AI40" s="11"/>
    </row>
    <row r="41" spans="1:40" x14ac:dyDescent="0.25">
      <c r="A41" s="6" t="s">
        <v>29</v>
      </c>
      <c r="B41" s="7"/>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row>
    <row r="47" spans="1:40" x14ac:dyDescent="0.25">
      <c r="A47" s="6" t="s">
        <v>35</v>
      </c>
      <c r="B47" s="7"/>
      <c r="H47" s="11"/>
      <c r="J47" s="1"/>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sheetData>
  <mergeCells count="2">
    <mergeCell ref="AD31:AE31"/>
    <mergeCell ref="AG31:AH31"/>
  </mergeCells>
  <dataValidations count="2">
    <dataValidation type="list" allowBlank="1" sqref="B29" xr:uid="{00000000-0002-0000-5700-000000000000}">
      <formula1>"SELF,ALL,BAS,DEP,BASMEMBERS,MEMBERS,NOEXPAND,GDEP"</formula1>
    </dataValidation>
    <dataValidation type="list" allowBlank="1" sqref="B28" xr:uid="{00000000-0002-0000-5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478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4788" r:id="rId5" name="FPMExcelClientSheetOptionstb1"/>
      </mc:Fallback>
    </mc:AlternateContent>
  </controls>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516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_xll.EVRNG(H34:H35)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517</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518</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894</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v>40697.01</v>
      </c>
      <c r="P34" s="21">
        <v>48837.3</v>
      </c>
      <c r="Q34" s="21">
        <v>48600.81</v>
      </c>
      <c r="R34" s="21">
        <v>37083.230000000003</v>
      </c>
      <c r="S34" s="21">
        <v>34687.99</v>
      </c>
      <c r="T34" s="21">
        <v>29381.38</v>
      </c>
      <c r="U34" s="21">
        <v>27488.91</v>
      </c>
      <c r="V34" s="21">
        <v>23092</v>
      </c>
      <c r="W34" s="21">
        <v>19439.59</v>
      </c>
      <c r="X34" s="21">
        <v>24731.06</v>
      </c>
      <c r="Y34" s="21">
        <v>28126.04</v>
      </c>
      <c r="Z34" s="21">
        <v>42438.29</v>
      </c>
      <c r="AA34" s="21" t="e">
        <f ca="1">IF($I34="B1","",SUM(O34:Z34))</f>
        <v>#NAME?</v>
      </c>
      <c r="AB34" s="17" t="e">
        <f ca="1">IF(AA34=0,"",IFERROR(AA34/AA$19,""))</f>
        <v>#NAME?</v>
      </c>
      <c r="AD34" s="21">
        <v>531740.81724074995</v>
      </c>
      <c r="AE34" s="17" t="str">
        <f ca="1">IF(AD34=0,"",IFERROR(AD34/AD$19,""))</f>
        <v/>
      </c>
      <c r="AF34" s="50" t="e">
        <f ca="1">IF(AND($AA34="",AD34=""),"",$AA34-AD34)</f>
        <v>#NAME?</v>
      </c>
      <c r="AG34" s="21">
        <v>480729.23</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hidden="1" x14ac:dyDescent="0.25">
      <c r="C35" s="32"/>
      <c r="H35" s="15"/>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t="e">
        <f ca="1">IF($I35="B1","",SUM(O35:Z35))</f>
        <v>#NAME?</v>
      </c>
      <c r="AB35" s="17" t="e">
        <f ca="1">IF(AA35=0,"",IFERROR(AA35/AA$19,""))</f>
        <v>#NAME?</v>
      </c>
      <c r="AD35" s="21"/>
      <c r="AE35" s="17" t="str">
        <f>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A36" s="3" t="s">
        <v>23</v>
      </c>
      <c r="B36" s="5" t="s">
        <v>24</v>
      </c>
      <c r="H36" s="15" t="s">
        <v>79</v>
      </c>
      <c r="I36" s="27" t="e">
        <f ca="1">_xll.EVPRO($B$1,$H36,"STYLE")</f>
        <v>#NAME?</v>
      </c>
      <c r="J36" s="27" t="e">
        <f ca="1">_xll.EVPRO($B$1,$H36,"CALC")</f>
        <v>#NAME?</v>
      </c>
      <c r="K36" s="26"/>
      <c r="N36" s="25" t="e">
        <f ca="1">IF(_xll.EVDES(H36,$B$1)="#NODATA","",_xll.EVDES(H36,$B$1))</f>
        <v>#NAME?</v>
      </c>
      <c r="O36" s="33">
        <f t="shared" ref="O36:Z36" si="0">SUM(O34:O35)</f>
        <v>40697.01</v>
      </c>
      <c r="P36" s="33">
        <f t="shared" si="0"/>
        <v>48837.3</v>
      </c>
      <c r="Q36" s="33">
        <f t="shared" si="0"/>
        <v>48600.81</v>
      </c>
      <c r="R36" s="33">
        <f t="shared" si="0"/>
        <v>37083.230000000003</v>
      </c>
      <c r="S36" s="33">
        <f t="shared" si="0"/>
        <v>34687.99</v>
      </c>
      <c r="T36" s="33">
        <f t="shared" si="0"/>
        <v>29381.38</v>
      </c>
      <c r="U36" s="33">
        <f t="shared" si="0"/>
        <v>27488.91</v>
      </c>
      <c r="V36" s="33">
        <f t="shared" si="0"/>
        <v>23092</v>
      </c>
      <c r="W36" s="33">
        <f t="shared" si="0"/>
        <v>19439.59</v>
      </c>
      <c r="X36" s="33">
        <f t="shared" si="0"/>
        <v>24731.06</v>
      </c>
      <c r="Y36" s="33">
        <f t="shared" si="0"/>
        <v>28126.04</v>
      </c>
      <c r="Z36" s="33">
        <f t="shared" si="0"/>
        <v>42438.29</v>
      </c>
      <c r="AA36" s="33" t="e">
        <f ca="1">IF($I36="B1","",SUM(O36:Z36))</f>
        <v>#NAME?</v>
      </c>
      <c r="AB36" s="34" t="e">
        <f ca="1">IF(AA36=0,"",IFERROR(AA36/AA$19,""))</f>
        <v>#NAME?</v>
      </c>
      <c r="AD36" s="33">
        <f>SUM(AD34:AD35)</f>
        <v>531740.81724074995</v>
      </c>
      <c r="AE36" s="34" t="str">
        <f ca="1">IF(AD36=0,"",IFERROR(AD36/AD$19,""))</f>
        <v/>
      </c>
      <c r="AF36" s="52" t="e">
        <f ca="1">IF(AND($AA36="",AD36=""),"",$AA36-AD36)</f>
        <v>#NAME?</v>
      </c>
      <c r="AG36" s="33">
        <f>SUM(AG34:AG35)</f>
        <v>480729.23</v>
      </c>
      <c r="AH36" s="34" t="str">
        <f ca="1">IF(AG36=0,"",IFERROR(AG36/AG$19,""))</f>
        <v/>
      </c>
      <c r="AI36" s="52" t="e">
        <f ca="1">IF(AND($AA36="",AG36=""),"",$AA36-AG36)</f>
        <v>#NAME?</v>
      </c>
      <c r="AJ36" s="415">
        <f ca="1">IFERROR(AA36/AA$20,0)</f>
        <v>0</v>
      </c>
      <c r="AK36" s="416">
        <f ca="1">IFERROR(AD36/AD$20,0)</f>
        <v>0</v>
      </c>
      <c r="AL36" s="417">
        <f ca="1">IFERROR(AG36/AG$20,0)</f>
        <v>0</v>
      </c>
      <c r="AM36" s="418">
        <f ca="1">+IFERROR(ROUND(($AB36-AE36)*100,2)&amp;" pts.",0)</f>
        <v>0</v>
      </c>
      <c r="AN36" s="436">
        <f ca="1">+IFERROR(ROUND(($AB36-AH36)*100,2)&amp;" pts.",0)</f>
        <v>0</v>
      </c>
    </row>
    <row r="37" spans="1:40" x14ac:dyDescent="0.25">
      <c r="A37" s="6" t="s">
        <v>25</v>
      </c>
      <c r="B37" s="7"/>
    </row>
    <row r="38" spans="1:40" x14ac:dyDescent="0.25">
      <c r="A38" s="6" t="s">
        <v>26</v>
      </c>
      <c r="B38" s="7"/>
      <c r="H38" s="15" t="s">
        <v>79</v>
      </c>
      <c r="N38" s="26" t="e">
        <f ca="1">N36&amp;" - Check"</f>
        <v>#NAME?</v>
      </c>
      <c r="O38" s="139" t="e">
        <f ca="1">_xll.EVGTS($B$1,1,$B$3,$B$5,$B$7,$B$9,O$16,O$17,O$18,$B$6,$H38)-O36</f>
        <v>#NAME?</v>
      </c>
      <c r="P38" s="139" t="e">
        <f ca="1">_xll.EVGTS($B$1,1,$B$3,$B$5,$B$7,$B$9,P$16,P$17,P$18,$B$6,$H38)-P36</f>
        <v>#NAME?</v>
      </c>
      <c r="Q38" s="139" t="e">
        <f ca="1">_xll.EVGTS($B$1,1,$B$3,$B$5,$B$7,$B$9,Q$16,Q$17,Q$18,$B$6,$H38)-Q36</f>
        <v>#NAME?</v>
      </c>
      <c r="R38" s="139" t="e">
        <f ca="1">_xll.EVGTS($B$1,1,$B$3,$B$5,$B$7,$B$9,R$16,R$17,R$18,$B$6,$H38)-R36</f>
        <v>#NAME?</v>
      </c>
      <c r="S38" s="139" t="e">
        <f ca="1">_xll.EVGTS($B$1,1,$B$3,$B$5,$B$7,$B$9,S$16,S$17,S$18,$B$6,$H38)-S36</f>
        <v>#NAME?</v>
      </c>
      <c r="T38" s="139" t="e">
        <f ca="1">_xll.EVGTS($B$1,1,$B$3,$B$5,$B$7,$B$9,T$16,T$17,T$18,$B$6,$H38)-T36</f>
        <v>#NAME?</v>
      </c>
      <c r="U38" s="139" t="e">
        <f ca="1">_xll.EVGTS($B$1,1,$B$3,$B$5,$B$7,$B$9,U$16,U$17,U$18,$B$6,$H38)-U36</f>
        <v>#NAME?</v>
      </c>
      <c r="V38" s="139" t="e">
        <f ca="1">_xll.EVGTS($B$1,1,$B$3,$B$5,$B$7,$B$9,V$16,V$17,V$18,$B$6,$H38)-V36</f>
        <v>#NAME?</v>
      </c>
      <c r="W38" s="139" t="e">
        <f ca="1">_xll.EVGTS($B$1,1,$B$3,$B$5,$B$7,$B$9,W$16,W$17,W$18,$B$6,$H38)-W36</f>
        <v>#NAME?</v>
      </c>
      <c r="X38" s="139" t="e">
        <f ca="1">_xll.EVGTS($B$1,1,$B$3,$B$5,$B$7,$B$9,X$16,X$17,X$18,$B$6,$H38)-X36</f>
        <v>#NAME?</v>
      </c>
      <c r="Y38" s="139" t="e">
        <f ca="1">_xll.EVGTS($B$1,1,$B$3,$B$5,$B$7,$B$9,Y$16,Y$17,Y$18,$B$6,$H38)-Y36</f>
        <v>#NAME?</v>
      </c>
      <c r="Z38" s="139" t="e">
        <f ca="1">_xll.EVGTS($B$1,1,$B$3,$B$5,$B$7,$B$9,Z$16,Z$17,Z$18,$B$6,$H38)-Z36</f>
        <v>#NAME?</v>
      </c>
      <c r="AA38" s="139" t="e">
        <f ca="1">IF($I38="B1","",SUM(O38:Z38))</f>
        <v>#NAME?</v>
      </c>
      <c r="AB38" s="17"/>
      <c r="AD38" s="139" t="e">
        <f ca="1">_xll.EVGTS($B$1,1,$B$3,$B$5,$B$7,$B$9,AD$16,AD$17,AD$18,$B$6,$H38)-AD36</f>
        <v>#NAME?</v>
      </c>
      <c r="AE38" s="17"/>
      <c r="AF38" s="21"/>
      <c r="AG38" s="139" t="e">
        <f ca="1">_xll.EVGTS($B$1,1,$B$3,$B$5,$B$7,$B$9,AG$16,AG$17,AG$18,$B$6,$H38)-AG36</f>
        <v>#NAME?</v>
      </c>
      <c r="AH38" s="17"/>
      <c r="AI38" s="21"/>
    </row>
    <row r="39" spans="1:40" x14ac:dyDescent="0.25">
      <c r="A39" s="6" t="s">
        <v>27</v>
      </c>
      <c r="B39" s="7"/>
      <c r="N39" s="11"/>
      <c r="O39" s="11"/>
      <c r="P39" s="11"/>
      <c r="Q39" s="11"/>
      <c r="R39" s="11"/>
      <c r="S39" s="11"/>
      <c r="T39" s="11"/>
      <c r="U39" s="11"/>
      <c r="V39" s="11"/>
      <c r="W39" s="11"/>
      <c r="X39" s="11"/>
      <c r="Y39" s="11"/>
      <c r="Z39" s="11"/>
      <c r="AA39" s="11"/>
      <c r="AB39" s="11"/>
      <c r="AD39" s="11"/>
      <c r="AE39" s="11"/>
      <c r="AF39" s="11"/>
      <c r="AG39" s="11"/>
      <c r="AH39" s="11"/>
      <c r="AI39" s="11"/>
    </row>
    <row r="40" spans="1:40" x14ac:dyDescent="0.25">
      <c r="A40" s="6" t="s">
        <v>28</v>
      </c>
      <c r="B40" s="7"/>
    </row>
    <row r="41" spans="1:40" x14ac:dyDescent="0.25">
      <c r="A41" s="6" t="s">
        <v>29</v>
      </c>
      <c r="B41" s="7"/>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c r="H46" s="11"/>
      <c r="J46" s="1"/>
    </row>
    <row r="47" spans="1:40" x14ac:dyDescent="0.25">
      <c r="A47" s="6" t="s">
        <v>35</v>
      </c>
      <c r="B47" s="7"/>
      <c r="H47" s="11"/>
      <c r="J47" s="1"/>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sheetData>
  <mergeCells count="2">
    <mergeCell ref="AD31:AE31"/>
    <mergeCell ref="AG31:AH31"/>
  </mergeCells>
  <dataValidations disablePrompts="1" count="2">
    <dataValidation type="list" allowBlank="1" sqref="B29" xr:uid="{00000000-0002-0000-5800-000000000000}">
      <formula1>"SELF,ALL,BAS,DEP,BASMEMBERS,MEMBERS,NOEXPAND,GDEP"</formula1>
    </dataValidation>
    <dataValidation type="list" allowBlank="1" sqref="B28" xr:uid="{00000000-0002-0000-5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1443"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1443" r:id="rId7" name="FPMExcelClientSheetOptionstb1"/>
      </mc:Fallback>
    </mc:AlternateContent>
  </controls>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94">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516</v>
      </c>
      <c r="C6" s="1" t="s">
        <v>1031</v>
      </c>
      <c r="E6" s="49" t="s">
        <v>1805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1806</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1807</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1808</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16" t="s">
        <v>1809</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1810</v>
      </c>
    </row>
    <row r="28" spans="1:40" ht="15.75" x14ac:dyDescent="0.25">
      <c r="A28" s="6" t="s">
        <v>12</v>
      </c>
      <c r="B28" s="7" t="s">
        <v>22</v>
      </c>
      <c r="N28" s="71" t="s">
        <v>1005</v>
      </c>
    </row>
    <row r="29" spans="1:40" ht="15" customHeight="1" x14ac:dyDescent="0.25">
      <c r="A29" s="6" t="s">
        <v>13</v>
      </c>
      <c r="B29" s="7" t="s">
        <v>517</v>
      </c>
      <c r="N29" s="71" t="s">
        <v>985</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518</v>
      </c>
      <c r="I33" s="11" t="s">
        <v>1011</v>
      </c>
      <c r="J33" s="11" t="s">
        <v>78</v>
      </c>
      <c r="L33" s="1"/>
      <c r="M33" s="1"/>
      <c r="N33" s="40" t="s">
        <v>1031</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894</v>
      </c>
      <c r="I34" s="161" t="s">
        <v>1009</v>
      </c>
      <c r="J34" s="161" t="s">
        <v>1009</v>
      </c>
      <c r="K34" s="68" t="str">
        <f>IF(AND(I34&gt;="T3"),"&gt;","")</f>
        <v/>
      </c>
      <c r="L34" s="162">
        <v>731010</v>
      </c>
      <c r="M34" s="162">
        <v>790180</v>
      </c>
      <c r="N34" s="162" t="s">
        <v>1811</v>
      </c>
      <c r="O34" s="21">
        <v>40697.01</v>
      </c>
      <c r="P34" s="21">
        <v>48837.3</v>
      </c>
      <c r="Q34" s="21">
        <v>48600.81</v>
      </c>
      <c r="R34" s="21">
        <v>37083.230000000003</v>
      </c>
      <c r="S34" s="21">
        <v>34687.99</v>
      </c>
      <c r="T34" s="21">
        <v>29381.38</v>
      </c>
      <c r="U34" s="21">
        <v>27488.91</v>
      </c>
      <c r="V34" s="21">
        <v>23092</v>
      </c>
      <c r="W34" s="21">
        <v>19439.59</v>
      </c>
      <c r="X34" s="21">
        <v>24731.06</v>
      </c>
      <c r="Y34" s="21">
        <v>28126.04</v>
      </c>
      <c r="Z34" s="21">
        <v>42438.29</v>
      </c>
      <c r="AA34" s="21">
        <f>IF($I34="B1","",SUM(O34:Z34))</f>
        <v>404603.61</v>
      </c>
      <c r="AB34" s="17">
        <f>IF(AA34=0,"",IFERROR(AA34/AA$19,""))</f>
        <v>3.1267166359645819E-2</v>
      </c>
      <c r="AD34" s="21">
        <v>531740.81724074995</v>
      </c>
      <c r="AE34" s="17">
        <f>IF(AD34=0,"",IFERROR(AD34/AD$19,""))</f>
        <v>3.2046089955964925E-2</v>
      </c>
      <c r="AF34" s="50">
        <f>IF(AND($AA34="",AD34=""),"",$AA34-AD34)</f>
        <v>-127137.20724074997</v>
      </c>
      <c r="AG34" s="21">
        <v>480729.23</v>
      </c>
      <c r="AH34" s="17">
        <f>IF(AG34=0,"",IFERROR(AG34/AG$19,""))</f>
        <v>3.2629996577533932E-2</v>
      </c>
      <c r="AI34" s="50">
        <f>IF(AND($AA34="",AG34=""),"",$AA34-AG34)</f>
        <v>-76125.62</v>
      </c>
      <c r="AJ34" s="399">
        <f>IFERROR(AA34/AA$20,0)</f>
        <v>8.3977503113325032</v>
      </c>
      <c r="AK34" s="400">
        <f>IFERROR(AD34/AD$20,0)</f>
        <v>11.036546642605852</v>
      </c>
      <c r="AL34" s="401">
        <f>IFERROR(AG34/AG$20,0)</f>
        <v>9.9777756330427554</v>
      </c>
      <c r="AM34" s="402" t="str">
        <f>+IFERROR(ROUND(($AB34-AE34)*100,2)&amp;" pts.",0)</f>
        <v>-0.08 pts.</v>
      </c>
      <c r="AN34" s="403" t="str">
        <f>+IFERROR(ROUND(($AB34-AH34)*100,2)&amp;" pts.",0)</f>
        <v>-0.14 pts.</v>
      </c>
    </row>
    <row r="35" spans="1:40" hidden="1" x14ac:dyDescent="0.25">
      <c r="C35" s="32"/>
      <c r="H35" s="15"/>
      <c r="I35" s="161"/>
      <c r="J35" s="161"/>
      <c r="K35" s="68" t="str">
        <f>IF(AND(I35&gt;="T3"),"&gt;","")</f>
        <v/>
      </c>
      <c r="L35" s="162"/>
      <c r="M35" s="162"/>
      <c r="N35" s="162"/>
      <c r="O35" s="21"/>
      <c r="P35" s="21"/>
      <c r="Q35" s="21"/>
      <c r="R35" s="21"/>
      <c r="S35" s="21"/>
      <c r="T35" s="21"/>
      <c r="U35" s="21"/>
      <c r="V35" s="21"/>
      <c r="W35" s="21"/>
      <c r="X35" s="21"/>
      <c r="Y35" s="21"/>
      <c r="Z35" s="21"/>
      <c r="AA35" s="21">
        <f>IF($I35="B1","",SUM(O35:Z35))</f>
        <v>0</v>
      </c>
      <c r="AB35" s="17" t="str">
        <f>IF(AA35=0,"",IFERROR(AA35/AA$19,""))</f>
        <v/>
      </c>
      <c r="AD35" s="21"/>
      <c r="AE35" s="17" t="str">
        <f>IF(AD35=0,"",IFERROR(AD35/AD$19,""))</f>
        <v/>
      </c>
      <c r="AF35" s="50">
        <f>IF(AND($AA35="",AD35=""),"",$AA35-AD35)</f>
        <v>0</v>
      </c>
      <c r="AG35" s="21"/>
      <c r="AH35" s="17" t="str">
        <f>IF(AG35=0,"",IFERROR(AG35/AG$19,""))</f>
        <v/>
      </c>
      <c r="AI35" s="50">
        <f>IF(AND($AA35="",AG35=""),"",$AA35-AG35)</f>
        <v>0</v>
      </c>
      <c r="AJ35" s="399">
        <f>IFERROR(AA35/AA$20,0)</f>
        <v>0</v>
      </c>
      <c r="AK35" s="400">
        <f>IFERROR(AD35/AD$20,0)</f>
        <v>0</v>
      </c>
      <c r="AL35" s="401">
        <f>IFERROR(AG35/AG$20,0)</f>
        <v>0</v>
      </c>
      <c r="AM35" s="402">
        <f>+IFERROR(ROUND(($AB35-AE35)*100,2)&amp;" pts.",0)</f>
        <v>0</v>
      </c>
      <c r="AN35" s="403">
        <f>+IFERROR(ROUND(($AB35-AH35)*100,2)&amp;" pts.",0)</f>
        <v>0</v>
      </c>
    </row>
    <row r="36" spans="1:40" x14ac:dyDescent="0.25">
      <c r="A36" s="3" t="s">
        <v>23</v>
      </c>
      <c r="B36" s="5" t="s">
        <v>24</v>
      </c>
      <c r="H36" s="15" t="s">
        <v>79</v>
      </c>
      <c r="I36" s="27" t="s">
        <v>1012</v>
      </c>
      <c r="J36" s="27" t="s">
        <v>78</v>
      </c>
      <c r="K36" s="26"/>
      <c r="N36" s="25" t="s">
        <v>1116</v>
      </c>
      <c r="O36" s="33">
        <f t="shared" ref="O36:Z36" si="0">SUM(O34:O35)</f>
        <v>40697.01</v>
      </c>
      <c r="P36" s="33">
        <f t="shared" si="0"/>
        <v>48837.3</v>
      </c>
      <c r="Q36" s="33">
        <f t="shared" si="0"/>
        <v>48600.81</v>
      </c>
      <c r="R36" s="33">
        <f t="shared" si="0"/>
        <v>37083.230000000003</v>
      </c>
      <c r="S36" s="33">
        <f t="shared" si="0"/>
        <v>34687.99</v>
      </c>
      <c r="T36" s="33">
        <f t="shared" si="0"/>
        <v>29381.38</v>
      </c>
      <c r="U36" s="33">
        <f t="shared" si="0"/>
        <v>27488.91</v>
      </c>
      <c r="V36" s="33">
        <f t="shared" si="0"/>
        <v>23092</v>
      </c>
      <c r="W36" s="33">
        <f t="shared" si="0"/>
        <v>19439.59</v>
      </c>
      <c r="X36" s="33">
        <f t="shared" si="0"/>
        <v>24731.06</v>
      </c>
      <c r="Y36" s="33">
        <f t="shared" si="0"/>
        <v>28126.04</v>
      </c>
      <c r="Z36" s="33">
        <f t="shared" si="0"/>
        <v>42438.29</v>
      </c>
      <c r="AA36" s="33">
        <f>IF($I36="B1","",SUM(O36:Z36))</f>
        <v>404603.61</v>
      </c>
      <c r="AB36" s="34">
        <f>IF(AA36=0,"",IFERROR(AA36/AA$19,""))</f>
        <v>3.1267166359645819E-2</v>
      </c>
      <c r="AD36" s="33">
        <f>SUM(AD34:AD35)</f>
        <v>531740.81724074995</v>
      </c>
      <c r="AE36" s="34">
        <f>IF(AD36=0,"",IFERROR(AD36/AD$19,""))</f>
        <v>3.2046089955964925E-2</v>
      </c>
      <c r="AF36" s="52">
        <f>IF(AND($AA36="",AD36=""),"",$AA36-AD36)</f>
        <v>-127137.20724074997</v>
      </c>
      <c r="AG36" s="33">
        <f>SUM(AG34:AG35)</f>
        <v>480729.23</v>
      </c>
      <c r="AH36" s="34">
        <f>IF(AG36=0,"",IFERROR(AG36/AG$19,""))</f>
        <v>3.2629996577533932E-2</v>
      </c>
      <c r="AI36" s="52">
        <f>IF(AND($AA36="",AG36=""),"",$AA36-AG36)</f>
        <v>-76125.62</v>
      </c>
      <c r="AJ36" s="415">
        <f>IFERROR(AA36/AA$20,0)</f>
        <v>8.3977503113325032</v>
      </c>
      <c r="AK36" s="416">
        <f>IFERROR(AD36/AD$20,0)</f>
        <v>11.036546642605852</v>
      </c>
      <c r="AL36" s="417">
        <f>IFERROR(AG36/AG$20,0)</f>
        <v>9.9777756330427554</v>
      </c>
      <c r="AM36" s="418" t="str">
        <f>+IFERROR(ROUND(($AB36-AE36)*100,2)&amp;" pts.",0)</f>
        <v>-0.08 pts.</v>
      </c>
      <c r="AN36" s="436" t="str">
        <f>+IFERROR(ROUND(($AB36-AH36)*100,2)&amp;" pts.",0)</f>
        <v>-0.14 pts.</v>
      </c>
    </row>
    <row r="37" spans="1:40" x14ac:dyDescent="0.25">
      <c r="A37" s="6" t="s">
        <v>25</v>
      </c>
      <c r="B37" s="7"/>
    </row>
    <row r="38" spans="1:40" x14ac:dyDescent="0.25">
      <c r="A38" s="6" t="s">
        <v>26</v>
      </c>
      <c r="B38" s="7"/>
      <c r="H38" s="15" t="s">
        <v>79</v>
      </c>
      <c r="N38" s="26" t="str">
        <f>N36&amp;" - Check"</f>
        <v>Total Operations Expense - Check</v>
      </c>
      <c r="O38" s="139">
        <v>0</v>
      </c>
      <c r="P38" s="139">
        <v>0</v>
      </c>
      <c r="Q38" s="139">
        <v>0</v>
      </c>
      <c r="R38" s="139">
        <v>0</v>
      </c>
      <c r="S38" s="139">
        <v>0</v>
      </c>
      <c r="T38" s="139">
        <v>0</v>
      </c>
      <c r="U38" s="139">
        <v>0</v>
      </c>
      <c r="V38" s="139">
        <v>0</v>
      </c>
      <c r="W38" s="139">
        <v>0</v>
      </c>
      <c r="X38" s="139">
        <v>0</v>
      </c>
      <c r="Y38" s="139">
        <v>0</v>
      </c>
      <c r="Z38" s="139">
        <v>0</v>
      </c>
      <c r="AA38" s="139">
        <f>IF($I38="B1","",SUM(O38:Z38))</f>
        <v>0</v>
      </c>
      <c r="AB38" s="17"/>
      <c r="AD38" s="139">
        <v>0</v>
      </c>
      <c r="AE38" s="17"/>
      <c r="AF38" s="21"/>
      <c r="AG38" s="139">
        <v>0</v>
      </c>
      <c r="AH38" s="17"/>
      <c r="AI38" s="21"/>
    </row>
    <row r="39" spans="1:40" x14ac:dyDescent="0.25">
      <c r="A39" s="6" t="s">
        <v>27</v>
      </c>
      <c r="B39" s="7"/>
      <c r="N39" s="11"/>
      <c r="O39" s="11"/>
      <c r="P39" s="11"/>
      <c r="Q39" s="11"/>
      <c r="R39" s="11"/>
      <c r="S39" s="11"/>
      <c r="T39" s="11"/>
      <c r="U39" s="11"/>
      <c r="V39" s="11"/>
      <c r="W39" s="11"/>
      <c r="X39" s="11"/>
      <c r="Y39" s="11"/>
      <c r="Z39" s="11"/>
      <c r="AA39" s="11"/>
      <c r="AB39" s="11"/>
      <c r="AD39" s="11"/>
      <c r="AE39" s="11"/>
      <c r="AF39" s="11"/>
      <c r="AG39" s="11"/>
      <c r="AH39" s="11"/>
      <c r="AI39" s="11"/>
    </row>
    <row r="40" spans="1:40" x14ac:dyDescent="0.25">
      <c r="A40" s="6" t="s">
        <v>28</v>
      </c>
      <c r="B40" s="7"/>
    </row>
    <row r="41" spans="1:40" x14ac:dyDescent="0.25">
      <c r="A41" s="6" t="s">
        <v>29</v>
      </c>
      <c r="B41" s="7"/>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c r="H46" s="11"/>
      <c r="J46" s="1"/>
    </row>
    <row r="47" spans="1:40" x14ac:dyDescent="0.25">
      <c r="A47" s="6" t="s">
        <v>35</v>
      </c>
      <c r="B47" s="7"/>
      <c r="H47" s="11"/>
      <c r="J47" s="1"/>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sheetData>
  <mergeCells count="2">
    <mergeCell ref="AD31:AE31"/>
    <mergeCell ref="AG31:AH31"/>
  </mergeCells>
  <dataValidations count="2">
    <dataValidation type="list" allowBlank="1" sqref="B28" xr:uid="{00000000-0002-0000-5900-000000000000}">
      <formula1>"ACCOUNT,BUSINESSUNIT,CATEGORY,DATASRC,DEPARTMENT,INTCO,MEASURES,RPTCURRENCY,TIME"</formula1>
    </dataValidation>
    <dataValidation type="list" allowBlank="1" sqref="B29" xr:uid="{00000000-0002-0000-5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5812"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5812" r:id="rId5" name="FPMExcelClientSheetOptionstb1"/>
      </mc:Fallback>
    </mc:AlternateContent>
  </controls>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9">
    <pageSetUpPr fitToPage="1"/>
  </sheetPr>
  <dimension ref="A1:AO10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519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_xll.EVRNG(H34:H65)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583</v>
      </c>
      <c r="H20" s="18" t="s">
        <v>584</v>
      </c>
      <c r="I20" s="19" t="e">
        <f ca="1">_xll.EVPRO($B$1,$H20,"STYLE")</f>
        <v>#NAME?</v>
      </c>
      <c r="J20" s="19" t="e">
        <f ca="1">_xll.EVPRO($B$1,$H20,"CALC")</f>
        <v>#NAME?</v>
      </c>
      <c r="K20" s="18"/>
      <c r="L20" s="19"/>
      <c r="M20" s="19"/>
      <c r="N20" s="18" t="e">
        <f ca="1">IF(_xll.EVDES(H20,$B$1)="#NODATA","",_xll.EVDES(H20,$B$1))&amp;"-"&amp;_xll.EVDES(G20)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G21" s="18" t="s">
        <v>749</v>
      </c>
      <c r="H21" s="18">
        <v>904100</v>
      </c>
      <c r="I21" s="19"/>
      <c r="J21" s="19"/>
      <c r="K21" s="18"/>
      <c r="L21" s="19"/>
      <c r="M21" s="19"/>
      <c r="N21" s="18" t="e">
        <f ca="1">_xll.EVDES(H21)</f>
        <v>#NAME?</v>
      </c>
      <c r="O21" s="20" t="e">
        <f ca="1">_xll.EVGTS($B$1,1,$B$3,$B$5,$B$7,$B$9,O$16,O$17,O$18,$G$21,$H$21)</f>
        <v>#NAME?</v>
      </c>
      <c r="P21" s="20" t="e">
        <f ca="1">_xll.EVGTS($B$1,1,$B$3,$B$5,$B$7,$B$9,P$16,P$17,P$18,$G$21,$H$21)</f>
        <v>#NAME?</v>
      </c>
      <c r="Q21" s="20" t="e">
        <f ca="1">_xll.EVGTS($B$1,1,$B$3,$B$5,$B$7,$B$9,Q$16,Q$17,Q$18,$G$21,$H$21)</f>
        <v>#NAME?</v>
      </c>
      <c r="R21" s="20" t="e">
        <f ca="1">_xll.EVGTS($B$1,1,$B$3,$B$5,$B$7,$B$9,R$16,R$17,R$18,$G$21,$H$21)</f>
        <v>#NAME?</v>
      </c>
      <c r="S21" s="20" t="e">
        <f ca="1">_xll.EVGTS($B$1,1,$B$3,$B$5,$B$7,$B$9,S$16,S$17,S$18,$G$21,$H$21)</f>
        <v>#NAME?</v>
      </c>
      <c r="T21" s="20" t="e">
        <f ca="1">_xll.EVGTS($B$1,1,$B$3,$B$5,$B$7,$B$9,T$16,T$17,T$18,$G$21,$H$21)</f>
        <v>#NAME?</v>
      </c>
      <c r="U21" s="20" t="e">
        <f ca="1">_xll.EVGTS($B$1,1,$B$3,$B$5,$B$7,$B$9,U$16,U$17,U$18,$G$21,$H$21)</f>
        <v>#NAME?</v>
      </c>
      <c r="V21" s="20" t="e">
        <f ca="1">_xll.EVGTS($B$1,1,$B$3,$B$5,$B$7,$B$9,V$16,V$17,V$18,$G$21,$H$21)</f>
        <v>#NAME?</v>
      </c>
      <c r="W21" s="20" t="e">
        <f ca="1">_xll.EVGTS($B$1,1,$B$3,$B$5,$B$7,$B$9,W$16,W$17,W$18,$G$21,$H$21)</f>
        <v>#NAME?</v>
      </c>
      <c r="X21" s="20" t="e">
        <f ca="1">_xll.EVGTS($B$1,1,$B$3,$B$5,$B$7,$B$9,X$16,X$17,X$18,$G$21,$H$21)</f>
        <v>#NAME?</v>
      </c>
      <c r="Y21" s="20" t="e">
        <f ca="1">_xll.EVGTS($B$1,1,$B$3,$B$5,$B$7,$B$9,Y$16,Y$17,Y$18,$G$21,$H$21)</f>
        <v>#NAME?</v>
      </c>
      <c r="Z21" s="20" t="e">
        <f ca="1">_xll.EVGTS($B$1,1,$B$3,$B$5,$B$7,$B$9,Z$16,Z$17,Z$18,$G$21,$H$21)</f>
        <v>#NAME?</v>
      </c>
      <c r="AA21" s="20" t="e">
        <f ca="1">SUM(O21:Z21)</f>
        <v>#NAME?</v>
      </c>
      <c r="AB21" s="18"/>
      <c r="AC21" s="18"/>
      <c r="AD21" s="20" t="e">
        <f ca="1">_xll.EVGTS($B$1,1,$B$3,$B$5,$B$7,$B$9,AD$16,AD$17,AD$18,$G$21,$H$21)</f>
        <v>#NAME?</v>
      </c>
      <c r="AE21" s="18"/>
      <c r="AF21" s="18"/>
      <c r="AG21" s="20" t="e">
        <f ca="1">_xll.EVGTS($B$1,1,$B$3,$B$5,$B$7,$B$9,AG$16,AG$17,AG$18,$G$21,$H$21)</f>
        <v>#NAME?</v>
      </c>
      <c r="AH21" s="18"/>
      <c r="AI21" s="18"/>
    </row>
    <row r="22" spans="1:40" hidden="1" outlineLevel="1" x14ac:dyDescent="0.25">
      <c r="A22" s="6" t="s">
        <v>7</v>
      </c>
      <c r="B22" s="7" t="e">
        <f ca="1">_xll.EVRNG(A36:F41)</f>
        <v>#NAME?</v>
      </c>
      <c r="G22" s="8" t="s">
        <v>589</v>
      </c>
    </row>
    <row r="23" spans="1:40" hidden="1" outlineLevel="1" x14ac:dyDescent="0.25">
      <c r="A23" s="6" t="s">
        <v>47</v>
      </c>
      <c r="B23" s="7" t="e">
        <f ca="1">_xll.EVRNG($A$45:$B$66)</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549</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544</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522</v>
      </c>
      <c r="I34" s="161" t="e">
        <f ca="1">_xll.EVPRO($B$1,$H34,"STYLE")</f>
        <v>#NAME?</v>
      </c>
      <c r="J34" s="161" t="e">
        <f ca="1">_xll.EVPRO($B$1,$H34,"CALC")</f>
        <v>#NAME?</v>
      </c>
      <c r="K34" s="68" t="e">
        <f ca="1">IF(AND(I34&gt;="T4"),"&gt;","")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21" t="e">
        <f t="shared" ref="AA34:AA65" ca="1" si="0">IF($I34="B1","",SUM(O34:Z34))</f>
        <v>#NAME?</v>
      </c>
      <c r="AB34" s="17" t="e">
        <f t="shared" ref="AB34:AB65" ca="1" si="1">IF(AA34=0,"",IFERROR(AA34/AA$19,""))</f>
        <v>#NAME?</v>
      </c>
      <c r="AD34" s="21"/>
      <c r="AE34" s="17" t="str">
        <f t="shared" ref="AE34:AE65" si="2">IF(AD34=0,"",IFERROR(AD34/AD$19,""))</f>
        <v/>
      </c>
      <c r="AF34" s="50" t="e">
        <f t="shared" ref="AF34:AF65" ca="1" si="3">IF(AND($AA34="",AD34=""),"",$AA34-AD34)</f>
        <v>#NAME?</v>
      </c>
      <c r="AG34" s="21"/>
      <c r="AH34" s="17" t="str">
        <f>IF(AG34=0,"",IFERROR(AG34/AG$19,""))</f>
        <v/>
      </c>
      <c r="AI34" s="50" t="e">
        <f ca="1">IF(AND($AA34="",AG34=""),"",$AA34-AG34)</f>
        <v>#NAME?</v>
      </c>
      <c r="AJ34" s="399">
        <f ca="1">IFERROR(AA34/AA$21,0)</f>
        <v>0</v>
      </c>
      <c r="AK34" s="400">
        <f ca="1">IFERROR(AD34/AD$21,0)</f>
        <v>0</v>
      </c>
      <c r="AL34" s="401">
        <f ca="1">IFERROR(AG34/AG$21,0)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523</v>
      </c>
      <c r="I35" s="161" t="e">
        <f ca="1">_xll.EVPRO($B$1,$H35,"STYLE")</f>
        <v>#NAME?</v>
      </c>
      <c r="J35" s="161" t="e">
        <f ca="1">_xll.EVPRO($B$1,$H35,"CALC")</f>
        <v>#NAME?</v>
      </c>
      <c r="K35" s="68" t="e">
        <f t="shared" ref="K35:K65" ca="1" si="4">IF(AND(I35&gt;="T4"),"&gt;","")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v>-9638.44</v>
      </c>
      <c r="AA35" s="21" t="e">
        <f t="shared" ca="1" si="0"/>
        <v>#NAME?</v>
      </c>
      <c r="AB35" s="17" t="e">
        <f t="shared" ca="1" si="1"/>
        <v>#NAME?</v>
      </c>
      <c r="AD35" s="21"/>
      <c r="AE35" s="17" t="str">
        <f t="shared" si="2"/>
        <v/>
      </c>
      <c r="AF35" s="50" t="e">
        <f t="shared" ca="1" si="3"/>
        <v>#NAME?</v>
      </c>
      <c r="AG35" s="21"/>
      <c r="AH35" s="17" t="str">
        <f t="shared" ref="AH35:AH65" si="5">IF(AG35=0,"",IFERROR(AG35/AG$19,""))</f>
        <v/>
      </c>
      <c r="AI35" s="50" t="e">
        <f t="shared" ref="AI35:AI65" ca="1" si="6">IF(AND($AA35="",AG35=""),"",$AA35-AG35)</f>
        <v>#NAME?</v>
      </c>
      <c r="AJ35" s="399">
        <f t="shared" ref="AJ35:AJ65" ca="1" si="7">IFERROR(AA35/AA$21,0)</f>
        <v>0</v>
      </c>
      <c r="AK35" s="400">
        <f t="shared" ref="AK35:AK65" ca="1" si="8">IFERROR(AD35/AD$21,0)</f>
        <v>0</v>
      </c>
      <c r="AL35" s="401">
        <f t="shared" ref="AL35:AL65" ca="1" si="9">IFERROR(AG35/AG$21,0)</f>
        <v>0</v>
      </c>
      <c r="AM35" s="402">
        <f t="shared" ref="AM35:AM65" ca="1" si="10">+IFERROR(ROUND(($AB35-AE35)*100,2)&amp;" pts.",0)</f>
        <v>0</v>
      </c>
      <c r="AN35" s="403">
        <f t="shared" ref="AN35:AN65" ca="1" si="11">+IFERROR(ROUND(($AB35-AH35)*100,2)&amp;" pts.",0)</f>
        <v>0</v>
      </c>
    </row>
    <row r="36" spans="1:40" x14ac:dyDescent="0.25">
      <c r="H36" s="15" t="s">
        <v>524</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30"/>
      <c r="P36" s="30"/>
      <c r="Q36" s="30"/>
      <c r="R36" s="30"/>
      <c r="S36" s="30"/>
      <c r="T36" s="30"/>
      <c r="U36" s="30"/>
      <c r="V36" s="30"/>
      <c r="W36" s="30"/>
      <c r="X36" s="30"/>
      <c r="Y36" s="30"/>
      <c r="Z36" s="30"/>
      <c r="AA36" s="30" t="e">
        <f t="shared" ca="1" si="0"/>
        <v>#NAME?</v>
      </c>
      <c r="AB36" s="31" t="e">
        <f t="shared" ca="1" si="1"/>
        <v>#NAME?</v>
      </c>
      <c r="AD36" s="30"/>
      <c r="AE36" s="31" t="str">
        <f t="shared" si="2"/>
        <v/>
      </c>
      <c r="AF36" s="51" t="e">
        <f t="shared" ca="1" si="3"/>
        <v>#NAME?</v>
      </c>
      <c r="AG36" s="30"/>
      <c r="AH36" s="31" t="str">
        <f t="shared" si="5"/>
        <v/>
      </c>
      <c r="AI36" s="51" t="e">
        <f t="shared" ca="1" si="6"/>
        <v>#NAME?</v>
      </c>
      <c r="AJ36" s="409">
        <f t="shared" ca="1" si="7"/>
        <v>0</v>
      </c>
      <c r="AK36" s="410">
        <f t="shared" ca="1" si="8"/>
        <v>0</v>
      </c>
      <c r="AL36" s="411">
        <f t="shared" ca="1" si="9"/>
        <v>0</v>
      </c>
      <c r="AM36" s="412">
        <f t="shared" ca="1" si="10"/>
        <v>0</v>
      </c>
      <c r="AN36" s="413">
        <f t="shared" ca="1" si="11"/>
        <v>0</v>
      </c>
    </row>
    <row r="37" spans="1:40" x14ac:dyDescent="0.25">
      <c r="A37" s="1" t="s">
        <v>100</v>
      </c>
      <c r="C37" s="40" t="s">
        <v>101</v>
      </c>
      <c r="D37" s="1" t="s">
        <v>551</v>
      </c>
      <c r="F37" s="1" t="s">
        <v>98</v>
      </c>
      <c r="H37" s="15" t="s">
        <v>525</v>
      </c>
      <c r="I37" s="479" t="e">
        <f ca="1">_xll.EVPRO($B$1,$H37,"STYLE")</f>
        <v>#NAME?</v>
      </c>
      <c r="J37" s="479" t="e">
        <f ca="1">_xll.EVPRO($B$1,$H37,"CALC")</f>
        <v>#NAME?</v>
      </c>
      <c r="K37" s="480" t="e">
        <f t="shared" ca="1" si="4"/>
        <v>#NAME?</v>
      </c>
      <c r="L37" s="170" t="e">
        <f ca="1">_xll.EVPRO($B$1,H37,"JDEID")</f>
        <v>#NAME?</v>
      </c>
      <c r="M37" s="170" t="e">
        <f ca="1">IF(AND(I37="N",J37="N"),_xll.EVPRO($B$1,H37,"PSFTID"),"")</f>
        <v>#NAME?</v>
      </c>
      <c r="N37" s="170" t="e">
        <f ca="1">IF(_xll.EVDES(H37,$B$1)="#NODATA","",_xll.EVDES(H37,$B$1))</f>
        <v>#NAME?</v>
      </c>
      <c r="O37" s="33"/>
      <c r="P37" s="33"/>
      <c r="Q37" s="33"/>
      <c r="R37" s="33"/>
      <c r="S37" s="33"/>
      <c r="T37" s="33"/>
      <c r="U37" s="33"/>
      <c r="V37" s="33"/>
      <c r="W37" s="33"/>
      <c r="X37" s="33"/>
      <c r="Y37" s="33"/>
      <c r="Z37" s="33">
        <v>-9638.44</v>
      </c>
      <c r="AA37" s="33" t="e">
        <f t="shared" ca="1" si="0"/>
        <v>#NAME?</v>
      </c>
      <c r="AB37" s="34" t="e">
        <f t="shared" ca="1" si="1"/>
        <v>#NAME?</v>
      </c>
      <c r="AC37" s="35"/>
      <c r="AD37" s="33"/>
      <c r="AE37" s="34" t="str">
        <f t="shared" si="2"/>
        <v/>
      </c>
      <c r="AF37" s="52" t="e">
        <f t="shared" ca="1" si="3"/>
        <v>#NAME?</v>
      </c>
      <c r="AG37" s="33"/>
      <c r="AH37" s="34" t="str">
        <f t="shared" si="5"/>
        <v/>
      </c>
      <c r="AI37" s="52" t="e">
        <f t="shared" ca="1" si="6"/>
        <v>#NAME?</v>
      </c>
      <c r="AJ37" s="364">
        <f t="shared" ca="1" si="7"/>
        <v>0</v>
      </c>
      <c r="AK37" s="365">
        <f t="shared" ca="1" si="8"/>
        <v>0</v>
      </c>
      <c r="AL37" s="367">
        <f t="shared" ca="1" si="9"/>
        <v>0</v>
      </c>
      <c r="AM37" s="414">
        <f t="shared" ca="1" si="10"/>
        <v>0</v>
      </c>
      <c r="AN37" s="435">
        <f t="shared" ca="1" si="11"/>
        <v>0</v>
      </c>
    </row>
    <row r="38" spans="1:40" x14ac:dyDescent="0.25">
      <c r="A38" s="1" t="s">
        <v>105</v>
      </c>
      <c r="C38" s="26" t="s">
        <v>101</v>
      </c>
      <c r="D38" s="1" t="s">
        <v>106</v>
      </c>
      <c r="F38" s="1" t="s">
        <v>98</v>
      </c>
      <c r="H38" s="15" t="s">
        <v>547</v>
      </c>
      <c r="I38" s="482" t="e">
        <f ca="1">_xll.EVPRO($B$1,$H38,"STYLE")</f>
        <v>#NAME?</v>
      </c>
      <c r="J38" s="482" t="e">
        <f ca="1">_xll.EVPRO($B$1,$H38,"CALC")</f>
        <v>#NAME?</v>
      </c>
      <c r="K38" s="483" t="e">
        <f t="shared" ca="1" si="4"/>
        <v>#NAME?</v>
      </c>
      <c r="L38" s="483" t="e">
        <f ca="1">_xll.EVPRO($B$1,H38,"JDEID")</f>
        <v>#NAME?</v>
      </c>
      <c r="M38" s="483" t="e">
        <f ca="1">IF(AND(I38="N",J38="N"),_xll.EVPRO($B$1,H38,"PSFTID"),"")</f>
        <v>#NAME?</v>
      </c>
      <c r="N38" s="483" t="e">
        <f ca="1">IF(_xll.EVDES(H38,$B$1)="#NODATA","",_xll.EVDES(H38,$B$1))</f>
        <v>#NAME?</v>
      </c>
      <c r="O38" s="21"/>
      <c r="P38" s="21"/>
      <c r="Q38" s="21"/>
      <c r="R38" s="21"/>
      <c r="S38" s="21"/>
      <c r="T38" s="21"/>
      <c r="U38" s="21"/>
      <c r="V38" s="21"/>
      <c r="W38" s="21"/>
      <c r="X38" s="21"/>
      <c r="Y38" s="21"/>
      <c r="Z38" s="21"/>
      <c r="AA38" s="21"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102</v>
      </c>
      <c r="C39" s="26" t="s">
        <v>101</v>
      </c>
      <c r="D39" s="1" t="s">
        <v>106</v>
      </c>
      <c r="F39" s="1" t="s">
        <v>98</v>
      </c>
      <c r="H39" s="15" t="s">
        <v>526</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v>389</v>
      </c>
      <c r="W39" s="21">
        <v>-389</v>
      </c>
      <c r="X39" s="21">
        <v>66.91</v>
      </c>
      <c r="Y39" s="21">
        <v>-66.91</v>
      </c>
      <c r="Z39" s="21"/>
      <c r="AA39" s="21"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25" t="s">
        <v>101</v>
      </c>
      <c r="D40" s="1" t="s">
        <v>106</v>
      </c>
      <c r="F40" s="1" t="s">
        <v>98</v>
      </c>
      <c r="H40" s="15" t="s">
        <v>527</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0">
        <v>1153.82</v>
      </c>
      <c r="P40" s="30">
        <v>1468.28</v>
      </c>
      <c r="Q40" s="30">
        <v>1238.0899999999999</v>
      </c>
      <c r="R40" s="30">
        <v>1840.54</v>
      </c>
      <c r="S40" s="30">
        <v>1332.2</v>
      </c>
      <c r="T40" s="30">
        <v>1055.81</v>
      </c>
      <c r="U40" s="30">
        <v>1204.47</v>
      </c>
      <c r="V40" s="30">
        <v>1416.23</v>
      </c>
      <c r="W40" s="30">
        <v>2212.21</v>
      </c>
      <c r="X40" s="30">
        <v>1022.81</v>
      </c>
      <c r="Y40" s="30">
        <v>2507.4</v>
      </c>
      <c r="Z40" s="30">
        <v>1465.88</v>
      </c>
      <c r="AA40" s="30" t="e">
        <f t="shared" ca="1" si="0"/>
        <v>#NAME?</v>
      </c>
      <c r="AB40" s="31" t="e">
        <f t="shared" ca="1" si="1"/>
        <v>#NAME?</v>
      </c>
      <c r="AD40" s="30">
        <v>13600</v>
      </c>
      <c r="AE40" s="31" t="str">
        <f t="shared" ca="1" si="2"/>
        <v/>
      </c>
      <c r="AF40" s="51" t="e">
        <f t="shared" ca="1" si="3"/>
        <v>#NAME?</v>
      </c>
      <c r="AG40" s="30">
        <v>18102.02</v>
      </c>
      <c r="AH40" s="31" t="str">
        <f t="shared" ca="1" si="5"/>
        <v/>
      </c>
      <c r="AI40" s="51" t="e">
        <f t="shared" ca="1" si="6"/>
        <v>#NAME?</v>
      </c>
      <c r="AJ40" s="409">
        <f t="shared" ca="1" si="7"/>
        <v>0</v>
      </c>
      <c r="AK40" s="410">
        <f t="shared" ca="1" si="8"/>
        <v>0</v>
      </c>
      <c r="AL40" s="411">
        <f t="shared" ca="1" si="9"/>
        <v>0</v>
      </c>
      <c r="AM40" s="412">
        <f t="shared" ca="1" si="10"/>
        <v>0</v>
      </c>
      <c r="AN40" s="413">
        <f t="shared" ca="1" si="11"/>
        <v>0</v>
      </c>
    </row>
    <row r="41" spans="1:40" x14ac:dyDescent="0.25">
      <c r="A41" s="1" t="s">
        <v>108</v>
      </c>
      <c r="C41" s="29" t="s">
        <v>101</v>
      </c>
      <c r="D41" s="1" t="s">
        <v>107</v>
      </c>
      <c r="F41" s="1" t="s">
        <v>99</v>
      </c>
      <c r="H41" s="15" t="s">
        <v>520</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
        <v>1153.82</v>
      </c>
      <c r="P41" s="33">
        <v>1468.28</v>
      </c>
      <c r="Q41" s="33">
        <v>1238.0899999999999</v>
      </c>
      <c r="R41" s="33">
        <v>1840.54</v>
      </c>
      <c r="S41" s="33">
        <v>1332.2</v>
      </c>
      <c r="T41" s="33">
        <v>1055.81</v>
      </c>
      <c r="U41" s="33">
        <v>1204.47</v>
      </c>
      <c r="V41" s="33">
        <v>1805.23</v>
      </c>
      <c r="W41" s="33">
        <v>1823.21</v>
      </c>
      <c r="X41" s="33">
        <v>1089.72</v>
      </c>
      <c r="Y41" s="33">
        <v>2440.4899999999998</v>
      </c>
      <c r="Z41" s="33">
        <v>1465.88</v>
      </c>
      <c r="AA41" s="33" t="e">
        <f t="shared" ca="1" si="0"/>
        <v>#NAME?</v>
      </c>
      <c r="AB41" s="34" t="e">
        <f t="shared" ca="1" si="1"/>
        <v>#NAME?</v>
      </c>
      <c r="AC41" s="35"/>
      <c r="AD41" s="33">
        <v>13600</v>
      </c>
      <c r="AE41" s="34" t="str">
        <f t="shared" ca="1" si="2"/>
        <v/>
      </c>
      <c r="AF41" s="52" t="e">
        <f t="shared" ca="1" si="3"/>
        <v>#NAME?</v>
      </c>
      <c r="AG41" s="33">
        <v>18102.02</v>
      </c>
      <c r="AH41" s="34" t="str">
        <f t="shared" ca="1" si="5"/>
        <v/>
      </c>
      <c r="AI41" s="52" t="e">
        <f t="shared" ca="1" si="6"/>
        <v>#NAME?</v>
      </c>
      <c r="AJ41" s="364">
        <f t="shared" ca="1" si="7"/>
        <v>0</v>
      </c>
      <c r="AK41" s="365">
        <f t="shared" ca="1" si="8"/>
        <v>0</v>
      </c>
      <c r="AL41" s="367">
        <f t="shared" ca="1" si="9"/>
        <v>0</v>
      </c>
      <c r="AM41" s="414">
        <f t="shared" ca="1" si="10"/>
        <v>0</v>
      </c>
      <c r="AN41" s="435">
        <f t="shared" ca="1" si="11"/>
        <v>0</v>
      </c>
    </row>
    <row r="42" spans="1:40" x14ac:dyDescent="0.25">
      <c r="H42" s="15" t="s">
        <v>546</v>
      </c>
      <c r="I42" s="482" t="e">
        <f ca="1">_xll.EVPRO($B$1,$H42,"STYLE")</f>
        <v>#NAME?</v>
      </c>
      <c r="J42" s="482" t="e">
        <f ca="1">_xll.EVPRO($B$1,$H42,"CALC")</f>
        <v>#NAME?</v>
      </c>
      <c r="K42" s="483" t="e">
        <f t="shared" ca="1" si="4"/>
        <v>#NAME?</v>
      </c>
      <c r="L42" s="483" t="e">
        <f ca="1">_xll.EVPRO($B$1,H42,"JDEID")</f>
        <v>#NAME?</v>
      </c>
      <c r="M42" s="483" t="e">
        <f ca="1">IF(AND(I42="N",J42="N"),_xll.EVPRO($B$1,H42,"PSFTID"),"")</f>
        <v>#NAME?</v>
      </c>
      <c r="N42" s="483" t="e">
        <f ca="1">IF(_xll.EVDES(H42,$B$1)="#NODATA","",_xll.EVDES(H42,$B$1))</f>
        <v>#NAME?</v>
      </c>
      <c r="O42" s="21"/>
      <c r="P42" s="21"/>
      <c r="Q42" s="21"/>
      <c r="R42" s="21"/>
      <c r="S42" s="21"/>
      <c r="T42" s="21"/>
      <c r="U42" s="21"/>
      <c r="V42" s="21"/>
      <c r="W42" s="21"/>
      <c r="X42" s="21"/>
      <c r="Y42" s="21"/>
      <c r="Z42" s="21"/>
      <c r="AA42" s="21"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C43" s="32"/>
      <c r="H43" s="15" t="s">
        <v>528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v>31911</v>
      </c>
      <c r="P43" s="21">
        <v>31911</v>
      </c>
      <c r="Q43" s="21">
        <v>31911</v>
      </c>
      <c r="R43" s="21">
        <v>31911</v>
      </c>
      <c r="S43" s="21">
        <v>31911</v>
      </c>
      <c r="T43" s="21">
        <v>31911</v>
      </c>
      <c r="U43" s="21">
        <v>31911</v>
      </c>
      <c r="V43" s="21">
        <v>31911</v>
      </c>
      <c r="W43" s="21">
        <v>31911</v>
      </c>
      <c r="X43" s="21">
        <v>31911</v>
      </c>
      <c r="Y43" s="21">
        <v>31911</v>
      </c>
      <c r="Z43" s="21">
        <v>31911</v>
      </c>
      <c r="AA43" s="21" t="e">
        <f t="shared" ca="1" si="0"/>
        <v>#NAME?</v>
      </c>
      <c r="AB43" s="17" t="e">
        <f t="shared" ca="1" si="1"/>
        <v>#NAME?</v>
      </c>
      <c r="AD43" s="21">
        <v>384846</v>
      </c>
      <c r="AE43" s="17" t="str">
        <f t="shared" ca="1" si="2"/>
        <v/>
      </c>
      <c r="AF43" s="50" t="e">
        <f t="shared" ca="1" si="3"/>
        <v>#NAME?</v>
      </c>
      <c r="AG43" s="21">
        <v>371779.32</v>
      </c>
      <c r="AH43" s="17" t="str">
        <f t="shared" ca="1"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3" t="s">
        <v>23</v>
      </c>
      <c r="B44" s="5" t="s">
        <v>24</v>
      </c>
      <c r="H44" s="149" t="s">
        <v>529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v>8119</v>
      </c>
      <c r="P44" s="21">
        <v>8119</v>
      </c>
      <c r="Q44" s="21">
        <v>8119</v>
      </c>
      <c r="R44" s="21">
        <v>8119</v>
      </c>
      <c r="S44" s="21">
        <v>8119</v>
      </c>
      <c r="T44" s="21">
        <v>8119</v>
      </c>
      <c r="U44" s="21">
        <v>8119</v>
      </c>
      <c r="V44" s="21">
        <v>8119</v>
      </c>
      <c r="W44" s="21">
        <v>8119</v>
      </c>
      <c r="X44" s="21">
        <v>8119</v>
      </c>
      <c r="Y44" s="21">
        <v>8119</v>
      </c>
      <c r="Z44" s="21">
        <v>8119</v>
      </c>
      <c r="AA44" s="21" t="e">
        <f t="shared" ca="1" si="0"/>
        <v>#NAME?</v>
      </c>
      <c r="AB44" s="17" t="e">
        <f t="shared" ca="1" si="1"/>
        <v>#NAME?</v>
      </c>
      <c r="AD44" s="21">
        <v>97916</v>
      </c>
      <c r="AE44" s="17" t="str">
        <f t="shared" ca="1" si="2"/>
        <v/>
      </c>
      <c r="AF44" s="50" t="e">
        <f t="shared" ca="1" si="3"/>
        <v>#NAME?</v>
      </c>
      <c r="AG44" s="21">
        <v>94587.24</v>
      </c>
      <c r="AH44" s="17" t="str">
        <f t="shared" ca="1" si="5"/>
        <v/>
      </c>
      <c r="AI44" s="50" t="e">
        <f t="shared" ca="1" si="6"/>
        <v>#NAME?</v>
      </c>
      <c r="AJ44" s="399">
        <f t="shared" ca="1" si="7"/>
        <v>0</v>
      </c>
      <c r="AK44" s="400">
        <f t="shared" ca="1" si="8"/>
        <v>0</v>
      </c>
      <c r="AL44" s="401">
        <f t="shared" ca="1" si="9"/>
        <v>0</v>
      </c>
      <c r="AM44" s="402">
        <f t="shared" ca="1" si="10"/>
        <v>0</v>
      </c>
      <c r="AN44" s="403">
        <f t="shared" ca="1" si="11"/>
        <v>0</v>
      </c>
    </row>
    <row r="45" spans="1:40" x14ac:dyDescent="0.25">
      <c r="A45" s="6" t="s">
        <v>25</v>
      </c>
      <c r="B45" s="7"/>
      <c r="H45" s="149" t="s">
        <v>530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c r="P45" s="21"/>
      <c r="Q45" s="21"/>
      <c r="R45" s="21">
        <v>16589</v>
      </c>
      <c r="S45" s="21"/>
      <c r="T45" s="21"/>
      <c r="U45" s="21"/>
      <c r="V45" s="21"/>
      <c r="W45" s="21">
        <v>0.2</v>
      </c>
      <c r="X45" s="21"/>
      <c r="Y45" s="21"/>
      <c r="Z45" s="21"/>
      <c r="AA45" s="21" t="e">
        <f t="shared" ca="1" si="0"/>
        <v>#NAME?</v>
      </c>
      <c r="AB45" s="17" t="e">
        <f t="shared" ca="1" si="1"/>
        <v>#NAME?</v>
      </c>
      <c r="AD45" s="21">
        <v>16589</v>
      </c>
      <c r="AE45" s="17" t="str">
        <f t="shared" ca="1" si="2"/>
        <v/>
      </c>
      <c r="AF45" s="50" t="e">
        <f t="shared" ca="1" si="3"/>
        <v>#NAME?</v>
      </c>
      <c r="AG45" s="21">
        <v>16589.2</v>
      </c>
      <c r="AH45" s="17" t="str">
        <f t="shared" ca="1" si="5"/>
        <v/>
      </c>
      <c r="AI45" s="50" t="e">
        <f t="shared" ca="1" si="6"/>
        <v>#NAME?</v>
      </c>
      <c r="AJ45" s="399">
        <f t="shared" ca="1" si="7"/>
        <v>0</v>
      </c>
      <c r="AK45" s="400">
        <f t="shared" ca="1" si="8"/>
        <v>0</v>
      </c>
      <c r="AL45" s="401">
        <f t="shared" ca="1" si="9"/>
        <v>0</v>
      </c>
      <c r="AM45" s="402">
        <f t="shared" ca="1" si="10"/>
        <v>0</v>
      </c>
      <c r="AN45" s="403">
        <f t="shared" ca="1" si="11"/>
        <v>0</v>
      </c>
    </row>
    <row r="46" spans="1:40" x14ac:dyDescent="0.25">
      <c r="A46" s="6" t="s">
        <v>26</v>
      </c>
      <c r="B46" s="7"/>
      <c r="H46" s="149" t="s">
        <v>531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t="e">
        <f t="shared" ca="1" si="0"/>
        <v>#NAME?</v>
      </c>
      <c r="AB46" s="17" t="e">
        <f t="shared" ca="1" si="1"/>
        <v>#NAME?</v>
      </c>
      <c r="AD46" s="21"/>
      <c r="AE46" s="17" t="str">
        <f t="shared" si="2"/>
        <v/>
      </c>
      <c r="AF46" s="50" t="e">
        <f t="shared" ca="1" si="3"/>
        <v>#NAME?</v>
      </c>
      <c r="AG46" s="21"/>
      <c r="AH46" s="17" t="str">
        <f t="shared" si="5"/>
        <v/>
      </c>
      <c r="AI46" s="50" t="e">
        <f t="shared" ca="1" si="6"/>
        <v>#NAME?</v>
      </c>
      <c r="AJ46" s="399">
        <f t="shared" ca="1" si="7"/>
        <v>0</v>
      </c>
      <c r="AK46" s="400">
        <f t="shared" ca="1" si="8"/>
        <v>0</v>
      </c>
      <c r="AL46" s="401">
        <f t="shared" ca="1" si="9"/>
        <v>0</v>
      </c>
      <c r="AM46" s="402">
        <f t="shared" ca="1" si="10"/>
        <v>0</v>
      </c>
      <c r="AN46" s="403">
        <f t="shared" ca="1" si="11"/>
        <v>0</v>
      </c>
    </row>
    <row r="47" spans="1:40" x14ac:dyDescent="0.25">
      <c r="A47" s="6" t="s">
        <v>27</v>
      </c>
      <c r="B47" s="7"/>
      <c r="H47" s="149" t="s">
        <v>825</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0"/>
      <c r="P47" s="30"/>
      <c r="Q47" s="30"/>
      <c r="R47" s="30"/>
      <c r="S47" s="30"/>
      <c r="T47" s="30"/>
      <c r="U47" s="30"/>
      <c r="V47" s="30"/>
      <c r="W47" s="30"/>
      <c r="X47" s="30"/>
      <c r="Y47" s="30"/>
      <c r="Z47" s="30"/>
      <c r="AA47" s="30" t="e">
        <f t="shared" ca="1" si="0"/>
        <v>#NAME?</v>
      </c>
      <c r="AB47" s="31" t="e">
        <f t="shared" ca="1" si="1"/>
        <v>#NAME?</v>
      </c>
      <c r="AD47" s="30"/>
      <c r="AE47" s="31" t="str">
        <f t="shared" si="2"/>
        <v/>
      </c>
      <c r="AF47" s="51" t="e">
        <f t="shared" ca="1" si="3"/>
        <v>#NAME?</v>
      </c>
      <c r="AG47" s="30"/>
      <c r="AH47" s="31" t="str">
        <f t="shared" si="5"/>
        <v/>
      </c>
      <c r="AI47" s="51" t="e">
        <f t="shared" ca="1" si="6"/>
        <v>#NAME?</v>
      </c>
      <c r="AJ47" s="409">
        <f t="shared" ca="1" si="7"/>
        <v>0</v>
      </c>
      <c r="AK47" s="410">
        <f t="shared" ca="1" si="8"/>
        <v>0</v>
      </c>
      <c r="AL47" s="411">
        <f t="shared" ca="1" si="9"/>
        <v>0</v>
      </c>
      <c r="AM47" s="412">
        <f t="shared" ca="1" si="10"/>
        <v>0</v>
      </c>
      <c r="AN47" s="413">
        <f t="shared" ca="1" si="11"/>
        <v>0</v>
      </c>
    </row>
    <row r="48" spans="1:40" x14ac:dyDescent="0.25">
      <c r="A48" s="6" t="s">
        <v>28</v>
      </c>
      <c r="B48" s="7"/>
      <c r="H48" s="15" t="s">
        <v>521</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33">
        <v>40030</v>
      </c>
      <c r="P48" s="33">
        <v>40030</v>
      </c>
      <c r="Q48" s="33">
        <v>40030</v>
      </c>
      <c r="R48" s="33">
        <v>56619</v>
      </c>
      <c r="S48" s="33">
        <v>40030</v>
      </c>
      <c r="T48" s="33">
        <v>40030</v>
      </c>
      <c r="U48" s="33">
        <v>40030</v>
      </c>
      <c r="V48" s="33">
        <v>40030</v>
      </c>
      <c r="W48" s="33">
        <v>40030.199999999997</v>
      </c>
      <c r="X48" s="33">
        <v>40030</v>
      </c>
      <c r="Y48" s="33">
        <v>40030</v>
      </c>
      <c r="Z48" s="33">
        <v>40030</v>
      </c>
      <c r="AA48" s="33" t="e">
        <f t="shared" ca="1" si="0"/>
        <v>#NAME?</v>
      </c>
      <c r="AB48" s="34" t="e">
        <f t="shared" ca="1" si="1"/>
        <v>#NAME?</v>
      </c>
      <c r="AC48" s="35"/>
      <c r="AD48" s="33">
        <v>499351</v>
      </c>
      <c r="AE48" s="34" t="str">
        <f t="shared" ca="1" si="2"/>
        <v/>
      </c>
      <c r="AF48" s="52" t="e">
        <f t="shared" ca="1" si="3"/>
        <v>#NAME?</v>
      </c>
      <c r="AG48" s="33">
        <v>482955.76</v>
      </c>
      <c r="AH48" s="34" t="str">
        <f t="shared" ca="1" si="5"/>
        <v/>
      </c>
      <c r="AI48" s="52" t="e">
        <f t="shared" ca="1" si="6"/>
        <v>#NAME?</v>
      </c>
      <c r="AJ48" s="364">
        <f t="shared" ca="1" si="7"/>
        <v>0</v>
      </c>
      <c r="AK48" s="365">
        <f t="shared" ca="1" si="8"/>
        <v>0</v>
      </c>
      <c r="AL48" s="367">
        <f t="shared" ca="1" si="9"/>
        <v>0</v>
      </c>
      <c r="AM48" s="414">
        <f t="shared" ca="1" si="10"/>
        <v>0</v>
      </c>
      <c r="AN48" s="435">
        <f t="shared" ca="1" si="11"/>
        <v>0</v>
      </c>
    </row>
    <row r="49" spans="1:40" x14ac:dyDescent="0.25">
      <c r="A49" s="6" t="s">
        <v>29</v>
      </c>
      <c r="B49" s="7"/>
      <c r="H49" s="149" t="s">
        <v>550</v>
      </c>
      <c r="I49" s="482" t="e">
        <f ca="1">_xll.EVPRO($B$1,$H49,"STYLE")</f>
        <v>#NAME?</v>
      </c>
      <c r="J49" s="482" t="e">
        <f ca="1">_xll.EVPRO($B$1,$H49,"CALC")</f>
        <v>#NAME?</v>
      </c>
      <c r="K49" s="483" t="e">
        <f t="shared" ca="1" si="4"/>
        <v>#NAME?</v>
      </c>
      <c r="L49" s="483" t="e">
        <f ca="1">_xll.EVPRO($B$1,H49,"JDEID")</f>
        <v>#NAME?</v>
      </c>
      <c r="M49" s="483" t="e">
        <f ca="1">IF(AND(I49="N",J49="N"),_xll.EVPRO($B$1,H49,"PSFTID"),"")</f>
        <v>#NAME?</v>
      </c>
      <c r="N49" s="483" t="e">
        <f ca="1">IF(_xll.EVDES(H49,$B$1)="#NODATA","",_xll.EVDES(H49,$B$1))</f>
        <v>#NAME?</v>
      </c>
      <c r="O49" s="21"/>
      <c r="P49" s="21"/>
      <c r="Q49" s="21"/>
      <c r="R49" s="21"/>
      <c r="S49" s="21"/>
      <c r="T49" s="21"/>
      <c r="U49" s="21"/>
      <c r="V49" s="21"/>
      <c r="W49" s="21"/>
      <c r="X49" s="21"/>
      <c r="Y49" s="21"/>
      <c r="Z49" s="21"/>
      <c r="AA49" s="21" t="e">
        <f t="shared" ca="1" si="0"/>
        <v>#NAME?</v>
      </c>
      <c r="AB49" s="17" t="e">
        <f t="shared" ca="1" si="1"/>
        <v>#NAME?</v>
      </c>
      <c r="AD49" s="21"/>
      <c r="AE49" s="17" t="str">
        <f t="shared" si="2"/>
        <v/>
      </c>
      <c r="AF49" s="50" t="e">
        <f t="shared" ca="1" si="3"/>
        <v>#NAME?</v>
      </c>
      <c r="AG49" s="21"/>
      <c r="AH49" s="17" t="str">
        <f t="shared" si="5"/>
        <v/>
      </c>
      <c r="AI49" s="50" t="e">
        <f t="shared" ca="1" si="6"/>
        <v>#NAME?</v>
      </c>
      <c r="AJ49" s="399">
        <f t="shared" ca="1" si="7"/>
        <v>0</v>
      </c>
      <c r="AK49" s="400">
        <f t="shared" ca="1" si="8"/>
        <v>0</v>
      </c>
      <c r="AL49" s="401">
        <f t="shared" ca="1" si="9"/>
        <v>0</v>
      </c>
      <c r="AM49" s="402">
        <f t="shared" ca="1" si="10"/>
        <v>0</v>
      </c>
      <c r="AN49" s="403">
        <f t="shared" ca="1" si="11"/>
        <v>0</v>
      </c>
    </row>
    <row r="50" spans="1:40" x14ac:dyDescent="0.25">
      <c r="A50" s="6" t="s">
        <v>30</v>
      </c>
      <c r="B50" s="7" t="s">
        <v>78</v>
      </c>
      <c r="H50" s="149" t="s">
        <v>532</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t="shared" ca="1" si="0"/>
        <v>#NAME?</v>
      </c>
      <c r="AB50" s="17" t="e">
        <f t="shared" ca="1" si="1"/>
        <v>#NAME?</v>
      </c>
      <c r="AD50" s="21"/>
      <c r="AE50" s="17" t="str">
        <f t="shared" si="2"/>
        <v/>
      </c>
      <c r="AF50" s="50" t="e">
        <f t="shared" ca="1" si="3"/>
        <v>#NAME?</v>
      </c>
      <c r="AG50" s="21"/>
      <c r="AH50" s="17" t="str">
        <f t="shared" si="5"/>
        <v/>
      </c>
      <c r="AI50" s="50" t="e">
        <f t="shared" ca="1" si="6"/>
        <v>#NAME?</v>
      </c>
      <c r="AJ50" s="399">
        <f t="shared" ca="1" si="7"/>
        <v>0</v>
      </c>
      <c r="AK50" s="400">
        <f t="shared" ca="1" si="8"/>
        <v>0</v>
      </c>
      <c r="AL50" s="401">
        <f t="shared" ca="1" si="9"/>
        <v>0</v>
      </c>
      <c r="AM50" s="402">
        <f t="shared" ca="1" si="10"/>
        <v>0</v>
      </c>
      <c r="AN50" s="403">
        <f t="shared" ca="1" si="11"/>
        <v>0</v>
      </c>
    </row>
    <row r="51" spans="1:40" x14ac:dyDescent="0.25">
      <c r="A51" s="6" t="s">
        <v>31</v>
      </c>
      <c r="B51" s="7" t="s">
        <v>78</v>
      </c>
      <c r="H51" s="149" t="s">
        <v>533</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21">
        <v>97457.06</v>
      </c>
      <c r="P51" s="21">
        <v>97457.06</v>
      </c>
      <c r="Q51" s="21">
        <v>97457.06</v>
      </c>
      <c r="R51" s="21">
        <v>97457.06</v>
      </c>
      <c r="S51" s="21">
        <v>97457.06</v>
      </c>
      <c r="T51" s="21">
        <v>97457.06</v>
      </c>
      <c r="U51" s="21">
        <v>97457.06</v>
      </c>
      <c r="V51" s="21">
        <v>117130.24000000001</v>
      </c>
      <c r="W51" s="21">
        <v>117130.14</v>
      </c>
      <c r="X51" s="21">
        <v>117130.14</v>
      </c>
      <c r="Y51" s="21">
        <v>117130.14</v>
      </c>
      <c r="Z51" s="21">
        <v>117130.14</v>
      </c>
      <c r="AA51" s="21" t="e">
        <f t="shared" ca="1" si="0"/>
        <v>#NAME?</v>
      </c>
      <c r="AB51" s="17" t="e">
        <f t="shared" ca="1" si="1"/>
        <v>#NAME?</v>
      </c>
      <c r="AD51" s="21">
        <v>1198719</v>
      </c>
      <c r="AE51" s="17" t="str">
        <f t="shared" ca="1" si="2"/>
        <v/>
      </c>
      <c r="AF51" s="50" t="e">
        <f t="shared" ca="1" si="3"/>
        <v>#NAME?</v>
      </c>
      <c r="AG51" s="21">
        <v>927450.52</v>
      </c>
      <c r="AH51" s="17" t="str">
        <f t="shared" ca="1" si="5"/>
        <v/>
      </c>
      <c r="AI51" s="50" t="e">
        <f t="shared" ca="1" si="6"/>
        <v>#NAME?</v>
      </c>
      <c r="AJ51" s="399">
        <f t="shared" ca="1" si="7"/>
        <v>0</v>
      </c>
      <c r="AK51" s="400">
        <f t="shared" ca="1" si="8"/>
        <v>0</v>
      </c>
      <c r="AL51" s="401">
        <f t="shared" ca="1" si="9"/>
        <v>0</v>
      </c>
      <c r="AM51" s="402">
        <f t="shared" ca="1" si="10"/>
        <v>0</v>
      </c>
      <c r="AN51" s="403">
        <f t="shared" ca="1" si="11"/>
        <v>0</v>
      </c>
    </row>
    <row r="52" spans="1:40" x14ac:dyDescent="0.25">
      <c r="A52" s="6" t="s">
        <v>32</v>
      </c>
      <c r="B52" s="7"/>
      <c r="H52" s="15" t="s">
        <v>534</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21">
        <v>2659.83</v>
      </c>
      <c r="P52" s="21">
        <v>2659.83</v>
      </c>
      <c r="Q52" s="21">
        <v>2659.83</v>
      </c>
      <c r="R52" s="21">
        <v>2659.82</v>
      </c>
      <c r="S52" s="21">
        <v>2659.83</v>
      </c>
      <c r="T52" s="21">
        <v>2659.83</v>
      </c>
      <c r="U52" s="21">
        <v>2659.83</v>
      </c>
      <c r="V52" s="21">
        <v>4276.0600000000004</v>
      </c>
      <c r="W52" s="21">
        <v>3196.4</v>
      </c>
      <c r="X52" s="21">
        <v>4198.34</v>
      </c>
      <c r="Y52" s="21">
        <v>3196.4</v>
      </c>
      <c r="Z52" s="21">
        <v>3196.4</v>
      </c>
      <c r="AA52" s="21" t="e">
        <f t="shared" ca="1" si="0"/>
        <v>#NAME?</v>
      </c>
      <c r="AB52" s="17" t="e">
        <f t="shared" ca="1" si="1"/>
        <v>#NAME?</v>
      </c>
      <c r="AD52" s="21">
        <v>32851</v>
      </c>
      <c r="AE52" s="17" t="str">
        <f t="shared" ca="1" si="2"/>
        <v/>
      </c>
      <c r="AF52" s="50" t="e">
        <f t="shared" ca="1" si="3"/>
        <v>#NAME?</v>
      </c>
      <c r="AG52" s="21">
        <v>40990.17</v>
      </c>
      <c r="AH52" s="17" t="str">
        <f t="shared" ca="1" si="5"/>
        <v/>
      </c>
      <c r="AI52" s="50" t="e">
        <f t="shared" ca="1" si="6"/>
        <v>#NAME?</v>
      </c>
      <c r="AJ52" s="399">
        <f t="shared" ca="1" si="7"/>
        <v>0</v>
      </c>
      <c r="AK52" s="400">
        <f t="shared" ca="1" si="8"/>
        <v>0</v>
      </c>
      <c r="AL52" s="401">
        <f t="shared" ca="1" si="9"/>
        <v>0</v>
      </c>
      <c r="AM52" s="402">
        <f t="shared" ca="1" si="10"/>
        <v>0</v>
      </c>
      <c r="AN52" s="403">
        <f t="shared" ca="1" si="11"/>
        <v>0</v>
      </c>
    </row>
    <row r="53" spans="1:40" x14ac:dyDescent="0.25">
      <c r="A53" s="6" t="s">
        <v>33</v>
      </c>
      <c r="B53" s="7"/>
      <c r="H53" s="15" t="s">
        <v>535</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21">
        <v>3094.74</v>
      </c>
      <c r="P53" s="21">
        <v>3094.74</v>
      </c>
      <c r="Q53" s="21">
        <v>3094.74</v>
      </c>
      <c r="R53" s="21">
        <v>3094.74</v>
      </c>
      <c r="S53" s="21">
        <v>3094.74</v>
      </c>
      <c r="T53" s="21">
        <v>3213.75</v>
      </c>
      <c r="U53" s="21">
        <v>2734.07</v>
      </c>
      <c r="V53" s="21">
        <v>2831.99</v>
      </c>
      <c r="W53" s="21">
        <v>2936.94</v>
      </c>
      <c r="X53" s="21">
        <v>2936.82</v>
      </c>
      <c r="Y53" s="21">
        <v>2936.82</v>
      </c>
      <c r="Z53" s="21">
        <v>2936.82</v>
      </c>
      <c r="AA53" s="21" t="e">
        <f t="shared" ca="1" si="0"/>
        <v>#NAME?</v>
      </c>
      <c r="AB53" s="17" t="e">
        <f t="shared" ca="1" si="1"/>
        <v>#NAME?</v>
      </c>
      <c r="AD53" s="21">
        <v>38060</v>
      </c>
      <c r="AE53" s="17" t="str">
        <f t="shared" ca="1" si="2"/>
        <v/>
      </c>
      <c r="AF53" s="50" t="e">
        <f t="shared" ca="1" si="3"/>
        <v>#NAME?</v>
      </c>
      <c r="AG53" s="21">
        <v>32859.879999999997</v>
      </c>
      <c r="AH53" s="17" t="str">
        <f t="shared" ca="1" si="5"/>
        <v/>
      </c>
      <c r="AI53" s="50" t="e">
        <f t="shared" ca="1" si="6"/>
        <v>#NAME?</v>
      </c>
      <c r="AJ53" s="399">
        <f t="shared" ca="1" si="7"/>
        <v>0</v>
      </c>
      <c r="AK53" s="400">
        <f t="shared" ca="1" si="8"/>
        <v>0</v>
      </c>
      <c r="AL53" s="401">
        <f t="shared" ca="1" si="9"/>
        <v>0</v>
      </c>
      <c r="AM53" s="402">
        <f t="shared" ca="1" si="10"/>
        <v>0</v>
      </c>
      <c r="AN53" s="403">
        <f t="shared" ca="1" si="11"/>
        <v>0</v>
      </c>
    </row>
    <row r="54" spans="1:40" x14ac:dyDescent="0.25">
      <c r="A54" s="6" t="s">
        <v>34</v>
      </c>
      <c r="B54" s="7"/>
      <c r="H54" s="15" t="s">
        <v>536</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
        <v>1731.45</v>
      </c>
      <c r="P54" s="30">
        <v>1731.45</v>
      </c>
      <c r="Q54" s="30">
        <v>1731.45</v>
      </c>
      <c r="R54" s="30">
        <v>245.09</v>
      </c>
      <c r="S54" s="30">
        <v>988.26</v>
      </c>
      <c r="T54" s="30">
        <v>1799.26</v>
      </c>
      <c r="U54" s="30">
        <v>988.26</v>
      </c>
      <c r="V54" s="30">
        <v>468.18</v>
      </c>
      <c r="W54" s="30">
        <v>350.5</v>
      </c>
      <c r="X54" s="30">
        <v>459.66</v>
      </c>
      <c r="Y54" s="30">
        <v>350.51</v>
      </c>
      <c r="Z54" s="30">
        <v>350.51</v>
      </c>
      <c r="AA54" s="30" t="e">
        <f t="shared" ca="1" si="0"/>
        <v>#NAME?</v>
      </c>
      <c r="AB54" s="31" t="e">
        <f t="shared" ca="1" si="1"/>
        <v>#NAME?</v>
      </c>
      <c r="AD54" s="30">
        <v>17773</v>
      </c>
      <c r="AE54" s="31" t="str">
        <f t="shared" ca="1" si="2"/>
        <v/>
      </c>
      <c r="AF54" s="51" t="e">
        <f t="shared" ca="1" si="3"/>
        <v>#NAME?</v>
      </c>
      <c r="AG54" s="30">
        <v>13939.43</v>
      </c>
      <c r="AH54" s="31" t="str">
        <f t="shared" ca="1" si="5"/>
        <v/>
      </c>
      <c r="AI54" s="51" t="e">
        <f t="shared" ca="1" si="6"/>
        <v>#NAME?</v>
      </c>
      <c r="AJ54" s="409">
        <f t="shared" ca="1" si="7"/>
        <v>0</v>
      </c>
      <c r="AK54" s="410">
        <f t="shared" ca="1" si="8"/>
        <v>0</v>
      </c>
      <c r="AL54" s="411">
        <f t="shared" ca="1" si="9"/>
        <v>0</v>
      </c>
      <c r="AM54" s="412">
        <f t="shared" ca="1" si="10"/>
        <v>0</v>
      </c>
      <c r="AN54" s="413">
        <f t="shared" ca="1" si="11"/>
        <v>0</v>
      </c>
    </row>
    <row r="55" spans="1:40" x14ac:dyDescent="0.25">
      <c r="A55" s="6" t="s">
        <v>35</v>
      </c>
      <c r="B55" s="7"/>
      <c r="H55" s="15" t="s">
        <v>537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33">
        <v>104943.08</v>
      </c>
      <c r="P55" s="33">
        <v>104943.08</v>
      </c>
      <c r="Q55" s="33">
        <v>104943.08</v>
      </c>
      <c r="R55" s="33">
        <v>103456.71</v>
      </c>
      <c r="S55" s="33">
        <v>104199.89</v>
      </c>
      <c r="T55" s="33">
        <v>105129.9</v>
      </c>
      <c r="U55" s="33">
        <v>103839.22</v>
      </c>
      <c r="V55" s="33">
        <v>124706.47</v>
      </c>
      <c r="W55" s="33">
        <v>123613.98</v>
      </c>
      <c r="X55" s="33">
        <v>124724.96</v>
      </c>
      <c r="Y55" s="33">
        <v>123613.87</v>
      </c>
      <c r="Z55" s="33">
        <v>123613.87</v>
      </c>
      <c r="AA55" s="33" t="e">
        <f t="shared" ca="1" si="0"/>
        <v>#NAME?</v>
      </c>
      <c r="AB55" s="34" t="e">
        <f t="shared" ca="1" si="1"/>
        <v>#NAME?</v>
      </c>
      <c r="AC55" s="35"/>
      <c r="AD55" s="33">
        <v>1287403</v>
      </c>
      <c r="AE55" s="34" t="str">
        <f t="shared" ca="1" si="2"/>
        <v/>
      </c>
      <c r="AF55" s="52" t="e">
        <f t="shared" ca="1" si="3"/>
        <v>#NAME?</v>
      </c>
      <c r="AG55" s="33">
        <v>1015240</v>
      </c>
      <c r="AH55" s="34" t="str">
        <f t="shared" ca="1" si="5"/>
        <v/>
      </c>
      <c r="AI55" s="52" t="e">
        <f t="shared" ca="1" si="6"/>
        <v>#NAME?</v>
      </c>
      <c r="AJ55" s="364">
        <f t="shared" ca="1" si="7"/>
        <v>0</v>
      </c>
      <c r="AK55" s="365">
        <f t="shared" ca="1" si="8"/>
        <v>0</v>
      </c>
      <c r="AL55" s="367">
        <f t="shared" ca="1" si="9"/>
        <v>0</v>
      </c>
      <c r="AM55" s="414">
        <f t="shared" ca="1" si="10"/>
        <v>0</v>
      </c>
      <c r="AN55" s="435">
        <f t="shared" ca="1" si="11"/>
        <v>0</v>
      </c>
    </row>
    <row r="56" spans="1:40" x14ac:dyDescent="0.25">
      <c r="A56" s="6" t="s">
        <v>36</v>
      </c>
      <c r="B56" s="7"/>
      <c r="H56" s="15" t="s">
        <v>545</v>
      </c>
      <c r="I56" s="482" t="e">
        <f ca="1">_xll.EVPRO($B$1,$H56,"STYLE")</f>
        <v>#NAME?</v>
      </c>
      <c r="J56" s="482" t="e">
        <f ca="1">_xll.EVPRO($B$1,$H56,"CALC")</f>
        <v>#NAME?</v>
      </c>
      <c r="K56" s="483" t="e">
        <f t="shared" ca="1" si="4"/>
        <v>#NAME?</v>
      </c>
      <c r="L56" s="483" t="e">
        <f ca="1">_xll.EVPRO($B$1,H56,"JDEID")</f>
        <v>#NAME?</v>
      </c>
      <c r="M56" s="483" t="e">
        <f ca="1">IF(AND(I56="N",J56="N"),_xll.EVPRO($B$1,H56,"PSFTID"),"")</f>
        <v>#NAME?</v>
      </c>
      <c r="N56" s="483" t="e">
        <f ca="1">IF(_xll.EVDES(H56,$B$1)="#NODATA","",_xll.EVDES(H56,$B$1))</f>
        <v>#NAME?</v>
      </c>
      <c r="O56" s="21"/>
      <c r="P56" s="21"/>
      <c r="Q56" s="21"/>
      <c r="R56" s="21"/>
      <c r="S56" s="21"/>
      <c r="T56" s="21"/>
      <c r="U56" s="21"/>
      <c r="V56" s="21"/>
      <c r="W56" s="21"/>
      <c r="X56" s="21"/>
      <c r="Y56" s="21"/>
      <c r="Z56" s="21"/>
      <c r="AA56" s="21" t="e">
        <f t="shared" ca="1" si="0"/>
        <v>#NAME?</v>
      </c>
      <c r="AB56" s="17" t="e">
        <f t="shared" ca="1" si="1"/>
        <v>#NAME?</v>
      </c>
      <c r="AD56" s="21"/>
      <c r="AE56" s="17" t="str">
        <f t="shared" si="2"/>
        <v/>
      </c>
      <c r="AF56" s="50" t="e">
        <f t="shared" ca="1" si="3"/>
        <v>#NAME?</v>
      </c>
      <c r="AG56" s="21"/>
      <c r="AH56" s="17" t="str">
        <f t="shared" si="5"/>
        <v/>
      </c>
      <c r="AI56" s="50" t="e">
        <f t="shared" ca="1" si="6"/>
        <v>#NAME?</v>
      </c>
      <c r="AJ56" s="399">
        <f t="shared" ca="1" si="7"/>
        <v>0</v>
      </c>
      <c r="AK56" s="400">
        <f t="shared" ca="1" si="8"/>
        <v>0</v>
      </c>
      <c r="AL56" s="401">
        <f t="shared" ca="1" si="9"/>
        <v>0</v>
      </c>
      <c r="AM56" s="402">
        <f t="shared" ca="1" si="10"/>
        <v>0</v>
      </c>
      <c r="AN56" s="403">
        <f t="shared" ca="1" si="11"/>
        <v>0</v>
      </c>
    </row>
    <row r="57" spans="1:40" x14ac:dyDescent="0.25">
      <c r="A57" s="6" t="s">
        <v>37</v>
      </c>
      <c r="B57" s="7"/>
      <c r="H57" s="15" t="s">
        <v>538</v>
      </c>
      <c r="I57" s="161" t="e">
        <f ca="1">_xll.EVPRO($B$1,$H57,"STYLE")</f>
        <v>#NAME?</v>
      </c>
      <c r="J57" s="161" t="e">
        <f ca="1">_xll.EVPRO($B$1,$H57,"CALC")</f>
        <v>#NAME?</v>
      </c>
      <c r="K57" s="68" t="e">
        <f t="shared" ca="1" si="4"/>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t="e">
        <f t="shared" ca="1" si="0"/>
        <v>#NAME?</v>
      </c>
      <c r="AB57" s="17" t="e">
        <f t="shared" ca="1" si="1"/>
        <v>#NAME?</v>
      </c>
      <c r="AD57" s="21"/>
      <c r="AE57" s="17" t="str">
        <f t="shared" si="2"/>
        <v/>
      </c>
      <c r="AF57" s="50" t="e">
        <f t="shared" ca="1" si="3"/>
        <v>#NAME?</v>
      </c>
      <c r="AG57" s="21"/>
      <c r="AH57" s="17" t="str">
        <f t="shared" si="5"/>
        <v/>
      </c>
      <c r="AI57" s="50" t="e">
        <f t="shared" ca="1" si="6"/>
        <v>#NAME?</v>
      </c>
      <c r="AJ57" s="399">
        <f t="shared" ca="1" si="7"/>
        <v>0</v>
      </c>
      <c r="AK57" s="400">
        <f t="shared" ca="1" si="8"/>
        <v>0</v>
      </c>
      <c r="AL57" s="401">
        <f t="shared" ca="1" si="9"/>
        <v>0</v>
      </c>
      <c r="AM57" s="402">
        <f t="shared" ca="1" si="10"/>
        <v>0</v>
      </c>
      <c r="AN57" s="403">
        <f t="shared" ca="1" si="11"/>
        <v>0</v>
      </c>
    </row>
    <row r="58" spans="1:40" x14ac:dyDescent="0.25">
      <c r="A58" s="6" t="s">
        <v>38</v>
      </c>
      <c r="B58" s="7"/>
      <c r="H58" s="15" t="s">
        <v>539</v>
      </c>
      <c r="I58" s="161" t="e">
        <f ca="1">_xll.EVPRO($B$1,$H58,"STYLE")</f>
        <v>#NAME?</v>
      </c>
      <c r="J58" s="161" t="e">
        <f ca="1">_xll.EVPRO($B$1,$H58,"CALC")</f>
        <v>#NAME?</v>
      </c>
      <c r="K58" s="68" t="e">
        <f t="shared" ca="1" si="4"/>
        <v>#NAME?</v>
      </c>
      <c r="L58" s="162" t="e">
        <f ca="1">_xll.EVPRO($B$1,H58,"JDEID")</f>
        <v>#NAME?</v>
      </c>
      <c r="M58" s="162" t="e">
        <f ca="1">IF(AND(I58="N",J58="N"),_xll.EVPRO($B$1,H58,"PSFTID"),"")</f>
        <v>#NAME?</v>
      </c>
      <c r="N58" s="162" t="e">
        <f ca="1">IF(_xll.EVDES(H58,$B$1)="#NODATA","",_xll.EVDES(H58,$B$1))</f>
        <v>#NAME?</v>
      </c>
      <c r="O58" s="21"/>
      <c r="P58" s="21"/>
      <c r="Q58" s="21"/>
      <c r="R58" s="21"/>
      <c r="S58" s="21"/>
      <c r="T58" s="21"/>
      <c r="U58" s="21"/>
      <c r="V58" s="21"/>
      <c r="W58" s="21"/>
      <c r="X58" s="21"/>
      <c r="Y58" s="21"/>
      <c r="Z58" s="21"/>
      <c r="AA58" s="21" t="e">
        <f t="shared" ca="1" si="0"/>
        <v>#NAME?</v>
      </c>
      <c r="AB58" s="17" t="e">
        <f t="shared" ca="1" si="1"/>
        <v>#NAME?</v>
      </c>
      <c r="AD58" s="21"/>
      <c r="AE58" s="17" t="str">
        <f t="shared" si="2"/>
        <v/>
      </c>
      <c r="AF58" s="50" t="e">
        <f t="shared" ca="1" si="3"/>
        <v>#NAME?</v>
      </c>
      <c r="AG58" s="21"/>
      <c r="AH58" s="17" t="str">
        <f t="shared" si="5"/>
        <v/>
      </c>
      <c r="AI58" s="50" t="e">
        <f t="shared" ca="1" si="6"/>
        <v>#NAME?</v>
      </c>
      <c r="AJ58" s="399">
        <f t="shared" ca="1" si="7"/>
        <v>0</v>
      </c>
      <c r="AK58" s="400">
        <f t="shared" ca="1" si="8"/>
        <v>0</v>
      </c>
      <c r="AL58" s="401">
        <f t="shared" ca="1" si="9"/>
        <v>0</v>
      </c>
      <c r="AM58" s="402">
        <f t="shared" ca="1" si="10"/>
        <v>0</v>
      </c>
      <c r="AN58" s="403">
        <f t="shared" ca="1" si="11"/>
        <v>0</v>
      </c>
    </row>
    <row r="59" spans="1:40" x14ac:dyDescent="0.25">
      <c r="A59" s="6" t="s">
        <v>39</v>
      </c>
      <c r="B59" s="7"/>
      <c r="H59" s="15" t="s">
        <v>786</v>
      </c>
      <c r="I59" s="161" t="e">
        <f ca="1">_xll.EVPRO($B$1,$H59,"STYLE")</f>
        <v>#NAME?</v>
      </c>
      <c r="J59" s="161" t="e">
        <f ca="1">_xll.EVPRO($B$1,$H59,"CALC")</f>
        <v>#NAME?</v>
      </c>
      <c r="K59" s="68" t="e">
        <f t="shared" ca="1" si="4"/>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21" t="e">
        <f t="shared" ca="1" si="0"/>
        <v>#NAME?</v>
      </c>
      <c r="AB59" s="17" t="e">
        <f t="shared" ca="1" si="1"/>
        <v>#NAME?</v>
      </c>
      <c r="AD59" s="21"/>
      <c r="AE59" s="17" t="str">
        <f t="shared" si="2"/>
        <v/>
      </c>
      <c r="AF59" s="50" t="e">
        <f t="shared" ca="1" si="3"/>
        <v>#NAME?</v>
      </c>
      <c r="AG59" s="21"/>
      <c r="AH59" s="17" t="str">
        <f t="shared" si="5"/>
        <v/>
      </c>
      <c r="AI59" s="50" t="e">
        <f t="shared" ca="1" si="6"/>
        <v>#NAME?</v>
      </c>
      <c r="AJ59" s="399">
        <f t="shared" ca="1" si="7"/>
        <v>0</v>
      </c>
      <c r="AK59" s="400">
        <f t="shared" ca="1" si="8"/>
        <v>0</v>
      </c>
      <c r="AL59" s="401">
        <f t="shared" ca="1" si="9"/>
        <v>0</v>
      </c>
      <c r="AM59" s="402">
        <f t="shared" ca="1" si="10"/>
        <v>0</v>
      </c>
      <c r="AN59" s="403">
        <f t="shared" ca="1" si="11"/>
        <v>0</v>
      </c>
    </row>
    <row r="60" spans="1:40" x14ac:dyDescent="0.25">
      <c r="A60" s="6" t="s">
        <v>40</v>
      </c>
      <c r="B60" s="7"/>
      <c r="H60" s="15" t="s">
        <v>827</v>
      </c>
      <c r="I60" s="161" t="e">
        <f ca="1">_xll.EVPRO($B$1,$H60,"STYLE")</f>
        <v>#NAME?</v>
      </c>
      <c r="J60" s="161" t="e">
        <f ca="1">_xll.EVPRO($B$1,$H60,"CALC")</f>
        <v>#NAME?</v>
      </c>
      <c r="K60" s="68" t="e">
        <f t="shared" ca="1" si="4"/>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21" t="e">
        <f t="shared" ca="1" si="0"/>
        <v>#NAME?</v>
      </c>
      <c r="AB60" s="17" t="e">
        <f t="shared" ca="1" si="1"/>
        <v>#NAME?</v>
      </c>
      <c r="AD60" s="21"/>
      <c r="AE60" s="17" t="str">
        <f t="shared" si="2"/>
        <v/>
      </c>
      <c r="AF60" s="50" t="e">
        <f t="shared" ca="1" si="3"/>
        <v>#NAME?</v>
      </c>
      <c r="AG60" s="21"/>
      <c r="AH60" s="17" t="str">
        <f t="shared" si="5"/>
        <v/>
      </c>
      <c r="AI60" s="50" t="e">
        <f t="shared" ca="1" si="6"/>
        <v>#NAME?</v>
      </c>
      <c r="AJ60" s="399">
        <f t="shared" ca="1" si="7"/>
        <v>0</v>
      </c>
      <c r="AK60" s="400">
        <f t="shared" ca="1" si="8"/>
        <v>0</v>
      </c>
      <c r="AL60" s="401">
        <f t="shared" ca="1" si="9"/>
        <v>0</v>
      </c>
      <c r="AM60" s="402">
        <f t="shared" ca="1" si="10"/>
        <v>0</v>
      </c>
      <c r="AN60" s="403">
        <f t="shared" ca="1" si="11"/>
        <v>0</v>
      </c>
    </row>
    <row r="61" spans="1:40" x14ac:dyDescent="0.25">
      <c r="A61" s="6" t="s">
        <v>41</v>
      </c>
      <c r="B61" s="7"/>
      <c r="H61" s="15" t="s">
        <v>801</v>
      </c>
      <c r="I61" s="161" t="e">
        <f ca="1">_xll.EVPRO($B$1,$H61,"STYLE")</f>
        <v>#NAME?</v>
      </c>
      <c r="J61" s="161" t="e">
        <f ca="1">_xll.EVPRO($B$1,$H61,"CALC")</f>
        <v>#NAME?</v>
      </c>
      <c r="K61" s="68" t="e">
        <f t="shared" ca="1" si="4"/>
        <v>#NAME?</v>
      </c>
      <c r="L61" s="162" t="e">
        <f ca="1">_xll.EVPRO($B$1,H61,"JDEID")</f>
        <v>#NAME?</v>
      </c>
      <c r="M61" s="162" t="e">
        <f ca="1">IF(AND(I61="N",J61="N"),_xll.EVPRO($B$1,H61,"PSFTID"),"")</f>
        <v>#NAME?</v>
      </c>
      <c r="N61" s="162" t="e">
        <f ca="1">IF(_xll.EVDES(H61,$B$1)="#NODATA","",_xll.EVDES(H61,$B$1))</f>
        <v>#NAME?</v>
      </c>
      <c r="O61" s="21"/>
      <c r="P61" s="21"/>
      <c r="Q61" s="21"/>
      <c r="R61" s="21"/>
      <c r="S61" s="21"/>
      <c r="T61" s="21"/>
      <c r="U61" s="21"/>
      <c r="V61" s="21"/>
      <c r="W61" s="21"/>
      <c r="X61" s="21"/>
      <c r="Y61" s="21"/>
      <c r="Z61" s="21"/>
      <c r="AA61" s="21" t="e">
        <f t="shared" ca="1" si="0"/>
        <v>#NAME?</v>
      </c>
      <c r="AB61" s="17" t="e">
        <f t="shared" ca="1" si="1"/>
        <v>#NAME?</v>
      </c>
      <c r="AD61" s="21"/>
      <c r="AE61" s="17" t="str">
        <f t="shared" si="2"/>
        <v/>
      </c>
      <c r="AF61" s="50" t="e">
        <f t="shared" ca="1" si="3"/>
        <v>#NAME?</v>
      </c>
      <c r="AG61" s="21"/>
      <c r="AH61" s="17" t="str">
        <f t="shared" si="5"/>
        <v/>
      </c>
      <c r="AI61" s="50" t="e">
        <f t="shared" ca="1" si="6"/>
        <v>#NAME?</v>
      </c>
      <c r="AJ61" s="399">
        <f t="shared" ca="1" si="7"/>
        <v>0</v>
      </c>
      <c r="AK61" s="400">
        <f t="shared" ca="1" si="8"/>
        <v>0</v>
      </c>
      <c r="AL61" s="401">
        <f t="shared" ca="1" si="9"/>
        <v>0</v>
      </c>
      <c r="AM61" s="402">
        <f t="shared" ca="1" si="10"/>
        <v>0</v>
      </c>
      <c r="AN61" s="403">
        <f t="shared" ca="1" si="11"/>
        <v>0</v>
      </c>
    </row>
    <row r="62" spans="1:40" x14ac:dyDescent="0.25">
      <c r="A62" s="6" t="s">
        <v>42</v>
      </c>
      <c r="B62" s="7"/>
      <c r="H62" s="15" t="s">
        <v>769</v>
      </c>
      <c r="I62" s="161" t="e">
        <f ca="1">_xll.EVPRO($B$1,$H62,"STYLE")</f>
        <v>#NAME?</v>
      </c>
      <c r="J62" s="161" t="e">
        <f ca="1">_xll.EVPRO($B$1,$H62,"CALC")</f>
        <v>#NAME?</v>
      </c>
      <c r="K62" s="68" t="e">
        <f t="shared" ca="1" si="4"/>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21" t="e">
        <f t="shared" ca="1" si="0"/>
        <v>#NAME?</v>
      </c>
      <c r="AB62" s="17" t="e">
        <f t="shared" ca="1" si="1"/>
        <v>#NAME?</v>
      </c>
      <c r="AD62" s="21"/>
      <c r="AE62" s="17" t="str">
        <f t="shared" si="2"/>
        <v/>
      </c>
      <c r="AF62" s="50" t="e">
        <f t="shared" ca="1" si="3"/>
        <v>#NAME?</v>
      </c>
      <c r="AG62" s="21"/>
      <c r="AH62" s="17" t="str">
        <f t="shared" si="5"/>
        <v/>
      </c>
      <c r="AI62" s="50" t="e">
        <f t="shared" ca="1" si="6"/>
        <v>#NAME?</v>
      </c>
      <c r="AJ62" s="399">
        <f t="shared" ca="1" si="7"/>
        <v>0</v>
      </c>
      <c r="AK62" s="400">
        <f t="shared" ca="1" si="8"/>
        <v>0</v>
      </c>
      <c r="AL62" s="401">
        <f t="shared" ca="1" si="9"/>
        <v>0</v>
      </c>
      <c r="AM62" s="402">
        <f t="shared" ca="1" si="10"/>
        <v>0</v>
      </c>
      <c r="AN62" s="403">
        <f t="shared" ca="1" si="11"/>
        <v>0</v>
      </c>
    </row>
    <row r="63" spans="1:40" x14ac:dyDescent="0.25">
      <c r="A63" s="6" t="s">
        <v>43</v>
      </c>
      <c r="B63" s="7"/>
      <c r="H63" s="15" t="s">
        <v>540</v>
      </c>
      <c r="I63" s="161" t="e">
        <f ca="1">_xll.EVPRO($B$1,$H63,"STYLE")</f>
        <v>#NAME?</v>
      </c>
      <c r="J63" s="161" t="e">
        <f ca="1">_xll.EVPRO($B$1,$H63,"CALC")</f>
        <v>#NAME?</v>
      </c>
      <c r="K63" s="68" t="e">
        <f t="shared" ca="1" si="4"/>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21" t="e">
        <f t="shared" ca="1" si="0"/>
        <v>#NAME?</v>
      </c>
      <c r="AB63" s="17" t="e">
        <f t="shared" ca="1" si="1"/>
        <v>#NAME?</v>
      </c>
      <c r="AD63" s="21"/>
      <c r="AE63" s="17" t="str">
        <f t="shared" si="2"/>
        <v/>
      </c>
      <c r="AF63" s="50" t="e">
        <f t="shared" ca="1" si="3"/>
        <v>#NAME?</v>
      </c>
      <c r="AG63" s="21"/>
      <c r="AH63" s="17" t="str">
        <f t="shared" si="5"/>
        <v/>
      </c>
      <c r="AI63" s="50" t="e">
        <f t="shared" ca="1" si="6"/>
        <v>#NAME?</v>
      </c>
      <c r="AJ63" s="399">
        <f t="shared" ca="1" si="7"/>
        <v>0</v>
      </c>
      <c r="AK63" s="400">
        <f t="shared" ca="1" si="8"/>
        <v>0</v>
      </c>
      <c r="AL63" s="401">
        <f t="shared" ca="1" si="9"/>
        <v>0</v>
      </c>
      <c r="AM63" s="402">
        <f t="shared" ca="1" si="10"/>
        <v>0</v>
      </c>
      <c r="AN63" s="403">
        <f t="shared" ca="1" si="11"/>
        <v>0</v>
      </c>
    </row>
    <row r="64" spans="1:40" x14ac:dyDescent="0.25">
      <c r="A64" s="6" t="s">
        <v>44</v>
      </c>
      <c r="B64" s="7"/>
      <c r="H64" s="15" t="s">
        <v>541</v>
      </c>
      <c r="I64" s="161" t="e">
        <f ca="1">_xll.EVPRO($B$1,$H64,"STYLE")</f>
        <v>#NAME?</v>
      </c>
      <c r="J64" s="161" t="e">
        <f ca="1">_xll.EVPRO($B$1,$H64,"CALC")</f>
        <v>#NAME?</v>
      </c>
      <c r="K64" s="68" t="e">
        <f t="shared" ca="1" si="4"/>
        <v>#NAME?</v>
      </c>
      <c r="L64" s="162" t="e">
        <f ca="1">_xll.EVPRO($B$1,H64,"JDEID")</f>
        <v>#NAME?</v>
      </c>
      <c r="M64" s="162" t="e">
        <f ca="1">IF(AND(I64="N",J64="N"),_xll.EVPRO($B$1,H64,"PSFTID"),"")</f>
        <v>#NAME?</v>
      </c>
      <c r="N64" s="162" t="e">
        <f ca="1">IF(_xll.EVDES(H64,$B$1)="#NODATA","",_xll.EVDES(H64,$B$1))</f>
        <v>#NAME?</v>
      </c>
      <c r="O64" s="30"/>
      <c r="P64" s="30"/>
      <c r="Q64" s="30"/>
      <c r="R64" s="30"/>
      <c r="S64" s="30"/>
      <c r="T64" s="30"/>
      <c r="U64" s="30"/>
      <c r="V64" s="30"/>
      <c r="W64" s="30"/>
      <c r="X64" s="30"/>
      <c r="Y64" s="30"/>
      <c r="Z64" s="30"/>
      <c r="AA64" s="30" t="e">
        <f t="shared" ca="1" si="0"/>
        <v>#NAME?</v>
      </c>
      <c r="AB64" s="31" t="e">
        <f t="shared" ca="1" si="1"/>
        <v>#NAME?</v>
      </c>
      <c r="AD64" s="30"/>
      <c r="AE64" s="31" t="str">
        <f t="shared" si="2"/>
        <v/>
      </c>
      <c r="AF64" s="51" t="e">
        <f t="shared" ca="1" si="3"/>
        <v>#NAME?</v>
      </c>
      <c r="AG64" s="30"/>
      <c r="AH64" s="31" t="str">
        <f t="shared" si="5"/>
        <v/>
      </c>
      <c r="AI64" s="51" t="e">
        <f t="shared" ca="1" si="6"/>
        <v>#NAME?</v>
      </c>
      <c r="AJ64" s="409">
        <f t="shared" ca="1" si="7"/>
        <v>0</v>
      </c>
      <c r="AK64" s="410">
        <f t="shared" ca="1" si="8"/>
        <v>0</v>
      </c>
      <c r="AL64" s="411">
        <f t="shared" ca="1" si="9"/>
        <v>0</v>
      </c>
      <c r="AM64" s="412">
        <f t="shared" ca="1" si="10"/>
        <v>0</v>
      </c>
      <c r="AN64" s="413">
        <f t="shared" ca="1" si="11"/>
        <v>0</v>
      </c>
    </row>
    <row r="65" spans="1:40" x14ac:dyDescent="0.25">
      <c r="A65" s="6" t="s">
        <v>45</v>
      </c>
      <c r="B65" s="7"/>
      <c r="H65" s="15" t="s">
        <v>542</v>
      </c>
      <c r="I65" s="479" t="e">
        <f ca="1">_xll.EVPRO($B$1,$H65,"STYLE")</f>
        <v>#NAME?</v>
      </c>
      <c r="J65" s="479" t="e">
        <f ca="1">_xll.EVPRO($B$1,$H65,"CALC")</f>
        <v>#NAME?</v>
      </c>
      <c r="K65" s="480" t="e">
        <f t="shared" ca="1" si="4"/>
        <v>#NAME?</v>
      </c>
      <c r="L65" s="170" t="e">
        <f ca="1">_xll.EVPRO($B$1,H65,"JDEID")</f>
        <v>#NAME?</v>
      </c>
      <c r="M65" s="170" t="e">
        <f ca="1">IF(AND(I65="N",J65="N"),_xll.EVPRO($B$1,H65,"PSFTID"),"")</f>
        <v>#NAME?</v>
      </c>
      <c r="N65" s="170" t="e">
        <f ca="1">IF(_xll.EVDES(H65,$B$1)="#NODATA","",_xll.EVDES(H65,$B$1))</f>
        <v>#NAME?</v>
      </c>
      <c r="O65" s="33"/>
      <c r="P65" s="33"/>
      <c r="Q65" s="33"/>
      <c r="R65" s="33"/>
      <c r="S65" s="33"/>
      <c r="T65" s="33"/>
      <c r="U65" s="33"/>
      <c r="V65" s="33"/>
      <c r="W65" s="33"/>
      <c r="X65" s="33"/>
      <c r="Y65" s="33"/>
      <c r="Z65" s="33"/>
      <c r="AA65" s="33" t="e">
        <f t="shared" ca="1" si="0"/>
        <v>#NAME?</v>
      </c>
      <c r="AB65" s="34" t="e">
        <f t="shared" ca="1" si="1"/>
        <v>#NAME?</v>
      </c>
      <c r="AC65" s="35"/>
      <c r="AD65" s="33"/>
      <c r="AE65" s="34" t="str">
        <f t="shared" si="2"/>
        <v/>
      </c>
      <c r="AF65" s="52" t="e">
        <f t="shared" ca="1" si="3"/>
        <v>#NAME?</v>
      </c>
      <c r="AG65" s="33"/>
      <c r="AH65" s="34" t="str">
        <f t="shared" si="5"/>
        <v/>
      </c>
      <c r="AI65" s="52" t="e">
        <f t="shared" ca="1" si="6"/>
        <v>#NAME?</v>
      </c>
      <c r="AJ65" s="364">
        <f t="shared" ca="1" si="7"/>
        <v>0</v>
      </c>
      <c r="AK65" s="365">
        <f t="shared" ca="1" si="8"/>
        <v>0</v>
      </c>
      <c r="AL65" s="367">
        <f t="shared" ca="1" si="9"/>
        <v>0</v>
      </c>
      <c r="AM65" s="414">
        <f t="shared" ca="1" si="10"/>
        <v>0</v>
      </c>
      <c r="AN65" s="435">
        <f t="shared" ca="1" si="11"/>
        <v>0</v>
      </c>
    </row>
    <row r="66" spans="1:40" x14ac:dyDescent="0.25">
      <c r="A66" s="6" t="s">
        <v>46</v>
      </c>
      <c r="B66" s="7"/>
      <c r="H66" s="15"/>
      <c r="I66" s="28"/>
      <c r="J66" s="28"/>
      <c r="K66" s="69"/>
      <c r="L66" s="25"/>
      <c r="M66" s="25"/>
      <c r="N66" s="162" t="e">
        <f ca="1">N20</f>
        <v>#NAME?</v>
      </c>
      <c r="O66" s="21" t="e">
        <f ca="1">O$20</f>
        <v>#NAME?</v>
      </c>
      <c r="P66" s="21" t="e">
        <f t="shared" ref="P66:Z66" ca="1" si="12">P$20</f>
        <v>#NAME?</v>
      </c>
      <c r="Q66" s="21" t="e">
        <f t="shared" ca="1" si="12"/>
        <v>#NAME?</v>
      </c>
      <c r="R66" s="21" t="e">
        <f t="shared" ca="1" si="12"/>
        <v>#NAME?</v>
      </c>
      <c r="S66" s="21" t="e">
        <f t="shared" ca="1" si="12"/>
        <v>#NAME?</v>
      </c>
      <c r="T66" s="21" t="e">
        <f t="shared" ca="1" si="12"/>
        <v>#NAME?</v>
      </c>
      <c r="U66" s="21" t="e">
        <f t="shared" ca="1" si="12"/>
        <v>#NAME?</v>
      </c>
      <c r="V66" s="21" t="e">
        <f t="shared" ca="1" si="12"/>
        <v>#NAME?</v>
      </c>
      <c r="W66" s="21" t="e">
        <f t="shared" ca="1" si="12"/>
        <v>#NAME?</v>
      </c>
      <c r="X66" s="21" t="e">
        <f t="shared" ca="1" si="12"/>
        <v>#NAME?</v>
      </c>
      <c r="Y66" s="21" t="e">
        <f t="shared" ca="1" si="12"/>
        <v>#NAME?</v>
      </c>
      <c r="Z66" s="21" t="e">
        <f t="shared" ca="1" si="12"/>
        <v>#NAME?</v>
      </c>
      <c r="AA66" s="21" t="e">
        <f t="shared" ref="AA66:AA68" ca="1" si="13">IF($I66="B1","",SUM(O66:Z66))</f>
        <v>#NAME?</v>
      </c>
      <c r="AB66" s="17" t="e">
        <f t="shared" ref="AB66:AB68" ca="1" si="14">IF(AA66=0,"",IFERROR(AA66/AA$19,""))</f>
        <v>#NAME?</v>
      </c>
      <c r="AD66" s="21" t="e">
        <f ca="1">AD$20</f>
        <v>#NAME?</v>
      </c>
      <c r="AE66" s="17" t="e">
        <f t="shared" ref="AE66:AE68" ca="1" si="15">IF(AD66=0,"",IFERROR(AD66/AD$19,""))</f>
        <v>#NAME?</v>
      </c>
      <c r="AF66" s="50" t="e">
        <f t="shared" ref="AF66:AF68" ca="1" si="16">IF(AND($AA66="",AD66=""),"",$AA66-AD66)</f>
        <v>#NAME?</v>
      </c>
      <c r="AG66" s="21" t="e">
        <f ca="1">AG$20</f>
        <v>#NAME?</v>
      </c>
      <c r="AH66" s="17" t="e">
        <f ca="1">IF(AG66=0,"",IFERROR(AG66/AG$19,""))</f>
        <v>#NAME?</v>
      </c>
      <c r="AI66" s="50" t="e">
        <f ca="1">IF(AND($AA66="",AG66=""),"",$AA66-AG66)</f>
        <v>#NAME?</v>
      </c>
      <c r="AJ66" s="409">
        <f ca="1">IFERROR(AA66/AA$21,0)</f>
        <v>0</v>
      </c>
      <c r="AK66" s="410">
        <f ca="1">IFERROR(AD66/AD$21,0)</f>
        <v>0</v>
      </c>
      <c r="AL66" s="411">
        <f ca="1">IFERROR(AG66/AG$21,0)</f>
        <v>0</v>
      </c>
      <c r="AM66" s="412">
        <f ca="1">+IFERROR(ROUND(($AB66-AE66)*100,2)&amp;" pts.",0)</f>
        <v>0</v>
      </c>
      <c r="AN66" s="413">
        <f ca="1">+IFERROR(ROUND(($AB66-AH66)*100,2)&amp;" pts.",0)</f>
        <v>0</v>
      </c>
    </row>
    <row r="67" spans="1:40" x14ac:dyDescent="0.25">
      <c r="H67" s="15"/>
      <c r="I67" s="28"/>
      <c r="J67" s="28"/>
      <c r="K67" s="69"/>
      <c r="L67" s="25"/>
      <c r="M67" s="25"/>
      <c r="N67" s="25" t="s">
        <v>588</v>
      </c>
      <c r="O67" s="33" t="e">
        <f ca="1">O65-O66</f>
        <v>#NAME?</v>
      </c>
      <c r="P67" s="33" t="e">
        <f t="shared" ref="P67:Z67" ca="1" si="17">P65-P66</f>
        <v>#NAME?</v>
      </c>
      <c r="Q67" s="33" t="e">
        <f t="shared" ca="1" si="17"/>
        <v>#NAME?</v>
      </c>
      <c r="R67" s="33" t="e">
        <f t="shared" ca="1" si="17"/>
        <v>#NAME?</v>
      </c>
      <c r="S67" s="33" t="e">
        <f t="shared" ca="1" si="17"/>
        <v>#NAME?</v>
      </c>
      <c r="T67" s="33" t="e">
        <f t="shared" ca="1" si="17"/>
        <v>#NAME?</v>
      </c>
      <c r="U67" s="33" t="e">
        <f t="shared" ca="1" si="17"/>
        <v>#NAME?</v>
      </c>
      <c r="V67" s="33" t="e">
        <f t="shared" ca="1" si="17"/>
        <v>#NAME?</v>
      </c>
      <c r="W67" s="33" t="e">
        <f t="shared" ca="1" si="17"/>
        <v>#NAME?</v>
      </c>
      <c r="X67" s="33" t="e">
        <f t="shared" ca="1" si="17"/>
        <v>#NAME?</v>
      </c>
      <c r="Y67" s="33" t="e">
        <f t="shared" ca="1" si="17"/>
        <v>#NAME?</v>
      </c>
      <c r="Z67" s="33" t="e">
        <f t="shared" ca="1" si="17"/>
        <v>#NAME?</v>
      </c>
      <c r="AA67" s="33" t="e">
        <f t="shared" ca="1" si="13"/>
        <v>#NAME?</v>
      </c>
      <c r="AB67" s="34" t="e">
        <f t="shared" ca="1" si="14"/>
        <v>#NAME?</v>
      </c>
      <c r="AD67" s="33" t="e">
        <f ca="1">AD65-AD66</f>
        <v>#NAME?</v>
      </c>
      <c r="AE67" s="34" t="e">
        <f t="shared" ca="1" si="15"/>
        <v>#NAME?</v>
      </c>
      <c r="AF67" s="52" t="e">
        <f t="shared" ca="1" si="16"/>
        <v>#NAME?</v>
      </c>
      <c r="AG67" s="33" t="e">
        <f ca="1">AG65-AG66</f>
        <v>#NAME?</v>
      </c>
      <c r="AH67" s="34" t="e">
        <f ca="1">IF(AG67=0,"",IFERROR(AG67/AG$19,""))</f>
        <v>#NAME?</v>
      </c>
      <c r="AI67" s="52" t="e">
        <f ca="1">IF(AND($AA67="",AG67=""),"",$AA67-AG67)</f>
        <v>#NAME?</v>
      </c>
      <c r="AJ67" s="392">
        <f ca="1">IFERROR(AA67/AA$21,0)</f>
        <v>0</v>
      </c>
      <c r="AK67" s="393">
        <f ca="1">IFERROR(AD67/AD$21,0)</f>
        <v>0</v>
      </c>
      <c r="AL67" s="394">
        <f ca="1">IFERROR(AG67/AG$21,0)</f>
        <v>0</v>
      </c>
      <c r="AM67" s="395">
        <f ca="1">+IFERROR(ROUND(($AB67-AE67)*100,2)&amp;" pts.",0)</f>
        <v>0</v>
      </c>
      <c r="AN67" s="437">
        <f ca="1">+IFERROR(ROUND(($AB67-AH67)*100,2)&amp;" pts.",0)</f>
        <v>0</v>
      </c>
    </row>
    <row r="68" spans="1:40" x14ac:dyDescent="0.25">
      <c r="H68" s="15" t="s">
        <v>543</v>
      </c>
      <c r="I68" s="27" t="e">
        <f ca="1">_xll.EVPRO($B$1,$H68,"STYLE")</f>
        <v>#NAME?</v>
      </c>
      <c r="J68" s="27" t="e">
        <f ca="1">_xll.EVPRO($B$1,$H68,"CALC")</f>
        <v>#NAME?</v>
      </c>
      <c r="K68" s="26"/>
      <c r="N68" s="25" t="e">
        <f ca="1">IF(_xll.EVDES(H68,$B$1)="#NODATA","",_xll.EVDES(H68,$B$1))</f>
        <v>#NAME?</v>
      </c>
      <c r="O68" s="33" t="e">
        <f ca="1">O38+O42+O49+O56+O65-O66</f>
        <v>#NAME?</v>
      </c>
      <c r="P68" s="33" t="e">
        <f t="shared" ref="P68:Z68" ca="1" si="18">P38+P42+P49+P56+P65-P66</f>
        <v>#NAME?</v>
      </c>
      <c r="Q68" s="33" t="e">
        <f t="shared" ca="1" si="18"/>
        <v>#NAME?</v>
      </c>
      <c r="R68" s="33" t="e">
        <f t="shared" ca="1" si="18"/>
        <v>#NAME?</v>
      </c>
      <c r="S68" s="33" t="e">
        <f t="shared" ca="1" si="18"/>
        <v>#NAME?</v>
      </c>
      <c r="T68" s="33" t="e">
        <f t="shared" ca="1" si="18"/>
        <v>#NAME?</v>
      </c>
      <c r="U68" s="33" t="e">
        <f t="shared" ca="1" si="18"/>
        <v>#NAME?</v>
      </c>
      <c r="V68" s="33" t="e">
        <f t="shared" ca="1" si="18"/>
        <v>#NAME?</v>
      </c>
      <c r="W68" s="33" t="e">
        <f t="shared" ca="1" si="18"/>
        <v>#NAME?</v>
      </c>
      <c r="X68" s="33" t="e">
        <f t="shared" ca="1" si="18"/>
        <v>#NAME?</v>
      </c>
      <c r="Y68" s="33" t="e">
        <f t="shared" ca="1" si="18"/>
        <v>#NAME?</v>
      </c>
      <c r="Z68" s="33" t="e">
        <f t="shared" ca="1" si="18"/>
        <v>#NAME?</v>
      </c>
      <c r="AA68" s="33" t="e">
        <f t="shared" ca="1" si="13"/>
        <v>#NAME?</v>
      </c>
      <c r="AB68" s="34" t="e">
        <f t="shared" ca="1" si="14"/>
        <v>#NAME?</v>
      </c>
      <c r="AD68" s="33" t="e">
        <f t="shared" ref="AD68" ca="1" si="19">AD38+AD42+AD49+AD56+AD65-AD66</f>
        <v>#NAME?</v>
      </c>
      <c r="AE68" s="34" t="e">
        <f t="shared" ca="1" si="15"/>
        <v>#NAME?</v>
      </c>
      <c r="AF68" s="52" t="e">
        <f t="shared" ca="1" si="16"/>
        <v>#NAME?</v>
      </c>
      <c r="AG68" s="33" t="e">
        <f t="shared" ref="AG68" ca="1" si="20">AG38+AG42+AG49+AG56+AG65-AG66</f>
        <v>#NAME?</v>
      </c>
      <c r="AH68" s="34" t="e">
        <f ca="1">IF(AG68=0,"",IFERROR(AG68/AG$19,""))</f>
        <v>#NAME?</v>
      </c>
      <c r="AI68" s="52" t="e">
        <f ca="1">IF(AND($AA68="",AG68=""),"",$AA68-AG68)</f>
        <v>#NAME?</v>
      </c>
      <c r="AJ68" s="439">
        <f ca="1">IFERROR(AA68/AA$21,0)</f>
        <v>0</v>
      </c>
      <c r="AK68" s="440">
        <f ca="1">IFERROR(AD68/AD$21,0)</f>
        <v>0</v>
      </c>
      <c r="AL68" s="441">
        <f ca="1">IFERROR(AG68/AG$21,0)</f>
        <v>0</v>
      </c>
      <c r="AM68" s="442">
        <f ca="1">+IFERROR(ROUND(($AB68-AE68)*100,2)&amp;" pts.",0)</f>
        <v>0</v>
      </c>
      <c r="AN68" s="443">
        <f ca="1">+IFERROR(ROUND(($AB68-AH68)*100,2)&amp;" pts.",0)</f>
        <v>0</v>
      </c>
    </row>
    <row r="70" spans="1:40" x14ac:dyDescent="0.25">
      <c r="I70" s="1"/>
      <c r="J70" s="1"/>
      <c r="L70" s="1"/>
      <c r="M70" s="1"/>
    </row>
    <row r="71" spans="1:40" x14ac:dyDescent="0.25">
      <c r="I71" s="1"/>
      <c r="J71" s="1"/>
      <c r="L71" s="1"/>
      <c r="M71" s="1"/>
    </row>
    <row r="72" spans="1:40" x14ac:dyDescent="0.25">
      <c r="I72" s="1"/>
      <c r="J72" s="1"/>
      <c r="L72" s="1"/>
      <c r="M72" s="1"/>
    </row>
    <row r="78" spans="1:40" x14ac:dyDescent="0.25">
      <c r="I78" s="1"/>
      <c r="J78" s="1"/>
      <c r="L78" s="1"/>
      <c r="M78" s="1"/>
    </row>
    <row r="79" spans="1:40" x14ac:dyDescent="0.25">
      <c r="H79" s="11"/>
      <c r="J79" s="1"/>
    </row>
    <row r="80" spans="1:40"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sheetData>
  <mergeCells count="2">
    <mergeCell ref="AD31:AE31"/>
    <mergeCell ref="AG31:AH31"/>
  </mergeCells>
  <dataValidations disablePrompts="1" count="2">
    <dataValidation type="list" allowBlank="1" sqref="B28" xr:uid="{00000000-0002-0000-5A00-000000000000}">
      <formula1>"ACCOUNT,BUSINESSUNIT,CATEGORY,DATASRC,DEPARTMENT,INTCO,MEASURES,RPTCURRENCY,TIME"</formula1>
    </dataValidation>
    <dataValidation type="list" allowBlank="1" sqref="B29" xr:uid="{00000000-0002-0000-5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2467"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2467" r:id="rId7" name="FPMExcelClientSheetOptionstb1"/>
      </mc:Fallback>
    </mc:AlternateContent>
  </controls>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95">
    <pageSetUpPr fitToPage="1"/>
  </sheetPr>
  <dimension ref="A1:AO10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Z35" sqref="Z35"/>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519</v>
      </c>
      <c r="C6" s="1" t="s">
        <v>1033</v>
      </c>
      <c r="E6" s="49"/>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1812</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1813</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1814</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583</v>
      </c>
      <c r="H20" s="18" t="s">
        <v>584</v>
      </c>
      <c r="I20" s="19" t="s">
        <v>1046</v>
      </c>
      <c r="J20" s="19" t="s">
        <v>78</v>
      </c>
      <c r="K20" s="18"/>
      <c r="L20" s="19"/>
      <c r="M20" s="19"/>
      <c r="N20" s="18" t="s">
        <v>1048</v>
      </c>
      <c r="O20" s="20">
        <v>0</v>
      </c>
      <c r="P20" s="20">
        <v>0</v>
      </c>
      <c r="Q20" s="20">
        <v>0</v>
      </c>
      <c r="R20" s="20">
        <v>0</v>
      </c>
      <c r="S20" s="20">
        <v>0</v>
      </c>
      <c r="T20" s="20">
        <v>0</v>
      </c>
      <c r="U20" s="20">
        <v>0</v>
      </c>
      <c r="V20" s="20">
        <v>0</v>
      </c>
      <c r="W20" s="20">
        <v>0</v>
      </c>
      <c r="X20" s="20">
        <v>0</v>
      </c>
      <c r="Y20" s="20">
        <v>0</v>
      </c>
      <c r="Z20" s="20">
        <v>0</v>
      </c>
      <c r="AA20" s="20">
        <f>SUM(O20:Z20)</f>
        <v>0</v>
      </c>
      <c r="AB20" s="18"/>
      <c r="AC20" s="18"/>
      <c r="AD20" s="20">
        <v>0</v>
      </c>
      <c r="AE20" s="18"/>
      <c r="AF20" s="18"/>
      <c r="AG20" s="20">
        <v>0</v>
      </c>
      <c r="AH20" s="18"/>
      <c r="AI20" s="18"/>
    </row>
    <row r="21" spans="1:40" hidden="1" outlineLevel="1" x14ac:dyDescent="0.25">
      <c r="A21" s="6" t="s">
        <v>6</v>
      </c>
      <c r="B21" s="7"/>
      <c r="G21" s="18" t="s">
        <v>749</v>
      </c>
      <c r="H21" s="18">
        <v>904100</v>
      </c>
      <c r="I21" s="19"/>
      <c r="J21" s="19"/>
      <c r="K21" s="18"/>
      <c r="L21" s="19"/>
      <c r="M21" s="19"/>
      <c r="N21" s="18" t="s">
        <v>1014</v>
      </c>
      <c r="O21" s="20">
        <v>4092</v>
      </c>
      <c r="P21" s="20">
        <v>3696</v>
      </c>
      <c r="Q21" s="20">
        <v>4092</v>
      </c>
      <c r="R21" s="20">
        <v>3960</v>
      </c>
      <c r="S21" s="20">
        <v>4092</v>
      </c>
      <c r="T21" s="20">
        <v>3960</v>
      </c>
      <c r="U21" s="20">
        <v>4092</v>
      </c>
      <c r="V21" s="20">
        <v>4092</v>
      </c>
      <c r="W21" s="20">
        <v>3960</v>
      </c>
      <c r="X21" s="20">
        <v>4092</v>
      </c>
      <c r="Y21" s="20">
        <v>3960</v>
      </c>
      <c r="Z21" s="20">
        <v>4092</v>
      </c>
      <c r="AA21" s="20">
        <f>SUM(O21:Z21)</f>
        <v>48180</v>
      </c>
      <c r="AB21" s="18"/>
      <c r="AC21" s="18"/>
      <c r="AD21" s="20">
        <v>48180</v>
      </c>
      <c r="AE21" s="18"/>
      <c r="AF21" s="18"/>
      <c r="AG21" s="20">
        <v>48180</v>
      </c>
      <c r="AH21" s="18"/>
      <c r="AI21" s="18"/>
    </row>
    <row r="22" spans="1:40" hidden="1" outlineLevel="1" x14ac:dyDescent="0.25">
      <c r="A22" s="6" t="s">
        <v>7</v>
      </c>
      <c r="B22" s="16" t="s">
        <v>1815</v>
      </c>
      <c r="G22" s="8" t="s">
        <v>589</v>
      </c>
    </row>
    <row r="23" spans="1:40" hidden="1" outlineLevel="1" x14ac:dyDescent="0.25">
      <c r="A23" s="6" t="s">
        <v>47</v>
      </c>
      <c r="B23" s="16" t="s">
        <v>1816</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1817</v>
      </c>
    </row>
    <row r="28" spans="1:40" ht="15.75" x14ac:dyDescent="0.25">
      <c r="A28" s="6" t="s">
        <v>12</v>
      </c>
      <c r="B28" s="7" t="s">
        <v>22</v>
      </c>
      <c r="N28" s="71" t="s">
        <v>1005</v>
      </c>
    </row>
    <row r="29" spans="1:40" ht="15" customHeight="1" x14ac:dyDescent="0.25">
      <c r="A29" s="6" t="s">
        <v>13</v>
      </c>
      <c r="B29" s="7" t="s">
        <v>549</v>
      </c>
      <c r="N29" s="71" t="s">
        <v>985</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544</v>
      </c>
      <c r="I33" s="11" t="s">
        <v>1011</v>
      </c>
      <c r="J33" s="11" t="s">
        <v>78</v>
      </c>
      <c r="L33" s="1"/>
      <c r="M33" s="1"/>
      <c r="N33" s="40" t="s">
        <v>1818</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522</v>
      </c>
      <c r="I34" s="161" t="s">
        <v>1009</v>
      </c>
      <c r="J34" s="161" t="s">
        <v>1009</v>
      </c>
      <c r="K34" s="68" t="str">
        <f t="shared" ref="K34:K65" si="0">IF(AND(I34&gt;="T4"),"&gt;","")</f>
        <v/>
      </c>
      <c r="L34" s="162">
        <v>804100</v>
      </c>
      <c r="M34" s="162">
        <v>790300</v>
      </c>
      <c r="N34" s="162" t="s">
        <v>1819</v>
      </c>
      <c r="O34" s="21"/>
      <c r="P34" s="21"/>
      <c r="Q34" s="21"/>
      <c r="R34" s="21"/>
      <c r="S34" s="21"/>
      <c r="T34" s="21"/>
      <c r="U34" s="21"/>
      <c r="V34" s="21"/>
      <c r="W34" s="21"/>
      <c r="X34" s="21"/>
      <c r="Y34" s="21"/>
      <c r="Z34" s="21"/>
      <c r="AA34" s="21">
        <f t="shared" ref="AA34:AA68" si="1">IF($I34="B1","",SUM(O34:Z34))</f>
        <v>0</v>
      </c>
      <c r="AB34" s="17" t="str">
        <f t="shared" ref="AB34:AB68" si="2">IF(AA34=0,"",IFERROR(AA34/AA$19,""))</f>
        <v/>
      </c>
      <c r="AD34" s="21"/>
      <c r="AE34" s="17" t="str">
        <f t="shared" ref="AE34:AE68" si="3">IF(AD34=0,"",IFERROR(AD34/AD$19,""))</f>
        <v/>
      </c>
      <c r="AF34" s="50">
        <f t="shared" ref="AF34:AF68" si="4">IF(AND($AA34="",AD34=""),"",$AA34-AD34)</f>
        <v>0</v>
      </c>
      <c r="AG34" s="21"/>
      <c r="AH34" s="17" t="str">
        <f t="shared" ref="AH34:AH68" si="5">IF(AG34=0,"",IFERROR(AG34/AG$19,""))</f>
        <v/>
      </c>
      <c r="AI34" s="50">
        <f t="shared" ref="AI34:AI68" si="6">IF(AND($AA34="",AG34=""),"",$AA34-AG34)</f>
        <v>0</v>
      </c>
      <c r="AJ34" s="399">
        <f t="shared" ref="AJ34:AJ68" si="7">IFERROR(AA34/AA$21,0)</f>
        <v>0</v>
      </c>
      <c r="AK34" s="400">
        <f t="shared" ref="AK34:AK68" si="8">IFERROR(AD34/AD$21,0)</f>
        <v>0</v>
      </c>
      <c r="AL34" s="401">
        <f t="shared" ref="AL34:AL68" si="9">IFERROR(AG34/AG$21,0)</f>
        <v>0</v>
      </c>
      <c r="AM34" s="402">
        <f t="shared" ref="AM34:AM68" si="10">+IFERROR(ROUND(($AB34-AE34)*100,2)&amp;" pts.",0)</f>
        <v>0</v>
      </c>
      <c r="AN34" s="403">
        <f t="shared" ref="AN34:AN68" si="11">+IFERROR(ROUND(($AB34-AH34)*100,2)&amp;" pts.",0)</f>
        <v>0</v>
      </c>
    </row>
    <row r="35" spans="1:40" x14ac:dyDescent="0.25">
      <c r="A35" s="22" t="s">
        <v>92</v>
      </c>
      <c r="B35" s="23" t="s">
        <v>93</v>
      </c>
      <c r="C35" s="23" t="s">
        <v>94</v>
      </c>
      <c r="D35" s="23" t="s">
        <v>95</v>
      </c>
      <c r="E35" s="23" t="s">
        <v>96</v>
      </c>
      <c r="F35" s="24" t="s">
        <v>97</v>
      </c>
      <c r="H35" s="15" t="s">
        <v>523</v>
      </c>
      <c r="I35" s="161" t="s">
        <v>1009</v>
      </c>
      <c r="J35" s="161" t="s">
        <v>1009</v>
      </c>
      <c r="K35" s="68" t="str">
        <f t="shared" si="0"/>
        <v/>
      </c>
      <c r="L35" s="162">
        <v>804110</v>
      </c>
      <c r="M35" s="162">
        <v>890040</v>
      </c>
      <c r="N35" s="162" t="s">
        <v>1820</v>
      </c>
      <c r="O35" s="21"/>
      <c r="P35" s="21"/>
      <c r="Q35" s="21"/>
      <c r="R35" s="21"/>
      <c r="S35" s="21"/>
      <c r="T35" s="21"/>
      <c r="U35" s="21"/>
      <c r="V35" s="21"/>
      <c r="W35" s="21"/>
      <c r="X35" s="21"/>
      <c r="Y35" s="21"/>
      <c r="Z35" s="21">
        <v>-9638.44</v>
      </c>
      <c r="AA35" s="21">
        <f t="shared" si="1"/>
        <v>-9638.44</v>
      </c>
      <c r="AB35" s="17">
        <f t="shared" si="2"/>
        <v>-7.4484433524323892E-4</v>
      </c>
      <c r="AD35" s="21"/>
      <c r="AE35" s="17" t="str">
        <f t="shared" si="3"/>
        <v/>
      </c>
      <c r="AF35" s="50">
        <f t="shared" si="4"/>
        <v>-9638.44</v>
      </c>
      <c r="AG35" s="21"/>
      <c r="AH35" s="17" t="str">
        <f t="shared" si="5"/>
        <v/>
      </c>
      <c r="AI35" s="50">
        <f t="shared" si="6"/>
        <v>-9638.44</v>
      </c>
      <c r="AJ35" s="399">
        <f t="shared" si="7"/>
        <v>-0.20005064342050644</v>
      </c>
      <c r="AK35" s="400">
        <f t="shared" si="8"/>
        <v>0</v>
      </c>
      <c r="AL35" s="401">
        <f t="shared" si="9"/>
        <v>0</v>
      </c>
      <c r="AM35" s="402">
        <f t="shared" si="10"/>
        <v>0</v>
      </c>
      <c r="AN35" s="403">
        <f t="shared" si="11"/>
        <v>0</v>
      </c>
    </row>
    <row r="36" spans="1:40" x14ac:dyDescent="0.25">
      <c r="H36" s="15" t="s">
        <v>524</v>
      </c>
      <c r="I36" s="161" t="s">
        <v>1009</v>
      </c>
      <c r="J36" s="161" t="s">
        <v>1009</v>
      </c>
      <c r="K36" s="68" t="str">
        <f t="shared" si="0"/>
        <v/>
      </c>
      <c r="L36" s="162">
        <v>804120</v>
      </c>
      <c r="M36" s="162">
        <v>890309</v>
      </c>
      <c r="N36" s="162" t="s">
        <v>1821</v>
      </c>
      <c r="O36" s="30"/>
      <c r="P36" s="30"/>
      <c r="Q36" s="30"/>
      <c r="R36" s="30"/>
      <c r="S36" s="30"/>
      <c r="T36" s="30"/>
      <c r="U36" s="30"/>
      <c r="V36" s="30"/>
      <c r="W36" s="30"/>
      <c r="X36" s="30"/>
      <c r="Y36" s="30"/>
      <c r="Z36" s="30"/>
      <c r="AA36" s="30">
        <f t="shared" si="1"/>
        <v>0</v>
      </c>
      <c r="AB36" s="31" t="str">
        <f t="shared" si="2"/>
        <v/>
      </c>
      <c r="AD36" s="30"/>
      <c r="AE36" s="31" t="str">
        <f t="shared" si="3"/>
        <v/>
      </c>
      <c r="AF36" s="51">
        <f t="shared" si="4"/>
        <v>0</v>
      </c>
      <c r="AG36" s="30"/>
      <c r="AH36" s="31" t="str">
        <f t="shared" si="5"/>
        <v/>
      </c>
      <c r="AI36" s="51">
        <f t="shared" si="6"/>
        <v>0</v>
      </c>
      <c r="AJ36" s="409">
        <f t="shared" si="7"/>
        <v>0</v>
      </c>
      <c r="AK36" s="410">
        <f t="shared" si="8"/>
        <v>0</v>
      </c>
      <c r="AL36" s="411">
        <f t="shared" si="9"/>
        <v>0</v>
      </c>
      <c r="AM36" s="412">
        <f t="shared" si="10"/>
        <v>0</v>
      </c>
      <c r="AN36" s="413">
        <f t="shared" si="11"/>
        <v>0</v>
      </c>
    </row>
    <row r="37" spans="1:40" x14ac:dyDescent="0.25">
      <c r="A37" s="1" t="s">
        <v>100</v>
      </c>
      <c r="C37" s="40" t="s">
        <v>101</v>
      </c>
      <c r="D37" s="1" t="s">
        <v>551</v>
      </c>
      <c r="F37" s="1" t="s">
        <v>98</v>
      </c>
      <c r="H37" s="15" t="s">
        <v>525</v>
      </c>
      <c r="I37" s="479" t="s">
        <v>1012</v>
      </c>
      <c r="J37" s="479" t="s">
        <v>78</v>
      </c>
      <c r="K37" s="480" t="str">
        <f t="shared" si="0"/>
        <v/>
      </c>
      <c r="L37" s="170">
        <v>804000</v>
      </c>
      <c r="M37" s="170"/>
      <c r="N37" s="170" t="s">
        <v>1822</v>
      </c>
      <c r="O37" s="33"/>
      <c r="P37" s="33"/>
      <c r="Q37" s="33"/>
      <c r="R37" s="33"/>
      <c r="S37" s="33"/>
      <c r="T37" s="33"/>
      <c r="U37" s="33"/>
      <c r="V37" s="33"/>
      <c r="W37" s="33"/>
      <c r="X37" s="33"/>
      <c r="Y37" s="33"/>
      <c r="Z37" s="33">
        <v>-9638.44</v>
      </c>
      <c r="AA37" s="33">
        <f t="shared" si="1"/>
        <v>-9638.44</v>
      </c>
      <c r="AB37" s="34">
        <f t="shared" si="2"/>
        <v>-7.4484433524323892E-4</v>
      </c>
      <c r="AC37" s="35"/>
      <c r="AD37" s="33"/>
      <c r="AE37" s="34" t="str">
        <f t="shared" si="3"/>
        <v/>
      </c>
      <c r="AF37" s="52">
        <f t="shared" si="4"/>
        <v>-9638.44</v>
      </c>
      <c r="AG37" s="33"/>
      <c r="AH37" s="34" t="str">
        <f t="shared" si="5"/>
        <v/>
      </c>
      <c r="AI37" s="52">
        <f t="shared" si="6"/>
        <v>-9638.44</v>
      </c>
      <c r="AJ37" s="364">
        <f t="shared" si="7"/>
        <v>-0.20005064342050644</v>
      </c>
      <c r="AK37" s="365">
        <f t="shared" si="8"/>
        <v>0</v>
      </c>
      <c r="AL37" s="367">
        <f t="shared" si="9"/>
        <v>0</v>
      </c>
      <c r="AM37" s="414">
        <f t="shared" si="10"/>
        <v>0</v>
      </c>
      <c r="AN37" s="435">
        <f t="shared" si="11"/>
        <v>0</v>
      </c>
    </row>
    <row r="38" spans="1:40" x14ac:dyDescent="0.25">
      <c r="A38" s="1" t="s">
        <v>105</v>
      </c>
      <c r="C38" s="26" t="s">
        <v>101</v>
      </c>
      <c r="D38" s="1" t="s">
        <v>106</v>
      </c>
      <c r="F38" s="1" t="s">
        <v>98</v>
      </c>
      <c r="H38" s="15" t="s">
        <v>547</v>
      </c>
      <c r="I38" s="482" t="s">
        <v>1011</v>
      </c>
      <c r="J38" s="482" t="s">
        <v>78</v>
      </c>
      <c r="K38" s="483" t="str">
        <f t="shared" si="0"/>
        <v/>
      </c>
      <c r="L38" s="483"/>
      <c r="M38" s="483"/>
      <c r="N38" s="483" t="s">
        <v>1035</v>
      </c>
      <c r="O38" s="21"/>
      <c r="P38" s="21"/>
      <c r="Q38" s="21"/>
      <c r="R38" s="21"/>
      <c r="S38" s="21"/>
      <c r="T38" s="21"/>
      <c r="U38" s="21"/>
      <c r="V38" s="21"/>
      <c r="W38" s="21"/>
      <c r="X38" s="21"/>
      <c r="Y38" s="21"/>
      <c r="Z38" s="21"/>
      <c r="AA38" s="21" t="str">
        <f t="shared" si="1"/>
        <v/>
      </c>
      <c r="AB38" s="17" t="str">
        <f t="shared" si="2"/>
        <v/>
      </c>
      <c r="AD38" s="21"/>
      <c r="AE38" s="17" t="str">
        <f t="shared" si="3"/>
        <v/>
      </c>
      <c r="AF38" s="50" t="str">
        <f t="shared" si="4"/>
        <v/>
      </c>
      <c r="AG38" s="21"/>
      <c r="AH38" s="17" t="str">
        <f t="shared" si="5"/>
        <v/>
      </c>
      <c r="AI38" s="50" t="str">
        <f t="shared" si="6"/>
        <v/>
      </c>
      <c r="AJ38" s="399">
        <f t="shared" si="7"/>
        <v>0</v>
      </c>
      <c r="AK38" s="400">
        <f t="shared" si="8"/>
        <v>0</v>
      </c>
      <c r="AL38" s="401">
        <f t="shared" si="9"/>
        <v>0</v>
      </c>
      <c r="AM38" s="402">
        <f t="shared" si="10"/>
        <v>0</v>
      </c>
      <c r="AN38" s="403">
        <f t="shared" si="11"/>
        <v>0</v>
      </c>
    </row>
    <row r="39" spans="1:40" x14ac:dyDescent="0.25">
      <c r="A39" s="1" t="s">
        <v>102</v>
      </c>
      <c r="C39" s="26" t="s">
        <v>101</v>
      </c>
      <c r="D39" s="1" t="s">
        <v>106</v>
      </c>
      <c r="F39" s="1" t="s">
        <v>98</v>
      </c>
      <c r="H39" s="15" t="s">
        <v>526</v>
      </c>
      <c r="I39" s="161" t="s">
        <v>1064</v>
      </c>
      <c r="J39" s="161" t="s">
        <v>78</v>
      </c>
      <c r="K39" s="68" t="str">
        <f t="shared" si="0"/>
        <v>&gt;</v>
      </c>
      <c r="L39" s="162"/>
      <c r="M39" s="162"/>
      <c r="N39" s="162" t="s">
        <v>1823</v>
      </c>
      <c r="O39" s="21"/>
      <c r="P39" s="21"/>
      <c r="Q39" s="21"/>
      <c r="R39" s="21"/>
      <c r="S39" s="21"/>
      <c r="T39" s="21"/>
      <c r="U39" s="21"/>
      <c r="V39" s="21">
        <v>389</v>
      </c>
      <c r="W39" s="21">
        <v>-389</v>
      </c>
      <c r="X39" s="21">
        <v>66.91</v>
      </c>
      <c r="Y39" s="21">
        <v>-66.91</v>
      </c>
      <c r="Z39" s="21"/>
      <c r="AA39" s="21">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1" t="s">
        <v>108</v>
      </c>
      <c r="C40" s="25" t="s">
        <v>101</v>
      </c>
      <c r="D40" s="1" t="s">
        <v>106</v>
      </c>
      <c r="F40" s="1" t="s">
        <v>98</v>
      </c>
      <c r="H40" s="15" t="s">
        <v>527</v>
      </c>
      <c r="I40" s="161" t="s">
        <v>1064</v>
      </c>
      <c r="J40" s="161" t="s">
        <v>78</v>
      </c>
      <c r="K40" s="68" t="str">
        <f t="shared" si="0"/>
        <v>&gt;</v>
      </c>
      <c r="L40" s="162"/>
      <c r="M40" s="162"/>
      <c r="N40" s="162" t="s">
        <v>1824</v>
      </c>
      <c r="O40" s="30">
        <v>1153.82</v>
      </c>
      <c r="P40" s="30">
        <v>1468.28</v>
      </c>
      <c r="Q40" s="30">
        <v>1238.0899999999999</v>
      </c>
      <c r="R40" s="30">
        <v>1840.54</v>
      </c>
      <c r="S40" s="30">
        <v>1332.2</v>
      </c>
      <c r="T40" s="30">
        <v>1055.81</v>
      </c>
      <c r="U40" s="30">
        <v>1204.47</v>
      </c>
      <c r="V40" s="30">
        <v>1416.23</v>
      </c>
      <c r="W40" s="30">
        <v>2212.21</v>
      </c>
      <c r="X40" s="30">
        <v>1022.81</v>
      </c>
      <c r="Y40" s="30">
        <v>2507.4</v>
      </c>
      <c r="Z40" s="30">
        <v>1465.88</v>
      </c>
      <c r="AA40" s="30">
        <f t="shared" si="1"/>
        <v>17917.739999999998</v>
      </c>
      <c r="AB40" s="31">
        <f t="shared" si="2"/>
        <v>1.3846563488864577E-3</v>
      </c>
      <c r="AD40" s="30">
        <v>13600</v>
      </c>
      <c r="AE40" s="31">
        <f t="shared" si="3"/>
        <v>8.1962266064634047E-4</v>
      </c>
      <c r="AF40" s="51">
        <f t="shared" si="4"/>
        <v>4317.739999999998</v>
      </c>
      <c r="AG40" s="30">
        <v>18102.02</v>
      </c>
      <c r="AH40" s="31">
        <f t="shared" si="5"/>
        <v>1.2286934386046191E-3</v>
      </c>
      <c r="AI40" s="51">
        <f t="shared" si="6"/>
        <v>-184.28000000000247</v>
      </c>
      <c r="AJ40" s="409">
        <f t="shared" si="7"/>
        <v>0.37189165628891652</v>
      </c>
      <c r="AK40" s="410">
        <f t="shared" si="8"/>
        <v>0.28227480282274803</v>
      </c>
      <c r="AL40" s="411">
        <f t="shared" si="9"/>
        <v>0.37571647986716483</v>
      </c>
      <c r="AM40" s="412" t="str">
        <f t="shared" si="10"/>
        <v>0.06 pts.</v>
      </c>
      <c r="AN40" s="413" t="str">
        <f t="shared" si="11"/>
        <v>0.02 pts.</v>
      </c>
    </row>
    <row r="41" spans="1:40" x14ac:dyDescent="0.25">
      <c r="A41" s="1" t="s">
        <v>108</v>
      </c>
      <c r="C41" s="29" t="s">
        <v>101</v>
      </c>
      <c r="D41" s="1" t="s">
        <v>107</v>
      </c>
      <c r="F41" s="1" t="s">
        <v>99</v>
      </c>
      <c r="H41" s="15" t="s">
        <v>520</v>
      </c>
      <c r="I41" s="479" t="s">
        <v>1012</v>
      </c>
      <c r="J41" s="479" t="s">
        <v>78</v>
      </c>
      <c r="K41" s="480" t="str">
        <f t="shared" si="0"/>
        <v/>
      </c>
      <c r="L41" s="170"/>
      <c r="M41" s="170"/>
      <c r="N41" s="170" t="s">
        <v>1825</v>
      </c>
      <c r="O41" s="33">
        <v>1153.82</v>
      </c>
      <c r="P41" s="33">
        <v>1468.28</v>
      </c>
      <c r="Q41" s="33">
        <v>1238.0899999999999</v>
      </c>
      <c r="R41" s="33">
        <v>1840.54</v>
      </c>
      <c r="S41" s="33">
        <v>1332.2</v>
      </c>
      <c r="T41" s="33">
        <v>1055.81</v>
      </c>
      <c r="U41" s="33">
        <v>1204.47</v>
      </c>
      <c r="V41" s="33">
        <v>1805.23</v>
      </c>
      <c r="W41" s="33">
        <v>1823.21</v>
      </c>
      <c r="X41" s="33">
        <v>1089.72</v>
      </c>
      <c r="Y41" s="33">
        <v>2440.4899999999998</v>
      </c>
      <c r="Z41" s="33">
        <v>1465.88</v>
      </c>
      <c r="AA41" s="33">
        <f t="shared" si="1"/>
        <v>17917.739999999998</v>
      </c>
      <c r="AB41" s="34">
        <f t="shared" si="2"/>
        <v>1.3846563488864577E-3</v>
      </c>
      <c r="AC41" s="35"/>
      <c r="AD41" s="33">
        <v>13600</v>
      </c>
      <c r="AE41" s="34">
        <f t="shared" si="3"/>
        <v>8.1962266064634047E-4</v>
      </c>
      <c r="AF41" s="52">
        <f t="shared" si="4"/>
        <v>4317.739999999998</v>
      </c>
      <c r="AG41" s="33">
        <v>18102.02</v>
      </c>
      <c r="AH41" s="34">
        <f t="shared" si="5"/>
        <v>1.2286934386046191E-3</v>
      </c>
      <c r="AI41" s="52">
        <f t="shared" si="6"/>
        <v>-184.28000000000247</v>
      </c>
      <c r="AJ41" s="364">
        <f t="shared" si="7"/>
        <v>0.37189165628891652</v>
      </c>
      <c r="AK41" s="365">
        <f t="shared" si="8"/>
        <v>0.28227480282274803</v>
      </c>
      <c r="AL41" s="367">
        <f t="shared" si="9"/>
        <v>0.37571647986716483</v>
      </c>
      <c r="AM41" s="414" t="str">
        <f t="shared" si="10"/>
        <v>0.06 pts.</v>
      </c>
      <c r="AN41" s="435" t="str">
        <f t="shared" si="11"/>
        <v>0.02 pts.</v>
      </c>
    </row>
    <row r="42" spans="1:40" x14ac:dyDescent="0.25">
      <c r="H42" s="15" t="s">
        <v>546</v>
      </c>
      <c r="I42" s="482" t="s">
        <v>1011</v>
      </c>
      <c r="J42" s="482" t="s">
        <v>78</v>
      </c>
      <c r="K42" s="483" t="str">
        <f t="shared" si="0"/>
        <v/>
      </c>
      <c r="L42" s="483"/>
      <c r="M42" s="483"/>
      <c r="N42" s="483" t="s">
        <v>1036</v>
      </c>
      <c r="O42" s="21"/>
      <c r="P42" s="21"/>
      <c r="Q42" s="21"/>
      <c r="R42" s="21"/>
      <c r="S42" s="21"/>
      <c r="T42" s="21"/>
      <c r="U42" s="21"/>
      <c r="V42" s="21"/>
      <c r="W42" s="21"/>
      <c r="X42" s="21"/>
      <c r="Y42" s="21"/>
      <c r="Z42" s="21"/>
      <c r="AA42" s="21" t="str">
        <f t="shared" si="1"/>
        <v/>
      </c>
      <c r="AB42" s="17" t="str">
        <f t="shared" si="2"/>
        <v/>
      </c>
      <c r="AD42" s="21"/>
      <c r="AE42" s="17" t="str">
        <f t="shared" si="3"/>
        <v/>
      </c>
      <c r="AF42" s="50" t="str">
        <f t="shared" si="4"/>
        <v/>
      </c>
      <c r="AG42" s="21"/>
      <c r="AH42" s="17" t="str">
        <f t="shared" si="5"/>
        <v/>
      </c>
      <c r="AI42" s="50" t="str">
        <f t="shared" si="6"/>
        <v/>
      </c>
      <c r="AJ42" s="399">
        <f t="shared" si="7"/>
        <v>0</v>
      </c>
      <c r="AK42" s="400">
        <f t="shared" si="8"/>
        <v>0</v>
      </c>
      <c r="AL42" s="401">
        <f t="shared" si="9"/>
        <v>0</v>
      </c>
      <c r="AM42" s="402">
        <f t="shared" si="10"/>
        <v>0</v>
      </c>
      <c r="AN42" s="403">
        <f t="shared" si="11"/>
        <v>0</v>
      </c>
    </row>
    <row r="43" spans="1:40" x14ac:dyDescent="0.25">
      <c r="C43" s="32"/>
      <c r="H43" s="15" t="s">
        <v>528</v>
      </c>
      <c r="I43" s="161" t="s">
        <v>1009</v>
      </c>
      <c r="J43" s="161" t="s">
        <v>1009</v>
      </c>
      <c r="K43" s="68" t="str">
        <f t="shared" si="0"/>
        <v/>
      </c>
      <c r="L43" s="162">
        <v>752100</v>
      </c>
      <c r="M43" s="162">
        <v>790145</v>
      </c>
      <c r="N43" s="162" t="s">
        <v>1826</v>
      </c>
      <c r="O43" s="21">
        <v>31911</v>
      </c>
      <c r="P43" s="21">
        <v>31911</v>
      </c>
      <c r="Q43" s="21">
        <v>31911</v>
      </c>
      <c r="R43" s="21">
        <v>31911</v>
      </c>
      <c r="S43" s="21">
        <v>31911</v>
      </c>
      <c r="T43" s="21">
        <v>31911</v>
      </c>
      <c r="U43" s="21">
        <v>31911</v>
      </c>
      <c r="V43" s="21">
        <v>31911</v>
      </c>
      <c r="W43" s="21">
        <v>31911</v>
      </c>
      <c r="X43" s="21">
        <v>31911</v>
      </c>
      <c r="Y43" s="21">
        <v>31911</v>
      </c>
      <c r="Z43" s="21">
        <v>31911</v>
      </c>
      <c r="AA43" s="21">
        <f t="shared" si="1"/>
        <v>382932</v>
      </c>
      <c r="AB43" s="17">
        <f t="shared" si="2"/>
        <v>2.9592416509659648E-2</v>
      </c>
      <c r="AD43" s="21">
        <v>384846</v>
      </c>
      <c r="AE43" s="17">
        <f t="shared" si="3"/>
        <v>2.3193272239639819E-2</v>
      </c>
      <c r="AF43" s="50">
        <f t="shared" si="4"/>
        <v>-1914</v>
      </c>
      <c r="AG43" s="21">
        <v>371779.32</v>
      </c>
      <c r="AH43" s="17">
        <f t="shared" si="5"/>
        <v>2.5234908098261247E-2</v>
      </c>
      <c r="AI43" s="50">
        <f t="shared" si="6"/>
        <v>11152.679999999993</v>
      </c>
      <c r="AJ43" s="399">
        <f t="shared" si="7"/>
        <v>7.9479452054794519</v>
      </c>
      <c r="AK43" s="400">
        <f t="shared" si="8"/>
        <v>7.9876712328767123</v>
      </c>
      <c r="AL43" s="401">
        <f t="shared" si="9"/>
        <v>7.7164657534246572</v>
      </c>
      <c r="AM43" s="402" t="str">
        <f t="shared" si="10"/>
        <v>0.64 pts.</v>
      </c>
      <c r="AN43" s="403" t="str">
        <f t="shared" si="11"/>
        <v>0.44 pts.</v>
      </c>
    </row>
    <row r="44" spans="1:40" x14ac:dyDescent="0.25">
      <c r="A44" s="3" t="s">
        <v>23</v>
      </c>
      <c r="B44" s="5" t="s">
        <v>24</v>
      </c>
      <c r="H44" s="149" t="s">
        <v>529</v>
      </c>
      <c r="I44" s="161" t="s">
        <v>1009</v>
      </c>
      <c r="J44" s="161" t="s">
        <v>1009</v>
      </c>
      <c r="K44" s="68" t="str">
        <f t="shared" si="0"/>
        <v/>
      </c>
      <c r="L44" s="162">
        <v>752200</v>
      </c>
      <c r="M44" s="162">
        <v>790150</v>
      </c>
      <c r="N44" s="162" t="s">
        <v>1827</v>
      </c>
      <c r="O44" s="21">
        <v>8119</v>
      </c>
      <c r="P44" s="21">
        <v>8119</v>
      </c>
      <c r="Q44" s="21">
        <v>8119</v>
      </c>
      <c r="R44" s="21">
        <v>8119</v>
      </c>
      <c r="S44" s="21">
        <v>8119</v>
      </c>
      <c r="T44" s="21">
        <v>8119</v>
      </c>
      <c r="U44" s="21">
        <v>8119</v>
      </c>
      <c r="V44" s="21">
        <v>8119</v>
      </c>
      <c r="W44" s="21">
        <v>8119</v>
      </c>
      <c r="X44" s="21">
        <v>8119</v>
      </c>
      <c r="Y44" s="21">
        <v>8119</v>
      </c>
      <c r="Z44" s="21">
        <v>8119</v>
      </c>
      <c r="AA44" s="21">
        <f t="shared" si="1"/>
        <v>97428</v>
      </c>
      <c r="AB44" s="17">
        <f t="shared" si="2"/>
        <v>7.5290912112414747E-3</v>
      </c>
      <c r="AD44" s="21">
        <v>97916</v>
      </c>
      <c r="AE44" s="17">
        <f t="shared" si="3"/>
        <v>5.901042091165226E-3</v>
      </c>
      <c r="AF44" s="50">
        <f t="shared" si="4"/>
        <v>-488</v>
      </c>
      <c r="AG44" s="21">
        <v>94587.24</v>
      </c>
      <c r="AH44" s="17">
        <f t="shared" si="5"/>
        <v>6.4202073118757117E-3</v>
      </c>
      <c r="AI44" s="50">
        <f t="shared" si="6"/>
        <v>2840.7599999999948</v>
      </c>
      <c r="AJ44" s="399">
        <f t="shared" si="7"/>
        <v>2.0221668742216687</v>
      </c>
      <c r="AK44" s="400">
        <f t="shared" si="8"/>
        <v>2.0322955583229554</v>
      </c>
      <c r="AL44" s="401">
        <f t="shared" si="9"/>
        <v>1.9632054794520548</v>
      </c>
      <c r="AM44" s="402" t="str">
        <f t="shared" si="10"/>
        <v>0.16 pts.</v>
      </c>
      <c r="AN44" s="403" t="str">
        <f t="shared" si="11"/>
        <v>0.11 pts.</v>
      </c>
    </row>
    <row r="45" spans="1:40" x14ac:dyDescent="0.25">
      <c r="A45" s="6" t="s">
        <v>25</v>
      </c>
      <c r="B45" s="7"/>
      <c r="H45" s="149" t="s">
        <v>530</v>
      </c>
      <c r="I45" s="161" t="s">
        <v>1009</v>
      </c>
      <c r="J45" s="161" t="s">
        <v>1009</v>
      </c>
      <c r="K45" s="68" t="str">
        <f t="shared" si="0"/>
        <v/>
      </c>
      <c r="L45" s="162">
        <v>752300</v>
      </c>
      <c r="M45" s="162">
        <v>790160</v>
      </c>
      <c r="N45" s="162" t="s">
        <v>1828</v>
      </c>
      <c r="O45" s="21"/>
      <c r="P45" s="21"/>
      <c r="Q45" s="21"/>
      <c r="R45" s="21">
        <v>16589</v>
      </c>
      <c r="S45" s="21"/>
      <c r="T45" s="21"/>
      <c r="U45" s="21"/>
      <c r="V45" s="21"/>
      <c r="W45" s="21">
        <v>0.2</v>
      </c>
      <c r="X45" s="21"/>
      <c r="Y45" s="21"/>
      <c r="Z45" s="21"/>
      <c r="AA45" s="21">
        <f t="shared" si="1"/>
        <v>16589.2</v>
      </c>
      <c r="AB45" s="17">
        <f t="shared" si="2"/>
        <v>1.2819887498617139E-3</v>
      </c>
      <c r="AD45" s="21">
        <v>16589</v>
      </c>
      <c r="AE45" s="17">
        <f t="shared" si="3"/>
        <v>9.9975884687221635E-4</v>
      </c>
      <c r="AF45" s="50">
        <f t="shared" si="4"/>
        <v>0.2000000000007276</v>
      </c>
      <c r="AG45" s="21">
        <v>16589.2</v>
      </c>
      <c r="AH45" s="17">
        <f t="shared" si="5"/>
        <v>1.1260092073536404E-3</v>
      </c>
      <c r="AI45" s="50">
        <f t="shared" si="6"/>
        <v>0</v>
      </c>
      <c r="AJ45" s="399">
        <f t="shared" si="7"/>
        <v>0.34431714404317143</v>
      </c>
      <c r="AK45" s="400">
        <f t="shared" si="8"/>
        <v>0.34431299294312995</v>
      </c>
      <c r="AL45" s="401">
        <f t="shared" si="9"/>
        <v>0.34431714404317143</v>
      </c>
      <c r="AM45" s="402" t="str">
        <f t="shared" si="10"/>
        <v>0.03 pts.</v>
      </c>
      <c r="AN45" s="403" t="str">
        <f t="shared" si="11"/>
        <v>0.02 pts.</v>
      </c>
    </row>
    <row r="46" spans="1:40" x14ac:dyDescent="0.25">
      <c r="A46" s="6" t="s">
        <v>26</v>
      </c>
      <c r="B46" s="7"/>
      <c r="H46" s="149" t="s">
        <v>531</v>
      </c>
      <c r="I46" s="161" t="s">
        <v>1009</v>
      </c>
      <c r="J46" s="161" t="s">
        <v>1009</v>
      </c>
      <c r="K46" s="68" t="str">
        <f t="shared" si="0"/>
        <v/>
      </c>
      <c r="L46" s="162">
        <v>752400</v>
      </c>
      <c r="M46" s="162">
        <v>790160</v>
      </c>
      <c r="N46" s="162" t="s">
        <v>1829</v>
      </c>
      <c r="O46" s="21"/>
      <c r="P46" s="21"/>
      <c r="Q46" s="21"/>
      <c r="R46" s="21"/>
      <c r="S46" s="21"/>
      <c r="T46" s="21"/>
      <c r="U46" s="21"/>
      <c r="V46" s="21"/>
      <c r="W46" s="21"/>
      <c r="X46" s="21"/>
      <c r="Y46" s="21"/>
      <c r="Z46" s="21"/>
      <c r="AA46" s="21">
        <f t="shared" si="1"/>
        <v>0</v>
      </c>
      <c r="AB46" s="17" t="str">
        <f t="shared" si="2"/>
        <v/>
      </c>
      <c r="AD46" s="21"/>
      <c r="AE46" s="17" t="str">
        <f t="shared" si="3"/>
        <v/>
      </c>
      <c r="AF46" s="50">
        <f t="shared" si="4"/>
        <v>0</v>
      </c>
      <c r="AG46" s="21"/>
      <c r="AH46" s="17" t="str">
        <f t="shared" si="5"/>
        <v/>
      </c>
      <c r="AI46" s="50">
        <f t="shared" si="6"/>
        <v>0</v>
      </c>
      <c r="AJ46" s="399">
        <f t="shared" si="7"/>
        <v>0</v>
      </c>
      <c r="AK46" s="400">
        <f t="shared" si="8"/>
        <v>0</v>
      </c>
      <c r="AL46" s="401">
        <f t="shared" si="9"/>
        <v>0</v>
      </c>
      <c r="AM46" s="402">
        <f t="shared" si="10"/>
        <v>0</v>
      </c>
      <c r="AN46" s="403">
        <f t="shared" si="11"/>
        <v>0</v>
      </c>
    </row>
    <row r="47" spans="1:40" x14ac:dyDescent="0.25">
      <c r="A47" s="6" t="s">
        <v>27</v>
      </c>
      <c r="B47" s="7"/>
      <c r="H47" s="149" t="s">
        <v>825</v>
      </c>
      <c r="I47" s="161" t="s">
        <v>1009</v>
      </c>
      <c r="J47" s="161" t="s">
        <v>1009</v>
      </c>
      <c r="K47" s="68" t="str">
        <f t="shared" si="0"/>
        <v/>
      </c>
      <c r="L47" s="162">
        <v>752500</v>
      </c>
      <c r="M47" s="162">
        <v>790162</v>
      </c>
      <c r="N47" s="162" t="s">
        <v>1830</v>
      </c>
      <c r="O47" s="30"/>
      <c r="P47" s="30"/>
      <c r="Q47" s="30"/>
      <c r="R47" s="30"/>
      <c r="S47" s="30"/>
      <c r="T47" s="30"/>
      <c r="U47" s="30"/>
      <c r="V47" s="30"/>
      <c r="W47" s="30"/>
      <c r="X47" s="30"/>
      <c r="Y47" s="30"/>
      <c r="Z47" s="30"/>
      <c r="AA47" s="30">
        <f t="shared" si="1"/>
        <v>0</v>
      </c>
      <c r="AB47" s="31" t="str">
        <f t="shared" si="2"/>
        <v/>
      </c>
      <c r="AD47" s="30"/>
      <c r="AE47" s="31" t="str">
        <f t="shared" si="3"/>
        <v/>
      </c>
      <c r="AF47" s="51">
        <f t="shared" si="4"/>
        <v>0</v>
      </c>
      <c r="AG47" s="30"/>
      <c r="AH47" s="31" t="str">
        <f t="shared" si="5"/>
        <v/>
      </c>
      <c r="AI47" s="51">
        <f t="shared" si="6"/>
        <v>0</v>
      </c>
      <c r="AJ47" s="409">
        <f t="shared" si="7"/>
        <v>0</v>
      </c>
      <c r="AK47" s="410">
        <f t="shared" si="8"/>
        <v>0</v>
      </c>
      <c r="AL47" s="411">
        <f t="shared" si="9"/>
        <v>0</v>
      </c>
      <c r="AM47" s="412">
        <f t="shared" si="10"/>
        <v>0</v>
      </c>
      <c r="AN47" s="413">
        <f t="shared" si="11"/>
        <v>0</v>
      </c>
    </row>
    <row r="48" spans="1:40" x14ac:dyDescent="0.25">
      <c r="A48" s="6" t="s">
        <v>28</v>
      </c>
      <c r="B48" s="7"/>
      <c r="H48" s="15" t="s">
        <v>521</v>
      </c>
      <c r="I48" s="479" t="s">
        <v>1012</v>
      </c>
      <c r="J48" s="479" t="s">
        <v>78</v>
      </c>
      <c r="K48" s="480" t="str">
        <f t="shared" si="0"/>
        <v/>
      </c>
      <c r="L48" s="170"/>
      <c r="M48" s="170"/>
      <c r="N48" s="170" t="s">
        <v>1831</v>
      </c>
      <c r="O48" s="33">
        <v>40030</v>
      </c>
      <c r="P48" s="33">
        <v>40030</v>
      </c>
      <c r="Q48" s="33">
        <v>40030</v>
      </c>
      <c r="R48" s="33">
        <v>56619</v>
      </c>
      <c r="S48" s="33">
        <v>40030</v>
      </c>
      <c r="T48" s="33">
        <v>40030</v>
      </c>
      <c r="U48" s="33">
        <v>40030</v>
      </c>
      <c r="V48" s="33">
        <v>40030</v>
      </c>
      <c r="W48" s="33">
        <v>40030.199999999997</v>
      </c>
      <c r="X48" s="33">
        <v>40030</v>
      </c>
      <c r="Y48" s="33">
        <v>40030</v>
      </c>
      <c r="Z48" s="33">
        <v>40030</v>
      </c>
      <c r="AA48" s="33">
        <f t="shared" si="1"/>
        <v>496949.2</v>
      </c>
      <c r="AB48" s="34">
        <f t="shared" si="2"/>
        <v>3.8403496470762841E-2</v>
      </c>
      <c r="AC48" s="35"/>
      <c r="AD48" s="33">
        <v>499351</v>
      </c>
      <c r="AE48" s="34">
        <f t="shared" si="3"/>
        <v>3.0094073177677261E-2</v>
      </c>
      <c r="AF48" s="52">
        <f t="shared" si="4"/>
        <v>-2401.7999999999884</v>
      </c>
      <c r="AG48" s="33">
        <v>482955.76</v>
      </c>
      <c r="AH48" s="34">
        <f t="shared" si="5"/>
        <v>3.2781124617490595E-2</v>
      </c>
      <c r="AI48" s="52">
        <f t="shared" si="6"/>
        <v>13993.440000000002</v>
      </c>
      <c r="AJ48" s="364">
        <f t="shared" si="7"/>
        <v>10.314429223744293</v>
      </c>
      <c r="AK48" s="365">
        <f t="shared" si="8"/>
        <v>10.364279784142798</v>
      </c>
      <c r="AL48" s="367">
        <f t="shared" si="9"/>
        <v>10.023988376919885</v>
      </c>
      <c r="AM48" s="414" t="str">
        <f t="shared" si="10"/>
        <v>0.83 pts.</v>
      </c>
      <c r="AN48" s="435" t="str">
        <f t="shared" si="11"/>
        <v>0.56 pts.</v>
      </c>
    </row>
    <row r="49" spans="1:40" x14ac:dyDescent="0.25">
      <c r="A49" s="6" t="s">
        <v>29</v>
      </c>
      <c r="B49" s="7"/>
      <c r="H49" s="149" t="s">
        <v>550</v>
      </c>
      <c r="I49" s="482" t="s">
        <v>1011</v>
      </c>
      <c r="J49" s="482" t="s">
        <v>78</v>
      </c>
      <c r="K49" s="483" t="str">
        <f t="shared" si="0"/>
        <v/>
      </c>
      <c r="L49" s="483"/>
      <c r="M49" s="483"/>
      <c r="N49" s="483" t="s">
        <v>1037</v>
      </c>
      <c r="O49" s="21"/>
      <c r="P49" s="21"/>
      <c r="Q49" s="21"/>
      <c r="R49" s="21"/>
      <c r="S49" s="21"/>
      <c r="T49" s="21"/>
      <c r="U49" s="21"/>
      <c r="V49" s="21"/>
      <c r="W49" s="21"/>
      <c r="X49" s="21"/>
      <c r="Y49" s="21"/>
      <c r="Z49" s="21"/>
      <c r="AA49" s="21" t="str">
        <f t="shared" si="1"/>
        <v/>
      </c>
      <c r="AB49" s="17" t="str">
        <f t="shared" si="2"/>
        <v/>
      </c>
      <c r="AD49" s="21"/>
      <c r="AE49" s="17" t="str">
        <f t="shared" si="3"/>
        <v/>
      </c>
      <c r="AF49" s="50" t="str">
        <f t="shared" si="4"/>
        <v/>
      </c>
      <c r="AG49" s="21"/>
      <c r="AH49" s="17" t="str">
        <f t="shared" si="5"/>
        <v/>
      </c>
      <c r="AI49" s="50" t="str">
        <f t="shared" si="6"/>
        <v/>
      </c>
      <c r="AJ49" s="399">
        <f t="shared" si="7"/>
        <v>0</v>
      </c>
      <c r="AK49" s="400">
        <f t="shared" si="8"/>
        <v>0</v>
      </c>
      <c r="AL49" s="401">
        <f t="shared" si="9"/>
        <v>0</v>
      </c>
      <c r="AM49" s="402">
        <f t="shared" si="10"/>
        <v>0</v>
      </c>
      <c r="AN49" s="403">
        <f t="shared" si="11"/>
        <v>0</v>
      </c>
    </row>
    <row r="50" spans="1:40" x14ac:dyDescent="0.25">
      <c r="A50" s="6" t="s">
        <v>30</v>
      </c>
      <c r="B50" s="7" t="s">
        <v>78</v>
      </c>
      <c r="H50" s="149" t="s">
        <v>532</v>
      </c>
      <c r="I50" s="161" t="s">
        <v>1064</v>
      </c>
      <c r="J50" s="161" t="s">
        <v>78</v>
      </c>
      <c r="K50" s="68" t="str">
        <f t="shared" si="0"/>
        <v>&gt;</v>
      </c>
      <c r="L50" s="162">
        <v>751100</v>
      </c>
      <c r="M50" s="162"/>
      <c r="N50" s="162" t="s">
        <v>1832</v>
      </c>
      <c r="O50" s="21"/>
      <c r="P50" s="21"/>
      <c r="Q50" s="21"/>
      <c r="R50" s="21"/>
      <c r="S50" s="21"/>
      <c r="T50" s="21"/>
      <c r="U50" s="21"/>
      <c r="V50" s="21"/>
      <c r="W50" s="21"/>
      <c r="X50" s="21"/>
      <c r="Y50" s="21"/>
      <c r="Z50" s="21"/>
      <c r="AA50" s="21">
        <f t="shared" si="1"/>
        <v>0</v>
      </c>
      <c r="AB50" s="17" t="str">
        <f t="shared" si="2"/>
        <v/>
      </c>
      <c r="AD50" s="21"/>
      <c r="AE50" s="17" t="str">
        <f t="shared" si="3"/>
        <v/>
      </c>
      <c r="AF50" s="50">
        <f t="shared" si="4"/>
        <v>0</v>
      </c>
      <c r="AG50" s="21"/>
      <c r="AH50" s="17" t="str">
        <f t="shared" si="5"/>
        <v/>
      </c>
      <c r="AI50" s="50">
        <f t="shared" si="6"/>
        <v>0</v>
      </c>
      <c r="AJ50" s="399">
        <f t="shared" si="7"/>
        <v>0</v>
      </c>
      <c r="AK50" s="400">
        <f t="shared" si="8"/>
        <v>0</v>
      </c>
      <c r="AL50" s="401">
        <f t="shared" si="9"/>
        <v>0</v>
      </c>
      <c r="AM50" s="402">
        <f t="shared" si="10"/>
        <v>0</v>
      </c>
      <c r="AN50" s="403">
        <f t="shared" si="11"/>
        <v>0</v>
      </c>
    </row>
    <row r="51" spans="1:40" x14ac:dyDescent="0.25">
      <c r="A51" s="6" t="s">
        <v>31</v>
      </c>
      <c r="B51" s="7" t="s">
        <v>78</v>
      </c>
      <c r="H51" s="149" t="s">
        <v>533</v>
      </c>
      <c r="I51" s="161" t="s">
        <v>1064</v>
      </c>
      <c r="J51" s="161" t="s">
        <v>78</v>
      </c>
      <c r="K51" s="68" t="str">
        <f t="shared" si="0"/>
        <v>&gt;</v>
      </c>
      <c r="L51" s="162">
        <v>751200</v>
      </c>
      <c r="M51" s="162"/>
      <c r="N51" s="162" t="s">
        <v>1833</v>
      </c>
      <c r="O51" s="21">
        <v>97457.06</v>
      </c>
      <c r="P51" s="21">
        <v>97457.06</v>
      </c>
      <c r="Q51" s="21">
        <v>97457.06</v>
      </c>
      <c r="R51" s="21">
        <v>97457.06</v>
      </c>
      <c r="S51" s="21">
        <v>97457.06</v>
      </c>
      <c r="T51" s="21">
        <v>97457.06</v>
      </c>
      <c r="U51" s="21">
        <v>97457.06</v>
      </c>
      <c r="V51" s="21">
        <v>117130.24000000001</v>
      </c>
      <c r="W51" s="21">
        <v>117130.14</v>
      </c>
      <c r="X51" s="21">
        <v>117130.14</v>
      </c>
      <c r="Y51" s="21">
        <v>117130.14</v>
      </c>
      <c r="Z51" s="21">
        <v>117130.14</v>
      </c>
      <c r="AA51" s="21">
        <f t="shared" si="1"/>
        <v>1267850.2199999997</v>
      </c>
      <c r="AB51" s="17">
        <f t="shared" si="2"/>
        <v>9.7977582918386583E-2</v>
      </c>
      <c r="AD51" s="21">
        <v>1198719</v>
      </c>
      <c r="AE51" s="17">
        <f t="shared" si="3"/>
        <v>7.224244530495004E-2</v>
      </c>
      <c r="AF51" s="50">
        <f t="shared" si="4"/>
        <v>69131.219999999739</v>
      </c>
      <c r="AG51" s="21">
        <v>927450.52</v>
      </c>
      <c r="AH51" s="17">
        <f t="shared" si="5"/>
        <v>6.2951668849909687E-2</v>
      </c>
      <c r="AI51" s="50">
        <f t="shared" si="6"/>
        <v>340399.69999999972</v>
      </c>
      <c r="AJ51" s="399">
        <f t="shared" si="7"/>
        <v>26.31486550435865</v>
      </c>
      <c r="AK51" s="400">
        <f t="shared" si="8"/>
        <v>24.880012453300125</v>
      </c>
      <c r="AL51" s="401">
        <f t="shared" si="9"/>
        <v>19.249699460356997</v>
      </c>
      <c r="AM51" s="402" t="str">
        <f t="shared" si="10"/>
        <v>2.57 pts.</v>
      </c>
      <c r="AN51" s="403" t="str">
        <f t="shared" si="11"/>
        <v>3.5 pts.</v>
      </c>
    </row>
    <row r="52" spans="1:40" x14ac:dyDescent="0.25">
      <c r="A52" s="6" t="s">
        <v>32</v>
      </c>
      <c r="B52" s="7"/>
      <c r="H52" s="15" t="s">
        <v>534</v>
      </c>
      <c r="I52" s="161" t="s">
        <v>1064</v>
      </c>
      <c r="J52" s="161" t="s">
        <v>78</v>
      </c>
      <c r="K52" s="68" t="str">
        <f t="shared" si="0"/>
        <v>&gt;</v>
      </c>
      <c r="L52" s="162">
        <v>751300</v>
      </c>
      <c r="M52" s="162"/>
      <c r="N52" s="162" t="s">
        <v>1834</v>
      </c>
      <c r="O52" s="21">
        <v>2659.83</v>
      </c>
      <c r="P52" s="21">
        <v>2659.83</v>
      </c>
      <c r="Q52" s="21">
        <v>2659.83</v>
      </c>
      <c r="R52" s="21">
        <v>2659.82</v>
      </c>
      <c r="S52" s="21">
        <v>2659.83</v>
      </c>
      <c r="T52" s="21">
        <v>2659.83</v>
      </c>
      <c r="U52" s="21">
        <v>2659.83</v>
      </c>
      <c r="V52" s="21">
        <v>4276.0600000000004</v>
      </c>
      <c r="W52" s="21">
        <v>3196.4</v>
      </c>
      <c r="X52" s="21">
        <v>4198.34</v>
      </c>
      <c r="Y52" s="21">
        <v>3196.4</v>
      </c>
      <c r="Z52" s="21">
        <v>3196.4</v>
      </c>
      <c r="AA52" s="21">
        <f t="shared" si="1"/>
        <v>36682.400000000001</v>
      </c>
      <c r="AB52" s="17">
        <f t="shared" si="2"/>
        <v>2.8347614181471882E-3</v>
      </c>
      <c r="AD52" s="21">
        <v>32851</v>
      </c>
      <c r="AE52" s="17">
        <f t="shared" si="3"/>
        <v>1.9798105900656567E-3</v>
      </c>
      <c r="AF52" s="50">
        <f t="shared" si="4"/>
        <v>3831.4000000000015</v>
      </c>
      <c r="AG52" s="21">
        <v>40990.17</v>
      </c>
      <c r="AH52" s="17">
        <f t="shared" si="5"/>
        <v>2.7822504298574357E-3</v>
      </c>
      <c r="AI52" s="50">
        <f t="shared" si="6"/>
        <v>-4307.7699999999968</v>
      </c>
      <c r="AJ52" s="399">
        <f t="shared" si="7"/>
        <v>0.76136156081361561</v>
      </c>
      <c r="AK52" s="400">
        <f t="shared" si="8"/>
        <v>0.6818389373183894</v>
      </c>
      <c r="AL52" s="401">
        <f t="shared" si="9"/>
        <v>0.85077148194271479</v>
      </c>
      <c r="AM52" s="402" t="str">
        <f t="shared" si="10"/>
        <v>0.09 pts.</v>
      </c>
      <c r="AN52" s="403" t="str">
        <f t="shared" si="11"/>
        <v>0.01 pts.</v>
      </c>
    </row>
    <row r="53" spans="1:40" x14ac:dyDescent="0.25">
      <c r="A53" s="6" t="s">
        <v>33</v>
      </c>
      <c r="B53" s="7"/>
      <c r="H53" s="15" t="s">
        <v>535</v>
      </c>
      <c r="I53" s="161" t="s">
        <v>1064</v>
      </c>
      <c r="J53" s="161" t="s">
        <v>78</v>
      </c>
      <c r="K53" s="68" t="str">
        <f t="shared" si="0"/>
        <v>&gt;</v>
      </c>
      <c r="L53" s="162">
        <v>751400</v>
      </c>
      <c r="M53" s="162"/>
      <c r="N53" s="162" t="s">
        <v>1835</v>
      </c>
      <c r="O53" s="21">
        <v>3094.74</v>
      </c>
      <c r="P53" s="21">
        <v>3094.74</v>
      </c>
      <c r="Q53" s="21">
        <v>3094.74</v>
      </c>
      <c r="R53" s="21">
        <v>3094.74</v>
      </c>
      <c r="S53" s="21">
        <v>3094.74</v>
      </c>
      <c r="T53" s="21">
        <v>3213.75</v>
      </c>
      <c r="U53" s="21">
        <v>2734.07</v>
      </c>
      <c r="V53" s="21">
        <v>2831.99</v>
      </c>
      <c r="W53" s="21">
        <v>2936.94</v>
      </c>
      <c r="X53" s="21">
        <v>2936.82</v>
      </c>
      <c r="Y53" s="21">
        <v>2936.82</v>
      </c>
      <c r="Z53" s="21">
        <v>2936.82</v>
      </c>
      <c r="AA53" s="21">
        <f t="shared" si="1"/>
        <v>36000.909999999996</v>
      </c>
      <c r="AB53" s="17">
        <f t="shared" si="2"/>
        <v>2.7820968825973567E-3</v>
      </c>
      <c r="AD53" s="21">
        <v>38060</v>
      </c>
      <c r="AE53" s="17">
        <f t="shared" si="3"/>
        <v>2.2937381223676265E-3</v>
      </c>
      <c r="AF53" s="50">
        <f t="shared" si="4"/>
        <v>-2059.0900000000038</v>
      </c>
      <c r="AG53" s="21">
        <v>32859.879999999997</v>
      </c>
      <c r="AH53" s="17">
        <f t="shared" si="5"/>
        <v>2.2303985383584344E-3</v>
      </c>
      <c r="AI53" s="50">
        <f t="shared" si="6"/>
        <v>3141.0299999999988</v>
      </c>
      <c r="AJ53" s="399">
        <f t="shared" si="7"/>
        <v>0.74721689497716892</v>
      </c>
      <c r="AK53" s="400">
        <f t="shared" si="8"/>
        <v>0.78995433789954339</v>
      </c>
      <c r="AL53" s="401">
        <f t="shared" si="9"/>
        <v>0.68202324616023235</v>
      </c>
      <c r="AM53" s="402" t="str">
        <f t="shared" si="10"/>
        <v>0.05 pts.</v>
      </c>
      <c r="AN53" s="403" t="str">
        <f t="shared" si="11"/>
        <v>0.06 pts.</v>
      </c>
    </row>
    <row r="54" spans="1:40" x14ac:dyDescent="0.25">
      <c r="A54" s="6" t="s">
        <v>34</v>
      </c>
      <c r="B54" s="7"/>
      <c r="H54" s="15" t="s">
        <v>536</v>
      </c>
      <c r="I54" s="161" t="s">
        <v>1064</v>
      </c>
      <c r="J54" s="161" t="s">
        <v>78</v>
      </c>
      <c r="K54" s="68" t="str">
        <f t="shared" si="0"/>
        <v>&gt;</v>
      </c>
      <c r="L54" s="162">
        <v>751500</v>
      </c>
      <c r="M54" s="162"/>
      <c r="N54" s="162" t="s">
        <v>1836</v>
      </c>
      <c r="O54" s="30">
        <v>1731.45</v>
      </c>
      <c r="P54" s="30">
        <v>1731.45</v>
      </c>
      <c r="Q54" s="30">
        <v>1731.45</v>
      </c>
      <c r="R54" s="30">
        <v>245.09</v>
      </c>
      <c r="S54" s="30">
        <v>988.26</v>
      </c>
      <c r="T54" s="30">
        <v>1799.26</v>
      </c>
      <c r="U54" s="30">
        <v>988.26</v>
      </c>
      <c r="V54" s="30">
        <v>468.18</v>
      </c>
      <c r="W54" s="30">
        <v>350.5</v>
      </c>
      <c r="X54" s="30">
        <v>459.66</v>
      </c>
      <c r="Y54" s="30">
        <v>350.51</v>
      </c>
      <c r="Z54" s="30">
        <v>350.51</v>
      </c>
      <c r="AA54" s="30">
        <f t="shared" si="1"/>
        <v>11194.580000000002</v>
      </c>
      <c r="AB54" s="31">
        <f t="shared" si="2"/>
        <v>8.651005244030422E-4</v>
      </c>
      <c r="AD54" s="30">
        <v>17773</v>
      </c>
      <c r="AE54" s="31">
        <f t="shared" si="3"/>
        <v>1.0711142314461331E-3</v>
      </c>
      <c r="AF54" s="51">
        <f t="shared" si="4"/>
        <v>-6578.4199999999983</v>
      </c>
      <c r="AG54" s="30">
        <v>13939.43</v>
      </c>
      <c r="AH54" s="31">
        <f t="shared" si="5"/>
        <v>9.4615331211038249E-4</v>
      </c>
      <c r="AI54" s="51">
        <f t="shared" si="6"/>
        <v>-2744.8499999999985</v>
      </c>
      <c r="AJ54" s="409">
        <f t="shared" si="7"/>
        <v>0.23234910751349111</v>
      </c>
      <c r="AK54" s="410">
        <f t="shared" si="8"/>
        <v>0.36888750518887503</v>
      </c>
      <c r="AL54" s="411">
        <f t="shared" si="9"/>
        <v>0.28931984225819846</v>
      </c>
      <c r="AM54" s="412" t="str">
        <f t="shared" si="10"/>
        <v>-0.02 pts.</v>
      </c>
      <c r="AN54" s="413" t="str">
        <f t="shared" si="11"/>
        <v>-0.01 pts.</v>
      </c>
    </row>
    <row r="55" spans="1:40" x14ac:dyDescent="0.25">
      <c r="A55" s="6" t="s">
        <v>35</v>
      </c>
      <c r="B55" s="7"/>
      <c r="H55" s="15" t="s">
        <v>537</v>
      </c>
      <c r="I55" s="479" t="s">
        <v>1012</v>
      </c>
      <c r="J55" s="479" t="s">
        <v>78</v>
      </c>
      <c r="K55" s="480" t="str">
        <f t="shared" si="0"/>
        <v/>
      </c>
      <c r="L55" s="170">
        <v>751000</v>
      </c>
      <c r="M55" s="170"/>
      <c r="N55" s="170" t="s">
        <v>1837</v>
      </c>
      <c r="O55" s="33">
        <v>104943.08</v>
      </c>
      <c r="P55" s="33">
        <v>104943.08</v>
      </c>
      <c r="Q55" s="33">
        <v>104943.08</v>
      </c>
      <c r="R55" s="33">
        <v>103456.71</v>
      </c>
      <c r="S55" s="33">
        <v>104199.89</v>
      </c>
      <c r="T55" s="33">
        <v>105129.9</v>
      </c>
      <c r="U55" s="33">
        <v>103839.22</v>
      </c>
      <c r="V55" s="33">
        <v>124706.47</v>
      </c>
      <c r="W55" s="33">
        <v>123613.98</v>
      </c>
      <c r="X55" s="33">
        <v>124724.96</v>
      </c>
      <c r="Y55" s="33">
        <v>123613.87</v>
      </c>
      <c r="Z55" s="33">
        <v>123613.87</v>
      </c>
      <c r="AA55" s="33">
        <f t="shared" si="1"/>
        <v>1351728.1099999999</v>
      </c>
      <c r="AB55" s="34">
        <f t="shared" si="2"/>
        <v>0.10445954174353418</v>
      </c>
      <c r="AC55" s="35"/>
      <c r="AD55" s="33">
        <v>1287403</v>
      </c>
      <c r="AE55" s="34">
        <f t="shared" si="3"/>
        <v>7.7587108248829459E-2</v>
      </c>
      <c r="AF55" s="52">
        <f t="shared" si="4"/>
        <v>64325.10999999987</v>
      </c>
      <c r="AG55" s="33">
        <v>1015240</v>
      </c>
      <c r="AH55" s="34">
        <f t="shared" si="5"/>
        <v>6.8910471130235934E-2</v>
      </c>
      <c r="AI55" s="52">
        <f t="shared" si="6"/>
        <v>336488.10999999987</v>
      </c>
      <c r="AJ55" s="364">
        <f t="shared" si="7"/>
        <v>28.055793067662929</v>
      </c>
      <c r="AK55" s="365">
        <f t="shared" si="8"/>
        <v>26.720693233706932</v>
      </c>
      <c r="AL55" s="367">
        <f t="shared" si="9"/>
        <v>21.071814030718141</v>
      </c>
      <c r="AM55" s="414" t="str">
        <f t="shared" si="10"/>
        <v>2.69 pts.</v>
      </c>
      <c r="AN55" s="435" t="str">
        <f t="shared" si="11"/>
        <v>3.55 pts.</v>
      </c>
    </row>
    <row r="56" spans="1:40" x14ac:dyDescent="0.25">
      <c r="A56" s="6" t="s">
        <v>36</v>
      </c>
      <c r="B56" s="7"/>
      <c r="H56" s="15" t="s">
        <v>545</v>
      </c>
      <c r="I56" s="482" t="s">
        <v>1011</v>
      </c>
      <c r="J56" s="482" t="s">
        <v>78</v>
      </c>
      <c r="K56" s="483" t="str">
        <f t="shared" si="0"/>
        <v/>
      </c>
      <c r="L56" s="483"/>
      <c r="M56" s="483"/>
      <c r="N56" s="483" t="s">
        <v>586</v>
      </c>
      <c r="O56" s="21"/>
      <c r="P56" s="21"/>
      <c r="Q56" s="21"/>
      <c r="R56" s="21"/>
      <c r="S56" s="21"/>
      <c r="T56" s="21"/>
      <c r="U56" s="21"/>
      <c r="V56" s="21"/>
      <c r="W56" s="21"/>
      <c r="X56" s="21"/>
      <c r="Y56" s="21"/>
      <c r="Z56" s="21"/>
      <c r="AA56" s="21" t="str">
        <f t="shared" si="1"/>
        <v/>
      </c>
      <c r="AB56" s="17" t="str">
        <f t="shared" si="2"/>
        <v/>
      </c>
      <c r="AD56" s="21"/>
      <c r="AE56" s="17" t="str">
        <f t="shared" si="3"/>
        <v/>
      </c>
      <c r="AF56" s="50" t="str">
        <f t="shared" si="4"/>
        <v/>
      </c>
      <c r="AG56" s="21"/>
      <c r="AH56" s="17" t="str">
        <f t="shared" si="5"/>
        <v/>
      </c>
      <c r="AI56" s="50" t="str">
        <f t="shared" si="6"/>
        <v/>
      </c>
      <c r="AJ56" s="399">
        <f t="shared" si="7"/>
        <v>0</v>
      </c>
      <c r="AK56" s="400">
        <f t="shared" si="8"/>
        <v>0</v>
      </c>
      <c r="AL56" s="401">
        <f t="shared" si="9"/>
        <v>0</v>
      </c>
      <c r="AM56" s="402">
        <f t="shared" si="10"/>
        <v>0</v>
      </c>
      <c r="AN56" s="403">
        <f t="shared" si="11"/>
        <v>0</v>
      </c>
    </row>
    <row r="57" spans="1:40" x14ac:dyDescent="0.25">
      <c r="A57" s="6" t="s">
        <v>37</v>
      </c>
      <c r="B57" s="7"/>
      <c r="H57" s="15" t="s">
        <v>538</v>
      </c>
      <c r="I57" s="161" t="s">
        <v>1009</v>
      </c>
      <c r="J57" s="161" t="s">
        <v>1009</v>
      </c>
      <c r="K57" s="68" t="str">
        <f t="shared" si="0"/>
        <v/>
      </c>
      <c r="L57" s="162">
        <v>801290</v>
      </c>
      <c r="M57" s="162">
        <v>690850</v>
      </c>
      <c r="N57" s="162" t="s">
        <v>1838</v>
      </c>
      <c r="O57" s="21"/>
      <c r="P57" s="21"/>
      <c r="Q57" s="21"/>
      <c r="R57" s="21"/>
      <c r="S57" s="21"/>
      <c r="T57" s="21"/>
      <c r="U57" s="21"/>
      <c r="V57" s="21"/>
      <c r="W57" s="21"/>
      <c r="X57" s="21"/>
      <c r="Y57" s="21"/>
      <c r="Z57" s="21"/>
      <c r="AA57" s="21">
        <f t="shared" si="1"/>
        <v>0</v>
      </c>
      <c r="AB57" s="17" t="str">
        <f t="shared" si="2"/>
        <v/>
      </c>
      <c r="AD57" s="21"/>
      <c r="AE57" s="17" t="str">
        <f t="shared" si="3"/>
        <v/>
      </c>
      <c r="AF57" s="50">
        <f t="shared" si="4"/>
        <v>0</v>
      </c>
      <c r="AG57" s="21"/>
      <c r="AH57" s="17" t="str">
        <f t="shared" si="5"/>
        <v/>
      </c>
      <c r="AI57" s="50">
        <f t="shared" si="6"/>
        <v>0</v>
      </c>
      <c r="AJ57" s="399">
        <f t="shared" si="7"/>
        <v>0</v>
      </c>
      <c r="AK57" s="400">
        <f t="shared" si="8"/>
        <v>0</v>
      </c>
      <c r="AL57" s="401">
        <f t="shared" si="9"/>
        <v>0</v>
      </c>
      <c r="AM57" s="402">
        <f t="shared" si="10"/>
        <v>0</v>
      </c>
      <c r="AN57" s="403">
        <f t="shared" si="11"/>
        <v>0</v>
      </c>
    </row>
    <row r="58" spans="1:40" x14ac:dyDescent="0.25">
      <c r="A58" s="6" t="s">
        <v>38</v>
      </c>
      <c r="B58" s="7"/>
      <c r="H58" s="15" t="s">
        <v>539</v>
      </c>
      <c r="I58" s="161" t="s">
        <v>1009</v>
      </c>
      <c r="J58" s="161" t="s">
        <v>1009</v>
      </c>
      <c r="K58" s="68" t="str">
        <f t="shared" si="0"/>
        <v/>
      </c>
      <c r="L58" s="162">
        <v>801300</v>
      </c>
      <c r="M58" s="162">
        <v>790095</v>
      </c>
      <c r="N58" s="162" t="s">
        <v>1839</v>
      </c>
      <c r="O58" s="21"/>
      <c r="P58" s="21"/>
      <c r="Q58" s="21"/>
      <c r="R58" s="21"/>
      <c r="S58" s="21"/>
      <c r="T58" s="21"/>
      <c r="U58" s="21"/>
      <c r="V58" s="21"/>
      <c r="W58" s="21"/>
      <c r="X58" s="21"/>
      <c r="Y58" s="21"/>
      <c r="Z58" s="21"/>
      <c r="AA58" s="21">
        <f t="shared" si="1"/>
        <v>0</v>
      </c>
      <c r="AB58" s="17" t="str">
        <f t="shared" si="2"/>
        <v/>
      </c>
      <c r="AD58" s="21"/>
      <c r="AE58" s="17" t="str">
        <f t="shared" si="3"/>
        <v/>
      </c>
      <c r="AF58" s="50">
        <f t="shared" si="4"/>
        <v>0</v>
      </c>
      <c r="AG58" s="21"/>
      <c r="AH58" s="17" t="str">
        <f t="shared" si="5"/>
        <v/>
      </c>
      <c r="AI58" s="50">
        <f t="shared" si="6"/>
        <v>0</v>
      </c>
      <c r="AJ58" s="399">
        <f t="shared" si="7"/>
        <v>0</v>
      </c>
      <c r="AK58" s="400">
        <f t="shared" si="8"/>
        <v>0</v>
      </c>
      <c r="AL58" s="401">
        <f t="shared" si="9"/>
        <v>0</v>
      </c>
      <c r="AM58" s="402">
        <f t="shared" si="10"/>
        <v>0</v>
      </c>
      <c r="AN58" s="403">
        <f t="shared" si="11"/>
        <v>0</v>
      </c>
    </row>
    <row r="59" spans="1:40" x14ac:dyDescent="0.25">
      <c r="A59" s="6" t="s">
        <v>39</v>
      </c>
      <c r="B59" s="7"/>
      <c r="H59" s="15" t="s">
        <v>786</v>
      </c>
      <c r="I59" s="161" t="s">
        <v>1009</v>
      </c>
      <c r="J59" s="161" t="s">
        <v>1009</v>
      </c>
      <c r="K59" s="68" t="str">
        <f t="shared" si="0"/>
        <v/>
      </c>
      <c r="L59" s="162">
        <v>801310</v>
      </c>
      <c r="M59" s="162">
        <v>790083</v>
      </c>
      <c r="N59" s="162" t="s">
        <v>1840</v>
      </c>
      <c r="O59" s="21"/>
      <c r="P59" s="21"/>
      <c r="Q59" s="21"/>
      <c r="R59" s="21"/>
      <c r="S59" s="21"/>
      <c r="T59" s="21"/>
      <c r="U59" s="21"/>
      <c r="V59" s="21"/>
      <c r="W59" s="21"/>
      <c r="X59" s="21"/>
      <c r="Y59" s="21"/>
      <c r="Z59" s="21"/>
      <c r="AA59" s="21">
        <f t="shared" si="1"/>
        <v>0</v>
      </c>
      <c r="AB59" s="17" t="str">
        <f t="shared" si="2"/>
        <v/>
      </c>
      <c r="AD59" s="21"/>
      <c r="AE59" s="17" t="str">
        <f t="shared" si="3"/>
        <v/>
      </c>
      <c r="AF59" s="50">
        <f t="shared" si="4"/>
        <v>0</v>
      </c>
      <c r="AG59" s="21"/>
      <c r="AH59" s="17" t="str">
        <f t="shared" si="5"/>
        <v/>
      </c>
      <c r="AI59" s="50">
        <f t="shared" si="6"/>
        <v>0</v>
      </c>
      <c r="AJ59" s="399">
        <f t="shared" si="7"/>
        <v>0</v>
      </c>
      <c r="AK59" s="400">
        <f t="shared" si="8"/>
        <v>0</v>
      </c>
      <c r="AL59" s="401">
        <f t="shared" si="9"/>
        <v>0</v>
      </c>
      <c r="AM59" s="402">
        <f t="shared" si="10"/>
        <v>0</v>
      </c>
      <c r="AN59" s="403">
        <f t="shared" si="11"/>
        <v>0</v>
      </c>
    </row>
    <row r="60" spans="1:40" x14ac:dyDescent="0.25">
      <c r="A60" s="6" t="s">
        <v>40</v>
      </c>
      <c r="B60" s="7"/>
      <c r="H60" s="15" t="s">
        <v>827</v>
      </c>
      <c r="I60" s="161" t="s">
        <v>1009</v>
      </c>
      <c r="J60" s="161" t="s">
        <v>1009</v>
      </c>
      <c r="K60" s="68" t="str">
        <f t="shared" si="0"/>
        <v/>
      </c>
      <c r="L60" s="162">
        <v>801314</v>
      </c>
      <c r="M60" s="162">
        <v>790081</v>
      </c>
      <c r="N60" s="162" t="s">
        <v>1841</v>
      </c>
      <c r="O60" s="21"/>
      <c r="P60" s="21"/>
      <c r="Q60" s="21"/>
      <c r="R60" s="21"/>
      <c r="S60" s="21"/>
      <c r="T60" s="21"/>
      <c r="U60" s="21"/>
      <c r="V60" s="21"/>
      <c r="W60" s="21"/>
      <c r="X60" s="21"/>
      <c r="Y60" s="21"/>
      <c r="Z60" s="21"/>
      <c r="AA60" s="21">
        <f t="shared" si="1"/>
        <v>0</v>
      </c>
      <c r="AB60" s="17" t="str">
        <f t="shared" si="2"/>
        <v/>
      </c>
      <c r="AD60" s="21"/>
      <c r="AE60" s="17" t="str">
        <f t="shared" si="3"/>
        <v/>
      </c>
      <c r="AF60" s="50">
        <f t="shared" si="4"/>
        <v>0</v>
      </c>
      <c r="AG60" s="21"/>
      <c r="AH60" s="17" t="str">
        <f t="shared" si="5"/>
        <v/>
      </c>
      <c r="AI60" s="50">
        <f t="shared" si="6"/>
        <v>0</v>
      </c>
      <c r="AJ60" s="399">
        <f t="shared" si="7"/>
        <v>0</v>
      </c>
      <c r="AK60" s="400">
        <f t="shared" si="8"/>
        <v>0</v>
      </c>
      <c r="AL60" s="401">
        <f t="shared" si="9"/>
        <v>0</v>
      </c>
      <c r="AM60" s="402">
        <f t="shared" si="10"/>
        <v>0</v>
      </c>
      <c r="AN60" s="403">
        <f t="shared" si="11"/>
        <v>0</v>
      </c>
    </row>
    <row r="61" spans="1:40" x14ac:dyDescent="0.25">
      <c r="A61" s="6" t="s">
        <v>41</v>
      </c>
      <c r="B61" s="7"/>
      <c r="H61" s="15" t="s">
        <v>801</v>
      </c>
      <c r="I61" s="161" t="s">
        <v>1009</v>
      </c>
      <c r="J61" s="161" t="s">
        <v>1009</v>
      </c>
      <c r="K61" s="68" t="str">
        <f t="shared" si="0"/>
        <v/>
      </c>
      <c r="L61" s="162">
        <v>801315</v>
      </c>
      <c r="M61" s="162">
        <v>790082</v>
      </c>
      <c r="N61" s="162" t="s">
        <v>1842</v>
      </c>
      <c r="O61" s="21"/>
      <c r="P61" s="21"/>
      <c r="Q61" s="21"/>
      <c r="R61" s="21"/>
      <c r="S61" s="21"/>
      <c r="T61" s="21"/>
      <c r="U61" s="21"/>
      <c r="V61" s="21"/>
      <c r="W61" s="21"/>
      <c r="X61" s="21"/>
      <c r="Y61" s="21"/>
      <c r="Z61" s="21"/>
      <c r="AA61" s="21">
        <f t="shared" si="1"/>
        <v>0</v>
      </c>
      <c r="AB61" s="17" t="str">
        <f t="shared" si="2"/>
        <v/>
      </c>
      <c r="AD61" s="21"/>
      <c r="AE61" s="17" t="str">
        <f t="shared" si="3"/>
        <v/>
      </c>
      <c r="AF61" s="50">
        <f t="shared" si="4"/>
        <v>0</v>
      </c>
      <c r="AG61" s="21"/>
      <c r="AH61" s="17" t="str">
        <f t="shared" si="5"/>
        <v/>
      </c>
      <c r="AI61" s="50">
        <f t="shared" si="6"/>
        <v>0</v>
      </c>
      <c r="AJ61" s="399">
        <f t="shared" si="7"/>
        <v>0</v>
      </c>
      <c r="AK61" s="400">
        <f t="shared" si="8"/>
        <v>0</v>
      </c>
      <c r="AL61" s="401">
        <f t="shared" si="9"/>
        <v>0</v>
      </c>
      <c r="AM61" s="402">
        <f t="shared" si="10"/>
        <v>0</v>
      </c>
      <c r="AN61" s="403">
        <f t="shared" si="11"/>
        <v>0</v>
      </c>
    </row>
    <row r="62" spans="1:40" x14ac:dyDescent="0.25">
      <c r="A62" s="6" t="s">
        <v>42</v>
      </c>
      <c r="B62" s="7"/>
      <c r="H62" s="15" t="s">
        <v>769</v>
      </c>
      <c r="I62" s="161" t="s">
        <v>1064</v>
      </c>
      <c r="J62" s="161" t="s">
        <v>78</v>
      </c>
      <c r="K62" s="68" t="str">
        <f t="shared" si="0"/>
        <v>&gt;</v>
      </c>
      <c r="L62" s="162"/>
      <c r="M62" s="162"/>
      <c r="N62" s="162" t="s">
        <v>1843</v>
      </c>
      <c r="O62" s="21"/>
      <c r="P62" s="21"/>
      <c r="Q62" s="21"/>
      <c r="R62" s="21"/>
      <c r="S62" s="21"/>
      <c r="T62" s="21"/>
      <c r="U62" s="21"/>
      <c r="V62" s="21"/>
      <c r="W62" s="21"/>
      <c r="X62" s="21"/>
      <c r="Y62" s="21"/>
      <c r="Z62" s="21"/>
      <c r="AA62" s="21">
        <f t="shared" si="1"/>
        <v>0</v>
      </c>
      <c r="AB62" s="17" t="str">
        <f t="shared" si="2"/>
        <v/>
      </c>
      <c r="AD62" s="21"/>
      <c r="AE62" s="17" t="str">
        <f t="shared" si="3"/>
        <v/>
      </c>
      <c r="AF62" s="50">
        <f t="shared" si="4"/>
        <v>0</v>
      </c>
      <c r="AG62" s="21"/>
      <c r="AH62" s="17" t="str">
        <f t="shared" si="5"/>
        <v/>
      </c>
      <c r="AI62" s="50">
        <f t="shared" si="6"/>
        <v>0</v>
      </c>
      <c r="AJ62" s="399">
        <f t="shared" si="7"/>
        <v>0</v>
      </c>
      <c r="AK62" s="400">
        <f t="shared" si="8"/>
        <v>0</v>
      </c>
      <c r="AL62" s="401">
        <f t="shared" si="9"/>
        <v>0</v>
      </c>
      <c r="AM62" s="402">
        <f t="shared" si="10"/>
        <v>0</v>
      </c>
      <c r="AN62" s="403">
        <f t="shared" si="11"/>
        <v>0</v>
      </c>
    </row>
    <row r="63" spans="1:40" x14ac:dyDescent="0.25">
      <c r="A63" s="6" t="s">
        <v>43</v>
      </c>
      <c r="B63" s="7"/>
      <c r="H63" s="15" t="s">
        <v>540</v>
      </c>
      <c r="I63" s="161" t="s">
        <v>1009</v>
      </c>
      <c r="J63" s="161" t="s">
        <v>1009</v>
      </c>
      <c r="K63" s="68" t="str">
        <f t="shared" si="0"/>
        <v/>
      </c>
      <c r="L63" s="162">
        <v>801360</v>
      </c>
      <c r="M63" s="162">
        <v>890125</v>
      </c>
      <c r="N63" s="162" t="s">
        <v>1844</v>
      </c>
      <c r="O63" s="21"/>
      <c r="P63" s="21"/>
      <c r="Q63" s="21"/>
      <c r="R63" s="21"/>
      <c r="S63" s="21"/>
      <c r="T63" s="21"/>
      <c r="U63" s="21"/>
      <c r="V63" s="21"/>
      <c r="W63" s="21"/>
      <c r="X63" s="21"/>
      <c r="Y63" s="21"/>
      <c r="Z63" s="21"/>
      <c r="AA63" s="21">
        <f t="shared" si="1"/>
        <v>0</v>
      </c>
      <c r="AB63" s="17" t="str">
        <f t="shared" si="2"/>
        <v/>
      </c>
      <c r="AD63" s="21"/>
      <c r="AE63" s="17" t="str">
        <f t="shared" si="3"/>
        <v/>
      </c>
      <c r="AF63" s="50">
        <f t="shared" si="4"/>
        <v>0</v>
      </c>
      <c r="AG63" s="21"/>
      <c r="AH63" s="17" t="str">
        <f t="shared" si="5"/>
        <v/>
      </c>
      <c r="AI63" s="50">
        <f t="shared" si="6"/>
        <v>0</v>
      </c>
      <c r="AJ63" s="399">
        <f t="shared" si="7"/>
        <v>0</v>
      </c>
      <c r="AK63" s="400">
        <f t="shared" si="8"/>
        <v>0</v>
      </c>
      <c r="AL63" s="401">
        <f t="shared" si="9"/>
        <v>0</v>
      </c>
      <c r="AM63" s="402">
        <f t="shared" si="10"/>
        <v>0</v>
      </c>
      <c r="AN63" s="403">
        <f t="shared" si="11"/>
        <v>0</v>
      </c>
    </row>
    <row r="64" spans="1:40" x14ac:dyDescent="0.25">
      <c r="A64" s="6" t="s">
        <v>44</v>
      </c>
      <c r="B64" s="7"/>
      <c r="H64" s="15" t="s">
        <v>541</v>
      </c>
      <c r="I64" s="161" t="s">
        <v>1064</v>
      </c>
      <c r="J64" s="161" t="s">
        <v>78</v>
      </c>
      <c r="K64" s="68" t="str">
        <f t="shared" si="0"/>
        <v>&gt;</v>
      </c>
      <c r="L64" s="162"/>
      <c r="M64" s="162"/>
      <c r="N64" s="162" t="s">
        <v>1845</v>
      </c>
      <c r="O64" s="30"/>
      <c r="P64" s="30"/>
      <c r="Q64" s="30"/>
      <c r="R64" s="30"/>
      <c r="S64" s="30"/>
      <c r="T64" s="30"/>
      <c r="U64" s="30"/>
      <c r="V64" s="30"/>
      <c r="W64" s="30"/>
      <c r="X64" s="30"/>
      <c r="Y64" s="30"/>
      <c r="Z64" s="30"/>
      <c r="AA64" s="30">
        <f t="shared" si="1"/>
        <v>0</v>
      </c>
      <c r="AB64" s="31" t="str">
        <f t="shared" si="2"/>
        <v/>
      </c>
      <c r="AD64" s="30"/>
      <c r="AE64" s="31" t="str">
        <f t="shared" si="3"/>
        <v/>
      </c>
      <c r="AF64" s="51">
        <f t="shared" si="4"/>
        <v>0</v>
      </c>
      <c r="AG64" s="30"/>
      <c r="AH64" s="31" t="str">
        <f t="shared" si="5"/>
        <v/>
      </c>
      <c r="AI64" s="51">
        <f t="shared" si="6"/>
        <v>0</v>
      </c>
      <c r="AJ64" s="409">
        <f t="shared" si="7"/>
        <v>0</v>
      </c>
      <c r="AK64" s="410">
        <f t="shared" si="8"/>
        <v>0</v>
      </c>
      <c r="AL64" s="411">
        <f t="shared" si="9"/>
        <v>0</v>
      </c>
      <c r="AM64" s="412">
        <f t="shared" si="10"/>
        <v>0</v>
      </c>
      <c r="AN64" s="413">
        <f t="shared" si="11"/>
        <v>0</v>
      </c>
    </row>
    <row r="65" spans="1:40" x14ac:dyDescent="0.25">
      <c r="A65" s="6" t="s">
        <v>45</v>
      </c>
      <c r="B65" s="7"/>
      <c r="H65" s="15" t="s">
        <v>542</v>
      </c>
      <c r="I65" s="479" t="s">
        <v>1012</v>
      </c>
      <c r="J65" s="479" t="s">
        <v>78</v>
      </c>
      <c r="K65" s="480" t="str">
        <f t="shared" si="0"/>
        <v/>
      </c>
      <c r="L65" s="170">
        <v>801000</v>
      </c>
      <c r="M65" s="170"/>
      <c r="N65" s="170" t="s">
        <v>1047</v>
      </c>
      <c r="O65" s="33"/>
      <c r="P65" s="33"/>
      <c r="Q65" s="33"/>
      <c r="R65" s="33"/>
      <c r="S65" s="33"/>
      <c r="T65" s="33"/>
      <c r="U65" s="33"/>
      <c r="V65" s="33"/>
      <c r="W65" s="33"/>
      <c r="X65" s="33"/>
      <c r="Y65" s="33"/>
      <c r="Z65" s="33"/>
      <c r="AA65" s="33">
        <f t="shared" si="1"/>
        <v>0</v>
      </c>
      <c r="AB65" s="34" t="str">
        <f t="shared" si="2"/>
        <v/>
      </c>
      <c r="AC65" s="35"/>
      <c r="AD65" s="33"/>
      <c r="AE65" s="34" t="str">
        <f t="shared" si="3"/>
        <v/>
      </c>
      <c r="AF65" s="52">
        <f t="shared" si="4"/>
        <v>0</v>
      </c>
      <c r="AG65" s="33"/>
      <c r="AH65" s="34" t="str">
        <f t="shared" si="5"/>
        <v/>
      </c>
      <c r="AI65" s="52">
        <f t="shared" si="6"/>
        <v>0</v>
      </c>
      <c r="AJ65" s="364">
        <f t="shared" si="7"/>
        <v>0</v>
      </c>
      <c r="AK65" s="365">
        <f t="shared" si="8"/>
        <v>0</v>
      </c>
      <c r="AL65" s="367">
        <f t="shared" si="9"/>
        <v>0</v>
      </c>
      <c r="AM65" s="414">
        <f t="shared" si="10"/>
        <v>0</v>
      </c>
      <c r="AN65" s="435">
        <f t="shared" si="11"/>
        <v>0</v>
      </c>
    </row>
    <row r="66" spans="1:40" x14ac:dyDescent="0.25">
      <c r="A66" s="6" t="s">
        <v>46</v>
      </c>
      <c r="B66" s="7"/>
      <c r="H66" s="15"/>
      <c r="I66" s="28"/>
      <c r="J66" s="28"/>
      <c r="K66" s="69"/>
      <c r="L66" s="25"/>
      <c r="M66" s="25"/>
      <c r="N66" s="162" t="str">
        <f>N20</f>
        <v>Net Income-Development &amp; Renovation Projects</v>
      </c>
      <c r="O66" s="21">
        <f t="shared" ref="O66:Z66" si="12">O$20</f>
        <v>0</v>
      </c>
      <c r="P66" s="21">
        <f t="shared" si="12"/>
        <v>0</v>
      </c>
      <c r="Q66" s="21">
        <f t="shared" si="12"/>
        <v>0</v>
      </c>
      <c r="R66" s="21">
        <f t="shared" si="12"/>
        <v>0</v>
      </c>
      <c r="S66" s="21">
        <f t="shared" si="12"/>
        <v>0</v>
      </c>
      <c r="T66" s="21">
        <f t="shared" si="12"/>
        <v>0</v>
      </c>
      <c r="U66" s="21">
        <f t="shared" si="12"/>
        <v>0</v>
      </c>
      <c r="V66" s="21">
        <f t="shared" si="12"/>
        <v>0</v>
      </c>
      <c r="W66" s="21">
        <f t="shared" si="12"/>
        <v>0</v>
      </c>
      <c r="X66" s="21">
        <f t="shared" si="12"/>
        <v>0</v>
      </c>
      <c r="Y66" s="21">
        <f t="shared" si="12"/>
        <v>0</v>
      </c>
      <c r="Z66" s="21">
        <f t="shared" si="12"/>
        <v>0</v>
      </c>
      <c r="AA66" s="21">
        <f t="shared" si="1"/>
        <v>0</v>
      </c>
      <c r="AB66" s="17" t="str">
        <f t="shared" si="2"/>
        <v/>
      </c>
      <c r="AD66" s="21">
        <f>AD$20</f>
        <v>0</v>
      </c>
      <c r="AE66" s="17" t="str">
        <f t="shared" si="3"/>
        <v/>
      </c>
      <c r="AF66" s="50">
        <f t="shared" si="4"/>
        <v>0</v>
      </c>
      <c r="AG66" s="21">
        <f>AG$20</f>
        <v>0</v>
      </c>
      <c r="AH66" s="17" t="str">
        <f t="shared" si="5"/>
        <v/>
      </c>
      <c r="AI66" s="50">
        <f t="shared" si="6"/>
        <v>0</v>
      </c>
      <c r="AJ66" s="409">
        <f t="shared" si="7"/>
        <v>0</v>
      </c>
      <c r="AK66" s="410">
        <f t="shared" si="8"/>
        <v>0</v>
      </c>
      <c r="AL66" s="411">
        <f t="shared" si="9"/>
        <v>0</v>
      </c>
      <c r="AM66" s="412">
        <f t="shared" si="10"/>
        <v>0</v>
      </c>
      <c r="AN66" s="413">
        <f t="shared" si="11"/>
        <v>0</v>
      </c>
    </row>
    <row r="67" spans="1:40" x14ac:dyDescent="0.25">
      <c r="H67" s="15"/>
      <c r="I67" s="28"/>
      <c r="J67" s="28"/>
      <c r="K67" s="69"/>
      <c r="L67" s="25"/>
      <c r="M67" s="25"/>
      <c r="N67" s="25" t="s">
        <v>588</v>
      </c>
      <c r="O67" s="33">
        <f t="shared" ref="O67:Z67" si="13">O65-O66</f>
        <v>0</v>
      </c>
      <c r="P67" s="33">
        <f t="shared" si="13"/>
        <v>0</v>
      </c>
      <c r="Q67" s="33">
        <f t="shared" si="13"/>
        <v>0</v>
      </c>
      <c r="R67" s="33">
        <f t="shared" si="13"/>
        <v>0</v>
      </c>
      <c r="S67" s="33">
        <f t="shared" si="13"/>
        <v>0</v>
      </c>
      <c r="T67" s="33">
        <f t="shared" si="13"/>
        <v>0</v>
      </c>
      <c r="U67" s="33">
        <f t="shared" si="13"/>
        <v>0</v>
      </c>
      <c r="V67" s="33">
        <f t="shared" si="13"/>
        <v>0</v>
      </c>
      <c r="W67" s="33">
        <f t="shared" si="13"/>
        <v>0</v>
      </c>
      <c r="X67" s="33">
        <f t="shared" si="13"/>
        <v>0</v>
      </c>
      <c r="Y67" s="33">
        <f t="shared" si="13"/>
        <v>0</v>
      </c>
      <c r="Z67" s="33">
        <f t="shared" si="13"/>
        <v>0</v>
      </c>
      <c r="AA67" s="33">
        <f t="shared" si="1"/>
        <v>0</v>
      </c>
      <c r="AB67" s="34" t="str">
        <f t="shared" si="2"/>
        <v/>
      </c>
      <c r="AD67" s="33">
        <f>AD65-AD66</f>
        <v>0</v>
      </c>
      <c r="AE67" s="34" t="str">
        <f t="shared" si="3"/>
        <v/>
      </c>
      <c r="AF67" s="52">
        <f t="shared" si="4"/>
        <v>0</v>
      </c>
      <c r="AG67" s="33">
        <f>AG65-AG66</f>
        <v>0</v>
      </c>
      <c r="AH67" s="34" t="str">
        <f t="shared" si="5"/>
        <v/>
      </c>
      <c r="AI67" s="52">
        <f t="shared" si="6"/>
        <v>0</v>
      </c>
      <c r="AJ67" s="392">
        <f t="shared" si="7"/>
        <v>0</v>
      </c>
      <c r="AK67" s="393">
        <f t="shared" si="8"/>
        <v>0</v>
      </c>
      <c r="AL67" s="394">
        <f t="shared" si="9"/>
        <v>0</v>
      </c>
      <c r="AM67" s="395">
        <f t="shared" si="10"/>
        <v>0</v>
      </c>
      <c r="AN67" s="437">
        <f t="shared" si="11"/>
        <v>0</v>
      </c>
    </row>
    <row r="68" spans="1:40" x14ac:dyDescent="0.25">
      <c r="H68" s="15" t="s">
        <v>543</v>
      </c>
      <c r="I68" s="27" t="s">
        <v>1010</v>
      </c>
      <c r="J68" s="27" t="s">
        <v>78</v>
      </c>
      <c r="K68" s="26"/>
      <c r="N68" s="25" t="s">
        <v>1846</v>
      </c>
      <c r="O68" s="33">
        <f t="shared" ref="O68:Z68" si="14">O38+O42+O49+O56+O65-O66</f>
        <v>0</v>
      </c>
      <c r="P68" s="33">
        <f t="shared" si="14"/>
        <v>0</v>
      </c>
      <c r="Q68" s="33">
        <f t="shared" si="14"/>
        <v>0</v>
      </c>
      <c r="R68" s="33">
        <f t="shared" si="14"/>
        <v>0</v>
      </c>
      <c r="S68" s="33">
        <f t="shared" si="14"/>
        <v>0</v>
      </c>
      <c r="T68" s="33">
        <f t="shared" si="14"/>
        <v>0</v>
      </c>
      <c r="U68" s="33">
        <f t="shared" si="14"/>
        <v>0</v>
      </c>
      <c r="V68" s="33">
        <f t="shared" si="14"/>
        <v>0</v>
      </c>
      <c r="W68" s="33">
        <f t="shared" si="14"/>
        <v>0</v>
      </c>
      <c r="X68" s="33">
        <f t="shared" si="14"/>
        <v>0</v>
      </c>
      <c r="Y68" s="33">
        <f t="shared" si="14"/>
        <v>0</v>
      </c>
      <c r="Z68" s="33">
        <f t="shared" si="14"/>
        <v>0</v>
      </c>
      <c r="AA68" s="33">
        <f t="shared" si="1"/>
        <v>0</v>
      </c>
      <c r="AB68" s="34" t="str">
        <f t="shared" si="2"/>
        <v/>
      </c>
      <c r="AD68" s="33">
        <f>AD38+AD42+AD49+AD56+AD65-AD66</f>
        <v>0</v>
      </c>
      <c r="AE68" s="34" t="str">
        <f t="shared" si="3"/>
        <v/>
      </c>
      <c r="AF68" s="52">
        <f t="shared" si="4"/>
        <v>0</v>
      </c>
      <c r="AG68" s="33">
        <f>AG38+AG42+AG49+AG56+AG65-AG66</f>
        <v>0</v>
      </c>
      <c r="AH68" s="34" t="str">
        <f t="shared" si="5"/>
        <v/>
      </c>
      <c r="AI68" s="52">
        <f t="shared" si="6"/>
        <v>0</v>
      </c>
      <c r="AJ68" s="439">
        <f t="shared" si="7"/>
        <v>0</v>
      </c>
      <c r="AK68" s="440">
        <f t="shared" si="8"/>
        <v>0</v>
      </c>
      <c r="AL68" s="441">
        <f t="shared" si="9"/>
        <v>0</v>
      </c>
      <c r="AM68" s="442">
        <f t="shared" si="10"/>
        <v>0</v>
      </c>
      <c r="AN68" s="443">
        <f t="shared" si="11"/>
        <v>0</v>
      </c>
    </row>
    <row r="70" spans="1:40" x14ac:dyDescent="0.25">
      <c r="I70" s="1"/>
      <c r="J70" s="1"/>
      <c r="L70" s="1"/>
      <c r="M70" s="1"/>
    </row>
    <row r="71" spans="1:40" x14ac:dyDescent="0.25">
      <c r="I71" s="1"/>
      <c r="J71" s="1"/>
      <c r="L71" s="1"/>
      <c r="M71" s="1"/>
    </row>
    <row r="72" spans="1:40" x14ac:dyDescent="0.25">
      <c r="I72" s="1"/>
      <c r="J72" s="1"/>
      <c r="L72" s="1"/>
      <c r="M72" s="1"/>
    </row>
    <row r="78" spans="1:40" x14ac:dyDescent="0.25">
      <c r="I78" s="1"/>
      <c r="J78" s="1"/>
      <c r="L78" s="1"/>
      <c r="M78" s="1"/>
    </row>
    <row r="79" spans="1:40" x14ac:dyDescent="0.25">
      <c r="H79" s="11"/>
      <c r="J79" s="1"/>
    </row>
    <row r="80" spans="1:40"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sheetData>
  <mergeCells count="2">
    <mergeCell ref="AD31:AE31"/>
    <mergeCell ref="AG31:AH31"/>
  </mergeCells>
  <dataValidations count="2">
    <dataValidation type="list" allowBlank="1" sqref="B29" xr:uid="{00000000-0002-0000-5B00-000000000000}">
      <formula1>"SELF,ALL,BAS,DEP,BASMEMBERS,MEMBERS,NOEXPAND,GDEP"</formula1>
    </dataValidation>
    <dataValidation type="list" allowBlank="1" sqref="B28" xr:uid="{00000000-0002-0000-5B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6836"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6836" r:id="rId5" name="FPMExcelClientSheetOptionstb1"/>
      </mc:Fallback>
    </mc:AlternateContent>
  </controls>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554</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552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_xll.EVRNG(H35:H36,H38:H39,H42:H43)</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_xll.EVRNG($A$81:$B$102)</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746</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hidden="1" x14ac:dyDescent="0.25">
      <c r="A35" s="22" t="s">
        <v>92</v>
      </c>
      <c r="B35" s="23" t="s">
        <v>93</v>
      </c>
      <c r="C35" s="23" t="s">
        <v>94</v>
      </c>
      <c r="D35" s="23" t="s">
        <v>95</v>
      </c>
      <c r="E35" s="23" t="s">
        <v>96</v>
      </c>
      <c r="F35" s="24" t="s">
        <v>97</v>
      </c>
      <c r="H35" s="15" t="s">
        <v>667</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47"/>
      <c r="P35" s="47"/>
      <c r="Q35" s="47"/>
      <c r="R35" s="47"/>
      <c r="S35" s="47"/>
      <c r="T35" s="47"/>
      <c r="U35" s="47"/>
      <c r="V35" s="47"/>
      <c r="W35" s="47"/>
      <c r="X35" s="47"/>
      <c r="Y35" s="47"/>
      <c r="Z35" s="47"/>
      <c r="AA35" s="30" t="e">
        <f ca="1">IF($I35="B1","",SUM(O35:Z35))</f>
        <v>#NAME?</v>
      </c>
      <c r="AB35" s="48" t="e">
        <f ca="1">IF(AA35=0,"",IFERROR(AA35/AA$19,""))</f>
        <v>#NAME?</v>
      </c>
      <c r="AD35" s="30"/>
      <c r="AE35" s="31" t="str">
        <f>IF(AD35=0,"",IFERROR(AD35/AD$19,""))</f>
        <v/>
      </c>
      <c r="AF35" s="51" t="e">
        <f ca="1">IF(AND($AA35="",AD35=""),"",$AA35-AD35)</f>
        <v>#NAME?</v>
      </c>
      <c r="AG35" s="30"/>
      <c r="AH35" s="31" t="str">
        <f>IF(AG35=0,"",IFERROR(AG35/AG$19,""))</f>
        <v/>
      </c>
      <c r="AI35" s="51"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47"/>
      <c r="P36" s="47"/>
      <c r="Q36" s="47"/>
      <c r="R36" s="47"/>
      <c r="S36" s="47"/>
      <c r="T36" s="47"/>
      <c r="U36" s="47"/>
      <c r="V36" s="47"/>
      <c r="W36" s="47"/>
      <c r="X36" s="47"/>
      <c r="Y36" s="47"/>
      <c r="Z36" s="47"/>
      <c r="AA36" s="30" t="e">
        <f ca="1">IF($I36="B1","",SUM(O36:Z36))</f>
        <v>#NAME?</v>
      </c>
      <c r="AB36" s="48" t="e">
        <f ca="1">IF(AA36=0,"",IFERROR(AA36/AA$19,""))</f>
        <v>#NAME?</v>
      </c>
      <c r="AD36" s="30"/>
      <c r="AE36" s="31" t="str">
        <f>IF(AD36=0,"",IFERROR(AD36/AD$19,""))</f>
        <v/>
      </c>
      <c r="AF36" s="51" t="e">
        <f ca="1">IF(AND($AA36="",AD36=""),"",$AA36-AD36)</f>
        <v>#NAME?</v>
      </c>
      <c r="AG36" s="30"/>
      <c r="AH36" s="31" t="str">
        <f>IF(AG36=0,"",IFERROR(AG36/AG$19,""))</f>
        <v/>
      </c>
      <c r="AI36" s="51"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21" t="e">
        <f ca="1">IF($I37="B1","",SUM(O37:Z37))</f>
        <v>#NAME?</v>
      </c>
      <c r="AB37" s="39" t="e">
        <f ca="1">IF(AA37=0,"",IFERROR(AA37/AA$19,""))</f>
        <v>#NAME?</v>
      </c>
      <c r="AD37" s="21"/>
      <c r="AE37" s="17" t="str">
        <f>IF(AD37=0,"",IFERROR(AD37/AD$19,""))</f>
        <v/>
      </c>
      <c r="AF37" s="50" t="e">
        <f ca="1">IF(AND($AA37="",AD37=""),"",$AA37-AD37)</f>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hidden="1" x14ac:dyDescent="0.25">
      <c r="A38" s="1" t="s">
        <v>100</v>
      </c>
      <c r="C38" s="8" t="s">
        <v>101</v>
      </c>
      <c r="D38" s="1" t="s">
        <v>106</v>
      </c>
      <c r="F38" s="1" t="s">
        <v>98</v>
      </c>
      <c r="H38" s="15" t="s">
        <v>667</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c r="P38" s="47"/>
      <c r="Q38" s="47"/>
      <c r="R38" s="47"/>
      <c r="S38" s="47"/>
      <c r="T38" s="47"/>
      <c r="U38" s="47"/>
      <c r="V38" s="47"/>
      <c r="W38" s="47"/>
      <c r="X38" s="47"/>
      <c r="Y38" s="47"/>
      <c r="Z38" s="47"/>
      <c r="AA38" s="30" t="e">
        <f ca="1">IF($I38="B1","",SUM(O38:Z38))</f>
        <v>#NAME?</v>
      </c>
      <c r="AB38" s="48" t="e">
        <f ca="1">IF(AA38=0,"",IFERROR(AA38/AA$19,""))</f>
        <v>#NAME?</v>
      </c>
      <c r="AD38" s="30"/>
      <c r="AE38" s="31" t="str">
        <f>IF(AD38=0,"",IFERROR(AD38/AD$19,""))</f>
        <v/>
      </c>
      <c r="AF38" s="51" t="e">
        <f ca="1">IF(AND($AA38="",AD38=""),"",$AA38-AD38)</f>
        <v>#NAME?</v>
      </c>
      <c r="AG38" s="30"/>
      <c r="AH38" s="31" t="str">
        <f>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hidden="1" x14ac:dyDescent="0.25">
      <c r="A39" s="1" t="s">
        <v>109</v>
      </c>
      <c r="C39" s="25" t="s">
        <v>101</v>
      </c>
      <c r="D39" s="1" t="s">
        <v>106</v>
      </c>
      <c r="F39" s="1" t="s">
        <v>98</v>
      </c>
      <c r="H39" s="15"/>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47"/>
      <c r="P39" s="47"/>
      <c r="Q39" s="47"/>
      <c r="R39" s="47"/>
      <c r="S39" s="47"/>
      <c r="T39" s="47"/>
      <c r="U39" s="47"/>
      <c r="V39" s="47"/>
      <c r="W39" s="47"/>
      <c r="X39" s="47"/>
      <c r="Y39" s="47"/>
      <c r="Z39" s="47"/>
      <c r="AA39" s="30" t="e">
        <f ca="1">IF($I39="B1","",SUM(O39:Z39))</f>
        <v>#NAME?</v>
      </c>
      <c r="AB39" s="48" t="e">
        <f ca="1">IF(AA39=0,"",IFERROR(AA39/AA$19,""))</f>
        <v>#NAME?</v>
      </c>
      <c r="AD39" s="30"/>
      <c r="AE39" s="31" t="str">
        <f>IF(AD39=0,"",IFERROR(AD39/AD$19,""))</f>
        <v/>
      </c>
      <c r="AF39" s="51" t="e">
        <f ca="1">IF(AND($AA39="",AD39=""),"",$AA39-AD39)</f>
        <v>#NAME?</v>
      </c>
      <c r="AG39" s="30"/>
      <c r="AH39" s="31" t="str">
        <f>IF(AG39=0,"",IFERROR(AG39/AG$19,""))</f>
        <v/>
      </c>
      <c r="AI39" s="51" t="e">
        <f ca="1">IF(AND($AA39="",AG39=""),"",$AA39-AG39)</f>
        <v>#NAME?</v>
      </c>
      <c r="AJ39" s="409">
        <f ca="1">IFERROR(AA39/AA$20,0)</f>
        <v>0</v>
      </c>
      <c r="AK39" s="410">
        <f ca="1">IFERROR(AD39/AD$20,0)</f>
        <v>0</v>
      </c>
      <c r="AL39" s="411">
        <f ca="1">IFERROR(AG39/AG$20,0)</f>
        <v>0</v>
      </c>
      <c r="AM39" s="412">
        <f ca="1">+IFERROR(ROUND(($AB39-AE39)*100,2)&amp;" pts.",0)</f>
        <v>0</v>
      </c>
      <c r="AN39" s="413">
        <f ca="1">+IFERROR(ROUND(($AB39-AH39)*100,2)&amp;" pts.",0)</f>
        <v>0</v>
      </c>
    </row>
    <row r="40" spans="1:40" x14ac:dyDescent="0.25">
      <c r="A40" s="1" t="s">
        <v>109</v>
      </c>
      <c r="C40" s="151" t="s">
        <v>101</v>
      </c>
      <c r="D40" s="1" t="s">
        <v>107</v>
      </c>
      <c r="F40" s="1" t="s">
        <v>99</v>
      </c>
      <c r="H40" s="25"/>
      <c r="I40" s="25"/>
      <c r="J40" s="25"/>
      <c r="K40" s="25"/>
      <c r="L40" s="25"/>
      <c r="M40" s="25"/>
      <c r="N40" s="25"/>
      <c r="O40" s="41"/>
      <c r="P40" s="45"/>
      <c r="Q40" s="45"/>
      <c r="R40" s="45"/>
      <c r="S40" s="45"/>
      <c r="T40" s="45"/>
      <c r="U40" s="45"/>
      <c r="V40" s="45"/>
      <c r="W40" s="45"/>
      <c r="X40" s="45"/>
      <c r="Y40" s="45"/>
      <c r="Z40" s="45"/>
      <c r="AA40" s="45"/>
      <c r="AB40" s="42"/>
      <c r="AD40" s="41"/>
      <c r="AE40" s="45"/>
      <c r="AF40" s="42"/>
      <c r="AG40" s="41"/>
      <c r="AH40" s="45"/>
      <c r="AI40" s="42"/>
    </row>
    <row r="41" spans="1:40" x14ac:dyDescent="0.25">
      <c r="A41" s="1" t="s">
        <v>110</v>
      </c>
      <c r="C41" s="25" t="s">
        <v>101</v>
      </c>
      <c r="D41" s="1" t="s">
        <v>106</v>
      </c>
      <c r="F41" s="1" t="s">
        <v>98</v>
      </c>
      <c r="H41" s="1" t="s">
        <v>82</v>
      </c>
      <c r="I41" s="11" t="e">
        <f ca="1">_xll.EVPRO($B$1,$H41,"STYLE")</f>
        <v>#NAME?</v>
      </c>
      <c r="J41" s="11" t="e">
        <f ca="1">_xll.EVPRO($B$1,$H41,"CALC")</f>
        <v>#NAME?</v>
      </c>
      <c r="L41" s="1"/>
      <c r="M41" s="1"/>
      <c r="N41" s="40" t="e">
        <f ca="1">IF(_xll.EVDES(H41,$B$1)="#NODATA","",_xll.EVDES(H41,$B$1))</f>
        <v>#NAME?</v>
      </c>
      <c r="O41" s="43"/>
      <c r="P41" s="46"/>
      <c r="Q41" s="46"/>
      <c r="R41" s="46"/>
      <c r="S41" s="46"/>
      <c r="T41" s="46"/>
      <c r="U41" s="46"/>
      <c r="V41" s="46"/>
      <c r="W41" s="46"/>
      <c r="X41" s="46"/>
      <c r="Y41" s="46"/>
      <c r="Z41" s="46"/>
      <c r="AA41" s="46"/>
      <c r="AB41" s="44"/>
      <c r="AD41" s="43"/>
      <c r="AE41" s="46"/>
      <c r="AF41" s="44"/>
      <c r="AG41" s="43"/>
      <c r="AH41" s="46"/>
      <c r="AI41" s="44"/>
    </row>
    <row r="42" spans="1:40" hidden="1" x14ac:dyDescent="0.25">
      <c r="A42" s="1" t="s">
        <v>110</v>
      </c>
      <c r="C42" s="29" t="s">
        <v>101</v>
      </c>
      <c r="D42" s="1" t="s">
        <v>107</v>
      </c>
      <c r="F42" s="1" t="s">
        <v>99</v>
      </c>
      <c r="H42" s="15" t="s">
        <v>667</v>
      </c>
      <c r="I42" s="161" t="e">
        <f ca="1">_xll.EVPRO($B$1,$H42,"STYLE")</f>
        <v>#NAME?</v>
      </c>
      <c r="J42" s="161" t="e">
        <f ca="1">_xll.EVPRO($B$1,$H42,"CALC")</f>
        <v>#NAME?</v>
      </c>
      <c r="K42" s="68" t="e">
        <f ca="1">IF(AND(I42&gt;="T3"),"&gt;","")</f>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21" t="e">
        <f ca="1">IF($I42="B1","",SUM(O42:Z42))</f>
        <v>#NAME?</v>
      </c>
      <c r="AB42" s="17" t="e">
        <f ca="1">IF(AA42=0,"",IFERROR(AA42/AA$19,""))</f>
        <v>#NAME?</v>
      </c>
      <c r="AD42" s="21"/>
      <c r="AE42" s="17" t="str">
        <f>IF(AD42=0,"",IFERROR(AD42/AD$19,""))</f>
        <v/>
      </c>
      <c r="AF42" s="50" t="e">
        <f ca="1">IF(AND($AA42="",AD42=""),"",$AA42-AD42)</f>
        <v>#NAME?</v>
      </c>
      <c r="AG42" s="21"/>
      <c r="AH42" s="17" t="str">
        <f>IF(AG42=0,"",IFERROR(AG42/AG$19,""))</f>
        <v/>
      </c>
      <c r="AI42" s="50" t="e">
        <f ca="1">IF(AND($AA42="",AG42=""),"",$AA42-AG42)</f>
        <v>#NAME?</v>
      </c>
      <c r="AJ42" s="399">
        <f ca="1">IFERROR(AA42/AA$20,0)</f>
        <v>0</v>
      </c>
      <c r="AK42" s="400">
        <f ca="1">IFERROR(AD42/AD$20,0)</f>
        <v>0</v>
      </c>
      <c r="AL42" s="401">
        <f ca="1">IFERROR(AG42/AG$20,0)</f>
        <v>0</v>
      </c>
      <c r="AM42" s="402">
        <f ca="1">+IFERROR(ROUND(($AB42-AE42)*100,2)&amp;" pts.",0)</f>
        <v>0</v>
      </c>
      <c r="AN42" s="403">
        <f ca="1">+IFERROR(ROUND(($AB42-AH42)*100,2)&amp;" pts.",0)</f>
        <v>0</v>
      </c>
    </row>
    <row r="43" spans="1:40" hidden="1" x14ac:dyDescent="0.25">
      <c r="C43" s="32"/>
      <c r="H43" s="15"/>
      <c r="I43" s="161" t="e">
        <f ca="1">_xll.EVPRO($B$1,$H43,"STYLE")</f>
        <v>#NAME?</v>
      </c>
      <c r="J43" s="161" t="e">
        <f ca="1">_xll.EVPRO($B$1,$H43,"CALC")</f>
        <v>#NAME?</v>
      </c>
      <c r="K43" s="68" t="e">
        <f ca="1">IF(AND(I43&gt;="T3"),"&gt;","")</f>
        <v>#NAME?</v>
      </c>
      <c r="L43" s="162" t="e">
        <f ca="1">_xll.EVPRO($B$1,H43,"JDEID")</f>
        <v>#NAME?</v>
      </c>
      <c r="M43" s="162" t="e">
        <f ca="1">IF(AND(I43="N",J43="N"),_xll.EVPRO($B$1,H43,"PSFTID"),"")</f>
        <v>#NAME?</v>
      </c>
      <c r="N43" s="162" t="e">
        <f ca="1">IF(_xll.EVDES(H43,$B$1)="#NODATA","",_xll.EVDES(H43,$B$1))</f>
        <v>#NAME?</v>
      </c>
      <c r="O43" s="21"/>
      <c r="P43" s="21"/>
      <c r="Q43" s="21"/>
      <c r="R43" s="21"/>
      <c r="S43" s="21"/>
      <c r="T43" s="21"/>
      <c r="U43" s="21"/>
      <c r="V43" s="21"/>
      <c r="W43" s="21"/>
      <c r="X43" s="21"/>
      <c r="Y43" s="21"/>
      <c r="Z43" s="21"/>
      <c r="AA43" s="21" t="e">
        <f ca="1">IF($I43="B1","",SUM(O43:Z43))</f>
        <v>#NAME?</v>
      </c>
      <c r="AB43" s="17" t="e">
        <f ca="1">IF(AA43=0,"",IFERROR(AA43/AA$19,""))</f>
        <v>#NAME?</v>
      </c>
      <c r="AD43" s="21"/>
      <c r="AE43" s="17" t="str">
        <f>IF(AD43=0,"",IFERROR(AD43/AD$19,""))</f>
        <v/>
      </c>
      <c r="AF43" s="50" t="e">
        <f ca="1">IF(AND($AA43="",AD43=""),"",$AA43-AD43)</f>
        <v>#NAME?</v>
      </c>
      <c r="AG43" s="21"/>
      <c r="AH43" s="17" t="str">
        <f>IF(AG43=0,"",IFERROR(AG43/AG$19,""))</f>
        <v/>
      </c>
      <c r="AI43" s="50" t="e">
        <f ca="1">IF(AND($AA43="",AG43=""),"",$AA43-AG43)</f>
        <v>#NAME?</v>
      </c>
      <c r="AJ43" s="399">
        <f ca="1">IFERROR(AA43/AA$20,0)</f>
        <v>0</v>
      </c>
      <c r="AK43" s="400">
        <f ca="1">IFERROR(AD43/AD$20,0)</f>
        <v>0</v>
      </c>
      <c r="AL43" s="401">
        <f ca="1">IFERROR(AG43/AG$20,0)</f>
        <v>0</v>
      </c>
      <c r="AM43" s="402">
        <f ca="1">+IFERROR(ROUND(($AB43-AE43)*100,2)&amp;" pts.",0)</f>
        <v>0</v>
      </c>
      <c r="AN43" s="403">
        <f ca="1">+IFERROR(ROUND(($AB43-AH43)*100,2)&amp;" pts.",0)</f>
        <v>0</v>
      </c>
    </row>
    <row r="44" spans="1:40" x14ac:dyDescent="0.25">
      <c r="C44" s="32"/>
      <c r="H44" s="15" t="s">
        <v>79</v>
      </c>
      <c r="I44" s="27" t="e">
        <f ca="1">_xll.EVPRO($B$1,$H44,"STYLE")</f>
        <v>#NAME?</v>
      </c>
      <c r="J44" s="27" t="e">
        <f ca="1">_xll.EVPRO($B$1,$H44,"CALC")</f>
        <v>#NAME?</v>
      </c>
      <c r="K44" s="26"/>
      <c r="N44" s="25" t="e">
        <f ca="1">IF(_xll.EVDES(H44,$B$1)="#NODATA","",_xll.EVDES(H44,$B$1))</f>
        <v>#NAME?</v>
      </c>
      <c r="O44" s="33">
        <f t="shared" ref="O44:Z44" si="0">SUM(O42:O43)</f>
        <v>0</v>
      </c>
      <c r="P44" s="33">
        <f t="shared" si="0"/>
        <v>0</v>
      </c>
      <c r="Q44" s="33">
        <f t="shared" si="0"/>
        <v>0</v>
      </c>
      <c r="R44" s="33">
        <f t="shared" si="0"/>
        <v>0</v>
      </c>
      <c r="S44" s="33">
        <f t="shared" si="0"/>
        <v>0</v>
      </c>
      <c r="T44" s="33">
        <f t="shared" si="0"/>
        <v>0</v>
      </c>
      <c r="U44" s="33">
        <f t="shared" si="0"/>
        <v>0</v>
      </c>
      <c r="V44" s="33">
        <f t="shared" si="0"/>
        <v>0</v>
      </c>
      <c r="W44" s="33">
        <f t="shared" si="0"/>
        <v>0</v>
      </c>
      <c r="X44" s="33">
        <f t="shared" si="0"/>
        <v>0</v>
      </c>
      <c r="Y44" s="33">
        <f t="shared" si="0"/>
        <v>0</v>
      </c>
      <c r="Z44" s="33">
        <f t="shared" si="0"/>
        <v>0</v>
      </c>
      <c r="AA44" s="33" t="e">
        <f ca="1">IF($I44="B1","",SUM(O44:Z44))</f>
        <v>#NAME?</v>
      </c>
      <c r="AB44" s="34" t="e">
        <f ca="1">IF(AA44=0,"",IFERROR(AA44/AA$19,""))</f>
        <v>#NAME?</v>
      </c>
      <c r="AD44" s="33">
        <f>SUM(AD42:AD43)</f>
        <v>0</v>
      </c>
      <c r="AE44" s="34" t="str">
        <f>IF(AD44=0,"",IFERROR(AD44/AD$19,""))</f>
        <v/>
      </c>
      <c r="AF44" s="52" t="e">
        <f ca="1">IF(AND($AA44="",AD44=""),"",$AA44-AD44)</f>
        <v>#NAME?</v>
      </c>
      <c r="AG44" s="33">
        <f>SUM(AG42:AG43)</f>
        <v>0</v>
      </c>
      <c r="AH44" s="34" t="str">
        <f>IF(AG44=0,"",IFERROR(AG44/AG$19,""))</f>
        <v/>
      </c>
      <c r="AI44" s="52" t="e">
        <f ca="1">IF(AND($AA44="",AG44=""),"",$AA44-AG44)</f>
        <v>#NAME?</v>
      </c>
      <c r="AJ44" s="415">
        <f ca="1">IFERROR(AA44/AA$20,0)</f>
        <v>0</v>
      </c>
      <c r="AK44" s="416">
        <f ca="1">IFERROR(AD44/AD$20,0)</f>
        <v>0</v>
      </c>
      <c r="AL44" s="417">
        <f ca="1">IFERROR(AG44/AG$20,0)</f>
        <v>0</v>
      </c>
      <c r="AM44" s="418">
        <f ca="1">+IFERROR(ROUND(($AB44-AE44)*100,2)&amp;" pts.",0)</f>
        <v>0</v>
      </c>
      <c r="AN44" s="436">
        <f ca="1">+IFERROR(ROUND(($AB44-AH44)*100,2)&amp;" pts.",0)</f>
        <v>0</v>
      </c>
    </row>
    <row r="45" spans="1:40" x14ac:dyDescent="0.25">
      <c r="A45" s="4" t="e">
        <f ca="1">_xll.EVDRE($B$1,A48:B55)</f>
        <v>#NAME?</v>
      </c>
      <c r="B45" s="1" t="s">
        <v>740</v>
      </c>
      <c r="C45" s="32"/>
      <c r="O45" s="53"/>
      <c r="P45" s="54"/>
      <c r="Q45" s="54"/>
      <c r="R45" s="54"/>
      <c r="S45" s="54"/>
      <c r="T45" s="54"/>
      <c r="U45" s="54"/>
      <c r="V45" s="54"/>
      <c r="W45" s="54"/>
      <c r="X45" s="54"/>
      <c r="Y45" s="54"/>
      <c r="Z45" s="54"/>
      <c r="AA45" s="54"/>
      <c r="AB45" s="55"/>
      <c r="AD45" s="53"/>
      <c r="AE45" s="54"/>
      <c r="AF45" s="55"/>
      <c r="AG45" s="53"/>
      <c r="AH45" s="54"/>
      <c r="AI45" s="55"/>
    </row>
    <row r="46" spans="1:40" x14ac:dyDescent="0.25">
      <c r="C46" s="32"/>
      <c r="H46" s="15" t="s">
        <v>80</v>
      </c>
      <c r="I46" s="27" t="e">
        <f ca="1">_xll.EVPRO($B$1,$H46,"STYLE")</f>
        <v>#NAME?</v>
      </c>
      <c r="J46" s="27" t="e">
        <f ca="1">_xll.EVPRO($B$1,$H46,"CALC")</f>
        <v>#NAME?</v>
      </c>
      <c r="K46" s="25"/>
      <c r="N46" s="25" t="e">
        <f ca="1">IF(_xll.EVDES(H46,$B$1)="#NODATA","",_xll.EVDES(H46,$B$1))</f>
        <v>#NAME?</v>
      </c>
      <c r="O46" s="164">
        <f t="shared" ref="O46:Z46" si="1">SUMIF($H$33:$H$45,"600000",O$33:O$45)+SUMIF($H$33:$H$45,"700000",O$33:O$45)</f>
        <v>0</v>
      </c>
      <c r="P46" s="164">
        <f t="shared" si="1"/>
        <v>0</v>
      </c>
      <c r="Q46" s="164">
        <f t="shared" si="1"/>
        <v>0</v>
      </c>
      <c r="R46" s="164">
        <f t="shared" si="1"/>
        <v>0</v>
      </c>
      <c r="S46" s="164">
        <f t="shared" si="1"/>
        <v>0</v>
      </c>
      <c r="T46" s="164">
        <f t="shared" si="1"/>
        <v>0</v>
      </c>
      <c r="U46" s="164">
        <f t="shared" si="1"/>
        <v>0</v>
      </c>
      <c r="V46" s="164">
        <f t="shared" si="1"/>
        <v>0</v>
      </c>
      <c r="W46" s="164">
        <f t="shared" si="1"/>
        <v>0</v>
      </c>
      <c r="X46" s="164">
        <f t="shared" si="1"/>
        <v>0</v>
      </c>
      <c r="Y46" s="164">
        <f t="shared" si="1"/>
        <v>0</v>
      </c>
      <c r="Z46" s="164">
        <f t="shared" si="1"/>
        <v>0</v>
      </c>
      <c r="AA46" s="164" t="e">
        <f ca="1">IF($I46="B1","",SUM(O46:Z46))</f>
        <v>#NAME?</v>
      </c>
      <c r="AB46" s="175" t="e">
        <f ca="1">IF(AA46=0,"",IFERROR(AA46/AA$19,""))</f>
        <v>#NAME?</v>
      </c>
      <c r="AD46" s="164">
        <f>SUMIF($H$33:$H$45,"600000",AD$33:AD$45)+SUMIF($H$33:$H$45,"700000",AD$33:AD$45)</f>
        <v>0</v>
      </c>
      <c r="AE46" s="175" t="str">
        <f>IF(AD46=0,"",IFERROR(AD46/AD$19,""))</f>
        <v/>
      </c>
      <c r="AF46" s="165" t="e">
        <f ca="1">IF(AND($AA46="",AD46=""),"",$AA46-AD46)</f>
        <v>#NAME?</v>
      </c>
      <c r="AG46" s="164">
        <f>SUMIF($H$33:$H$45,"600000",AG$33:AG$45)+SUMIF($H$33:$H$45,"700000",AG$33:AG$45)</f>
        <v>0</v>
      </c>
      <c r="AH46" s="175" t="str">
        <f>IF(AG46=0,"",IFERROR(AG46/AG$19,""))</f>
        <v/>
      </c>
      <c r="AI46" s="165" t="e">
        <f ca="1">IF(AND($AA46="",AG46=""),"",$AA46-AG46)</f>
        <v>#NAME?</v>
      </c>
      <c r="AJ46" s="392">
        <f ca="1">IFERROR(AA46/AA$20,0)</f>
        <v>0</v>
      </c>
      <c r="AK46" s="393">
        <f ca="1">IFERROR(AD46/AD$20,0)</f>
        <v>0</v>
      </c>
      <c r="AL46" s="394">
        <f ca="1">IFERROR(AG46/AG$20,0)</f>
        <v>0</v>
      </c>
      <c r="AM46" s="395">
        <f ca="1">+IFERROR(ROUND(($AB46-AE46)*100,2)&amp;" pts.",0)</f>
        <v>0</v>
      </c>
      <c r="AN46" s="437">
        <f ca="1">+IFERROR(ROUND(($AB46-AH46)*100,2)&amp;" pts.",0)</f>
        <v>0</v>
      </c>
    </row>
    <row r="47" spans="1:40" x14ac:dyDescent="0.25">
      <c r="A47" s="3" t="s">
        <v>0</v>
      </c>
      <c r="B47" s="5" t="s">
        <v>1</v>
      </c>
      <c r="C47" s="32"/>
      <c r="I47" s="1"/>
      <c r="J47" s="1"/>
      <c r="L47" s="1"/>
      <c r="M47" s="1"/>
      <c r="O47" s="53"/>
      <c r="P47" s="54"/>
      <c r="Q47" s="54"/>
      <c r="R47" s="54"/>
      <c r="S47" s="54"/>
      <c r="T47" s="54"/>
      <c r="U47" s="54"/>
      <c r="V47" s="54"/>
      <c r="W47" s="54"/>
      <c r="X47" s="54"/>
      <c r="Y47" s="54"/>
      <c r="Z47" s="54"/>
      <c r="AA47" s="54"/>
      <c r="AB47" s="55"/>
      <c r="AD47" s="53"/>
      <c r="AE47" s="54"/>
      <c r="AF47" s="55"/>
      <c r="AG47" s="53"/>
      <c r="AH47" s="54"/>
      <c r="AI47" s="55"/>
    </row>
    <row r="48" spans="1:40" x14ac:dyDescent="0.25">
      <c r="A48" s="6" t="s">
        <v>2</v>
      </c>
      <c r="B48" s="7" t="e">
        <f ca="1">_xll.EVRNG($B$2:$B$10)</f>
        <v>#NAME?</v>
      </c>
      <c r="C48" s="32"/>
      <c r="I48" s="1"/>
      <c r="J48" s="1"/>
      <c r="L48" s="1"/>
      <c r="M48" s="1"/>
      <c r="N48" s="40" t="s">
        <v>596</v>
      </c>
      <c r="O48" s="43"/>
      <c r="P48" s="46"/>
      <c r="Q48" s="46"/>
      <c r="R48" s="46"/>
      <c r="S48" s="46"/>
      <c r="T48" s="46"/>
      <c r="U48" s="46"/>
      <c r="V48" s="46"/>
      <c r="W48" s="46"/>
      <c r="X48" s="46"/>
      <c r="Y48" s="46"/>
      <c r="Z48" s="46"/>
      <c r="AA48" s="46"/>
      <c r="AB48" s="44"/>
      <c r="AD48" s="43"/>
      <c r="AE48" s="46"/>
      <c r="AF48" s="44"/>
      <c r="AG48" s="43"/>
      <c r="AH48" s="46"/>
      <c r="AI48" s="44"/>
    </row>
    <row r="49" spans="1:40" x14ac:dyDescent="0.25">
      <c r="A49" s="6" t="s">
        <v>3</v>
      </c>
      <c r="B49" s="7" t="e">
        <f ca="1">_xll.EVRNG($O$16:$AN$18)</f>
        <v>#NAME?</v>
      </c>
      <c r="C49" s="32"/>
      <c r="H49" s="15" t="s">
        <v>592</v>
      </c>
      <c r="I49" s="161" t="e">
        <f ca="1">_xll.EVPRO($B$1,$H49,"STYLE")</f>
        <v>#NAME?</v>
      </c>
      <c r="J49" s="161" t="e">
        <f ca="1">_xll.EVPRO($B$1,$H49,"CALC")</f>
        <v>#NAME?</v>
      </c>
      <c r="K49" s="68" t="e">
        <f ca="1">IF(AND(I49&gt;="T3"),"&gt;","")</f>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21" t="e">
        <f ca="1">IF($I49="B1","",SUM(O49:Z49))</f>
        <v>#NAME?</v>
      </c>
      <c r="AB49" s="17" t="e">
        <f ca="1">IF(AA49=0,"",IFERROR(AA49/AA$19,""))</f>
        <v>#NAME?</v>
      </c>
      <c r="AD49" s="21"/>
      <c r="AE49" s="17" t="str">
        <f>IF(AD49=0,"",IFERROR(AD49/AD$19,""))</f>
        <v/>
      </c>
      <c r="AF49" s="50" t="e">
        <f ca="1">IF(AND($AA49="",AD49=""),"",$AA49-AD49)</f>
        <v>#NAME?</v>
      </c>
      <c r="AG49" s="21"/>
      <c r="AH49" s="17" t="str">
        <f>IF(AG49=0,"",IFERROR(AG49/AG$19,""))</f>
        <v/>
      </c>
      <c r="AI49" s="50" t="e">
        <f ca="1">IF(AND($AA49="",AG49=""),"",$AA49-AG49)</f>
        <v>#NAME?</v>
      </c>
      <c r="AJ49" s="399">
        <f ca="1">IFERROR(AA49/AA$20,0)</f>
        <v>0</v>
      </c>
      <c r="AK49" s="400">
        <f ca="1">IFERROR(AD49/AD$20,0)</f>
        <v>0</v>
      </c>
      <c r="AL49" s="401">
        <f ca="1">IFERROR(AG49/AG$20,0)</f>
        <v>0</v>
      </c>
      <c r="AM49" s="402">
        <f ca="1">+IFERROR(ROUND(($AB49-AE49)*100,2)&amp;" pts.",0)</f>
        <v>0</v>
      </c>
      <c r="AN49" s="403">
        <f ca="1">+IFERROR(ROUND(($AB49-AH49)*100,2)&amp;" pts.",0)</f>
        <v>0</v>
      </c>
    </row>
    <row r="50" spans="1:40" x14ac:dyDescent="0.25">
      <c r="A50" s="6" t="s">
        <v>4</v>
      </c>
      <c r="B50" s="7" t="e">
        <f ca="1">_xll.EVRNG(H49:H50)</f>
        <v>#NAME?</v>
      </c>
      <c r="C50" s="32"/>
      <c r="H50" s="15" t="s">
        <v>593</v>
      </c>
      <c r="I50" s="161" t="e">
        <f ca="1">_xll.EVPRO($B$1,$H50,"STYLE")</f>
        <v>#NAME?</v>
      </c>
      <c r="J50" s="161" t="e">
        <f ca="1">_xll.EVPRO($B$1,$H50,"CALC")</f>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ca="1">IF($I50="B1","",SUM(O50:Z50))</f>
        <v>#NAME?</v>
      </c>
      <c r="AB50" s="17" t="e">
        <f ca="1">IF(AA50=0,"",IFERROR(AA50/AA$19,""))</f>
        <v>#NAME?</v>
      </c>
      <c r="AD50" s="21"/>
      <c r="AE50" s="17" t="str">
        <f>IF(AD50=0,"",IFERROR(AD50/AD$19,""))</f>
        <v/>
      </c>
      <c r="AF50" s="50" t="e">
        <f ca="1">IF(AND($AA50="",AD50=""),"",$AA50-AD50)</f>
        <v>#NAME?</v>
      </c>
      <c r="AG50" s="21"/>
      <c r="AH50" s="17" t="str">
        <f>IF(AG50=0,"",IFERROR(AG50/AG$19,""))</f>
        <v/>
      </c>
      <c r="AI50" s="50" t="e">
        <f ca="1">IF(AND($AA50="",AG50=""),"",$AA50-AG50)</f>
        <v>#NAME?</v>
      </c>
      <c r="AJ50" s="409">
        <f ca="1">IFERROR(AA50/AA$20,0)</f>
        <v>0</v>
      </c>
      <c r="AK50" s="410">
        <f ca="1">IFERROR(AD50/AD$20,0)</f>
        <v>0</v>
      </c>
      <c r="AL50" s="411">
        <f ca="1">IFERROR(AG50/AG$20,0)</f>
        <v>0</v>
      </c>
      <c r="AM50" s="412">
        <f ca="1">+IFERROR(ROUND(($AB50-AE50)*100,2)&amp;" pts.",0)</f>
        <v>0</v>
      </c>
      <c r="AN50" s="413">
        <f ca="1">+IFERROR(ROUND(($AB50-AH50)*100,2)&amp;" pts.",0)</f>
        <v>0</v>
      </c>
    </row>
    <row r="51" spans="1:40" x14ac:dyDescent="0.25">
      <c r="A51" s="6" t="s">
        <v>5</v>
      </c>
      <c r="B51" s="7"/>
      <c r="C51" s="32"/>
      <c r="N51" s="25" t="s">
        <v>557</v>
      </c>
      <c r="O51" s="33">
        <f>SUM(O49:O50)</f>
        <v>0</v>
      </c>
      <c r="P51" s="33">
        <f t="shared" ref="P51:Z51" si="2">SUM(P49:P50)</f>
        <v>0</v>
      </c>
      <c r="Q51" s="33">
        <f t="shared" si="2"/>
        <v>0</v>
      </c>
      <c r="R51" s="33">
        <f t="shared" si="2"/>
        <v>0</v>
      </c>
      <c r="S51" s="33">
        <f t="shared" si="2"/>
        <v>0</v>
      </c>
      <c r="T51" s="33">
        <f t="shared" si="2"/>
        <v>0</v>
      </c>
      <c r="U51" s="33">
        <f t="shared" si="2"/>
        <v>0</v>
      </c>
      <c r="V51" s="33">
        <f t="shared" si="2"/>
        <v>0</v>
      </c>
      <c r="W51" s="33">
        <f t="shared" si="2"/>
        <v>0</v>
      </c>
      <c r="X51" s="33">
        <f t="shared" si="2"/>
        <v>0</v>
      </c>
      <c r="Y51" s="33">
        <f t="shared" si="2"/>
        <v>0</v>
      </c>
      <c r="Z51" s="33">
        <f t="shared" si="2"/>
        <v>0</v>
      </c>
      <c r="AA51" s="33">
        <f>IF($I51="B1","",SUM(O51:Z51))</f>
        <v>0</v>
      </c>
      <c r="AB51" s="34" t="str">
        <f>IF(AA51=0,"",IFERROR(AA51/AA$19,""))</f>
        <v/>
      </c>
      <c r="AD51" s="33">
        <f>SUM(AD49:AD50)</f>
        <v>0</v>
      </c>
      <c r="AE51" s="34" t="str">
        <f>IF(AD51=0,"",IFERROR(AD51/AD$19,""))</f>
        <v/>
      </c>
      <c r="AF51" s="52">
        <f>IF(AND($AA51="",AD51=""),"",$AA51-AD51)</f>
        <v>0</v>
      </c>
      <c r="AG51" s="33">
        <f>SUM(AG49:AG50)</f>
        <v>0</v>
      </c>
      <c r="AH51" s="34" t="str">
        <f>IF(AG51=0,"",IFERROR(AG51/AG$19,""))</f>
        <v/>
      </c>
      <c r="AI51" s="52">
        <f>IF(AND($AA51="",AG51=""),"",$AA51-AG51)</f>
        <v>0</v>
      </c>
      <c r="AJ51" s="415">
        <f ca="1">IFERROR(AA51/AA$20,0)</f>
        <v>0</v>
      </c>
      <c r="AK51" s="416">
        <f ca="1">IFERROR(AD51/AD$20,0)</f>
        <v>0</v>
      </c>
      <c r="AL51" s="417">
        <f ca="1">IFERROR(AG51/AG$20,0)</f>
        <v>0</v>
      </c>
      <c r="AM51" s="418">
        <f>+IFERROR(ROUND(($AB51-AE51)*100,2)&amp;" pts.",0)</f>
        <v>0</v>
      </c>
      <c r="AN51" s="436">
        <f>+IFERROR(ROUND(($AB51-AH51)*100,2)&amp;" pts.",0)</f>
        <v>0</v>
      </c>
    </row>
    <row r="52" spans="1:40" x14ac:dyDescent="0.25">
      <c r="A52" s="6" t="s">
        <v>6</v>
      </c>
      <c r="B52" s="7"/>
      <c r="C52" s="32"/>
      <c r="N52" s="25"/>
      <c r="O52" s="43"/>
      <c r="P52" s="46"/>
      <c r="Q52" s="46"/>
      <c r="R52" s="46"/>
      <c r="S52" s="46"/>
      <c r="T52" s="46"/>
      <c r="U52" s="46"/>
      <c r="V52" s="46"/>
      <c r="W52" s="46"/>
      <c r="X52" s="46"/>
      <c r="Y52" s="46"/>
      <c r="Z52" s="46"/>
      <c r="AA52" s="46"/>
      <c r="AB52" s="44"/>
      <c r="AD52" s="43"/>
      <c r="AE52" s="46"/>
      <c r="AF52" s="44"/>
      <c r="AG52" s="43"/>
      <c r="AH52" s="46"/>
      <c r="AI52" s="44"/>
    </row>
    <row r="53" spans="1:40" ht="15.75" thickBot="1" x14ac:dyDescent="0.3">
      <c r="A53" s="6" t="s">
        <v>7</v>
      </c>
      <c r="B53" s="7"/>
      <c r="C53" s="32"/>
      <c r="N53" s="25" t="s">
        <v>556</v>
      </c>
      <c r="O53" s="62">
        <f>O46+O51</f>
        <v>0</v>
      </c>
      <c r="P53" s="62">
        <f t="shared" ref="P53:Z53" si="3">P46+P51</f>
        <v>0</v>
      </c>
      <c r="Q53" s="62">
        <f t="shared" si="3"/>
        <v>0</v>
      </c>
      <c r="R53" s="62">
        <f t="shared" si="3"/>
        <v>0</v>
      </c>
      <c r="S53" s="62">
        <f t="shared" si="3"/>
        <v>0</v>
      </c>
      <c r="T53" s="62">
        <f t="shared" si="3"/>
        <v>0</v>
      </c>
      <c r="U53" s="62">
        <f t="shared" si="3"/>
        <v>0</v>
      </c>
      <c r="V53" s="62">
        <f t="shared" si="3"/>
        <v>0</v>
      </c>
      <c r="W53" s="62">
        <f t="shared" si="3"/>
        <v>0</v>
      </c>
      <c r="X53" s="62">
        <f t="shared" si="3"/>
        <v>0</v>
      </c>
      <c r="Y53" s="62">
        <f t="shared" si="3"/>
        <v>0</v>
      </c>
      <c r="Z53" s="62">
        <f t="shared" si="3"/>
        <v>0</v>
      </c>
      <c r="AA53" s="62">
        <f>IF($I53="B1","",SUM(O53:Z53))</f>
        <v>0</v>
      </c>
      <c r="AB53" s="63" t="str">
        <f>IF(AA53=0,"",IFERROR(AA53/AA$19,""))</f>
        <v/>
      </c>
      <c r="AD53" s="62">
        <f>AD46+AD51</f>
        <v>0</v>
      </c>
      <c r="AE53" s="63" t="str">
        <f>IF(AD53=0,"",IFERROR(AD53/AD$19,""))</f>
        <v/>
      </c>
      <c r="AF53" s="64">
        <f>IF(AND($AA53="",AD53=""),"",$AA53-AD53)</f>
        <v>0</v>
      </c>
      <c r="AG53" s="62">
        <f>AG46+AG51</f>
        <v>0</v>
      </c>
      <c r="AH53" s="63" t="str">
        <f>IF(AG53=0,"",IFERROR(AG53/AG$19,""))</f>
        <v/>
      </c>
      <c r="AI53" s="64">
        <f>IF(AND($AA53="",AG53=""),"",$AA53-AG53)</f>
        <v>0</v>
      </c>
      <c r="AJ53" s="430">
        <f ca="1">IFERROR(AA53/AA$20,0)</f>
        <v>0</v>
      </c>
      <c r="AK53" s="431">
        <f ca="1">IFERROR(AD53/AD$20,0)</f>
        <v>0</v>
      </c>
      <c r="AL53" s="432">
        <f ca="1">IFERROR(AG53/AG$20,0)</f>
        <v>0</v>
      </c>
      <c r="AM53" s="433">
        <f>+IFERROR(ROUND(($AB53-AE53)*100,2)&amp;" pts.",0)</f>
        <v>0</v>
      </c>
      <c r="AN53" s="438">
        <f>+IFERROR(ROUND(($AB53-AH53)*100,2)&amp;" pts.",0)</f>
        <v>0</v>
      </c>
    </row>
    <row r="54" spans="1:40" ht="15.75" thickTop="1" x14ac:dyDescent="0.25">
      <c r="A54" s="6" t="s">
        <v>47</v>
      </c>
      <c r="B54" s="7" t="e">
        <f ca="1">_xll.EVRNG($A$81:$B$102)</f>
        <v>#NAME?</v>
      </c>
      <c r="C54" s="32"/>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C55" s="32"/>
      <c r="N55" s="40" t="s">
        <v>595</v>
      </c>
      <c r="O55" s="43"/>
      <c r="P55" s="46"/>
      <c r="Q55" s="46"/>
      <c r="R55" s="46"/>
      <c r="S55" s="46"/>
      <c r="T55" s="46"/>
      <c r="U55" s="46"/>
      <c r="V55" s="46"/>
      <c r="W55" s="46"/>
      <c r="X55" s="46"/>
      <c r="Y55" s="46"/>
      <c r="Z55" s="46"/>
      <c r="AA55" s="46"/>
      <c r="AB55" s="44"/>
      <c r="AD55" s="43"/>
      <c r="AE55" s="46"/>
      <c r="AF55" s="44"/>
      <c r="AG55" s="43"/>
      <c r="AH55" s="46"/>
      <c r="AI55" s="44"/>
    </row>
    <row r="56" spans="1:40" hidden="1" x14ac:dyDescent="0.25">
      <c r="C56" s="32"/>
      <c r="H56" s="149" t="s">
        <v>667</v>
      </c>
      <c r="I56" s="161" t="e">
        <f ca="1">_xll.EVPRO($B$1,$H56,"STYLE")</f>
        <v>#NAME?</v>
      </c>
      <c r="J56" s="161" t="e">
        <f ca="1">_xll.EVPRO($B$1,$H56,"CALC")</f>
        <v>#NAME?</v>
      </c>
      <c r="K56" s="162"/>
      <c r="L56" s="162"/>
      <c r="M56" s="162"/>
      <c r="N56" s="162" t="e">
        <f ca="1">IF(_xll.EVDES(H56,$B$1)="#NODATA","",_xll.EVDES(H56,$B$1))</f>
        <v>#NAME?</v>
      </c>
      <c r="O56" s="21"/>
      <c r="P56" s="21"/>
      <c r="Q56" s="21"/>
      <c r="R56" s="21"/>
      <c r="S56" s="21"/>
      <c r="T56" s="21"/>
      <c r="U56" s="21"/>
      <c r="V56" s="21"/>
      <c r="W56" s="21"/>
      <c r="X56" s="21"/>
      <c r="Y56" s="21"/>
      <c r="Z56" s="21"/>
      <c r="AA56" s="21"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hidden="1" x14ac:dyDescent="0.25">
      <c r="C57" s="32"/>
      <c r="H57" s="149"/>
      <c r="I57" s="161" t="e">
        <f ca="1">_xll.EVPRO($B$1,$H57,"STYLE")</f>
        <v>#NAME?</v>
      </c>
      <c r="J57" s="161" t="e">
        <f ca="1">_xll.EVPRO($B$1,$H57,"CALC")</f>
        <v>#NAME?</v>
      </c>
      <c r="K57" s="162"/>
      <c r="L57" s="162"/>
      <c r="M57" s="162"/>
      <c r="N57" s="162" t="e">
        <f ca="1">IF(_xll.EVDES(H57,$B$1)="#NODATA","",_xll.EVDES(H57,$B$1))</f>
        <v>#NAME?</v>
      </c>
      <c r="O57" s="21"/>
      <c r="P57" s="21"/>
      <c r="Q57" s="21"/>
      <c r="R57" s="21"/>
      <c r="S57" s="21"/>
      <c r="T57" s="21"/>
      <c r="U57" s="21"/>
      <c r="V57" s="21"/>
      <c r="W57" s="21"/>
      <c r="X57" s="21"/>
      <c r="Y57" s="21"/>
      <c r="Z57" s="21"/>
      <c r="AA57" s="21" t="e">
        <f ca="1">IF($I57="B1","",SUM(O57:Z57))</f>
        <v>#NAME?</v>
      </c>
      <c r="AB57" s="17" t="e">
        <f ca="1">IF(AA57=0,"",IFERROR(AA57/AA$19,""))</f>
        <v>#NAME?</v>
      </c>
      <c r="AD57" s="21"/>
      <c r="AE57" s="17" t="str">
        <f>IF(AD57=0,"",IFERROR(AD57/AD$19,""))</f>
        <v/>
      </c>
      <c r="AF57" s="50" t="e">
        <f ca="1">IF(AND($AA57="",AD57=""),"",$AA57-AD57)</f>
        <v>#NAME?</v>
      </c>
      <c r="AG57" s="21"/>
      <c r="AH57" s="17" t="str">
        <f>IF(AG57=0,"",IFERROR(AG57/AG$19,""))</f>
        <v/>
      </c>
      <c r="AI57" s="50"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x14ac:dyDescent="0.25">
      <c r="A58" s="4" t="e">
        <f ca="1">_xll.EVDRE($B$1,A61:B68,A71:B77)</f>
        <v>#NAME?</v>
      </c>
      <c r="H58" s="11"/>
      <c r="J58" s="1"/>
      <c r="N58" s="25" t="s">
        <v>555</v>
      </c>
      <c r="O58" s="33">
        <f t="shared" ref="O58:Z58" si="4">SUM(O56:O57)</f>
        <v>0</v>
      </c>
      <c r="P58" s="33">
        <f t="shared" si="4"/>
        <v>0</v>
      </c>
      <c r="Q58" s="33">
        <f t="shared" si="4"/>
        <v>0</v>
      </c>
      <c r="R58" s="33">
        <f t="shared" si="4"/>
        <v>0</v>
      </c>
      <c r="S58" s="33">
        <f t="shared" si="4"/>
        <v>0</v>
      </c>
      <c r="T58" s="33">
        <f t="shared" si="4"/>
        <v>0</v>
      </c>
      <c r="U58" s="33">
        <f t="shared" si="4"/>
        <v>0</v>
      </c>
      <c r="V58" s="33">
        <f t="shared" si="4"/>
        <v>0</v>
      </c>
      <c r="W58" s="33">
        <f t="shared" si="4"/>
        <v>0</v>
      </c>
      <c r="X58" s="33">
        <f t="shared" si="4"/>
        <v>0</v>
      </c>
      <c r="Y58" s="33">
        <f t="shared" si="4"/>
        <v>0</v>
      </c>
      <c r="Z58" s="33">
        <f t="shared" si="4"/>
        <v>0</v>
      </c>
      <c r="AA58" s="33">
        <f>IF($I58="B1","",SUM(O58:Z58))</f>
        <v>0</v>
      </c>
      <c r="AB58" s="34" t="str">
        <f>IF(AA58=0,"",IFERROR(AA58/AA$19,""))</f>
        <v/>
      </c>
      <c r="AD58" s="33">
        <f>SUM(AD56:AD57)</f>
        <v>0</v>
      </c>
      <c r="AE58" s="34" t="str">
        <f>IF(AD58=0,"",IFERROR(AD58/AD$19,""))</f>
        <v/>
      </c>
      <c r="AF58" s="52">
        <f>IF(AND($AA58="",AD58=""),"",$AA58-AD58)</f>
        <v>0</v>
      </c>
      <c r="AG58" s="33">
        <f>SUM(AG56:AG57)</f>
        <v>0</v>
      </c>
      <c r="AH58" s="34" t="str">
        <f>IF(AG58=0,"",IFERROR(AG58/AG$19,""))</f>
        <v/>
      </c>
      <c r="AI58" s="52">
        <f>IF(AND($AA58="",AG58=""),"",$AA58-AG58)</f>
        <v>0</v>
      </c>
      <c r="AJ58" s="415">
        <f ca="1">IFERROR(AA58/AA$20,0)</f>
        <v>0</v>
      </c>
      <c r="AK58" s="416">
        <f ca="1">IFERROR(AD58/AD$20,0)</f>
        <v>0</v>
      </c>
      <c r="AL58" s="417">
        <f ca="1">IFERROR(AG58/AG$20,0)</f>
        <v>0</v>
      </c>
      <c r="AM58" s="418">
        <f>+IFERROR(ROUND(($AB58-AE58)*100,2)&amp;" pts.",0)</f>
        <v>0</v>
      </c>
      <c r="AN58" s="436">
        <f>+IFERROR(ROUND(($AB58-AH58)*100,2)&amp;" pts.",0)</f>
        <v>0</v>
      </c>
    </row>
    <row r="59" spans="1:40" x14ac:dyDescent="0.25">
      <c r="H59" s="11"/>
      <c r="J59" s="1"/>
      <c r="O59" s="43"/>
      <c r="P59" s="46"/>
      <c r="Q59" s="46"/>
      <c r="R59" s="46"/>
      <c r="S59" s="46"/>
      <c r="T59" s="46"/>
      <c r="U59" s="46"/>
      <c r="V59" s="46"/>
      <c r="W59" s="46"/>
      <c r="X59" s="46"/>
      <c r="Y59" s="46"/>
      <c r="Z59" s="46"/>
      <c r="AA59" s="46"/>
      <c r="AB59" s="44"/>
      <c r="AD59" s="43"/>
      <c r="AE59" s="46"/>
      <c r="AF59" s="44"/>
      <c r="AG59" s="43"/>
      <c r="AH59" s="46"/>
      <c r="AI59" s="44"/>
    </row>
    <row r="60" spans="1:40" ht="15.75" thickBot="1" x14ac:dyDescent="0.3">
      <c r="A60" s="3" t="s">
        <v>0</v>
      </c>
      <c r="B60" s="5" t="s">
        <v>1</v>
      </c>
      <c r="H60" s="11"/>
      <c r="J60" s="1"/>
      <c r="N60" s="25" t="s">
        <v>558</v>
      </c>
      <c r="O60" s="62">
        <f>O53+O58</f>
        <v>0</v>
      </c>
      <c r="P60" s="62">
        <f t="shared" ref="P60:Z60" si="5">P53+P58</f>
        <v>0</v>
      </c>
      <c r="Q60" s="62">
        <f t="shared" si="5"/>
        <v>0</v>
      </c>
      <c r="R60" s="62">
        <f t="shared" si="5"/>
        <v>0</v>
      </c>
      <c r="S60" s="62">
        <f t="shared" si="5"/>
        <v>0</v>
      </c>
      <c r="T60" s="62">
        <f t="shared" si="5"/>
        <v>0</v>
      </c>
      <c r="U60" s="62">
        <f t="shared" si="5"/>
        <v>0</v>
      </c>
      <c r="V60" s="62">
        <f t="shared" si="5"/>
        <v>0</v>
      </c>
      <c r="W60" s="62">
        <f t="shared" si="5"/>
        <v>0</v>
      </c>
      <c r="X60" s="62">
        <f t="shared" si="5"/>
        <v>0</v>
      </c>
      <c r="Y60" s="62">
        <f t="shared" si="5"/>
        <v>0</v>
      </c>
      <c r="Z60" s="62">
        <f t="shared" si="5"/>
        <v>0</v>
      </c>
      <c r="AA60" s="62">
        <f>IF($I60="B1","",SUM(O60:Z60))</f>
        <v>0</v>
      </c>
      <c r="AB60" s="63" t="str">
        <f>IF(AA60=0,"",IFERROR(AA60/AA$19,""))</f>
        <v/>
      </c>
      <c r="AD60" s="62">
        <f>AD53+AD58</f>
        <v>0</v>
      </c>
      <c r="AE60" s="63" t="str">
        <f>IF(AD60=0,"",IFERROR(AD60/AD$19,""))</f>
        <v/>
      </c>
      <c r="AF60" s="64">
        <f>IF(AND($AA60="",AD60=""),"",$AA60-AD60)</f>
        <v>0</v>
      </c>
      <c r="AG60" s="62">
        <f>AG53+AG58</f>
        <v>0</v>
      </c>
      <c r="AH60" s="63" t="str">
        <f>IF(AG60=0,"",IFERROR(AG60/AG$19,""))</f>
        <v/>
      </c>
      <c r="AI60" s="64">
        <f>IF(AND($AA60="",AG60=""),"",$AA60-AG60)</f>
        <v>0</v>
      </c>
    </row>
    <row r="61" spans="1:40" ht="15.75" thickTop="1" x14ac:dyDescent="0.25">
      <c r="A61" s="6" t="s">
        <v>2</v>
      </c>
      <c r="B61" s="7" t="e">
        <f ca="1">_xll.EVRNG($B$2:$B$10)</f>
        <v>#NAME?</v>
      </c>
      <c r="H61" s="11"/>
      <c r="J61" s="1"/>
    </row>
    <row r="62" spans="1:40" x14ac:dyDescent="0.25">
      <c r="A62" s="6" t="s">
        <v>3</v>
      </c>
      <c r="B62" s="7" t="e">
        <f ca="1">_xll.EVRNG($O$16:$AN$18)</f>
        <v>#NAME?</v>
      </c>
      <c r="H62" s="11"/>
      <c r="J62" s="1"/>
    </row>
    <row r="63" spans="1:40" x14ac:dyDescent="0.25">
      <c r="A63" s="6" t="s">
        <v>4</v>
      </c>
      <c r="B63" s="7" t="e">
        <f ca="1">_xll.EVRNG(H56:H57)</f>
        <v>#NAME?</v>
      </c>
      <c r="H63" s="15" t="s">
        <v>56</v>
      </c>
      <c r="I63" s="27" t="e">
        <f ca="1">_xll.EVPRO($B$1,$H63,"STYLE")</f>
        <v>#NAME?</v>
      </c>
      <c r="J63" s="27" t="e">
        <f ca="1">_xll.EVPRO($B$1,$H63,"CALC")</f>
        <v>#NAME?</v>
      </c>
      <c r="K63" s="25"/>
      <c r="N63" s="25" t="s">
        <v>666</v>
      </c>
      <c r="O63" s="139" t="e">
        <f ca="1">_xll.EVGTS($B$1,1,$B$3,$B$5,$B$7,$B$9,O$16,O$17,O$18,$B$6,$H63)</f>
        <v>#NAME?</v>
      </c>
      <c r="P63" s="139" t="e">
        <f ca="1">_xll.EVGTS($B$1,1,$B$3,$B$5,$B$7,$B$9,P$16,P$17,P$18,$B$6,$H63)</f>
        <v>#NAME?</v>
      </c>
      <c r="Q63" s="139" t="e">
        <f ca="1">_xll.EVGTS($B$1,1,$B$3,$B$5,$B$7,$B$9,Q$16,Q$17,Q$18,$B$6,$H63)</f>
        <v>#NAME?</v>
      </c>
      <c r="R63" s="139" t="e">
        <f ca="1">_xll.EVGTS($B$1,1,$B$3,$B$5,$B$7,$B$9,R$16,R$17,R$18,$B$6,$H63)</f>
        <v>#NAME?</v>
      </c>
      <c r="S63" s="139" t="e">
        <f ca="1">_xll.EVGTS($B$1,1,$B$3,$B$5,$B$7,$B$9,S$16,S$17,S$18,$B$6,$H63)</f>
        <v>#NAME?</v>
      </c>
      <c r="T63" s="139" t="e">
        <f ca="1">_xll.EVGTS($B$1,1,$B$3,$B$5,$B$7,$B$9,T$16,T$17,T$18,$B$6,$H63)</f>
        <v>#NAME?</v>
      </c>
      <c r="U63" s="139" t="e">
        <f ca="1">_xll.EVGTS($B$1,1,$B$3,$B$5,$B$7,$B$9,U$16,U$17,U$18,$B$6,$H63)</f>
        <v>#NAME?</v>
      </c>
      <c r="V63" s="139" t="e">
        <f ca="1">_xll.EVGTS($B$1,1,$B$3,$B$5,$B$7,$B$9,V$16,V$17,V$18,$B$6,$H63)</f>
        <v>#NAME?</v>
      </c>
      <c r="W63" s="139" t="e">
        <f ca="1">_xll.EVGTS($B$1,1,$B$3,$B$5,$B$7,$B$9,W$16,W$17,W$18,$B$6,$H63)</f>
        <v>#NAME?</v>
      </c>
      <c r="X63" s="139" t="e">
        <f ca="1">_xll.EVGTS($B$1,1,$B$3,$B$5,$B$7,$B$9,X$16,X$17,X$18,$B$6,$H63)</f>
        <v>#NAME?</v>
      </c>
      <c r="Y63" s="139" t="e">
        <f ca="1">_xll.EVGTS($B$1,1,$B$3,$B$5,$B$7,$B$9,Y$16,Y$17,Y$18,$B$6,$H63)</f>
        <v>#NAME?</v>
      </c>
      <c r="Z63" s="139" t="e">
        <f ca="1">_xll.EVGTS($B$1,1,$B$3,$B$5,$B$7,$B$9,Z$16,Z$17,Z$18,$B$6,$H63)</f>
        <v>#NAME?</v>
      </c>
      <c r="AA63" s="21" t="e">
        <f ca="1">IF($I63="B1","",SUM(O63:Z63))</f>
        <v>#NAME?</v>
      </c>
      <c r="AB63" s="139"/>
      <c r="AD63" s="139" t="e">
        <f ca="1">_xll.EVGTS($B$1,1,$B$3,$B$5,$B$7,$B$9,AD$16,AD$17,AD$18,$B$6,$H63)</f>
        <v>#NAME?</v>
      </c>
      <c r="AE63" s="139"/>
      <c r="AF63" s="139"/>
      <c r="AG63" s="139" t="e">
        <f ca="1">_xll.EVGTS($B$1,1,$B$3,$B$5,$B$7,$B$9,AG$16,AG$17,AG$18,$B$6,$H63)</f>
        <v>#NAME?</v>
      </c>
      <c r="AH63" s="139"/>
      <c r="AI63" s="139"/>
    </row>
    <row r="64" spans="1:40" x14ac:dyDescent="0.25">
      <c r="A64" s="6" t="s">
        <v>5</v>
      </c>
      <c r="B64" s="7"/>
      <c r="H64" s="11"/>
      <c r="J64" s="1"/>
    </row>
    <row r="65" spans="1:10" x14ac:dyDescent="0.25">
      <c r="A65" s="6" t="s">
        <v>6</v>
      </c>
      <c r="B65" s="7"/>
      <c r="H65" s="11"/>
      <c r="J65" s="1"/>
    </row>
    <row r="66" spans="1:10" x14ac:dyDescent="0.25">
      <c r="A66" s="6" t="s">
        <v>7</v>
      </c>
      <c r="B66" s="7"/>
      <c r="H66" s="11"/>
      <c r="J66" s="1"/>
    </row>
    <row r="67" spans="1:10" x14ac:dyDescent="0.25">
      <c r="A67" s="6" t="s">
        <v>47</v>
      </c>
      <c r="B67" s="7" t="e">
        <f ca="1">_xll.EVRNG($A$81:$B$102)</f>
        <v>#NAME?</v>
      </c>
      <c r="H67" s="11"/>
      <c r="J67" s="1"/>
    </row>
    <row r="68" spans="1:10" x14ac:dyDescent="0.25">
      <c r="A68" s="6" t="s">
        <v>8</v>
      </c>
      <c r="B68" s="7"/>
      <c r="H68" s="11"/>
      <c r="J68" s="1"/>
    </row>
    <row r="70" spans="1:10" x14ac:dyDescent="0.25">
      <c r="A70" s="3" t="s">
        <v>9</v>
      </c>
      <c r="B70" s="5" t="s">
        <v>10</v>
      </c>
    </row>
    <row r="71" spans="1:10" x14ac:dyDescent="0.25">
      <c r="A71" s="6" t="s">
        <v>11</v>
      </c>
      <c r="B71" s="7" t="s">
        <v>21</v>
      </c>
    </row>
    <row r="72" spans="1:10" x14ac:dyDescent="0.25">
      <c r="A72" s="6" t="s">
        <v>12</v>
      </c>
      <c r="B72" s="7" t="s">
        <v>22</v>
      </c>
    </row>
    <row r="73" spans="1:10" x14ac:dyDescent="0.25">
      <c r="A73" s="6" t="s">
        <v>13</v>
      </c>
      <c r="B73" s="7" t="s">
        <v>594</v>
      </c>
    </row>
    <row r="74" spans="1:10" x14ac:dyDescent="0.25">
      <c r="A74" s="6" t="s">
        <v>14</v>
      </c>
      <c r="B74" s="16"/>
    </row>
    <row r="75" spans="1:10" x14ac:dyDescent="0.25">
      <c r="A75" s="6" t="s">
        <v>15</v>
      </c>
      <c r="B75" s="7"/>
    </row>
    <row r="76" spans="1:10" x14ac:dyDescent="0.25">
      <c r="A76" s="6" t="s">
        <v>16</v>
      </c>
      <c r="B76" s="7" t="s">
        <v>78</v>
      </c>
    </row>
    <row r="77" spans="1:10" x14ac:dyDescent="0.25">
      <c r="A77" s="6" t="s">
        <v>17</v>
      </c>
      <c r="B77" s="7"/>
    </row>
    <row r="80" spans="1:10" x14ac:dyDescent="0.25">
      <c r="A80" s="3" t="s">
        <v>23</v>
      </c>
      <c r="B80" s="5" t="s">
        <v>24</v>
      </c>
    </row>
    <row r="81" spans="1:2" x14ac:dyDescent="0.25">
      <c r="A81" s="6" t="s">
        <v>25</v>
      </c>
      <c r="B81" s="7"/>
    </row>
    <row r="82" spans="1:2" x14ac:dyDescent="0.25">
      <c r="A82" s="6" t="s">
        <v>26</v>
      </c>
      <c r="B82" s="7"/>
    </row>
    <row r="83" spans="1:2" x14ac:dyDescent="0.25">
      <c r="A83" s="6" t="s">
        <v>27</v>
      </c>
      <c r="B83" s="7"/>
    </row>
    <row r="84" spans="1:2" x14ac:dyDescent="0.25">
      <c r="A84" s="6" t="s">
        <v>28</v>
      </c>
      <c r="B84" s="7"/>
    </row>
    <row r="85" spans="1:2" x14ac:dyDescent="0.25">
      <c r="A85" s="6" t="s">
        <v>29</v>
      </c>
      <c r="B85" s="7"/>
    </row>
    <row r="86" spans="1:2" x14ac:dyDescent="0.25">
      <c r="A86" s="6" t="s">
        <v>30</v>
      </c>
      <c r="B86" s="7" t="s">
        <v>78</v>
      </c>
    </row>
    <row r="87" spans="1:2" x14ac:dyDescent="0.25">
      <c r="A87" s="6" t="s">
        <v>31</v>
      </c>
      <c r="B87" s="7" t="s">
        <v>78</v>
      </c>
    </row>
    <row r="88" spans="1:2" x14ac:dyDescent="0.25">
      <c r="A88" s="6" t="s">
        <v>32</v>
      </c>
      <c r="B88" s="7"/>
    </row>
    <row r="89" spans="1:2" x14ac:dyDescent="0.25">
      <c r="A89" s="6" t="s">
        <v>33</v>
      </c>
      <c r="B89" s="7"/>
    </row>
    <row r="90" spans="1:2" x14ac:dyDescent="0.25">
      <c r="A90" s="6" t="s">
        <v>34</v>
      </c>
      <c r="B90" s="7"/>
    </row>
    <row r="91" spans="1:2" x14ac:dyDescent="0.25">
      <c r="A91" s="6" t="s">
        <v>35</v>
      </c>
      <c r="B91" s="7"/>
    </row>
    <row r="92" spans="1:2" x14ac:dyDescent="0.25">
      <c r="A92" s="6" t="s">
        <v>36</v>
      </c>
      <c r="B92" s="7"/>
    </row>
    <row r="93" spans="1:2" x14ac:dyDescent="0.25">
      <c r="A93" s="6" t="s">
        <v>37</v>
      </c>
      <c r="B93" s="7"/>
    </row>
    <row r="94" spans="1:2" x14ac:dyDescent="0.25">
      <c r="A94" s="6" t="s">
        <v>38</v>
      </c>
      <c r="B94" s="7"/>
    </row>
    <row r="95" spans="1:2" x14ac:dyDescent="0.25">
      <c r="A95" s="6" t="s">
        <v>39</v>
      </c>
      <c r="B95" s="7"/>
    </row>
    <row r="96" spans="1:2" x14ac:dyDescent="0.25">
      <c r="A96" s="6" t="s">
        <v>40</v>
      </c>
      <c r="B96" s="7"/>
    </row>
    <row r="97" spans="1:2" x14ac:dyDescent="0.25">
      <c r="A97" s="6" t="s">
        <v>41</v>
      </c>
      <c r="B97" s="7"/>
    </row>
    <row r="98" spans="1:2" x14ac:dyDescent="0.25">
      <c r="A98" s="6" t="s">
        <v>42</v>
      </c>
      <c r="B98" s="7"/>
    </row>
    <row r="99" spans="1:2" x14ac:dyDescent="0.25">
      <c r="A99" s="6" t="s">
        <v>43</v>
      </c>
      <c r="B99" s="7"/>
    </row>
    <row r="100" spans="1:2" x14ac:dyDescent="0.25">
      <c r="A100" s="6" t="s">
        <v>44</v>
      </c>
      <c r="B100" s="7"/>
    </row>
    <row r="101" spans="1:2" x14ac:dyDescent="0.25">
      <c r="A101" s="6" t="s">
        <v>45</v>
      </c>
      <c r="B101" s="7"/>
    </row>
    <row r="102" spans="1:2" x14ac:dyDescent="0.25">
      <c r="A102" s="6" t="s">
        <v>46</v>
      </c>
      <c r="B102" s="7"/>
    </row>
  </sheetData>
  <mergeCells count="2">
    <mergeCell ref="AD31:AE31"/>
    <mergeCell ref="AG31:AH31"/>
  </mergeCells>
  <dataValidations disablePrompts="1" count="2">
    <dataValidation type="list" allowBlank="1" sqref="B72 B28" xr:uid="{00000000-0002-0000-5C00-000000000000}">
      <formula1>"ACCOUNT,BUSINESSUNIT,CATEGORY,DATASRC,DEPARTMENT,INTCO,MEASURES,RPTCURRENCY,TIME"</formula1>
    </dataValidation>
    <dataValidation type="list" allowBlank="1" sqref="B73 B29" xr:uid="{00000000-0002-0000-5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452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4524" r:id="rId7" name="FPMExcelClientSheetOptionstb1"/>
      </mc:Fallback>
    </mc:AlternateContent>
  </controls>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6">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554</v>
      </c>
      <c r="C2" s="1" t="s">
        <v>1847</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552</v>
      </c>
      <c r="C6" s="1" t="s">
        <v>1848</v>
      </c>
      <c r="E6" s="49" t="s">
        <v>552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1849</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1850</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1851</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1852</v>
      </c>
    </row>
    <row r="23" spans="1:40" hidden="1" outlineLevel="1" x14ac:dyDescent="0.25">
      <c r="A23" s="6" t="s">
        <v>47</v>
      </c>
      <c r="B23" s="16" t="s">
        <v>1853</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1854</v>
      </c>
    </row>
    <row r="28" spans="1:40" ht="15.75" x14ac:dyDescent="0.25">
      <c r="A28" s="6" t="s">
        <v>12</v>
      </c>
      <c r="B28" s="7" t="s">
        <v>22</v>
      </c>
      <c r="N28" s="71" t="s">
        <v>1005</v>
      </c>
    </row>
    <row r="29" spans="1:40" ht="15" customHeight="1" x14ac:dyDescent="0.25">
      <c r="A29" s="6" t="s">
        <v>13</v>
      </c>
      <c r="B29" s="7" t="s">
        <v>746</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1" t="s">
        <v>73</v>
      </c>
      <c r="I33" s="11" t="s">
        <v>1011</v>
      </c>
      <c r="J33" s="11" t="s">
        <v>78</v>
      </c>
      <c r="N33" s="40" t="s">
        <v>1079</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1011</v>
      </c>
      <c r="J34" s="11" t="s">
        <v>78</v>
      </c>
      <c r="N34" s="8" t="s">
        <v>1080</v>
      </c>
      <c r="O34" s="43"/>
      <c r="P34" s="46"/>
      <c r="Q34" s="46"/>
      <c r="R34" s="46"/>
      <c r="S34" s="46"/>
      <c r="T34" s="46"/>
      <c r="U34" s="46"/>
      <c r="V34" s="46"/>
      <c r="W34" s="46"/>
      <c r="X34" s="46"/>
      <c r="Y34" s="46"/>
      <c r="Z34" s="46"/>
      <c r="AA34" s="46"/>
      <c r="AB34" s="44"/>
      <c r="AD34" s="43"/>
      <c r="AE34" s="46"/>
      <c r="AF34" s="44"/>
      <c r="AG34" s="43"/>
      <c r="AH34" s="46"/>
      <c r="AI34" s="44"/>
    </row>
    <row r="35" spans="1:40" hidden="1" x14ac:dyDescent="0.25">
      <c r="A35" s="22" t="s">
        <v>92</v>
      </c>
      <c r="B35" s="23" t="s">
        <v>93</v>
      </c>
      <c r="C35" s="23" t="s">
        <v>94</v>
      </c>
      <c r="D35" s="23" t="s">
        <v>95</v>
      </c>
      <c r="E35" s="23" t="s">
        <v>96</v>
      </c>
      <c r="F35" s="24" t="s">
        <v>97</v>
      </c>
      <c r="H35" s="15" t="s">
        <v>667</v>
      </c>
      <c r="I35" s="161"/>
      <c r="J35" s="161"/>
      <c r="K35" s="68" t="str">
        <f>IF(AND(I35&gt;="T3"),"&gt;","")</f>
        <v/>
      </c>
      <c r="L35" s="162"/>
      <c r="M35" s="162"/>
      <c r="N35" s="162"/>
      <c r="O35" s="47"/>
      <c r="P35" s="47"/>
      <c r="Q35" s="47"/>
      <c r="R35" s="47"/>
      <c r="S35" s="47"/>
      <c r="T35" s="47"/>
      <c r="U35" s="47"/>
      <c r="V35" s="47"/>
      <c r="W35" s="47"/>
      <c r="X35" s="47"/>
      <c r="Y35" s="47"/>
      <c r="Z35" s="47"/>
      <c r="AA35" s="30">
        <f>IF($I35="B1","",SUM(O35:Z35))</f>
        <v>0</v>
      </c>
      <c r="AB35" s="48" t="str">
        <f>IF(AA35=0,"",IFERROR(AA35/AA$19,""))</f>
        <v/>
      </c>
      <c r="AD35" s="30"/>
      <c r="AE35" s="31" t="str">
        <f>IF(AD35=0,"",IFERROR(AD35/AD$19,""))</f>
        <v/>
      </c>
      <c r="AF35" s="51">
        <f>IF(AND($AA35="",AD35=""),"",$AA35-AD35)</f>
        <v>0</v>
      </c>
      <c r="AG35" s="30"/>
      <c r="AH35" s="31" t="str">
        <f>IF(AG35=0,"",IFERROR(AG35/AG$19,""))</f>
        <v/>
      </c>
      <c r="AI35" s="51">
        <f>IF(AND($AA35="",AG35=""),"",$AA35-AG35)</f>
        <v>0</v>
      </c>
      <c r="AJ35" s="399">
        <f>IFERROR(AA35/AA$20,0)</f>
        <v>0</v>
      </c>
      <c r="AK35" s="400">
        <f>IFERROR(AD35/AD$20,0)</f>
        <v>0</v>
      </c>
      <c r="AL35" s="401">
        <f>IFERROR(AG35/AG$20,0)</f>
        <v>0</v>
      </c>
      <c r="AM35" s="402">
        <f>+IFERROR(ROUND(($AB35-AE35)*100,2)&amp;" pts.",0)</f>
        <v>0</v>
      </c>
      <c r="AN35" s="403">
        <f>+IFERROR(ROUND(($AB35-AH35)*100,2)&amp;" pts.",0)</f>
        <v>0</v>
      </c>
    </row>
    <row r="36" spans="1:40" hidden="1" x14ac:dyDescent="0.25">
      <c r="H36" s="15"/>
      <c r="I36" s="161"/>
      <c r="J36" s="161"/>
      <c r="K36" s="68" t="str">
        <f>IF(AND(I36&gt;="T3"),"&gt;","")</f>
        <v/>
      </c>
      <c r="L36" s="162"/>
      <c r="M36" s="162"/>
      <c r="N36" s="162"/>
      <c r="O36" s="47"/>
      <c r="P36" s="47"/>
      <c r="Q36" s="47"/>
      <c r="R36" s="47"/>
      <c r="S36" s="47"/>
      <c r="T36" s="47"/>
      <c r="U36" s="47"/>
      <c r="V36" s="47"/>
      <c r="W36" s="47"/>
      <c r="X36" s="47"/>
      <c r="Y36" s="47"/>
      <c r="Z36" s="47"/>
      <c r="AA36" s="30">
        <f>IF($I36="B1","",SUM(O36:Z36))</f>
        <v>0</v>
      </c>
      <c r="AB36" s="48" t="str">
        <f>IF(AA36=0,"",IFERROR(AA36/AA$19,""))</f>
        <v/>
      </c>
      <c r="AD36" s="30"/>
      <c r="AE36" s="31" t="str">
        <f>IF(AD36=0,"",IFERROR(AD36/AD$19,""))</f>
        <v/>
      </c>
      <c r="AF36" s="51">
        <f>IF(AND($AA36="",AD36=""),"",$AA36-AD36)</f>
        <v>0</v>
      </c>
      <c r="AG36" s="30"/>
      <c r="AH36" s="31" t="str">
        <f>IF(AG36=0,"",IFERROR(AG36/AG$19,""))</f>
        <v/>
      </c>
      <c r="AI36" s="51">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108</v>
      </c>
      <c r="C37" s="26" t="s">
        <v>101</v>
      </c>
      <c r="D37" s="1" t="s">
        <v>106</v>
      </c>
      <c r="F37" s="1" t="s">
        <v>98</v>
      </c>
      <c r="H37" s="15" t="s">
        <v>75</v>
      </c>
      <c r="I37" s="28" t="s">
        <v>1011</v>
      </c>
      <c r="J37" s="28" t="s">
        <v>78</v>
      </c>
      <c r="K37" s="69" t="str">
        <f>IF(AND(I37&gt;="T3"),"&gt;","")</f>
        <v/>
      </c>
      <c r="L37" s="25"/>
      <c r="M37" s="162"/>
      <c r="N37" s="25" t="s">
        <v>1082</v>
      </c>
      <c r="O37" s="38"/>
      <c r="P37" s="38"/>
      <c r="Q37" s="38"/>
      <c r="R37" s="38"/>
      <c r="S37" s="38"/>
      <c r="T37" s="38"/>
      <c r="U37" s="38"/>
      <c r="V37" s="38"/>
      <c r="W37" s="38"/>
      <c r="X37" s="38"/>
      <c r="Y37" s="38"/>
      <c r="Z37" s="38"/>
      <c r="AA37" s="21" t="str">
        <f>IF($I37="B1","",SUM(O37:Z37))</f>
        <v/>
      </c>
      <c r="AB37" s="39" t="str">
        <f>IF(AA37=0,"",IFERROR(AA37/AA$19,""))</f>
        <v/>
      </c>
      <c r="AD37" s="21"/>
      <c r="AE37" s="17" t="str">
        <f>IF(AD37=0,"",IFERROR(AD37/AD$19,""))</f>
        <v/>
      </c>
      <c r="AF37" s="50" t="str">
        <f>IF(AND($AA37="",AD37=""),"",$AA37-AD37)</f>
        <v/>
      </c>
      <c r="AG37" s="21"/>
      <c r="AH37" s="17" t="str">
        <f>IF(AG37=0,"",IFERROR(AG37/AG$19,""))</f>
        <v/>
      </c>
      <c r="AI37" s="50" t="str">
        <f>IF(AND($AA37="",AG37=""),"",$AA37-AG37)</f>
        <v/>
      </c>
      <c r="AJ37" s="399">
        <f>IFERROR(AA37/AA$20,0)</f>
        <v>0</v>
      </c>
      <c r="AK37" s="400">
        <f>IFERROR(AD37/AD$20,0)</f>
        <v>0</v>
      </c>
      <c r="AL37" s="401">
        <f>IFERROR(AG37/AG$20,0)</f>
        <v>0</v>
      </c>
      <c r="AM37" s="402">
        <f>+IFERROR(ROUND(($AB37-AE37)*100,2)&amp;" pts.",0)</f>
        <v>0</v>
      </c>
      <c r="AN37" s="403">
        <f>+IFERROR(ROUND(($AB37-AH37)*100,2)&amp;" pts.",0)</f>
        <v>0</v>
      </c>
    </row>
    <row r="38" spans="1:40" hidden="1" x14ac:dyDescent="0.25">
      <c r="A38" s="1" t="s">
        <v>100</v>
      </c>
      <c r="C38" s="8" t="s">
        <v>101</v>
      </c>
      <c r="D38" s="1" t="s">
        <v>106</v>
      </c>
      <c r="F38" s="1" t="s">
        <v>98</v>
      </c>
      <c r="H38" s="15" t="s">
        <v>667</v>
      </c>
      <c r="I38" s="161"/>
      <c r="J38" s="161"/>
      <c r="K38" s="68" t="str">
        <f>IF(AND(I38&gt;="T3"),"&gt;","")</f>
        <v/>
      </c>
      <c r="L38" s="162"/>
      <c r="M38" s="162"/>
      <c r="N38" s="162"/>
      <c r="O38" s="47"/>
      <c r="P38" s="47"/>
      <c r="Q38" s="47"/>
      <c r="R38" s="47"/>
      <c r="S38" s="47"/>
      <c r="T38" s="47"/>
      <c r="U38" s="47"/>
      <c r="V38" s="47"/>
      <c r="W38" s="47"/>
      <c r="X38" s="47"/>
      <c r="Y38" s="47"/>
      <c r="Z38" s="47"/>
      <c r="AA38" s="30">
        <f>IF($I38="B1","",SUM(O38:Z38))</f>
        <v>0</v>
      </c>
      <c r="AB38" s="48" t="str">
        <f>IF(AA38=0,"",IFERROR(AA38/AA$19,""))</f>
        <v/>
      </c>
      <c r="AD38" s="30"/>
      <c r="AE38" s="31" t="str">
        <f>IF(AD38=0,"",IFERROR(AD38/AD$19,""))</f>
        <v/>
      </c>
      <c r="AF38" s="51">
        <f>IF(AND($AA38="",AD38=""),"",$AA38-AD38)</f>
        <v>0</v>
      </c>
      <c r="AG38" s="30"/>
      <c r="AH38" s="31" t="str">
        <f>IF(AG38=0,"",IFERROR(AG38/AG$19,""))</f>
        <v/>
      </c>
      <c r="AI38" s="51">
        <f>IF(AND($AA38="",AG38=""),"",$AA38-AG38)</f>
        <v>0</v>
      </c>
      <c r="AJ38" s="409">
        <f>IFERROR(AA38/AA$20,0)</f>
        <v>0</v>
      </c>
      <c r="AK38" s="410">
        <f>IFERROR(AD38/AD$20,0)</f>
        <v>0</v>
      </c>
      <c r="AL38" s="411">
        <f>IFERROR(AG38/AG$20,0)</f>
        <v>0</v>
      </c>
      <c r="AM38" s="412">
        <f>+IFERROR(ROUND(($AB38-AE38)*100,2)&amp;" pts.",0)</f>
        <v>0</v>
      </c>
      <c r="AN38" s="413">
        <f>+IFERROR(ROUND(($AB38-AH38)*100,2)&amp;" pts.",0)</f>
        <v>0</v>
      </c>
    </row>
    <row r="39" spans="1:40" hidden="1" x14ac:dyDescent="0.25">
      <c r="A39" s="1" t="s">
        <v>109</v>
      </c>
      <c r="C39" s="25" t="s">
        <v>101</v>
      </c>
      <c r="D39" s="1" t="s">
        <v>106</v>
      </c>
      <c r="F39" s="1" t="s">
        <v>98</v>
      </c>
      <c r="H39" s="15"/>
      <c r="I39" s="161"/>
      <c r="J39" s="161"/>
      <c r="K39" s="68" t="str">
        <f>IF(AND(I39&gt;="T3"),"&gt;","")</f>
        <v/>
      </c>
      <c r="L39" s="162"/>
      <c r="M39" s="162"/>
      <c r="N39" s="162"/>
      <c r="O39" s="47"/>
      <c r="P39" s="47"/>
      <c r="Q39" s="47"/>
      <c r="R39" s="47"/>
      <c r="S39" s="47"/>
      <c r="T39" s="47"/>
      <c r="U39" s="47"/>
      <c r="V39" s="47"/>
      <c r="W39" s="47"/>
      <c r="X39" s="47"/>
      <c r="Y39" s="47"/>
      <c r="Z39" s="47"/>
      <c r="AA39" s="30">
        <f>IF($I39="B1","",SUM(O39:Z39))</f>
        <v>0</v>
      </c>
      <c r="AB39" s="48" t="str">
        <f>IF(AA39=0,"",IFERROR(AA39/AA$19,""))</f>
        <v/>
      </c>
      <c r="AD39" s="30"/>
      <c r="AE39" s="31" t="str">
        <f>IF(AD39=0,"",IFERROR(AD39/AD$19,""))</f>
        <v/>
      </c>
      <c r="AF39" s="51">
        <f>IF(AND($AA39="",AD39=""),"",$AA39-AD39)</f>
        <v>0</v>
      </c>
      <c r="AG39" s="30"/>
      <c r="AH39" s="31" t="str">
        <f>IF(AG39=0,"",IFERROR(AG39/AG$19,""))</f>
        <v/>
      </c>
      <c r="AI39" s="51">
        <f>IF(AND($AA39="",AG39=""),"",$AA39-AG39)</f>
        <v>0</v>
      </c>
      <c r="AJ39" s="409">
        <f>IFERROR(AA39/AA$20,0)</f>
        <v>0</v>
      </c>
      <c r="AK39" s="410">
        <f>IFERROR(AD39/AD$20,0)</f>
        <v>0</v>
      </c>
      <c r="AL39" s="411">
        <f>IFERROR(AG39/AG$20,0)</f>
        <v>0</v>
      </c>
      <c r="AM39" s="412">
        <f>+IFERROR(ROUND(($AB39-AE39)*100,2)&amp;" pts.",0)</f>
        <v>0</v>
      </c>
      <c r="AN39" s="413">
        <f>+IFERROR(ROUND(($AB39-AH39)*100,2)&amp;" pts.",0)</f>
        <v>0</v>
      </c>
    </row>
    <row r="40" spans="1:40" x14ac:dyDescent="0.25">
      <c r="A40" s="1" t="s">
        <v>109</v>
      </c>
      <c r="C40" s="151" t="s">
        <v>101</v>
      </c>
      <c r="D40" s="1" t="s">
        <v>107</v>
      </c>
      <c r="F40" s="1" t="s">
        <v>99</v>
      </c>
      <c r="H40" s="25"/>
      <c r="I40" s="25"/>
      <c r="J40" s="25"/>
      <c r="K40" s="25"/>
      <c r="L40" s="25"/>
      <c r="M40" s="25"/>
      <c r="N40" s="25"/>
      <c r="O40" s="41"/>
      <c r="P40" s="45"/>
      <c r="Q40" s="45"/>
      <c r="R40" s="45"/>
      <c r="S40" s="45"/>
      <c r="T40" s="45"/>
      <c r="U40" s="45"/>
      <c r="V40" s="45"/>
      <c r="W40" s="45"/>
      <c r="X40" s="45"/>
      <c r="Y40" s="45"/>
      <c r="Z40" s="45"/>
      <c r="AA40" s="45"/>
      <c r="AB40" s="42"/>
      <c r="AD40" s="41"/>
      <c r="AE40" s="45"/>
      <c r="AF40" s="42"/>
      <c r="AG40" s="41"/>
      <c r="AH40" s="45"/>
      <c r="AI40" s="42"/>
    </row>
    <row r="41" spans="1:40" x14ac:dyDescent="0.25">
      <c r="A41" s="1" t="s">
        <v>110</v>
      </c>
      <c r="C41" s="25" t="s">
        <v>101</v>
      </c>
      <c r="D41" s="1" t="s">
        <v>106</v>
      </c>
      <c r="F41" s="1" t="s">
        <v>98</v>
      </c>
      <c r="H41" s="1" t="s">
        <v>82</v>
      </c>
      <c r="I41" s="11" t="s">
        <v>1011</v>
      </c>
      <c r="J41" s="11" t="s">
        <v>78</v>
      </c>
      <c r="L41" s="1"/>
      <c r="M41" s="1"/>
      <c r="N41" s="40" t="s">
        <v>1092</v>
      </c>
      <c r="O41" s="43"/>
      <c r="P41" s="46"/>
      <c r="Q41" s="46"/>
      <c r="R41" s="46"/>
      <c r="S41" s="46"/>
      <c r="T41" s="46"/>
      <c r="U41" s="46"/>
      <c r="V41" s="46"/>
      <c r="W41" s="46"/>
      <c r="X41" s="46"/>
      <c r="Y41" s="46"/>
      <c r="Z41" s="46"/>
      <c r="AA41" s="46"/>
      <c r="AB41" s="44"/>
      <c r="AD41" s="43"/>
      <c r="AE41" s="46"/>
      <c r="AF41" s="44"/>
      <c r="AG41" s="43"/>
      <c r="AH41" s="46"/>
      <c r="AI41" s="44"/>
    </row>
    <row r="42" spans="1:40" hidden="1" x14ac:dyDescent="0.25">
      <c r="A42" s="1" t="s">
        <v>110</v>
      </c>
      <c r="C42" s="29" t="s">
        <v>101</v>
      </c>
      <c r="D42" s="1" t="s">
        <v>107</v>
      </c>
      <c r="F42" s="1" t="s">
        <v>99</v>
      </c>
      <c r="H42" s="15" t="s">
        <v>667</v>
      </c>
      <c r="I42" s="161"/>
      <c r="J42" s="161"/>
      <c r="K42" s="68" t="str">
        <f>IF(AND(I42&gt;="T3"),"&gt;","")</f>
        <v/>
      </c>
      <c r="L42" s="162"/>
      <c r="M42" s="162"/>
      <c r="N42" s="162"/>
      <c r="O42" s="21"/>
      <c r="P42" s="21"/>
      <c r="Q42" s="21"/>
      <c r="R42" s="21"/>
      <c r="S42" s="21"/>
      <c r="T42" s="21"/>
      <c r="U42" s="21"/>
      <c r="V42" s="21"/>
      <c r="W42" s="21"/>
      <c r="X42" s="21"/>
      <c r="Y42" s="21"/>
      <c r="Z42" s="21"/>
      <c r="AA42" s="21">
        <f>IF($I42="B1","",SUM(O42:Z42))</f>
        <v>0</v>
      </c>
      <c r="AB42" s="17" t="str">
        <f>IF(AA42=0,"",IFERROR(AA42/AA$19,""))</f>
        <v/>
      </c>
      <c r="AD42" s="21"/>
      <c r="AE42" s="17" t="str">
        <f>IF(AD42=0,"",IFERROR(AD42/AD$19,""))</f>
        <v/>
      </c>
      <c r="AF42" s="50">
        <f>IF(AND($AA42="",AD42=""),"",$AA42-AD42)</f>
        <v>0</v>
      </c>
      <c r="AG42" s="21"/>
      <c r="AH42" s="17" t="str">
        <f>IF(AG42=0,"",IFERROR(AG42/AG$19,""))</f>
        <v/>
      </c>
      <c r="AI42" s="50">
        <f>IF(AND($AA42="",AG42=""),"",$AA42-AG42)</f>
        <v>0</v>
      </c>
      <c r="AJ42" s="399">
        <f>IFERROR(AA42/AA$20,0)</f>
        <v>0</v>
      </c>
      <c r="AK42" s="400">
        <f>IFERROR(AD42/AD$20,0)</f>
        <v>0</v>
      </c>
      <c r="AL42" s="401">
        <f>IFERROR(AG42/AG$20,0)</f>
        <v>0</v>
      </c>
      <c r="AM42" s="402">
        <f>+IFERROR(ROUND(($AB42-AE42)*100,2)&amp;" pts.",0)</f>
        <v>0</v>
      </c>
      <c r="AN42" s="403">
        <f>+IFERROR(ROUND(($AB42-AH42)*100,2)&amp;" pts.",0)</f>
        <v>0</v>
      </c>
    </row>
    <row r="43" spans="1:40" hidden="1" x14ac:dyDescent="0.25">
      <c r="C43" s="32"/>
      <c r="H43" s="15"/>
      <c r="I43" s="161"/>
      <c r="J43" s="161"/>
      <c r="K43" s="68" t="str">
        <f>IF(AND(I43&gt;="T3"),"&gt;","")</f>
        <v/>
      </c>
      <c r="L43" s="162"/>
      <c r="M43" s="162"/>
      <c r="N43" s="162"/>
      <c r="O43" s="21"/>
      <c r="P43" s="21"/>
      <c r="Q43" s="21"/>
      <c r="R43" s="21"/>
      <c r="S43" s="21"/>
      <c r="T43" s="21"/>
      <c r="U43" s="21"/>
      <c r="V43" s="21"/>
      <c r="W43" s="21"/>
      <c r="X43" s="21"/>
      <c r="Y43" s="21"/>
      <c r="Z43" s="21"/>
      <c r="AA43" s="21">
        <f>IF($I43="B1","",SUM(O43:Z43))</f>
        <v>0</v>
      </c>
      <c r="AB43" s="17" t="str">
        <f>IF(AA43=0,"",IFERROR(AA43/AA$19,""))</f>
        <v/>
      </c>
      <c r="AD43" s="21"/>
      <c r="AE43" s="17" t="str">
        <f>IF(AD43=0,"",IFERROR(AD43/AD$19,""))</f>
        <v/>
      </c>
      <c r="AF43" s="50">
        <f>IF(AND($AA43="",AD43=""),"",$AA43-AD43)</f>
        <v>0</v>
      </c>
      <c r="AG43" s="21"/>
      <c r="AH43" s="17" t="str">
        <f>IF(AG43=0,"",IFERROR(AG43/AG$19,""))</f>
        <v/>
      </c>
      <c r="AI43" s="50">
        <f>IF(AND($AA43="",AG43=""),"",$AA43-AG43)</f>
        <v>0</v>
      </c>
      <c r="AJ43" s="399">
        <f>IFERROR(AA43/AA$20,0)</f>
        <v>0</v>
      </c>
      <c r="AK43" s="400">
        <f>IFERROR(AD43/AD$20,0)</f>
        <v>0</v>
      </c>
      <c r="AL43" s="401">
        <f>IFERROR(AG43/AG$20,0)</f>
        <v>0</v>
      </c>
      <c r="AM43" s="402">
        <f>+IFERROR(ROUND(($AB43-AE43)*100,2)&amp;" pts.",0)</f>
        <v>0</v>
      </c>
      <c r="AN43" s="403">
        <f>+IFERROR(ROUND(($AB43-AH43)*100,2)&amp;" pts.",0)</f>
        <v>0</v>
      </c>
    </row>
    <row r="44" spans="1:40" x14ac:dyDescent="0.25">
      <c r="C44" s="32"/>
      <c r="H44" s="15" t="s">
        <v>79</v>
      </c>
      <c r="I44" s="27" t="s">
        <v>1012</v>
      </c>
      <c r="J44" s="27" t="s">
        <v>78</v>
      </c>
      <c r="K44" s="26"/>
      <c r="N44" s="25" t="s">
        <v>1116</v>
      </c>
      <c r="O44" s="33">
        <f t="shared" ref="O44:Z44" si="0">SUM(O42:O43)</f>
        <v>0</v>
      </c>
      <c r="P44" s="33">
        <f t="shared" si="0"/>
        <v>0</v>
      </c>
      <c r="Q44" s="33">
        <f t="shared" si="0"/>
        <v>0</v>
      </c>
      <c r="R44" s="33">
        <f t="shared" si="0"/>
        <v>0</v>
      </c>
      <c r="S44" s="33">
        <f t="shared" si="0"/>
        <v>0</v>
      </c>
      <c r="T44" s="33">
        <f t="shared" si="0"/>
        <v>0</v>
      </c>
      <c r="U44" s="33">
        <f t="shared" si="0"/>
        <v>0</v>
      </c>
      <c r="V44" s="33">
        <f t="shared" si="0"/>
        <v>0</v>
      </c>
      <c r="W44" s="33">
        <f t="shared" si="0"/>
        <v>0</v>
      </c>
      <c r="X44" s="33">
        <f t="shared" si="0"/>
        <v>0</v>
      </c>
      <c r="Y44" s="33">
        <f t="shared" si="0"/>
        <v>0</v>
      </c>
      <c r="Z44" s="33">
        <f t="shared" si="0"/>
        <v>0</v>
      </c>
      <c r="AA44" s="33">
        <f>IF($I44="B1","",SUM(O44:Z44))</f>
        <v>0</v>
      </c>
      <c r="AB44" s="34" t="str">
        <f>IF(AA44=0,"",IFERROR(AA44/AA$19,""))</f>
        <v/>
      </c>
      <c r="AD44" s="33">
        <f>SUM(AD42:AD43)</f>
        <v>0</v>
      </c>
      <c r="AE44" s="34" t="str">
        <f>IF(AD44=0,"",IFERROR(AD44/AD$19,""))</f>
        <v/>
      </c>
      <c r="AF44" s="52">
        <f>IF(AND($AA44="",AD44=""),"",$AA44-AD44)</f>
        <v>0</v>
      </c>
      <c r="AG44" s="33">
        <f>SUM(AG42:AG43)</f>
        <v>0</v>
      </c>
      <c r="AH44" s="34" t="str">
        <f>IF(AG44=0,"",IFERROR(AG44/AG$19,""))</f>
        <v/>
      </c>
      <c r="AI44" s="52">
        <f>IF(AND($AA44="",AG44=""),"",$AA44-AG44)</f>
        <v>0</v>
      </c>
      <c r="AJ44" s="415">
        <f>IFERROR(AA44/AA$20,0)</f>
        <v>0</v>
      </c>
      <c r="AK44" s="416">
        <f>IFERROR(AD44/AD$20,0)</f>
        <v>0</v>
      </c>
      <c r="AL44" s="417">
        <f>IFERROR(AG44/AG$20,0)</f>
        <v>0</v>
      </c>
      <c r="AM44" s="418">
        <f>+IFERROR(ROUND(($AB44-AE44)*100,2)&amp;" pts.",0)</f>
        <v>0</v>
      </c>
      <c r="AN44" s="436">
        <f>+IFERROR(ROUND(($AB44-AH44)*100,2)&amp;" pts.",0)</f>
        <v>0</v>
      </c>
    </row>
    <row r="45" spans="1:40" x14ac:dyDescent="0.25">
      <c r="A45" s="4" t="s">
        <v>988</v>
      </c>
      <c r="B45" s="1" t="s">
        <v>740</v>
      </c>
      <c r="C45" s="32"/>
      <c r="O45" s="53"/>
      <c r="P45" s="54"/>
      <c r="Q45" s="54"/>
      <c r="R45" s="54"/>
      <c r="S45" s="54"/>
      <c r="T45" s="54"/>
      <c r="U45" s="54"/>
      <c r="V45" s="54"/>
      <c r="W45" s="54"/>
      <c r="X45" s="54"/>
      <c r="Y45" s="54"/>
      <c r="Z45" s="54"/>
      <c r="AA45" s="54"/>
      <c r="AB45" s="55"/>
      <c r="AD45" s="53"/>
      <c r="AE45" s="54"/>
      <c r="AF45" s="55"/>
      <c r="AG45" s="53"/>
      <c r="AH45" s="54"/>
      <c r="AI45" s="55"/>
    </row>
    <row r="46" spans="1:40" x14ac:dyDescent="0.25">
      <c r="C46" s="32"/>
      <c r="H46" s="15" t="s">
        <v>80</v>
      </c>
      <c r="I46" s="27" t="s">
        <v>1012</v>
      </c>
      <c r="J46" s="27" t="s">
        <v>78</v>
      </c>
      <c r="K46" s="25"/>
      <c r="N46" s="25" t="s">
        <v>1117</v>
      </c>
      <c r="O46" s="164">
        <f t="shared" ref="O46:Z46" si="1">SUMIF($H$33:$H$45,"600000",O$33:O$45)+SUMIF($H$33:$H$45,"700000",O$33:O$45)</f>
        <v>0</v>
      </c>
      <c r="P46" s="164">
        <f t="shared" si="1"/>
        <v>0</v>
      </c>
      <c r="Q46" s="164">
        <f t="shared" si="1"/>
        <v>0</v>
      </c>
      <c r="R46" s="164">
        <f t="shared" si="1"/>
        <v>0</v>
      </c>
      <c r="S46" s="164">
        <f t="shared" si="1"/>
        <v>0</v>
      </c>
      <c r="T46" s="164">
        <f t="shared" si="1"/>
        <v>0</v>
      </c>
      <c r="U46" s="164">
        <f t="shared" si="1"/>
        <v>0</v>
      </c>
      <c r="V46" s="164">
        <f t="shared" si="1"/>
        <v>0</v>
      </c>
      <c r="W46" s="164">
        <f t="shared" si="1"/>
        <v>0</v>
      </c>
      <c r="X46" s="164">
        <f t="shared" si="1"/>
        <v>0</v>
      </c>
      <c r="Y46" s="164">
        <f t="shared" si="1"/>
        <v>0</v>
      </c>
      <c r="Z46" s="164">
        <f t="shared" si="1"/>
        <v>0</v>
      </c>
      <c r="AA46" s="164">
        <f>IF($I46="B1","",SUM(O46:Z46))</f>
        <v>0</v>
      </c>
      <c r="AB46" s="175" t="str">
        <f>IF(AA46=0,"",IFERROR(AA46/AA$19,""))</f>
        <v/>
      </c>
      <c r="AD46" s="164">
        <f>SUMIF($H$33:$H$45,"600000",AD$33:AD$45)+SUMIF($H$33:$H$45,"700000",AD$33:AD$45)</f>
        <v>0</v>
      </c>
      <c r="AE46" s="175" t="str">
        <f>IF(AD46=0,"",IFERROR(AD46/AD$19,""))</f>
        <v/>
      </c>
      <c r="AF46" s="165">
        <f>IF(AND($AA46="",AD46=""),"",$AA46-AD46)</f>
        <v>0</v>
      </c>
      <c r="AG46" s="164">
        <f>SUMIF($H$33:$H$45,"600000",AG$33:AG$45)+SUMIF($H$33:$H$45,"700000",AG$33:AG$45)</f>
        <v>0</v>
      </c>
      <c r="AH46" s="175" t="str">
        <f>IF(AG46=0,"",IFERROR(AG46/AG$19,""))</f>
        <v/>
      </c>
      <c r="AI46" s="165">
        <f>IF(AND($AA46="",AG46=""),"",$AA46-AG46)</f>
        <v>0</v>
      </c>
      <c r="AJ46" s="392">
        <f>IFERROR(AA46/AA$20,0)</f>
        <v>0</v>
      </c>
      <c r="AK46" s="393">
        <f>IFERROR(AD46/AD$20,0)</f>
        <v>0</v>
      </c>
      <c r="AL46" s="394">
        <f>IFERROR(AG46/AG$20,0)</f>
        <v>0</v>
      </c>
      <c r="AM46" s="395">
        <f>+IFERROR(ROUND(($AB46-AE46)*100,2)&amp;" pts.",0)</f>
        <v>0</v>
      </c>
      <c r="AN46" s="437">
        <f>+IFERROR(ROUND(($AB46-AH46)*100,2)&amp;" pts.",0)</f>
        <v>0</v>
      </c>
    </row>
    <row r="47" spans="1:40" x14ac:dyDescent="0.25">
      <c r="A47" s="3" t="s">
        <v>0</v>
      </c>
      <c r="B47" s="5" t="s">
        <v>1</v>
      </c>
      <c r="C47" s="32"/>
      <c r="I47" s="1"/>
      <c r="J47" s="1"/>
      <c r="L47" s="1"/>
      <c r="M47" s="1"/>
      <c r="O47" s="53"/>
      <c r="P47" s="54"/>
      <c r="Q47" s="54"/>
      <c r="R47" s="54"/>
      <c r="S47" s="54"/>
      <c r="T47" s="54"/>
      <c r="U47" s="54"/>
      <c r="V47" s="54"/>
      <c r="W47" s="54"/>
      <c r="X47" s="54"/>
      <c r="Y47" s="54"/>
      <c r="Z47" s="54"/>
      <c r="AA47" s="54"/>
      <c r="AB47" s="55"/>
      <c r="AD47" s="53"/>
      <c r="AE47" s="54"/>
      <c r="AF47" s="55"/>
      <c r="AG47" s="53"/>
      <c r="AH47" s="54"/>
      <c r="AI47" s="55"/>
    </row>
    <row r="48" spans="1:40" x14ac:dyDescent="0.25">
      <c r="A48" s="6" t="s">
        <v>2</v>
      </c>
      <c r="B48" s="16" t="s">
        <v>1849</v>
      </c>
      <c r="C48" s="32"/>
      <c r="I48" s="1"/>
      <c r="J48" s="1"/>
      <c r="L48" s="1"/>
      <c r="M48" s="1"/>
      <c r="N48" s="40" t="s">
        <v>596</v>
      </c>
      <c r="O48" s="43"/>
      <c r="P48" s="46"/>
      <c r="Q48" s="46"/>
      <c r="R48" s="46"/>
      <c r="S48" s="46"/>
      <c r="T48" s="46"/>
      <c r="U48" s="46"/>
      <c r="V48" s="46"/>
      <c r="W48" s="46"/>
      <c r="X48" s="46"/>
      <c r="Y48" s="46"/>
      <c r="Z48" s="46"/>
      <c r="AA48" s="46"/>
      <c r="AB48" s="44"/>
      <c r="AD48" s="43"/>
      <c r="AE48" s="46"/>
      <c r="AF48" s="44"/>
      <c r="AG48" s="43"/>
      <c r="AH48" s="46"/>
      <c r="AI48" s="44"/>
    </row>
    <row r="49" spans="1:40" x14ac:dyDescent="0.25">
      <c r="A49" s="6" t="s">
        <v>3</v>
      </c>
      <c r="B49" s="16" t="s">
        <v>1850</v>
      </c>
      <c r="C49" s="32"/>
      <c r="H49" s="15" t="s">
        <v>592</v>
      </c>
      <c r="I49" s="161" t="s">
        <v>1009</v>
      </c>
      <c r="J49" s="161" t="s">
        <v>1009</v>
      </c>
      <c r="K49" s="68" t="str">
        <f>IF(AND(I49&gt;="T3"),"&gt;","")</f>
        <v/>
      </c>
      <c r="L49" s="162">
        <v>789110</v>
      </c>
      <c r="M49" s="162">
        <v>690940</v>
      </c>
      <c r="N49" s="162" t="s">
        <v>1855</v>
      </c>
      <c r="O49" s="21"/>
      <c r="P49" s="21"/>
      <c r="Q49" s="21"/>
      <c r="R49" s="21"/>
      <c r="S49" s="21"/>
      <c r="T49" s="21"/>
      <c r="U49" s="21"/>
      <c r="V49" s="21"/>
      <c r="W49" s="21"/>
      <c r="X49" s="21"/>
      <c r="Y49" s="21"/>
      <c r="Z49" s="21"/>
      <c r="AA49" s="21">
        <f>IF($I49="B1","",SUM(O49:Z49))</f>
        <v>0</v>
      </c>
      <c r="AB49" s="17" t="str">
        <f>IF(AA49=0,"",IFERROR(AA49/AA$19,""))</f>
        <v/>
      </c>
      <c r="AD49" s="21"/>
      <c r="AE49" s="17" t="str">
        <f>IF(AD49=0,"",IFERROR(AD49/AD$19,""))</f>
        <v/>
      </c>
      <c r="AF49" s="50">
        <f>IF(AND($AA49="",AD49=""),"",$AA49-AD49)</f>
        <v>0</v>
      </c>
      <c r="AG49" s="21"/>
      <c r="AH49" s="17" t="str">
        <f>IF(AG49=0,"",IFERROR(AG49/AG$19,""))</f>
        <v/>
      </c>
      <c r="AI49" s="50">
        <f>IF(AND($AA49="",AG49=""),"",$AA49-AG49)</f>
        <v>0</v>
      </c>
      <c r="AJ49" s="399">
        <f>IFERROR(AA49/AA$20,0)</f>
        <v>0</v>
      </c>
      <c r="AK49" s="400">
        <f>IFERROR(AD49/AD$20,0)</f>
        <v>0</v>
      </c>
      <c r="AL49" s="401">
        <f>IFERROR(AG49/AG$20,0)</f>
        <v>0</v>
      </c>
      <c r="AM49" s="402">
        <f>+IFERROR(ROUND(($AB49-AE49)*100,2)&amp;" pts.",0)</f>
        <v>0</v>
      </c>
      <c r="AN49" s="403">
        <f>+IFERROR(ROUND(($AB49-AH49)*100,2)&amp;" pts.",0)</f>
        <v>0</v>
      </c>
    </row>
    <row r="50" spans="1:40" x14ac:dyDescent="0.25">
      <c r="A50" s="6" t="s">
        <v>4</v>
      </c>
      <c r="B50" s="16" t="s">
        <v>1857</v>
      </c>
      <c r="C50" s="32"/>
      <c r="H50" s="15" t="s">
        <v>593</v>
      </c>
      <c r="I50" s="161" t="s">
        <v>1009</v>
      </c>
      <c r="J50" s="161" t="s">
        <v>1009</v>
      </c>
      <c r="L50" s="162">
        <v>789115</v>
      </c>
      <c r="M50" s="162">
        <v>690938</v>
      </c>
      <c r="N50" s="162" t="s">
        <v>1856</v>
      </c>
      <c r="O50" s="21"/>
      <c r="P50" s="21"/>
      <c r="Q50" s="21"/>
      <c r="R50" s="21"/>
      <c r="S50" s="21"/>
      <c r="T50" s="21"/>
      <c r="U50" s="21"/>
      <c r="V50" s="21"/>
      <c r="W50" s="21"/>
      <c r="X50" s="21"/>
      <c r="Y50" s="21"/>
      <c r="Z50" s="21"/>
      <c r="AA50" s="21">
        <f>IF($I50="B1","",SUM(O50:Z50))</f>
        <v>0</v>
      </c>
      <c r="AB50" s="17" t="str">
        <f>IF(AA50=0,"",IFERROR(AA50/AA$19,""))</f>
        <v/>
      </c>
      <c r="AD50" s="21"/>
      <c r="AE50" s="17" t="str">
        <f>IF(AD50=0,"",IFERROR(AD50/AD$19,""))</f>
        <v/>
      </c>
      <c r="AF50" s="50">
        <f>IF(AND($AA50="",AD50=""),"",$AA50-AD50)</f>
        <v>0</v>
      </c>
      <c r="AG50" s="21"/>
      <c r="AH50" s="17" t="str">
        <f>IF(AG50=0,"",IFERROR(AG50/AG$19,""))</f>
        <v/>
      </c>
      <c r="AI50" s="50">
        <f>IF(AND($AA50="",AG50=""),"",$AA50-AG50)</f>
        <v>0</v>
      </c>
      <c r="AJ50" s="409">
        <f>IFERROR(AA50/AA$20,0)</f>
        <v>0</v>
      </c>
      <c r="AK50" s="410">
        <f>IFERROR(AD50/AD$20,0)</f>
        <v>0</v>
      </c>
      <c r="AL50" s="411">
        <f>IFERROR(AG50/AG$20,0)</f>
        <v>0</v>
      </c>
      <c r="AM50" s="412">
        <f>+IFERROR(ROUND(($AB50-AE50)*100,2)&amp;" pts.",0)</f>
        <v>0</v>
      </c>
      <c r="AN50" s="413">
        <f>+IFERROR(ROUND(($AB50-AH50)*100,2)&amp;" pts.",0)</f>
        <v>0</v>
      </c>
    </row>
    <row r="51" spans="1:40" x14ac:dyDescent="0.25">
      <c r="A51" s="6" t="s">
        <v>5</v>
      </c>
      <c r="B51" s="7"/>
      <c r="C51" s="32"/>
      <c r="N51" s="25" t="s">
        <v>557</v>
      </c>
      <c r="O51" s="33">
        <f t="shared" ref="O51:Z51" si="2">SUM(O49:O50)</f>
        <v>0</v>
      </c>
      <c r="P51" s="33">
        <f t="shared" si="2"/>
        <v>0</v>
      </c>
      <c r="Q51" s="33">
        <f t="shared" si="2"/>
        <v>0</v>
      </c>
      <c r="R51" s="33">
        <f t="shared" si="2"/>
        <v>0</v>
      </c>
      <c r="S51" s="33">
        <f t="shared" si="2"/>
        <v>0</v>
      </c>
      <c r="T51" s="33">
        <f t="shared" si="2"/>
        <v>0</v>
      </c>
      <c r="U51" s="33">
        <f t="shared" si="2"/>
        <v>0</v>
      </c>
      <c r="V51" s="33">
        <f t="shared" si="2"/>
        <v>0</v>
      </c>
      <c r="W51" s="33">
        <f t="shared" si="2"/>
        <v>0</v>
      </c>
      <c r="X51" s="33">
        <f t="shared" si="2"/>
        <v>0</v>
      </c>
      <c r="Y51" s="33">
        <f t="shared" si="2"/>
        <v>0</v>
      </c>
      <c r="Z51" s="33">
        <f t="shared" si="2"/>
        <v>0</v>
      </c>
      <c r="AA51" s="33">
        <f>IF($I51="B1","",SUM(O51:Z51))</f>
        <v>0</v>
      </c>
      <c r="AB51" s="34" t="str">
        <f>IF(AA51=0,"",IFERROR(AA51/AA$19,""))</f>
        <v/>
      </c>
      <c r="AD51" s="33">
        <f>SUM(AD49:AD50)</f>
        <v>0</v>
      </c>
      <c r="AE51" s="34" t="str">
        <f>IF(AD51=0,"",IFERROR(AD51/AD$19,""))</f>
        <v/>
      </c>
      <c r="AF51" s="52">
        <f>IF(AND($AA51="",AD51=""),"",$AA51-AD51)</f>
        <v>0</v>
      </c>
      <c r="AG51" s="33">
        <f>SUM(AG49:AG50)</f>
        <v>0</v>
      </c>
      <c r="AH51" s="34" t="str">
        <f>IF(AG51=0,"",IFERROR(AG51/AG$19,""))</f>
        <v/>
      </c>
      <c r="AI51" s="52">
        <f>IF(AND($AA51="",AG51=""),"",$AA51-AG51)</f>
        <v>0</v>
      </c>
      <c r="AJ51" s="415">
        <f>IFERROR(AA51/AA$20,0)</f>
        <v>0</v>
      </c>
      <c r="AK51" s="416">
        <f>IFERROR(AD51/AD$20,0)</f>
        <v>0</v>
      </c>
      <c r="AL51" s="417">
        <f>IFERROR(AG51/AG$20,0)</f>
        <v>0</v>
      </c>
      <c r="AM51" s="418">
        <f>+IFERROR(ROUND(($AB51-AE51)*100,2)&amp;" pts.",0)</f>
        <v>0</v>
      </c>
      <c r="AN51" s="436">
        <f>+IFERROR(ROUND(($AB51-AH51)*100,2)&amp;" pts.",0)</f>
        <v>0</v>
      </c>
    </row>
    <row r="52" spans="1:40" x14ac:dyDescent="0.25">
      <c r="A52" s="6" t="s">
        <v>6</v>
      </c>
      <c r="B52" s="7"/>
      <c r="C52" s="32"/>
      <c r="N52" s="25"/>
      <c r="O52" s="43"/>
      <c r="P52" s="46"/>
      <c r="Q52" s="46"/>
      <c r="R52" s="46"/>
      <c r="S52" s="46"/>
      <c r="T52" s="46"/>
      <c r="U52" s="46"/>
      <c r="V52" s="46"/>
      <c r="W52" s="46"/>
      <c r="X52" s="46"/>
      <c r="Y52" s="46"/>
      <c r="Z52" s="46"/>
      <c r="AA52" s="46"/>
      <c r="AB52" s="44"/>
      <c r="AD52" s="43"/>
      <c r="AE52" s="46"/>
      <c r="AF52" s="44"/>
      <c r="AG52" s="43"/>
      <c r="AH52" s="46"/>
      <c r="AI52" s="44"/>
    </row>
    <row r="53" spans="1:40" ht="15.75" thickBot="1" x14ac:dyDescent="0.3">
      <c r="A53" s="6" t="s">
        <v>7</v>
      </c>
      <c r="B53" s="7"/>
      <c r="C53" s="32"/>
      <c r="N53" s="25" t="s">
        <v>556</v>
      </c>
      <c r="O53" s="62">
        <f t="shared" ref="O53:Z53" si="3">O46+O51</f>
        <v>0</v>
      </c>
      <c r="P53" s="62">
        <f t="shared" si="3"/>
        <v>0</v>
      </c>
      <c r="Q53" s="62">
        <f t="shared" si="3"/>
        <v>0</v>
      </c>
      <c r="R53" s="62">
        <f t="shared" si="3"/>
        <v>0</v>
      </c>
      <c r="S53" s="62">
        <f t="shared" si="3"/>
        <v>0</v>
      </c>
      <c r="T53" s="62">
        <f t="shared" si="3"/>
        <v>0</v>
      </c>
      <c r="U53" s="62">
        <f t="shared" si="3"/>
        <v>0</v>
      </c>
      <c r="V53" s="62">
        <f t="shared" si="3"/>
        <v>0</v>
      </c>
      <c r="W53" s="62">
        <f t="shared" si="3"/>
        <v>0</v>
      </c>
      <c r="X53" s="62">
        <f t="shared" si="3"/>
        <v>0</v>
      </c>
      <c r="Y53" s="62">
        <f t="shared" si="3"/>
        <v>0</v>
      </c>
      <c r="Z53" s="62">
        <f t="shared" si="3"/>
        <v>0</v>
      </c>
      <c r="AA53" s="62">
        <f>IF($I53="B1","",SUM(O53:Z53))</f>
        <v>0</v>
      </c>
      <c r="AB53" s="63" t="str">
        <f>IF(AA53=0,"",IFERROR(AA53/AA$19,""))</f>
        <v/>
      </c>
      <c r="AD53" s="62">
        <f>AD46+AD51</f>
        <v>0</v>
      </c>
      <c r="AE53" s="63" t="str">
        <f>IF(AD53=0,"",IFERROR(AD53/AD$19,""))</f>
        <v/>
      </c>
      <c r="AF53" s="64">
        <f>IF(AND($AA53="",AD53=""),"",$AA53-AD53)</f>
        <v>0</v>
      </c>
      <c r="AG53" s="62">
        <f>AG46+AG51</f>
        <v>0</v>
      </c>
      <c r="AH53" s="63" t="str">
        <f>IF(AG53=0,"",IFERROR(AG53/AG$19,""))</f>
        <v/>
      </c>
      <c r="AI53" s="64">
        <f>IF(AND($AA53="",AG53=""),"",$AA53-AG53)</f>
        <v>0</v>
      </c>
      <c r="AJ53" s="430">
        <f>IFERROR(AA53/AA$20,0)</f>
        <v>0</v>
      </c>
      <c r="AK53" s="431">
        <f>IFERROR(AD53/AD$20,0)</f>
        <v>0</v>
      </c>
      <c r="AL53" s="432">
        <f>IFERROR(AG53/AG$20,0)</f>
        <v>0</v>
      </c>
      <c r="AM53" s="433">
        <f>+IFERROR(ROUND(($AB53-AE53)*100,2)&amp;" pts.",0)</f>
        <v>0</v>
      </c>
      <c r="AN53" s="438">
        <f>+IFERROR(ROUND(($AB53-AH53)*100,2)&amp;" pts.",0)</f>
        <v>0</v>
      </c>
    </row>
    <row r="54" spans="1:40" ht="15.75" thickTop="1" x14ac:dyDescent="0.25">
      <c r="A54" s="6" t="s">
        <v>47</v>
      </c>
      <c r="B54" s="16" t="s">
        <v>1853</v>
      </c>
      <c r="C54" s="32"/>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C55" s="32"/>
      <c r="N55" s="40" t="s">
        <v>595</v>
      </c>
      <c r="O55" s="43"/>
      <c r="P55" s="46"/>
      <c r="Q55" s="46"/>
      <c r="R55" s="46"/>
      <c r="S55" s="46"/>
      <c r="T55" s="46"/>
      <c r="U55" s="46"/>
      <c r="V55" s="46"/>
      <c r="W55" s="46"/>
      <c r="X55" s="46"/>
      <c r="Y55" s="46"/>
      <c r="Z55" s="46"/>
      <c r="AA55" s="46"/>
      <c r="AB55" s="44"/>
      <c r="AD55" s="43"/>
      <c r="AE55" s="46"/>
      <c r="AF55" s="44"/>
      <c r="AG55" s="43"/>
      <c r="AH55" s="46"/>
      <c r="AI55" s="44"/>
    </row>
    <row r="56" spans="1:40" hidden="1" x14ac:dyDescent="0.25">
      <c r="C56" s="32"/>
      <c r="H56" s="149" t="s">
        <v>667</v>
      </c>
      <c r="I56" s="161"/>
      <c r="J56" s="161"/>
      <c r="K56" s="162"/>
      <c r="L56" s="162"/>
      <c r="M56" s="162"/>
      <c r="N56" s="162"/>
      <c r="O56" s="21"/>
      <c r="P56" s="21"/>
      <c r="Q56" s="21"/>
      <c r="R56" s="21"/>
      <c r="S56" s="21"/>
      <c r="T56" s="21"/>
      <c r="U56" s="21"/>
      <c r="V56" s="21"/>
      <c r="W56" s="21"/>
      <c r="X56" s="21"/>
      <c r="Y56" s="21"/>
      <c r="Z56" s="21"/>
      <c r="AA56" s="21">
        <f>IF($I56="B1","",SUM(O56:Z56))</f>
        <v>0</v>
      </c>
      <c r="AB56" s="17" t="str">
        <f>IF(AA56=0,"",IFERROR(AA56/AA$19,""))</f>
        <v/>
      </c>
      <c r="AD56" s="21"/>
      <c r="AE56" s="17" t="str">
        <f>IF(AD56=0,"",IFERROR(AD56/AD$19,""))</f>
        <v/>
      </c>
      <c r="AF56" s="50">
        <f>IF(AND($AA56="",AD56=""),"",$AA56-AD56)</f>
        <v>0</v>
      </c>
      <c r="AG56" s="21"/>
      <c r="AH56" s="17" t="str">
        <f>IF(AG56=0,"",IFERROR(AG56/AG$19,""))</f>
        <v/>
      </c>
      <c r="AI56" s="50">
        <f>IF(AND($AA56="",AG56=""),"",$AA56-AG56)</f>
        <v>0</v>
      </c>
      <c r="AJ56" s="399">
        <f>IFERROR(AA56/AA$20,0)</f>
        <v>0</v>
      </c>
      <c r="AK56" s="400">
        <f>IFERROR(AD56/AD$20,0)</f>
        <v>0</v>
      </c>
      <c r="AL56" s="401">
        <f>IFERROR(AG56/AG$20,0)</f>
        <v>0</v>
      </c>
      <c r="AM56" s="402">
        <f>+IFERROR(ROUND(($AB56-AE56)*100,2)&amp;" pts.",0)</f>
        <v>0</v>
      </c>
      <c r="AN56" s="403">
        <f>+IFERROR(ROUND(($AB56-AH56)*100,2)&amp;" pts.",0)</f>
        <v>0</v>
      </c>
    </row>
    <row r="57" spans="1:40" hidden="1" x14ac:dyDescent="0.25">
      <c r="C57" s="32"/>
      <c r="H57" s="149"/>
      <c r="I57" s="161"/>
      <c r="J57" s="161"/>
      <c r="K57" s="162"/>
      <c r="L57" s="162"/>
      <c r="M57" s="162"/>
      <c r="N57" s="162"/>
      <c r="O57" s="21"/>
      <c r="P57" s="21"/>
      <c r="Q57" s="21"/>
      <c r="R57" s="21"/>
      <c r="S57" s="21"/>
      <c r="T57" s="21"/>
      <c r="U57" s="21"/>
      <c r="V57" s="21"/>
      <c r="W57" s="21"/>
      <c r="X57" s="21"/>
      <c r="Y57" s="21"/>
      <c r="Z57" s="21"/>
      <c r="AA57" s="21">
        <f>IF($I57="B1","",SUM(O57:Z57))</f>
        <v>0</v>
      </c>
      <c r="AB57" s="17" t="str">
        <f>IF(AA57=0,"",IFERROR(AA57/AA$19,""))</f>
        <v/>
      </c>
      <c r="AD57" s="21"/>
      <c r="AE57" s="17" t="str">
        <f>IF(AD57=0,"",IFERROR(AD57/AD$19,""))</f>
        <v/>
      </c>
      <c r="AF57" s="50">
        <f>IF(AND($AA57="",AD57=""),"",$AA57-AD57)</f>
        <v>0</v>
      </c>
      <c r="AG57" s="21"/>
      <c r="AH57" s="17" t="str">
        <f>IF(AG57=0,"",IFERROR(AG57/AG$19,""))</f>
        <v/>
      </c>
      <c r="AI57" s="50">
        <f>IF(AND($AA57="",AG57=""),"",$AA57-AG57)</f>
        <v>0</v>
      </c>
      <c r="AJ57" s="399">
        <f>IFERROR(AA57/AA$20,0)</f>
        <v>0</v>
      </c>
      <c r="AK57" s="400">
        <f>IFERROR(AD57/AD$20,0)</f>
        <v>0</v>
      </c>
      <c r="AL57" s="401">
        <f>IFERROR(AG57/AG$20,0)</f>
        <v>0</v>
      </c>
      <c r="AM57" s="402">
        <f>+IFERROR(ROUND(($AB57-AE57)*100,2)&amp;" pts.",0)</f>
        <v>0</v>
      </c>
      <c r="AN57" s="403">
        <f>+IFERROR(ROUND(($AB57-AH57)*100,2)&amp;" pts.",0)</f>
        <v>0</v>
      </c>
    </row>
    <row r="58" spans="1:40" x14ac:dyDescent="0.25">
      <c r="A58" s="4" t="s">
        <v>988</v>
      </c>
      <c r="H58" s="11"/>
      <c r="J58" s="1"/>
      <c r="N58" s="25" t="s">
        <v>555</v>
      </c>
      <c r="O58" s="33">
        <f t="shared" ref="O58:Z58" si="4">SUM(O56:O57)</f>
        <v>0</v>
      </c>
      <c r="P58" s="33">
        <f t="shared" si="4"/>
        <v>0</v>
      </c>
      <c r="Q58" s="33">
        <f t="shared" si="4"/>
        <v>0</v>
      </c>
      <c r="R58" s="33">
        <f t="shared" si="4"/>
        <v>0</v>
      </c>
      <c r="S58" s="33">
        <f t="shared" si="4"/>
        <v>0</v>
      </c>
      <c r="T58" s="33">
        <f t="shared" si="4"/>
        <v>0</v>
      </c>
      <c r="U58" s="33">
        <f t="shared" si="4"/>
        <v>0</v>
      </c>
      <c r="V58" s="33">
        <f t="shared" si="4"/>
        <v>0</v>
      </c>
      <c r="W58" s="33">
        <f t="shared" si="4"/>
        <v>0</v>
      </c>
      <c r="X58" s="33">
        <f t="shared" si="4"/>
        <v>0</v>
      </c>
      <c r="Y58" s="33">
        <f t="shared" si="4"/>
        <v>0</v>
      </c>
      <c r="Z58" s="33">
        <f t="shared" si="4"/>
        <v>0</v>
      </c>
      <c r="AA58" s="33">
        <f>IF($I58="B1","",SUM(O58:Z58))</f>
        <v>0</v>
      </c>
      <c r="AB58" s="34" t="str">
        <f>IF(AA58=0,"",IFERROR(AA58/AA$19,""))</f>
        <v/>
      </c>
      <c r="AD58" s="33">
        <f>SUM(AD56:AD57)</f>
        <v>0</v>
      </c>
      <c r="AE58" s="34" t="str">
        <f>IF(AD58=0,"",IFERROR(AD58/AD$19,""))</f>
        <v/>
      </c>
      <c r="AF58" s="52">
        <f>IF(AND($AA58="",AD58=""),"",$AA58-AD58)</f>
        <v>0</v>
      </c>
      <c r="AG58" s="33">
        <f>SUM(AG56:AG57)</f>
        <v>0</v>
      </c>
      <c r="AH58" s="34" t="str">
        <f>IF(AG58=0,"",IFERROR(AG58/AG$19,""))</f>
        <v/>
      </c>
      <c r="AI58" s="52">
        <f>IF(AND($AA58="",AG58=""),"",$AA58-AG58)</f>
        <v>0</v>
      </c>
      <c r="AJ58" s="415">
        <f>IFERROR(AA58/AA$20,0)</f>
        <v>0</v>
      </c>
      <c r="AK58" s="416">
        <f>IFERROR(AD58/AD$20,0)</f>
        <v>0</v>
      </c>
      <c r="AL58" s="417">
        <f>IFERROR(AG58/AG$20,0)</f>
        <v>0</v>
      </c>
      <c r="AM58" s="418">
        <f>+IFERROR(ROUND(($AB58-AE58)*100,2)&amp;" pts.",0)</f>
        <v>0</v>
      </c>
      <c r="AN58" s="436">
        <f>+IFERROR(ROUND(($AB58-AH58)*100,2)&amp;" pts.",0)</f>
        <v>0</v>
      </c>
    </row>
    <row r="59" spans="1:40" x14ac:dyDescent="0.25">
      <c r="H59" s="11"/>
      <c r="J59" s="1"/>
      <c r="O59" s="43"/>
      <c r="P59" s="46"/>
      <c r="Q59" s="46"/>
      <c r="R59" s="46"/>
      <c r="S59" s="46"/>
      <c r="T59" s="46"/>
      <c r="U59" s="46"/>
      <c r="V59" s="46"/>
      <c r="W59" s="46"/>
      <c r="X59" s="46"/>
      <c r="Y59" s="46"/>
      <c r="Z59" s="46"/>
      <c r="AA59" s="46"/>
      <c r="AB59" s="44"/>
      <c r="AD59" s="43"/>
      <c r="AE59" s="46"/>
      <c r="AF59" s="44"/>
      <c r="AG59" s="43"/>
      <c r="AH59" s="46"/>
      <c r="AI59" s="44"/>
    </row>
    <row r="60" spans="1:40" ht="15.75" thickBot="1" x14ac:dyDescent="0.3">
      <c r="A60" s="3" t="s">
        <v>0</v>
      </c>
      <c r="B60" s="5" t="s">
        <v>1</v>
      </c>
      <c r="H60" s="11"/>
      <c r="J60" s="1"/>
      <c r="N60" s="25" t="s">
        <v>558</v>
      </c>
      <c r="O60" s="62">
        <f t="shared" ref="O60:Z60" si="5">O53+O58</f>
        <v>0</v>
      </c>
      <c r="P60" s="62">
        <f t="shared" si="5"/>
        <v>0</v>
      </c>
      <c r="Q60" s="62">
        <f t="shared" si="5"/>
        <v>0</v>
      </c>
      <c r="R60" s="62">
        <f t="shared" si="5"/>
        <v>0</v>
      </c>
      <c r="S60" s="62">
        <f t="shared" si="5"/>
        <v>0</v>
      </c>
      <c r="T60" s="62">
        <f t="shared" si="5"/>
        <v>0</v>
      </c>
      <c r="U60" s="62">
        <f t="shared" si="5"/>
        <v>0</v>
      </c>
      <c r="V60" s="62">
        <f t="shared" si="5"/>
        <v>0</v>
      </c>
      <c r="W60" s="62">
        <f t="shared" si="5"/>
        <v>0</v>
      </c>
      <c r="X60" s="62">
        <f t="shared" si="5"/>
        <v>0</v>
      </c>
      <c r="Y60" s="62">
        <f t="shared" si="5"/>
        <v>0</v>
      </c>
      <c r="Z60" s="62">
        <f t="shared" si="5"/>
        <v>0</v>
      </c>
      <c r="AA60" s="62">
        <f>IF($I60="B1","",SUM(O60:Z60))</f>
        <v>0</v>
      </c>
      <c r="AB60" s="63" t="str">
        <f>IF(AA60=0,"",IFERROR(AA60/AA$19,""))</f>
        <v/>
      </c>
      <c r="AD60" s="62">
        <f>AD53+AD58</f>
        <v>0</v>
      </c>
      <c r="AE60" s="63" t="str">
        <f>IF(AD60=0,"",IFERROR(AD60/AD$19,""))</f>
        <v/>
      </c>
      <c r="AF60" s="64">
        <f>IF(AND($AA60="",AD60=""),"",$AA60-AD60)</f>
        <v>0</v>
      </c>
      <c r="AG60" s="62">
        <f>AG53+AG58</f>
        <v>0</v>
      </c>
      <c r="AH60" s="63" t="str">
        <f>IF(AG60=0,"",IFERROR(AG60/AG$19,""))</f>
        <v/>
      </c>
      <c r="AI60" s="64">
        <f>IF(AND($AA60="",AG60=""),"",$AA60-AG60)</f>
        <v>0</v>
      </c>
    </row>
    <row r="61" spans="1:40" ht="15.75" thickTop="1" x14ac:dyDescent="0.25">
      <c r="A61" s="6" t="s">
        <v>2</v>
      </c>
      <c r="B61" s="16" t="s">
        <v>1849</v>
      </c>
      <c r="H61" s="11"/>
      <c r="J61" s="1"/>
    </row>
    <row r="62" spans="1:40" x14ac:dyDescent="0.25">
      <c r="A62" s="6" t="s">
        <v>3</v>
      </c>
      <c r="B62" s="16" t="s">
        <v>1850</v>
      </c>
      <c r="H62" s="11"/>
      <c r="J62" s="1"/>
    </row>
    <row r="63" spans="1:40" x14ac:dyDescent="0.25">
      <c r="A63" s="6" t="s">
        <v>4</v>
      </c>
      <c r="B63" s="16" t="s">
        <v>1858</v>
      </c>
      <c r="H63" s="15" t="s">
        <v>56</v>
      </c>
      <c r="I63" s="27" t="s">
        <v>1010</v>
      </c>
      <c r="J63" s="27" t="s">
        <v>78</v>
      </c>
      <c r="K63" s="25"/>
      <c r="N63" s="25" t="s">
        <v>666</v>
      </c>
      <c r="O63" s="139">
        <v>0</v>
      </c>
      <c r="P63" s="139">
        <v>0</v>
      </c>
      <c r="Q63" s="139">
        <v>0</v>
      </c>
      <c r="R63" s="139">
        <v>0</v>
      </c>
      <c r="S63" s="139">
        <v>0</v>
      </c>
      <c r="T63" s="139">
        <v>0</v>
      </c>
      <c r="U63" s="139">
        <v>0</v>
      </c>
      <c r="V63" s="139">
        <v>0</v>
      </c>
      <c r="W63" s="139">
        <v>0</v>
      </c>
      <c r="X63" s="139">
        <v>0</v>
      </c>
      <c r="Y63" s="139">
        <v>0</v>
      </c>
      <c r="Z63" s="139">
        <v>0</v>
      </c>
      <c r="AA63" s="21">
        <f>IF($I63="B1","",SUM(O63:Z63))</f>
        <v>0</v>
      </c>
      <c r="AB63" s="139"/>
      <c r="AD63" s="139">
        <v>0</v>
      </c>
      <c r="AE63" s="139"/>
      <c r="AF63" s="139"/>
      <c r="AG63" s="139">
        <v>0</v>
      </c>
      <c r="AH63" s="139"/>
      <c r="AI63" s="139"/>
    </row>
    <row r="64" spans="1:40" x14ac:dyDescent="0.25">
      <c r="A64" s="6" t="s">
        <v>5</v>
      </c>
      <c r="B64" s="7"/>
      <c r="H64" s="11"/>
      <c r="J64" s="1"/>
    </row>
    <row r="65" spans="1:10" x14ac:dyDescent="0.25">
      <c r="A65" s="6" t="s">
        <v>6</v>
      </c>
      <c r="B65" s="7"/>
      <c r="H65" s="11"/>
      <c r="J65" s="1"/>
    </row>
    <row r="66" spans="1:10" x14ac:dyDescent="0.25">
      <c r="A66" s="6" t="s">
        <v>7</v>
      </c>
      <c r="B66" s="7"/>
      <c r="H66" s="11"/>
      <c r="J66" s="1"/>
    </row>
    <row r="67" spans="1:10" x14ac:dyDescent="0.25">
      <c r="A67" s="6" t="s">
        <v>47</v>
      </c>
      <c r="B67" s="16" t="s">
        <v>1853</v>
      </c>
      <c r="H67" s="11"/>
      <c r="J67" s="1"/>
    </row>
    <row r="68" spans="1:10" x14ac:dyDescent="0.25">
      <c r="A68" s="6" t="s">
        <v>8</v>
      </c>
      <c r="B68" s="7"/>
      <c r="H68" s="11"/>
      <c r="J68" s="1"/>
    </row>
    <row r="70" spans="1:10" x14ac:dyDescent="0.25">
      <c r="A70" s="3" t="s">
        <v>9</v>
      </c>
      <c r="B70" s="5" t="s">
        <v>10</v>
      </c>
    </row>
    <row r="71" spans="1:10" x14ac:dyDescent="0.25">
      <c r="A71" s="6" t="s">
        <v>11</v>
      </c>
      <c r="B71" s="7" t="s">
        <v>21</v>
      </c>
    </row>
    <row r="72" spans="1:10" x14ac:dyDescent="0.25">
      <c r="A72" s="6" t="s">
        <v>12</v>
      </c>
      <c r="B72" s="7" t="s">
        <v>22</v>
      </c>
    </row>
    <row r="73" spans="1:10" x14ac:dyDescent="0.25">
      <c r="A73" s="6" t="s">
        <v>13</v>
      </c>
      <c r="B73" s="7" t="s">
        <v>594</v>
      </c>
    </row>
    <row r="74" spans="1:10" x14ac:dyDescent="0.25">
      <c r="A74" s="6" t="s">
        <v>14</v>
      </c>
      <c r="B74" s="16"/>
    </row>
    <row r="75" spans="1:10" x14ac:dyDescent="0.25">
      <c r="A75" s="6" t="s">
        <v>15</v>
      </c>
      <c r="B75" s="7"/>
    </row>
    <row r="76" spans="1:10" x14ac:dyDescent="0.25">
      <c r="A76" s="6" t="s">
        <v>16</v>
      </c>
      <c r="B76" s="7" t="s">
        <v>78</v>
      </c>
    </row>
    <row r="77" spans="1:10" x14ac:dyDescent="0.25">
      <c r="A77" s="6" t="s">
        <v>17</v>
      </c>
      <c r="B77" s="7"/>
    </row>
    <row r="80" spans="1:10" x14ac:dyDescent="0.25">
      <c r="A80" s="3" t="s">
        <v>23</v>
      </c>
      <c r="B80" s="5" t="s">
        <v>24</v>
      </c>
    </row>
    <row r="81" spans="1:2" x14ac:dyDescent="0.25">
      <c r="A81" s="6" t="s">
        <v>25</v>
      </c>
      <c r="B81" s="7"/>
    </row>
    <row r="82" spans="1:2" x14ac:dyDescent="0.25">
      <c r="A82" s="6" t="s">
        <v>26</v>
      </c>
      <c r="B82" s="7"/>
    </row>
    <row r="83" spans="1:2" x14ac:dyDescent="0.25">
      <c r="A83" s="6" t="s">
        <v>27</v>
      </c>
      <c r="B83" s="7"/>
    </row>
    <row r="84" spans="1:2" x14ac:dyDescent="0.25">
      <c r="A84" s="6" t="s">
        <v>28</v>
      </c>
      <c r="B84" s="7"/>
    </row>
    <row r="85" spans="1:2" x14ac:dyDescent="0.25">
      <c r="A85" s="6" t="s">
        <v>29</v>
      </c>
      <c r="B85" s="7"/>
    </row>
    <row r="86" spans="1:2" x14ac:dyDescent="0.25">
      <c r="A86" s="6" t="s">
        <v>30</v>
      </c>
      <c r="B86" s="7" t="s">
        <v>78</v>
      </c>
    </row>
    <row r="87" spans="1:2" x14ac:dyDescent="0.25">
      <c r="A87" s="6" t="s">
        <v>31</v>
      </c>
      <c r="B87" s="7" t="s">
        <v>78</v>
      </c>
    </row>
    <row r="88" spans="1:2" x14ac:dyDescent="0.25">
      <c r="A88" s="6" t="s">
        <v>32</v>
      </c>
      <c r="B88" s="7"/>
    </row>
    <row r="89" spans="1:2" x14ac:dyDescent="0.25">
      <c r="A89" s="6" t="s">
        <v>33</v>
      </c>
      <c r="B89" s="7"/>
    </row>
    <row r="90" spans="1:2" x14ac:dyDescent="0.25">
      <c r="A90" s="6" t="s">
        <v>34</v>
      </c>
      <c r="B90" s="7"/>
    </row>
    <row r="91" spans="1:2" x14ac:dyDescent="0.25">
      <c r="A91" s="6" t="s">
        <v>35</v>
      </c>
      <c r="B91" s="7"/>
    </row>
    <row r="92" spans="1:2" x14ac:dyDescent="0.25">
      <c r="A92" s="6" t="s">
        <v>36</v>
      </c>
      <c r="B92" s="7"/>
    </row>
    <row r="93" spans="1:2" x14ac:dyDescent="0.25">
      <c r="A93" s="6" t="s">
        <v>37</v>
      </c>
      <c r="B93" s="7"/>
    </row>
    <row r="94" spans="1:2" x14ac:dyDescent="0.25">
      <c r="A94" s="6" t="s">
        <v>38</v>
      </c>
      <c r="B94" s="7"/>
    </row>
    <row r="95" spans="1:2" x14ac:dyDescent="0.25">
      <c r="A95" s="6" t="s">
        <v>39</v>
      </c>
      <c r="B95" s="7"/>
    </row>
    <row r="96" spans="1:2" x14ac:dyDescent="0.25">
      <c r="A96" s="6" t="s">
        <v>40</v>
      </c>
      <c r="B96" s="7"/>
    </row>
    <row r="97" spans="1:2" x14ac:dyDescent="0.25">
      <c r="A97" s="6" t="s">
        <v>41</v>
      </c>
      <c r="B97" s="7"/>
    </row>
    <row r="98" spans="1:2" x14ac:dyDescent="0.25">
      <c r="A98" s="6" t="s">
        <v>42</v>
      </c>
      <c r="B98" s="7"/>
    </row>
    <row r="99" spans="1:2" x14ac:dyDescent="0.25">
      <c r="A99" s="6" t="s">
        <v>43</v>
      </c>
      <c r="B99" s="7"/>
    </row>
    <row r="100" spans="1:2" x14ac:dyDescent="0.25">
      <c r="A100" s="6" t="s">
        <v>44</v>
      </c>
      <c r="B100" s="7"/>
    </row>
    <row r="101" spans="1:2" x14ac:dyDescent="0.25">
      <c r="A101" s="6" t="s">
        <v>45</v>
      </c>
      <c r="B101" s="7"/>
    </row>
    <row r="102" spans="1:2" x14ac:dyDescent="0.25">
      <c r="A102" s="6" t="s">
        <v>46</v>
      </c>
      <c r="B102" s="7"/>
    </row>
  </sheetData>
  <mergeCells count="2">
    <mergeCell ref="AD31:AE31"/>
    <mergeCell ref="AG31:AH31"/>
  </mergeCells>
  <dataValidations count="2">
    <dataValidation type="list" allowBlank="1" sqref="B73 B29" xr:uid="{00000000-0002-0000-5D00-000000000000}">
      <formula1>"SELF,ALL,BAS,DEP,BASMEMBERS,MEMBERS,NOEXPAND,GDEP"</formula1>
    </dataValidation>
    <dataValidation type="list" allowBlank="1" sqref="B72 B28" xr:uid="{00000000-0002-0000-5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7861"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7861" r:id="rId5" name="FPMExcelClientSheetOptionstb1"/>
      </mc:Fallback>
    </mc:AlternateContent>
  </controls>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554</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559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_xll.EVRNG(H34:H35,H38:H39,H40:H41,H44:H45)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_xll.EVRNG($A$68:$B$89)</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16" t="s">
        <v>745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210"/>
      <c r="K33" s="67"/>
      <c r="N33" s="66"/>
      <c r="O33" s="53"/>
      <c r="P33" s="54"/>
      <c r="Q33" s="54"/>
      <c r="R33" s="54"/>
      <c r="S33" s="54"/>
      <c r="T33" s="54"/>
      <c r="U33" s="54"/>
      <c r="V33" s="54"/>
      <c r="W33" s="54"/>
      <c r="X33" s="54"/>
      <c r="Y33" s="54"/>
      <c r="Z33" s="54"/>
      <c r="AA33" s="54"/>
      <c r="AB33" s="55"/>
      <c r="AD33" s="53"/>
      <c r="AE33" s="54"/>
      <c r="AF33" s="55"/>
      <c r="AG33" s="53"/>
      <c r="AH33" s="54"/>
      <c r="AI33" s="55"/>
    </row>
    <row r="34" spans="1:40" hidden="1" x14ac:dyDescent="0.25">
      <c r="H34" s="15" t="s">
        <v>667</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21" t="e">
        <f ca="1">IF($I34="B1","",SUM(O34:Z34))</f>
        <v>#NAME?</v>
      </c>
      <c r="AB34" s="17" t="e">
        <f ca="1">IF(AA34=0,"",IFERROR(AA34/AA$19,""))</f>
        <v>#NAME?</v>
      </c>
      <c r="AD34" s="21"/>
      <c r="AE34" s="17" t="str">
        <f>IF(AD34=0,"",IFERROR(AD34/AD$19,""))</f>
        <v/>
      </c>
      <c r="AF34" s="50" t="e">
        <f ca="1">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hidden="1" x14ac:dyDescent="0.25">
      <c r="A35" s="22" t="s">
        <v>92</v>
      </c>
      <c r="B35" s="23" t="s">
        <v>93</v>
      </c>
      <c r="C35" s="23" t="s">
        <v>94</v>
      </c>
      <c r="D35" s="23" t="s">
        <v>95</v>
      </c>
      <c r="E35" s="23" t="s">
        <v>96</v>
      </c>
      <c r="F35" s="24" t="s">
        <v>97</v>
      </c>
      <c r="H35" s="15"/>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t="e">
        <f ca="1">IF($I35="B1","",SUM(O35:Z35))</f>
        <v>#NAME?</v>
      </c>
      <c r="AB35" s="17" t="e">
        <f ca="1">IF(AA35=0,"",IFERROR(AA35/AA$19,""))</f>
        <v>#NAME?</v>
      </c>
      <c r="AD35" s="21"/>
      <c r="AE35" s="17" t="str">
        <f>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 t="s">
        <v>73</v>
      </c>
      <c r="I36" s="11" t="e">
        <f ca="1">_xll.EVPRO($B$1,$H36,"STYLE")</f>
        <v>#NAME?</v>
      </c>
      <c r="J36" s="11" t="e">
        <f ca="1">_xll.EVPRO($B$1,$H36,"CALC")</f>
        <v>#NAME?</v>
      </c>
      <c r="N36" s="40" t="e">
        <f ca="1">IF(_xll.EVDES(H36,$B$1)="#NODATA","",_xll.EVDES(H36,$B$1))</f>
        <v>#NAME?</v>
      </c>
      <c r="O36" s="53"/>
      <c r="P36" s="54"/>
      <c r="Q36" s="54"/>
      <c r="R36" s="54"/>
      <c r="S36" s="54"/>
      <c r="T36" s="54"/>
      <c r="U36" s="54"/>
      <c r="V36" s="54"/>
      <c r="W36" s="54"/>
      <c r="X36" s="54"/>
      <c r="Y36" s="54"/>
      <c r="Z36" s="54"/>
      <c r="AA36" s="54"/>
      <c r="AB36" s="55"/>
      <c r="AD36" s="53"/>
      <c r="AE36" s="54"/>
      <c r="AF36" s="55"/>
      <c r="AG36" s="53"/>
      <c r="AH36" s="54"/>
      <c r="AI36" s="55"/>
    </row>
    <row r="37" spans="1:40" x14ac:dyDescent="0.25">
      <c r="A37" s="1" t="s">
        <v>108</v>
      </c>
      <c r="C37" s="26" t="s">
        <v>101</v>
      </c>
      <c r="D37" s="1" t="s">
        <v>106</v>
      </c>
      <c r="F37" s="1" t="s">
        <v>98</v>
      </c>
      <c r="H37" s="1" t="s">
        <v>74</v>
      </c>
      <c r="I37" s="11" t="e">
        <f ca="1">_xll.EVPRO($B$1,$H37,"STYLE")</f>
        <v>#NAME?</v>
      </c>
      <c r="J37" s="11" t="e">
        <f ca="1">_xll.EVPRO($B$1,$H37,"CALC")</f>
        <v>#NAME?</v>
      </c>
      <c r="N37" s="8" t="e">
        <f ca="1">IF(_xll.EVDES(H37,$B$1)="#NODATA","",_xll.EVDES(H37,$B$1))</f>
        <v>#NAME?</v>
      </c>
      <c r="O37" s="43"/>
      <c r="P37" s="46"/>
      <c r="Q37" s="46"/>
      <c r="R37" s="46"/>
      <c r="S37" s="46"/>
      <c r="T37" s="46"/>
      <c r="U37" s="46"/>
      <c r="V37" s="46"/>
      <c r="W37" s="46"/>
      <c r="X37" s="46"/>
      <c r="Y37" s="46"/>
      <c r="Z37" s="46"/>
      <c r="AA37" s="46"/>
      <c r="AB37" s="44"/>
      <c r="AD37" s="43"/>
      <c r="AE37" s="46"/>
      <c r="AF37" s="44"/>
      <c r="AG37" s="43"/>
      <c r="AH37" s="46"/>
      <c r="AI37" s="44"/>
    </row>
    <row r="38" spans="1:40" hidden="1" x14ac:dyDescent="0.25">
      <c r="A38" s="1" t="s">
        <v>100</v>
      </c>
      <c r="C38" s="8" t="s">
        <v>101</v>
      </c>
      <c r="D38" s="1" t="s">
        <v>106</v>
      </c>
      <c r="F38" s="1" t="s">
        <v>98</v>
      </c>
      <c r="H38" s="15" t="s">
        <v>667</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c r="P38" s="47"/>
      <c r="Q38" s="47"/>
      <c r="R38" s="47"/>
      <c r="S38" s="47"/>
      <c r="T38" s="47"/>
      <c r="U38" s="47"/>
      <c r="V38" s="47"/>
      <c r="W38" s="47"/>
      <c r="X38" s="47"/>
      <c r="Y38" s="47"/>
      <c r="Z38" s="47"/>
      <c r="AA38" s="47" t="e">
        <f ca="1">IF($I38="B1","",SUM(O38:Z38))</f>
        <v>#NAME?</v>
      </c>
      <c r="AB38" s="48" t="e">
        <f ca="1">IF(AA38=0,"",IFERROR(AA38/AA$19,""))</f>
        <v>#NAME?</v>
      </c>
      <c r="AD38" s="30"/>
      <c r="AE38" s="31" t="str">
        <f>IF(AD38=0,"",IFERROR(AD38/AD$19,""))</f>
        <v/>
      </c>
      <c r="AF38" s="51" t="e">
        <f ca="1">IF(AND($AA38="",AD38=""),"",$AA38-AD38)</f>
        <v>#NAME?</v>
      </c>
      <c r="AG38" s="30"/>
      <c r="AH38" s="31" t="str">
        <f>IF(AG38=0,"",IFERROR(AG38/AG$19,""))</f>
        <v/>
      </c>
      <c r="AI38" s="51" t="e">
        <f ca="1">IF(AND($AA38="",AG38=""),"",$AA38-AG38)</f>
        <v>#NAME?</v>
      </c>
      <c r="AJ38" s="399">
        <f ca="1">IFERROR(AA38/AA$20,0)</f>
        <v>0</v>
      </c>
      <c r="AK38" s="400">
        <f ca="1">IFERROR(AD38/AD$20,0)</f>
        <v>0</v>
      </c>
      <c r="AL38" s="401">
        <f ca="1">IFERROR(AG38/AG$20,0)</f>
        <v>0</v>
      </c>
      <c r="AM38" s="402">
        <f ca="1">+IFERROR(ROUND(($AB38-AE38)*100,2)&amp;" pts.",0)</f>
        <v>0</v>
      </c>
      <c r="AN38" s="403">
        <f ca="1">+IFERROR(ROUND(($AB38-AH38)*100,2)&amp;" pts.",0)</f>
        <v>0</v>
      </c>
    </row>
    <row r="39" spans="1:40" hidden="1" x14ac:dyDescent="0.25">
      <c r="A39" s="1" t="s">
        <v>109</v>
      </c>
      <c r="C39" s="25" t="s">
        <v>101</v>
      </c>
      <c r="D39" s="1" t="s">
        <v>106</v>
      </c>
      <c r="F39" s="1" t="s">
        <v>98</v>
      </c>
      <c r="H39" s="15"/>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47"/>
      <c r="P39" s="47"/>
      <c r="Q39" s="47"/>
      <c r="R39" s="47"/>
      <c r="S39" s="47"/>
      <c r="T39" s="47"/>
      <c r="U39" s="47"/>
      <c r="V39" s="47"/>
      <c r="W39" s="47"/>
      <c r="X39" s="47"/>
      <c r="Y39" s="47"/>
      <c r="Z39" s="47"/>
      <c r="AA39" s="47" t="e">
        <f ca="1">IF($I39="B1","",SUM(O39:Z39))</f>
        <v>#NAME?</v>
      </c>
      <c r="AB39" s="48" t="e">
        <f ca="1">IF(AA39=0,"",IFERROR(AA39/AA$19,""))</f>
        <v>#NAME?</v>
      </c>
      <c r="AD39" s="30"/>
      <c r="AE39" s="31" t="str">
        <f>IF(AD39=0,"",IFERROR(AD39/AD$19,""))</f>
        <v/>
      </c>
      <c r="AF39" s="51" t="e">
        <f ca="1">IF(AND($AA39="",AD39=""),"",$AA39-AD39)</f>
        <v>#NAME?</v>
      </c>
      <c r="AG39" s="30"/>
      <c r="AH39" s="31" t="str">
        <f>IF(AG39=0,"",IFERROR(AG39/AG$19,""))</f>
        <v/>
      </c>
      <c r="AI39" s="51" t="e">
        <f ca="1">IF(AND($AA39="",AG39=""),"",$AA39-AG39)</f>
        <v>#NAME?</v>
      </c>
      <c r="AJ39" s="399">
        <f ca="1">IFERROR(AA39/AA$20,0)</f>
        <v>0</v>
      </c>
      <c r="AK39" s="400">
        <f ca="1">IFERROR(AD39/AD$20,0)</f>
        <v>0</v>
      </c>
      <c r="AL39" s="401">
        <f ca="1">IFERROR(AG39/AG$20,0)</f>
        <v>0</v>
      </c>
      <c r="AM39" s="402">
        <f ca="1">+IFERROR(ROUND(($AB39-AE39)*100,2)&amp;" pts.",0)</f>
        <v>0</v>
      </c>
      <c r="AN39" s="403">
        <f ca="1">+IFERROR(ROUND(($AB39-AH39)*100,2)&amp;" pts.",0)</f>
        <v>0</v>
      </c>
    </row>
    <row r="40" spans="1:40" hidden="1" x14ac:dyDescent="0.25">
      <c r="A40" s="1" t="s">
        <v>109</v>
      </c>
      <c r="C40" s="151" t="s">
        <v>101</v>
      </c>
      <c r="D40" s="1" t="s">
        <v>107</v>
      </c>
      <c r="F40" s="1" t="s">
        <v>99</v>
      </c>
      <c r="H40" s="15" t="s">
        <v>667</v>
      </c>
      <c r="I40" s="161" t="e">
        <f ca="1">_xll.EVPRO($B$1,$H40,"STYLE")</f>
        <v>#NAME?</v>
      </c>
      <c r="J40" s="161" t="e">
        <f ca="1">_xll.EVPRO($B$1,$H40,"CALC")</f>
        <v>#NAME?</v>
      </c>
      <c r="K40" s="68" t="e">
        <f ca="1">IF(AND(I40&gt;="T3"),"&gt;","")</f>
        <v>#NAME?</v>
      </c>
      <c r="L40" s="162" t="e">
        <f ca="1">_xll.EVPRO($B$1,H40,"JDEID")</f>
        <v>#NAME?</v>
      </c>
      <c r="M40" s="162" t="e">
        <f ca="1">IF(AND(I40="N",J40="N"),_xll.EVPRO($B$1,H40,"PSFTID"),"")</f>
        <v>#NAME?</v>
      </c>
      <c r="N40" s="162" t="e">
        <f ca="1">IF(_xll.EVDES(H40,$B$1)="#NODATA","",_xll.EVDES(H40,$B$1))</f>
        <v>#NAME?</v>
      </c>
      <c r="O40" s="30"/>
      <c r="P40" s="30"/>
      <c r="Q40" s="30"/>
      <c r="R40" s="30"/>
      <c r="S40" s="30"/>
      <c r="T40" s="30"/>
      <c r="U40" s="30"/>
      <c r="V40" s="30"/>
      <c r="W40" s="30"/>
      <c r="X40" s="30"/>
      <c r="Y40" s="30"/>
      <c r="Z40" s="30"/>
      <c r="AA40" s="30" t="e">
        <f ca="1">IF($I40="B1","",SUM(O40:Z40))</f>
        <v>#NAME?</v>
      </c>
      <c r="AB40" s="31" t="e">
        <f ca="1">IF(AA40=0,"",IFERROR(AA40/AA$19,""))</f>
        <v>#NAME?</v>
      </c>
      <c r="AD40" s="30"/>
      <c r="AE40" s="31" t="str">
        <f>IF(AD40=0,"",IFERROR(AD40/AD$19,""))</f>
        <v/>
      </c>
      <c r="AF40" s="51" t="e">
        <f ca="1">IF(AND($AA40="",AD40=""),"",$AA40-AD40)</f>
        <v>#NAME?</v>
      </c>
      <c r="AG40" s="30"/>
      <c r="AH40" s="31" t="str">
        <f>IF(AG40=0,"",IFERROR(AG40/AG$19,""))</f>
        <v/>
      </c>
      <c r="AI40" s="51" t="e">
        <f ca="1">IF(AND($AA40="",AG40=""),"",$AA40-AG40)</f>
        <v>#NAME?</v>
      </c>
      <c r="AJ40" s="409">
        <f ca="1">IFERROR(AA40/AA$20,0)</f>
        <v>0</v>
      </c>
      <c r="AK40" s="410">
        <f ca="1">IFERROR(AD40/AD$20,0)</f>
        <v>0</v>
      </c>
      <c r="AL40" s="411">
        <f ca="1">IFERROR(AG40/AG$20,0)</f>
        <v>0</v>
      </c>
      <c r="AM40" s="412">
        <f ca="1">+IFERROR(ROUND(($AB40-AE40)*100,2)&amp;" pts.",0)</f>
        <v>0</v>
      </c>
      <c r="AN40" s="413">
        <f ca="1">+IFERROR(ROUND(($AB40-AH40)*100,2)&amp;" pts.",0)</f>
        <v>0</v>
      </c>
    </row>
    <row r="41" spans="1:40" hidden="1" x14ac:dyDescent="0.25">
      <c r="A41" s="1" t="s">
        <v>110</v>
      </c>
      <c r="C41" s="25" t="s">
        <v>101</v>
      </c>
      <c r="D41" s="1" t="s">
        <v>106</v>
      </c>
      <c r="F41" s="1" t="s">
        <v>98</v>
      </c>
      <c r="H41" s="15"/>
      <c r="I41" s="161" t="e">
        <f ca="1">_xll.EVPRO($B$1,$H41,"STYLE")</f>
        <v>#NAME?</v>
      </c>
      <c r="J41" s="161" t="e">
        <f ca="1">_xll.EVPRO($B$1,$H41,"CALC")</f>
        <v>#NAME?</v>
      </c>
      <c r="K41" s="68" t="e">
        <f ca="1">IF(AND(I41&gt;="T3"),"&gt;","")</f>
        <v>#NAME?</v>
      </c>
      <c r="L41" s="162" t="e">
        <f ca="1">_xll.EVPRO($B$1,H41,"JDEID")</f>
        <v>#NAME?</v>
      </c>
      <c r="M41" s="162" t="e">
        <f ca="1">IF(AND(I41="N",J41="N"),_xll.EVPRO($B$1,H41,"PSFTID"),"")</f>
        <v>#NAME?</v>
      </c>
      <c r="N41" s="162" t="e">
        <f ca="1">IF(_xll.EVDES(H41,$B$1)="#NODATA","",_xll.EVDES(H41,$B$1))</f>
        <v>#NAME?</v>
      </c>
      <c r="O41" s="30"/>
      <c r="P41" s="30"/>
      <c r="Q41" s="30"/>
      <c r="R41" s="30"/>
      <c r="S41" s="30"/>
      <c r="T41" s="30"/>
      <c r="U41" s="30"/>
      <c r="V41" s="30"/>
      <c r="W41" s="30"/>
      <c r="X41" s="30"/>
      <c r="Y41" s="30"/>
      <c r="Z41" s="30"/>
      <c r="AA41" s="30" t="e">
        <f ca="1">IF($I41="B1","",SUM(O41:Z41))</f>
        <v>#NAME?</v>
      </c>
      <c r="AB41" s="31" t="e">
        <f ca="1">IF(AA41=0,"",IFERROR(AA41/AA$19,""))</f>
        <v>#NAME?</v>
      </c>
      <c r="AD41" s="30"/>
      <c r="AE41" s="31" t="str">
        <f>IF(AD41=0,"",IFERROR(AD41/AD$19,""))</f>
        <v/>
      </c>
      <c r="AF41" s="51" t="e">
        <f ca="1">IF(AND($AA41="",AD41=""),"",$AA41-AD41)</f>
        <v>#NAME?</v>
      </c>
      <c r="AG41" s="30"/>
      <c r="AH41" s="31" t="str">
        <f>IF(AG41=0,"",IFERROR(AG41/AG$19,""))</f>
        <v/>
      </c>
      <c r="AI41" s="51" t="e">
        <f ca="1">IF(AND($AA41="",AG41=""),"",$AA41-AG41)</f>
        <v>#NAME?</v>
      </c>
      <c r="AJ41" s="409">
        <f ca="1">IFERROR(AA41/AA$20,0)</f>
        <v>0</v>
      </c>
      <c r="AK41" s="410">
        <f ca="1">IFERROR(AD41/AD$20,0)</f>
        <v>0</v>
      </c>
      <c r="AL41" s="411">
        <f ca="1">IFERROR(AG41/AG$20,0)</f>
        <v>0</v>
      </c>
      <c r="AM41" s="412">
        <f ca="1">+IFERROR(ROUND(($AB41-AE41)*100,2)&amp;" pts.",0)</f>
        <v>0</v>
      </c>
      <c r="AN41" s="413">
        <f ca="1">+IFERROR(ROUND(($AB41-AH41)*100,2)&amp;" pts.",0)</f>
        <v>0</v>
      </c>
    </row>
    <row r="42" spans="1:40" x14ac:dyDescent="0.25">
      <c r="A42" s="1" t="s">
        <v>110</v>
      </c>
      <c r="C42" s="29" t="s">
        <v>101</v>
      </c>
      <c r="D42" s="1" t="s">
        <v>107</v>
      </c>
      <c r="F42" s="1" t="s">
        <v>99</v>
      </c>
      <c r="H42" s="25"/>
      <c r="I42" s="25"/>
      <c r="J42" s="25"/>
      <c r="K42" s="25"/>
      <c r="L42" s="25"/>
      <c r="M42" s="25"/>
      <c r="N42" s="25"/>
      <c r="O42" s="41"/>
      <c r="P42" s="45"/>
      <c r="Q42" s="45"/>
      <c r="R42" s="45"/>
      <c r="S42" s="45"/>
      <c r="T42" s="45"/>
      <c r="U42" s="45"/>
      <c r="V42" s="45"/>
      <c r="W42" s="45"/>
      <c r="X42" s="45"/>
      <c r="Y42" s="45"/>
      <c r="Z42" s="45"/>
      <c r="AA42" s="45"/>
      <c r="AB42" s="42"/>
      <c r="AD42" s="41"/>
      <c r="AE42" s="45"/>
      <c r="AF42" s="42"/>
      <c r="AG42" s="41"/>
      <c r="AH42" s="45"/>
      <c r="AI42" s="42"/>
    </row>
    <row r="43" spans="1:40" x14ac:dyDescent="0.25">
      <c r="C43" s="32"/>
      <c r="H43" s="1" t="s">
        <v>82</v>
      </c>
      <c r="I43" s="11" t="e">
        <f ca="1">_xll.EVPRO($B$1,$H43,"STYLE")</f>
        <v>#NAME?</v>
      </c>
      <c r="J43" s="11" t="e">
        <f ca="1">_xll.EVPRO($B$1,$H43,"CALC")</f>
        <v>#NAME?</v>
      </c>
      <c r="L43" s="1"/>
      <c r="M43" s="1"/>
      <c r="N43" s="40" t="e">
        <f ca="1">IF(_xll.EVDES(H43,$B$1)="#NODATA","",_xll.EVDES(H43,$B$1))</f>
        <v>#NAME?</v>
      </c>
      <c r="O43" s="43"/>
      <c r="P43" s="46"/>
      <c r="Q43" s="46"/>
      <c r="R43" s="46"/>
      <c r="S43" s="46"/>
      <c r="T43" s="46"/>
      <c r="U43" s="46"/>
      <c r="V43" s="46"/>
      <c r="W43" s="46"/>
      <c r="X43" s="46"/>
      <c r="Y43" s="46"/>
      <c r="Z43" s="46"/>
      <c r="AA43" s="46"/>
      <c r="AB43" s="44"/>
      <c r="AD43" s="43"/>
      <c r="AE43" s="46"/>
      <c r="AF43" s="44"/>
      <c r="AG43" s="43"/>
      <c r="AH43" s="46"/>
      <c r="AI43" s="44"/>
    </row>
    <row r="44" spans="1:40" hidden="1" x14ac:dyDescent="0.25">
      <c r="C44" s="32"/>
      <c r="H44" s="15" t="s">
        <v>667</v>
      </c>
      <c r="I44" s="161" t="e">
        <f ca="1">_xll.EVPRO($B$1,$H44,"STYLE")</f>
        <v>#NAME?</v>
      </c>
      <c r="J44" s="161" t="e">
        <f ca="1">_xll.EVPRO($B$1,$H44,"CALC")</f>
        <v>#NAME?</v>
      </c>
      <c r="K44" s="68" t="e">
        <f ca="1">IF(AND(I44&gt;="T3"),"&gt;","")</f>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21" t="e">
        <f ca="1">IF($I44="B1","",SUM(O44:Z44))</f>
        <v>#NAME?</v>
      </c>
      <c r="AB44" s="17" t="e">
        <f ca="1">IF(AA44=0,"",IFERROR(AA44/AA$19,""))</f>
        <v>#NAME?</v>
      </c>
      <c r="AD44" s="21"/>
      <c r="AE44" s="17" t="str">
        <f>IF(AD44=0,"",IFERROR(AD44/AD$19,""))</f>
        <v/>
      </c>
      <c r="AF44" s="50" t="e">
        <f ca="1">IF(AND($AA44="",AD44=""),"",$AA44-AD44)</f>
        <v>#NAME?</v>
      </c>
      <c r="AG44" s="21"/>
      <c r="AH44" s="17" t="str">
        <f>IF(AG44=0,"",IFERROR(AG44/AG$19,""))</f>
        <v/>
      </c>
      <c r="AI44" s="50" t="e">
        <f ca="1">IF(AND($AA44="",AG44=""),"",$AA44-AG44)</f>
        <v>#NAME?</v>
      </c>
      <c r="AJ44" s="399">
        <f ca="1">IFERROR(AA44/AA$20,0)</f>
        <v>0</v>
      </c>
      <c r="AK44" s="400">
        <f ca="1">IFERROR(AD44/AD$20,0)</f>
        <v>0</v>
      </c>
      <c r="AL44" s="401">
        <f ca="1">IFERROR(AG44/AG$20,0)</f>
        <v>0</v>
      </c>
      <c r="AM44" s="402">
        <f ca="1">+IFERROR(ROUND(($AB44-AE44)*100,2)&amp;" pts.",0)</f>
        <v>0</v>
      </c>
      <c r="AN44" s="403">
        <f ca="1">+IFERROR(ROUND(($AB44-AH44)*100,2)&amp;" pts.",0)</f>
        <v>0</v>
      </c>
    </row>
    <row r="45" spans="1:40" hidden="1" x14ac:dyDescent="0.25">
      <c r="A45" s="4" t="e">
        <f ca="1">_xll.EVDRE($B$1,A48:B55,A58:B64)</f>
        <v>#NAME?</v>
      </c>
      <c r="C45" s="32"/>
      <c r="H45" s="15"/>
      <c r="I45" s="161" t="e">
        <f ca="1">_xll.EVPRO($B$1,$H45,"STYLE")</f>
        <v>#NAME?</v>
      </c>
      <c r="J45" s="161" t="e">
        <f ca="1">_xll.EVPRO($B$1,$H45,"CALC")</f>
        <v>#NAME?</v>
      </c>
      <c r="K45" s="68" t="e">
        <f ca="1">IF(AND(I45&gt;="T3"),"&gt;","")</f>
        <v>#NAME?</v>
      </c>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t="e">
        <f ca="1">IF($I45="B1","",SUM(O45:Z45))</f>
        <v>#NAME?</v>
      </c>
      <c r="AB45" s="17" t="e">
        <f ca="1">IF(AA45=0,"",IFERROR(AA45/AA$19,""))</f>
        <v>#NAME?</v>
      </c>
      <c r="AD45" s="21"/>
      <c r="AE45" s="17" t="str">
        <f>IF(AD45=0,"",IFERROR(AD45/AD$19,""))</f>
        <v/>
      </c>
      <c r="AF45" s="50" t="e">
        <f ca="1">IF(AND($AA45="",AD45=""),"",$AA45-AD45)</f>
        <v>#NAME?</v>
      </c>
      <c r="AG45" s="21"/>
      <c r="AH45" s="17" t="str">
        <f>IF(AG45=0,"",IFERROR(AG45/AG$19,""))</f>
        <v/>
      </c>
      <c r="AI45" s="50" t="e">
        <f ca="1">IF(AND($AA45="",AG45=""),"",$AA45-AG45)</f>
        <v>#NAME?</v>
      </c>
      <c r="AJ45" s="399">
        <f ca="1">IFERROR(AA45/AA$20,0)</f>
        <v>0</v>
      </c>
      <c r="AK45" s="400">
        <f ca="1">IFERROR(AD45/AD$20,0)</f>
        <v>0</v>
      </c>
      <c r="AL45" s="401">
        <f ca="1">IFERROR(AG45/AG$20,0)</f>
        <v>0</v>
      </c>
      <c r="AM45" s="402">
        <f ca="1">+IFERROR(ROUND(($AB45-AE45)*100,2)&amp;" pts.",0)</f>
        <v>0</v>
      </c>
      <c r="AN45" s="403">
        <f ca="1">+IFERROR(ROUND(($AB45-AH45)*100,2)&amp;" pts.",0)</f>
        <v>0</v>
      </c>
    </row>
    <row r="46" spans="1:40" x14ac:dyDescent="0.25">
      <c r="C46" s="32"/>
      <c r="H46" s="15" t="s">
        <v>79</v>
      </c>
      <c r="I46" s="27" t="e">
        <f ca="1">_xll.EVPRO($B$1,$H46,"STYLE")</f>
        <v>#NAME?</v>
      </c>
      <c r="J46" s="27" t="e">
        <f ca="1">_xll.EVPRO($B$1,$H46,"CALC")</f>
        <v>#NAME?</v>
      </c>
      <c r="K46" s="26"/>
      <c r="N46" s="25" t="e">
        <f ca="1">IF(_xll.EVDES(H46,$B$1)="#NODATA","",_xll.EVDES(H46,$B$1))</f>
        <v>#NAME?</v>
      </c>
      <c r="O46" s="33">
        <f t="shared" ref="O46:Z46" si="0">SUM(O44:O45)</f>
        <v>0</v>
      </c>
      <c r="P46" s="33">
        <f t="shared" si="0"/>
        <v>0</v>
      </c>
      <c r="Q46" s="33">
        <f t="shared" si="0"/>
        <v>0</v>
      </c>
      <c r="R46" s="33">
        <f t="shared" si="0"/>
        <v>0</v>
      </c>
      <c r="S46" s="33">
        <f t="shared" si="0"/>
        <v>0</v>
      </c>
      <c r="T46" s="33">
        <f t="shared" si="0"/>
        <v>0</v>
      </c>
      <c r="U46" s="33">
        <f t="shared" si="0"/>
        <v>0</v>
      </c>
      <c r="V46" s="33">
        <f t="shared" si="0"/>
        <v>0</v>
      </c>
      <c r="W46" s="33">
        <f t="shared" si="0"/>
        <v>0</v>
      </c>
      <c r="X46" s="33">
        <f t="shared" si="0"/>
        <v>0</v>
      </c>
      <c r="Y46" s="33">
        <f t="shared" si="0"/>
        <v>0</v>
      </c>
      <c r="Z46" s="33">
        <f t="shared" si="0"/>
        <v>0</v>
      </c>
      <c r="AA46" s="33" t="e">
        <f t="shared" ref="AA46:AA52" ca="1" si="1">IF($I46="B1","",SUM(O46:Z46))</f>
        <v>#NAME?</v>
      </c>
      <c r="AB46" s="34" t="e">
        <f ca="1">IF(AA46=0,"",IFERROR(AA46/AA$19,""))</f>
        <v>#NAME?</v>
      </c>
      <c r="AD46" s="33">
        <f>SUM(AD44:AD45)</f>
        <v>0</v>
      </c>
      <c r="AE46" s="34" t="str">
        <f>IF(AD46=0,"",IFERROR(AD46/AD$19,""))</f>
        <v/>
      </c>
      <c r="AF46" s="52" t="e">
        <f ca="1">IF(AND($AA46="",AD46=""),"",$AA46-AD46)</f>
        <v>#NAME?</v>
      </c>
      <c r="AG46" s="33">
        <f>SUM(AG44:AG45)</f>
        <v>0</v>
      </c>
      <c r="AH46" s="34" t="str">
        <f>IF(AG46=0,"",IFERROR(AG46/AG$19,""))</f>
        <v/>
      </c>
      <c r="AI46" s="52" t="e">
        <f ca="1">IF(AND($AA46="",AG46=""),"",$AA46-AG46)</f>
        <v>#NAME?</v>
      </c>
      <c r="AJ46" s="415">
        <f ca="1">IFERROR(AA46/AA$20,0)</f>
        <v>0</v>
      </c>
      <c r="AK46" s="416">
        <f ca="1">IFERROR(AD46/AD$20,0)</f>
        <v>0</v>
      </c>
      <c r="AL46" s="417">
        <f ca="1">IFERROR(AG46/AG$20,0)</f>
        <v>0</v>
      </c>
      <c r="AM46" s="418">
        <f ca="1">+IFERROR(ROUND(($AB46-AE46)*100,2)&amp;" pts.",0)</f>
        <v>0</v>
      </c>
      <c r="AN46" s="436">
        <f ca="1">+IFERROR(ROUND(($AB46-AH46)*100,2)&amp;" pts.",0)</f>
        <v>0</v>
      </c>
    </row>
    <row r="47" spans="1:40" x14ac:dyDescent="0.25">
      <c r="A47" s="3" t="s">
        <v>0</v>
      </c>
      <c r="B47" s="5" t="s">
        <v>1</v>
      </c>
      <c r="C47" s="32"/>
    </row>
    <row r="48" spans="1:40" x14ac:dyDescent="0.25">
      <c r="A48" s="6" t="s">
        <v>2</v>
      </c>
      <c r="B48" s="7" t="e">
        <f ca="1">_xll.EVRNG($B$2:$B$10)</f>
        <v>#NAME?</v>
      </c>
      <c r="C48" s="32"/>
      <c r="H48" s="15" t="s">
        <v>80</v>
      </c>
      <c r="I48" s="27" t="e">
        <f ca="1">_xll.EVPRO($B$1,$H48,"STYLE")</f>
        <v>#NAME?</v>
      </c>
      <c r="J48" s="27" t="e">
        <f ca="1">_xll.EVPRO($B$1,$H48,"CALC")</f>
        <v>#NAME?</v>
      </c>
      <c r="K48" s="25"/>
      <c r="N48" s="25" t="e">
        <f ca="1">IF(_xll.EVDES(H48,$B$1)="#NODATA","",_xll.EVDES(H48,$B$1))</f>
        <v>#NAME?</v>
      </c>
      <c r="O48" s="164">
        <f t="shared" ref="O48:Z48" si="2">SUMIF($H$34:$H$47,"561100",O$34:O$47)+SUMIF($H$34:$H$47,"600000",O$34:O$47)+SUMIF($H$34:$H$47,"700000",O$34:O$47)</f>
        <v>0</v>
      </c>
      <c r="P48" s="164">
        <f t="shared" si="2"/>
        <v>0</v>
      </c>
      <c r="Q48" s="164">
        <f t="shared" si="2"/>
        <v>0</v>
      </c>
      <c r="R48" s="164">
        <f t="shared" si="2"/>
        <v>0</v>
      </c>
      <c r="S48" s="164">
        <f t="shared" si="2"/>
        <v>0</v>
      </c>
      <c r="T48" s="164">
        <f t="shared" si="2"/>
        <v>0</v>
      </c>
      <c r="U48" s="164">
        <f t="shared" si="2"/>
        <v>0</v>
      </c>
      <c r="V48" s="164">
        <f t="shared" si="2"/>
        <v>0</v>
      </c>
      <c r="W48" s="164">
        <f t="shared" si="2"/>
        <v>0</v>
      </c>
      <c r="X48" s="164">
        <f t="shared" si="2"/>
        <v>0</v>
      </c>
      <c r="Y48" s="164">
        <f t="shared" si="2"/>
        <v>0</v>
      </c>
      <c r="Z48" s="164">
        <f t="shared" si="2"/>
        <v>0</v>
      </c>
      <c r="AA48" s="164" t="e">
        <f t="shared" ca="1" si="1"/>
        <v>#NAME?</v>
      </c>
      <c r="AB48" s="175" t="e">
        <f ca="1">IF(AA48=0,"",IFERROR(AA48/AA$19,""))</f>
        <v>#NAME?</v>
      </c>
      <c r="AD48" s="164">
        <f>SUMIF($H$34:$H$47,"561100",AD$34:AD$47)+SUMIF($H$34:$H$47,"600000",AD$34:AD$47)+SUMIF($H$34:$H$47,"700000",AD$34:AD$47)</f>
        <v>0</v>
      </c>
      <c r="AE48" s="175" t="str">
        <f>IF(AD48=0,"",IFERROR(AD48/AD$19,""))</f>
        <v/>
      </c>
      <c r="AF48" s="165" t="e">
        <f ca="1">IF(AND($AA48="",AD48=""),"",$AA48-AD48)</f>
        <v>#NAME?</v>
      </c>
      <c r="AG48" s="164">
        <f>SUMIF($H$34:$H$47,"561100",AG$34:AG$47)+SUMIF($H$34:$H$47,"600000",AG$34:AG$47)+SUMIF($H$34:$H$47,"700000",AG$34:AG$47)</f>
        <v>0</v>
      </c>
      <c r="AH48" s="175" t="str">
        <f>IF(AG48=0,"",IFERROR(AG48/AG$19,""))</f>
        <v/>
      </c>
      <c r="AI48" s="165" t="e">
        <f ca="1">IF(AND($AA48="",AG48=""),"",$AA48-AG48)</f>
        <v>#NAME?</v>
      </c>
      <c r="AJ48" s="392">
        <f ca="1">IFERROR(AA48/AA$20,0)</f>
        <v>0</v>
      </c>
      <c r="AK48" s="393">
        <f ca="1">IFERROR(AD48/AD$20,0)</f>
        <v>0</v>
      </c>
      <c r="AL48" s="394">
        <f ca="1">IFERROR(AG48/AG$20,0)</f>
        <v>0</v>
      </c>
      <c r="AM48" s="395">
        <f ca="1">+IFERROR(ROUND(($AB48-AE48)*100,2)&amp;" pts.",0)</f>
        <v>0</v>
      </c>
      <c r="AN48" s="437">
        <f ca="1">+IFERROR(ROUND(($AB48-AH48)*100,2)&amp;" pts.",0)</f>
        <v>0</v>
      </c>
    </row>
    <row r="49" spans="1:40" x14ac:dyDescent="0.25">
      <c r="A49" s="6" t="s">
        <v>3</v>
      </c>
      <c r="B49" s="7" t="e">
        <f ca="1">_xll.EVRNG($O$16:$AN$18)</f>
        <v>#NAME?</v>
      </c>
      <c r="C49" s="32"/>
      <c r="N49" s="25"/>
    </row>
    <row r="50" spans="1:40" x14ac:dyDescent="0.25">
      <c r="A50" s="6" t="s">
        <v>4</v>
      </c>
      <c r="B50" s="7" t="e">
        <f ca="1">_xll.EVRNG(H55:H56)</f>
        <v>#NAME?</v>
      </c>
      <c r="C50" s="32"/>
      <c r="H50" s="15" t="s">
        <v>280</v>
      </c>
      <c r="I50" s="161" t="e">
        <f ca="1">_xll.EVPRO($B$1,$H50,"STYLE")</f>
        <v>#NAME?</v>
      </c>
      <c r="J50" s="161" t="e">
        <f ca="1">_xll.EVPRO($B$1,$H50,"CALC")</f>
        <v>#NAME?</v>
      </c>
      <c r="K50" s="68" t="e">
        <f ca="1">IF(AND(I50&gt;="T3"),"&gt;","")</f>
        <v>#NAME?</v>
      </c>
      <c r="L50" s="162" t="e">
        <f ca="1">_xll.EVPRO($B$1,H50,"JDEID")</f>
        <v>#NAME?</v>
      </c>
      <c r="M50" s="162" t="e">
        <f ca="1">IF(AND(I50="N",J50="N"),_xll.EVPRO($B$1,H50,"PSFTID"),"")</f>
        <v>#NAME?</v>
      </c>
      <c r="N50" s="170" t="e">
        <f ca="1">IF(_xll.EVDES(H50,$B$1)="#NODATA","",_xll.EVDES(H50,$B$1))</f>
        <v>#NAME?</v>
      </c>
      <c r="O50" s="164" t="e">
        <f ca="1">_xll.EVGTS($B$1,1,$B$3,$B$5,$B$7,$B$9,O$16,O$17,O$18,$B$6,$H$50)</f>
        <v>#NAME?</v>
      </c>
      <c r="P50" s="164" t="e">
        <f ca="1">_xll.EVGTS($B$1,1,$B$3,$B$5,$B$7,$B$9,P$16,P$17,P$18,$B$6,$H$50)</f>
        <v>#NAME?</v>
      </c>
      <c r="Q50" s="164" t="e">
        <f ca="1">_xll.EVGTS($B$1,1,$B$3,$B$5,$B$7,$B$9,Q$16,Q$17,Q$18,$B$6,$H$50)</f>
        <v>#NAME?</v>
      </c>
      <c r="R50" s="164" t="e">
        <f ca="1">_xll.EVGTS($B$1,1,$B$3,$B$5,$B$7,$B$9,R$16,R$17,R$18,$B$6,$H$50)</f>
        <v>#NAME?</v>
      </c>
      <c r="S50" s="164" t="e">
        <f ca="1">_xll.EVGTS($B$1,1,$B$3,$B$5,$B$7,$B$9,S$16,S$17,S$18,$B$6,$H$50)</f>
        <v>#NAME?</v>
      </c>
      <c r="T50" s="164" t="e">
        <f ca="1">_xll.EVGTS($B$1,1,$B$3,$B$5,$B$7,$B$9,T$16,T$17,T$18,$B$6,$H$50)</f>
        <v>#NAME?</v>
      </c>
      <c r="U50" s="164" t="e">
        <f ca="1">_xll.EVGTS($B$1,1,$B$3,$B$5,$B$7,$B$9,U$16,U$17,U$18,$B$6,$H$50)</f>
        <v>#NAME?</v>
      </c>
      <c r="V50" s="164" t="e">
        <f ca="1">_xll.EVGTS($B$1,1,$B$3,$B$5,$B$7,$B$9,V$16,V$17,V$18,$B$6,$H$50)</f>
        <v>#NAME?</v>
      </c>
      <c r="W50" s="164" t="e">
        <f ca="1">_xll.EVGTS($B$1,1,$B$3,$B$5,$B$7,$B$9,W$16,W$17,W$18,$B$6,$H$50)</f>
        <v>#NAME?</v>
      </c>
      <c r="X50" s="164" t="e">
        <f ca="1">_xll.EVGTS($B$1,1,$B$3,$B$5,$B$7,$B$9,X$16,X$17,X$18,$B$6,$H$50)</f>
        <v>#NAME?</v>
      </c>
      <c r="Y50" s="164" t="e">
        <f ca="1">_xll.EVGTS($B$1,1,$B$3,$B$5,$B$7,$B$9,Y$16,Y$17,Y$18,$B$6,$H$50)</f>
        <v>#NAME?</v>
      </c>
      <c r="Z50" s="164" t="e">
        <f ca="1">_xll.EVGTS($B$1,1,$B$3,$B$5,$B$7,$B$9,Z$16,Z$17,Z$18,$B$6,$H$50)</f>
        <v>#NAME?</v>
      </c>
      <c r="AA50" s="164" t="e">
        <f ca="1">IF($I50="B1","",SUM(O50:Z50))</f>
        <v>#NAME?</v>
      </c>
      <c r="AB50" s="175" t="e">
        <f ca="1">IF(AA50=0,"",IFERROR(AA50/AA$19,""))</f>
        <v>#NAME?</v>
      </c>
      <c r="AD50" s="164" t="e">
        <f ca="1">_xll.EVGTS($B$1,1,$B$3,$B$5,$B$7,$B$9,AD$16,AD$17,AD$18,$B$6,$H$50)</f>
        <v>#NAME?</v>
      </c>
      <c r="AE50" s="175" t="e">
        <f ca="1">IF(AD50=0,"",IFERROR(AD50/AD$19,""))</f>
        <v>#NAME?</v>
      </c>
      <c r="AF50" s="165" t="e">
        <f ca="1">IF(AND($AA50="",AD50=""),"",$AA50-AD50)</f>
        <v>#NAME?</v>
      </c>
      <c r="AG50" s="164" t="e">
        <f ca="1">_xll.EVGTS($B$1,1,$B$3,$B$5,$B$7,$B$9,AG$16,AG$17,AG$18,$B$6,$H$50)</f>
        <v>#NAME?</v>
      </c>
      <c r="AH50" s="175" t="e">
        <f ca="1">IF(AG50=0,"",IFERROR(AG50/AG$19,""))</f>
        <v>#NAME?</v>
      </c>
      <c r="AI50" s="165" t="e">
        <f ca="1">IF(AND($AA50="",AG50=""),"",$AA50-AG50)</f>
        <v>#NAME?</v>
      </c>
      <c r="AJ50" s="392">
        <f ca="1">IFERROR(AA50/AA$20,0)</f>
        <v>0</v>
      </c>
      <c r="AK50" s="393">
        <f ca="1">IFERROR(AD50/AD$20,0)</f>
        <v>0</v>
      </c>
      <c r="AL50" s="394">
        <f ca="1">IFERROR(AG50/AG$20,0)</f>
        <v>0</v>
      </c>
      <c r="AM50" s="395">
        <f ca="1">+IFERROR(ROUND(($AB50-AE50)*100,2)&amp;" pts.",0)</f>
        <v>0</v>
      </c>
      <c r="AN50" s="437">
        <f ca="1">+IFERROR(ROUND(($AB50-AH50)*100,2)&amp;" pts.",0)</f>
        <v>0</v>
      </c>
    </row>
    <row r="51" spans="1:40" x14ac:dyDescent="0.25">
      <c r="A51" s="6" t="s">
        <v>5</v>
      </c>
      <c r="B51" s="7"/>
      <c r="C51" s="32"/>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row>
    <row r="52" spans="1:40" ht="15.75" thickBot="1" x14ac:dyDescent="0.3">
      <c r="A52" s="6" t="s">
        <v>6</v>
      </c>
      <c r="B52" s="7"/>
      <c r="C52" s="32"/>
      <c r="N52" s="25" t="s">
        <v>665</v>
      </c>
      <c r="O52" s="62" t="e">
        <f ca="1">O48-O50</f>
        <v>#NAME?</v>
      </c>
      <c r="P52" s="62" t="e">
        <f ca="1">P48-P50</f>
        <v>#NAME?</v>
      </c>
      <c r="Q52" s="62" t="e">
        <f ca="1">Q48-Q50</f>
        <v>#NAME?</v>
      </c>
      <c r="R52" s="62" t="e">
        <f t="shared" ref="R52:Z52" ca="1" si="3">R48-R50</f>
        <v>#NAME?</v>
      </c>
      <c r="S52" s="62" t="e">
        <f t="shared" ca="1" si="3"/>
        <v>#NAME?</v>
      </c>
      <c r="T52" s="62" t="e">
        <f t="shared" ca="1" si="3"/>
        <v>#NAME?</v>
      </c>
      <c r="U52" s="62" t="e">
        <f t="shared" ca="1" si="3"/>
        <v>#NAME?</v>
      </c>
      <c r="V52" s="62" t="e">
        <f t="shared" ca="1" si="3"/>
        <v>#NAME?</v>
      </c>
      <c r="W52" s="62" t="e">
        <f t="shared" ca="1" si="3"/>
        <v>#NAME?</v>
      </c>
      <c r="X52" s="62" t="e">
        <f t="shared" ca="1" si="3"/>
        <v>#NAME?</v>
      </c>
      <c r="Y52" s="62" t="e">
        <f t="shared" ca="1" si="3"/>
        <v>#NAME?</v>
      </c>
      <c r="Z52" s="62" t="e">
        <f t="shared" ca="1" si="3"/>
        <v>#NAME?</v>
      </c>
      <c r="AA52" s="62" t="e">
        <f t="shared" ca="1" si="1"/>
        <v>#NAME?</v>
      </c>
      <c r="AB52" s="63" t="e">
        <f ca="1">IF(AA52=0,"",IFERROR(AA52/AA$19,""))</f>
        <v>#NAME?</v>
      </c>
      <c r="AD52" s="62" t="e">
        <f ca="1">AD48-AD50</f>
        <v>#NAME?</v>
      </c>
      <c r="AE52" s="63" t="e">
        <f ca="1">IF(AD52=0,"",IFERROR(AD52/AD$19,""))</f>
        <v>#NAME?</v>
      </c>
      <c r="AF52" s="64" t="e">
        <f ca="1">IF(AND($AA52="",AD52=""),"",$AA52-AD52)</f>
        <v>#NAME?</v>
      </c>
      <c r="AG52" s="62" t="e">
        <f ca="1">AG48-AG50</f>
        <v>#NAME?</v>
      </c>
      <c r="AH52" s="63" t="e">
        <f ca="1">IF(AG52=0,"",IFERROR(AG52/AG$19,""))</f>
        <v>#NAME?</v>
      </c>
      <c r="AI52" s="64" t="e">
        <f ca="1">IF(AND($AA52="",AG52=""),"",$AA52-AG52)</f>
        <v>#NAME?</v>
      </c>
      <c r="AJ52" s="430">
        <f ca="1">IFERROR(AA52/AA$20,0)</f>
        <v>0</v>
      </c>
      <c r="AK52" s="431">
        <f ca="1">IFERROR(AD52/AD$20,0)</f>
        <v>0</v>
      </c>
      <c r="AL52" s="432">
        <f ca="1">IFERROR(AG52/AG$20,0)</f>
        <v>0</v>
      </c>
      <c r="AM52" s="433">
        <f ca="1">+IFERROR(ROUND(($AB52-AE52)*100,2)&amp;" pts.",0)</f>
        <v>0</v>
      </c>
      <c r="AN52" s="438">
        <f ca="1">+IFERROR(ROUND(($AB52-AH52)*100,2)&amp;" pts.",0)</f>
        <v>0</v>
      </c>
    </row>
    <row r="53" spans="1:40" ht="15.75" thickTop="1" x14ac:dyDescent="0.25">
      <c r="A53" s="6" t="s">
        <v>7</v>
      </c>
      <c r="B53" s="7"/>
      <c r="C53" s="32"/>
    </row>
    <row r="54" spans="1:40" x14ac:dyDescent="0.25">
      <c r="A54" s="6" t="s">
        <v>47</v>
      </c>
      <c r="B54" s="7" t="e">
        <f ca="1">_xll.EVRNG($A$68:$B$89)</f>
        <v>#NAME?</v>
      </c>
      <c r="C54" s="32"/>
      <c r="N54" s="40" t="s">
        <v>595</v>
      </c>
    </row>
    <row r="55" spans="1:40" hidden="1" x14ac:dyDescent="0.25">
      <c r="A55" s="6" t="s">
        <v>8</v>
      </c>
      <c r="B55" s="7"/>
      <c r="C55" s="32"/>
      <c r="H55" s="149" t="s">
        <v>667</v>
      </c>
      <c r="I55" s="161" t="e">
        <f ca="1">_xll.EVPRO($B$1,$H55,"STYLE")</f>
        <v>#NAME?</v>
      </c>
      <c r="J55" s="161" t="e">
        <f ca="1">_xll.EVPRO($B$1,$H55,"CALC")</f>
        <v>#NAME?</v>
      </c>
      <c r="K55" s="162"/>
      <c r="L55" s="162"/>
      <c r="M55" s="162"/>
      <c r="N55" s="162" t="e">
        <f ca="1">IF(_xll.EVDES(H55,$B$1)="#NODATA","",_xll.EVDES(H55,$B$1))</f>
        <v>#NAME?</v>
      </c>
      <c r="O55" s="21"/>
      <c r="P55" s="21"/>
      <c r="Q55" s="21"/>
      <c r="R55" s="21"/>
      <c r="S55" s="21"/>
      <c r="T55" s="21"/>
      <c r="U55" s="21"/>
      <c r="V55" s="21"/>
      <c r="W55" s="21"/>
      <c r="X55" s="21"/>
      <c r="Y55" s="21"/>
      <c r="Z55" s="21"/>
      <c r="AA55" s="21" t="e">
        <f ca="1">IF($I55="B1","",SUM(O55:Z55))</f>
        <v>#NAME?</v>
      </c>
      <c r="AB55" s="17" t="e">
        <f ca="1">IF(AA55=0,"",IFERROR(AA55/AA$19,""))</f>
        <v>#NAME?</v>
      </c>
      <c r="AD55" s="21"/>
      <c r="AE55" s="17" t="str">
        <f>IF(AD55=0,"",IFERROR(AD55/AD$19,""))</f>
        <v/>
      </c>
      <c r="AF55" s="50" t="e">
        <f ca="1">IF(AND($AA55="",AD55=""),"",$AA55-AD55)</f>
        <v>#NAME?</v>
      </c>
      <c r="AG55" s="21"/>
      <c r="AH55" s="17" t="str">
        <f>IF(AG55=0,"",IFERROR(AG55/AG$19,""))</f>
        <v/>
      </c>
      <c r="AI55" s="50"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C56" s="32"/>
      <c r="H56" s="149"/>
      <c r="I56" s="161" t="e">
        <f ca="1">_xll.EVPRO($B$1,$H56,"STYLE")</f>
        <v>#NAME?</v>
      </c>
      <c r="J56" s="161" t="e">
        <f ca="1">_xll.EVPRO($B$1,$H56,"CALC")</f>
        <v>#NAME?</v>
      </c>
      <c r="K56" s="162"/>
      <c r="L56" s="162"/>
      <c r="M56" s="162"/>
      <c r="N56" s="162" t="e">
        <f ca="1">IF(_xll.EVDES(H56,$B$1)="#NODATA","",_xll.EVDES(H56,$B$1))</f>
        <v>#NAME?</v>
      </c>
      <c r="O56" s="21"/>
      <c r="P56" s="21"/>
      <c r="Q56" s="21"/>
      <c r="R56" s="21"/>
      <c r="S56" s="21"/>
      <c r="T56" s="21"/>
      <c r="U56" s="21"/>
      <c r="V56" s="21"/>
      <c r="W56" s="21"/>
      <c r="X56" s="21"/>
      <c r="Y56" s="21"/>
      <c r="Z56" s="21"/>
      <c r="AA56" s="21"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3" t="s">
        <v>9</v>
      </c>
      <c r="B57" s="5" t="s">
        <v>10</v>
      </c>
      <c r="C57" s="32"/>
      <c r="H57" s="11"/>
      <c r="J57" s="1"/>
      <c r="N57" s="25" t="s">
        <v>555</v>
      </c>
      <c r="O57" s="33">
        <f t="shared" ref="O57:Z57" si="4">SUM(O55:O56)</f>
        <v>0</v>
      </c>
      <c r="P57" s="33">
        <f t="shared" si="4"/>
        <v>0</v>
      </c>
      <c r="Q57" s="33">
        <f t="shared" si="4"/>
        <v>0</v>
      </c>
      <c r="R57" s="33">
        <f t="shared" si="4"/>
        <v>0</v>
      </c>
      <c r="S57" s="33">
        <f t="shared" si="4"/>
        <v>0</v>
      </c>
      <c r="T57" s="33">
        <f t="shared" si="4"/>
        <v>0</v>
      </c>
      <c r="U57" s="33">
        <f t="shared" si="4"/>
        <v>0</v>
      </c>
      <c r="V57" s="33">
        <f t="shared" si="4"/>
        <v>0</v>
      </c>
      <c r="W57" s="33">
        <f t="shared" si="4"/>
        <v>0</v>
      </c>
      <c r="X57" s="33">
        <f t="shared" si="4"/>
        <v>0</v>
      </c>
      <c r="Y57" s="33">
        <f t="shared" si="4"/>
        <v>0</v>
      </c>
      <c r="Z57" s="33">
        <f t="shared" si="4"/>
        <v>0</v>
      </c>
      <c r="AA57" s="33">
        <f>IF($I57="B1","",SUM(O57:Z57))</f>
        <v>0</v>
      </c>
      <c r="AB57" s="34" t="str">
        <f>IF(AA57=0,"",IFERROR(AA57/AA$19,""))</f>
        <v/>
      </c>
      <c r="AD57" s="33">
        <f>SUM(AD55:AD56)</f>
        <v>0</v>
      </c>
      <c r="AE57" s="34" t="str">
        <f>IF(AD57=0,"",IFERROR(AD57/AD$19,""))</f>
        <v/>
      </c>
      <c r="AF57" s="52">
        <f>IF(AND($AA57="",AD57=""),"",$AA57-AD57)</f>
        <v>0</v>
      </c>
      <c r="AG57" s="33">
        <f>SUM(AG55:AG56)</f>
        <v>0</v>
      </c>
      <c r="AH57" s="34" t="str">
        <f>IF(AG57=0,"",IFERROR(AG57/AG$19,""))</f>
        <v/>
      </c>
      <c r="AI57" s="52">
        <f>IF(AND($AA57="",AG57=""),"",$AA57-AG57)</f>
        <v>0</v>
      </c>
      <c r="AJ57" s="415">
        <f ca="1">IFERROR(AA57/AA$20,0)</f>
        <v>0</v>
      </c>
      <c r="AK57" s="416">
        <f ca="1">IFERROR(AD57/AD$20,0)</f>
        <v>0</v>
      </c>
      <c r="AL57" s="417">
        <f ca="1">IFERROR(AG57/AG$20,0)</f>
        <v>0</v>
      </c>
      <c r="AM57" s="418">
        <f>+IFERROR(ROUND(($AB57-AE57)*100,2)&amp;" pts.",0)</f>
        <v>0</v>
      </c>
      <c r="AN57" s="436">
        <f>+IFERROR(ROUND(($AB57-AH57)*100,2)&amp;" pts.",0)</f>
        <v>0</v>
      </c>
    </row>
    <row r="58" spans="1:40" x14ac:dyDescent="0.25">
      <c r="A58" s="6" t="s">
        <v>11</v>
      </c>
      <c r="B58" s="7" t="s">
        <v>21</v>
      </c>
      <c r="C58" s="32"/>
      <c r="H58" s="11"/>
      <c r="J58" s="1"/>
    </row>
    <row r="59" spans="1:40" ht="15.75" thickBot="1" x14ac:dyDescent="0.3">
      <c r="A59" s="6" t="s">
        <v>12</v>
      </c>
      <c r="B59" s="7" t="s">
        <v>22</v>
      </c>
      <c r="H59" s="11"/>
      <c r="J59" s="1"/>
      <c r="N59" s="25" t="s">
        <v>558</v>
      </c>
      <c r="O59" s="62" t="e">
        <f t="shared" ref="O59:Z59" ca="1" si="5">O52+O57</f>
        <v>#NAME?</v>
      </c>
      <c r="P59" s="62" t="e">
        <f t="shared" ca="1" si="5"/>
        <v>#NAME?</v>
      </c>
      <c r="Q59" s="62" t="e">
        <f t="shared" ca="1" si="5"/>
        <v>#NAME?</v>
      </c>
      <c r="R59" s="62" t="e">
        <f t="shared" ca="1" si="5"/>
        <v>#NAME?</v>
      </c>
      <c r="S59" s="62" t="e">
        <f t="shared" ca="1" si="5"/>
        <v>#NAME?</v>
      </c>
      <c r="T59" s="62" t="e">
        <f t="shared" ca="1" si="5"/>
        <v>#NAME?</v>
      </c>
      <c r="U59" s="62" t="e">
        <f t="shared" ca="1" si="5"/>
        <v>#NAME?</v>
      </c>
      <c r="V59" s="62" t="e">
        <f t="shared" ca="1" si="5"/>
        <v>#NAME?</v>
      </c>
      <c r="W59" s="62" t="e">
        <f t="shared" ca="1" si="5"/>
        <v>#NAME?</v>
      </c>
      <c r="X59" s="62" t="e">
        <f t="shared" ca="1" si="5"/>
        <v>#NAME?</v>
      </c>
      <c r="Y59" s="62" t="e">
        <f t="shared" ca="1" si="5"/>
        <v>#NAME?</v>
      </c>
      <c r="Z59" s="62" t="e">
        <f t="shared" ca="1" si="5"/>
        <v>#NAME?</v>
      </c>
      <c r="AA59" s="62" t="e">
        <f ca="1">IF($I59="B1","",SUM(O59:Z59))</f>
        <v>#NAME?</v>
      </c>
      <c r="AB59" s="63" t="e">
        <f ca="1">IF(AA59=0,"",IFERROR(AA59/AA$19,""))</f>
        <v>#NAME?</v>
      </c>
      <c r="AD59" s="62" t="e">
        <f ca="1">AD52+AD57</f>
        <v>#NAME?</v>
      </c>
      <c r="AE59" s="63" t="e">
        <f ca="1">IF(AD59=0,"",IFERROR(AD59/AD$19,""))</f>
        <v>#NAME?</v>
      </c>
      <c r="AF59" s="64" t="e">
        <f ca="1">IF(AND($AA59="",AD59=""),"",$AA59-AD59)</f>
        <v>#NAME?</v>
      </c>
      <c r="AG59" s="62" t="e">
        <f ca="1">AG52+AG57</f>
        <v>#NAME?</v>
      </c>
      <c r="AH59" s="63" t="e">
        <f ca="1">IF(AG59=0,"",IFERROR(AG59/AG$19,""))</f>
        <v>#NAME?</v>
      </c>
      <c r="AI59" s="64" t="e">
        <f ca="1">IF(AND($AA59="",AG59=""),"",$AA59-AG59)</f>
        <v>#NAME?</v>
      </c>
    </row>
    <row r="60" spans="1:40" ht="15.75" thickTop="1" x14ac:dyDescent="0.25">
      <c r="A60" s="6" t="s">
        <v>13</v>
      </c>
      <c r="B60" s="7" t="s">
        <v>594</v>
      </c>
      <c r="H60" s="11"/>
      <c r="J60" s="1"/>
    </row>
    <row r="61" spans="1:40" x14ac:dyDescent="0.25">
      <c r="A61" s="6" t="s">
        <v>14</v>
      </c>
      <c r="B61" s="16"/>
      <c r="H61" s="11"/>
      <c r="J61" s="1"/>
    </row>
    <row r="62" spans="1:40" x14ac:dyDescent="0.25">
      <c r="A62" s="6" t="s">
        <v>15</v>
      </c>
      <c r="B62" s="7"/>
      <c r="H62" s="15" t="s">
        <v>56</v>
      </c>
      <c r="I62" s="27" t="e">
        <f ca="1">_xll.EVPRO($B$1,$H62,"STYLE")</f>
        <v>#NAME?</v>
      </c>
      <c r="J62" s="27" t="e">
        <f ca="1">_xll.EVPRO($B$1,$H62,"CALC")</f>
        <v>#NAME?</v>
      </c>
      <c r="K62" s="25"/>
      <c r="N62" s="25" t="s">
        <v>666</v>
      </c>
      <c r="O62" s="139" t="e">
        <f ca="1">_xll.EVGTS($B$1,1,$B$3,$B$5,$B$7,$B$9,O$16,O$17,O$18,$B$6,$H62)</f>
        <v>#NAME?</v>
      </c>
      <c r="P62" s="139" t="e">
        <f ca="1">_xll.EVGTS($B$1,1,$B$3,$B$5,$B$7,$B$9,P$16,P$17,P$18,$B$6,$H62)</f>
        <v>#NAME?</v>
      </c>
      <c r="Q62" s="139" t="e">
        <f ca="1">_xll.EVGTS($B$1,1,$B$3,$B$5,$B$7,$B$9,Q$16,Q$17,Q$18,$B$6,$H62)</f>
        <v>#NAME?</v>
      </c>
      <c r="R62" s="139" t="e">
        <f ca="1">_xll.EVGTS($B$1,1,$B$3,$B$5,$B$7,$B$9,R$16,R$17,R$18,$B$6,$H62)</f>
        <v>#NAME?</v>
      </c>
      <c r="S62" s="139" t="e">
        <f ca="1">_xll.EVGTS($B$1,1,$B$3,$B$5,$B$7,$B$9,S$16,S$17,S$18,$B$6,$H62)</f>
        <v>#NAME?</v>
      </c>
      <c r="T62" s="139" t="e">
        <f ca="1">_xll.EVGTS($B$1,1,$B$3,$B$5,$B$7,$B$9,T$16,T$17,T$18,$B$6,$H62)</f>
        <v>#NAME?</v>
      </c>
      <c r="U62" s="139" t="e">
        <f ca="1">_xll.EVGTS($B$1,1,$B$3,$B$5,$B$7,$B$9,U$16,U$17,U$18,$B$6,$H62)</f>
        <v>#NAME?</v>
      </c>
      <c r="V62" s="139" t="e">
        <f ca="1">_xll.EVGTS($B$1,1,$B$3,$B$5,$B$7,$B$9,V$16,V$17,V$18,$B$6,$H62)</f>
        <v>#NAME?</v>
      </c>
      <c r="W62" s="139" t="e">
        <f ca="1">_xll.EVGTS($B$1,1,$B$3,$B$5,$B$7,$B$9,W$16,W$17,W$18,$B$6,$H62)</f>
        <v>#NAME?</v>
      </c>
      <c r="X62" s="139" t="e">
        <f ca="1">_xll.EVGTS($B$1,1,$B$3,$B$5,$B$7,$B$9,X$16,X$17,X$18,$B$6,$H62)</f>
        <v>#NAME?</v>
      </c>
      <c r="Y62" s="139" t="e">
        <f ca="1">_xll.EVGTS($B$1,1,$B$3,$B$5,$B$7,$B$9,Y$16,Y$17,Y$18,$B$6,$H62)</f>
        <v>#NAME?</v>
      </c>
      <c r="Z62" s="139" t="e">
        <f ca="1">_xll.EVGTS($B$1,1,$B$3,$B$5,$B$7,$B$9,Z$16,Z$17,Z$18,$B$6,$H62)</f>
        <v>#NAME?</v>
      </c>
      <c r="AA62" s="21" t="e">
        <f ca="1">IF($I62="B1","",SUM(O62:Z62))</f>
        <v>#NAME?</v>
      </c>
      <c r="AB62" s="139"/>
      <c r="AD62" s="139" t="e">
        <f ca="1">_xll.EVGTS($B$1,1,$B$3,$B$5,$B$7,$B$9,AD$16,AD$17,AD$18,$B$6,$H62)</f>
        <v>#NAME?</v>
      </c>
      <c r="AE62" s="139"/>
      <c r="AF62" s="139"/>
      <c r="AG62" s="139" t="e">
        <f ca="1">_xll.EVGTS($B$1,1,$B$3,$B$5,$B$7,$B$9,AG$16,AG$17,AG$18,$B$6,$H62)</f>
        <v>#NAME?</v>
      </c>
      <c r="AH62" s="139"/>
      <c r="AI62" s="139"/>
    </row>
    <row r="63" spans="1:40" x14ac:dyDescent="0.25">
      <c r="A63" s="6" t="s">
        <v>16</v>
      </c>
      <c r="B63" s="7" t="s">
        <v>78</v>
      </c>
      <c r="H63" s="11"/>
      <c r="J63" s="1"/>
    </row>
    <row r="64" spans="1:40" x14ac:dyDescent="0.25">
      <c r="A64" s="6" t="s">
        <v>17</v>
      </c>
      <c r="B64" s="7"/>
      <c r="H64" s="11"/>
      <c r="J64" s="1"/>
    </row>
    <row r="65" spans="1:10" x14ac:dyDescent="0.25">
      <c r="H65" s="11"/>
      <c r="J65" s="1"/>
    </row>
    <row r="66" spans="1:10" x14ac:dyDescent="0.25">
      <c r="H66" s="11"/>
      <c r="J66" s="1"/>
    </row>
    <row r="67" spans="1:10" x14ac:dyDescent="0.25">
      <c r="A67" s="3" t="s">
        <v>23</v>
      </c>
      <c r="B67" s="5" t="s">
        <v>24</v>
      </c>
      <c r="H67" s="11"/>
      <c r="J67" s="1"/>
    </row>
    <row r="68" spans="1:10" x14ac:dyDescent="0.25">
      <c r="A68" s="6" t="s">
        <v>25</v>
      </c>
      <c r="B68" s="7"/>
    </row>
    <row r="69" spans="1:10" x14ac:dyDescent="0.25">
      <c r="A69" s="6" t="s">
        <v>26</v>
      </c>
      <c r="B69" s="7"/>
    </row>
    <row r="70" spans="1:10" x14ac:dyDescent="0.25">
      <c r="A70" s="6" t="s">
        <v>27</v>
      </c>
      <c r="B70" s="7"/>
    </row>
    <row r="71" spans="1:10" x14ac:dyDescent="0.25">
      <c r="A71" s="6" t="s">
        <v>28</v>
      </c>
      <c r="B71" s="7"/>
    </row>
    <row r="72" spans="1:10" x14ac:dyDescent="0.25">
      <c r="A72" s="6" t="s">
        <v>29</v>
      </c>
      <c r="B72" s="7"/>
    </row>
    <row r="73" spans="1:10" x14ac:dyDescent="0.25">
      <c r="A73" s="6" t="s">
        <v>30</v>
      </c>
      <c r="B73" s="7" t="s">
        <v>78</v>
      </c>
    </row>
    <row r="74" spans="1:10" x14ac:dyDescent="0.25">
      <c r="A74" s="6" t="s">
        <v>31</v>
      </c>
      <c r="B74" s="7" t="s">
        <v>78</v>
      </c>
    </row>
    <row r="75" spans="1:10" x14ac:dyDescent="0.25">
      <c r="A75" s="6" t="s">
        <v>32</v>
      </c>
      <c r="B75" s="7"/>
    </row>
    <row r="76" spans="1:10" x14ac:dyDescent="0.25">
      <c r="A76" s="6" t="s">
        <v>33</v>
      </c>
      <c r="B76" s="7"/>
    </row>
    <row r="77" spans="1:10" x14ac:dyDescent="0.25">
      <c r="A77" s="6" t="s">
        <v>34</v>
      </c>
      <c r="B77" s="7"/>
    </row>
    <row r="78" spans="1:10" x14ac:dyDescent="0.25">
      <c r="A78" s="6" t="s">
        <v>35</v>
      </c>
      <c r="B78" s="7"/>
    </row>
    <row r="79" spans="1:10" x14ac:dyDescent="0.25">
      <c r="A79" s="6" t="s">
        <v>36</v>
      </c>
      <c r="B79" s="7"/>
      <c r="C79" s="32"/>
    </row>
    <row r="80" spans="1:10" x14ac:dyDescent="0.25">
      <c r="A80" s="6" t="s">
        <v>37</v>
      </c>
      <c r="B80" s="7"/>
    </row>
    <row r="81" spans="1:2" x14ac:dyDescent="0.25">
      <c r="A81" s="6" t="s">
        <v>38</v>
      </c>
      <c r="B81" s="7"/>
    </row>
    <row r="82" spans="1:2" x14ac:dyDescent="0.25">
      <c r="A82" s="6" t="s">
        <v>39</v>
      </c>
      <c r="B82" s="7"/>
    </row>
    <row r="83" spans="1:2" x14ac:dyDescent="0.25">
      <c r="A83" s="6" t="s">
        <v>40</v>
      </c>
      <c r="B83" s="7"/>
    </row>
    <row r="84" spans="1:2" x14ac:dyDescent="0.25">
      <c r="A84" s="6" t="s">
        <v>41</v>
      </c>
      <c r="B84" s="7"/>
    </row>
    <row r="85" spans="1:2" x14ac:dyDescent="0.25">
      <c r="A85" s="6" t="s">
        <v>42</v>
      </c>
      <c r="B85" s="7"/>
    </row>
    <row r="86" spans="1:2" x14ac:dyDescent="0.25">
      <c r="A86" s="6" t="s">
        <v>43</v>
      </c>
      <c r="B86" s="7"/>
    </row>
    <row r="87" spans="1:2" x14ac:dyDescent="0.25">
      <c r="A87" s="6" t="s">
        <v>44</v>
      </c>
      <c r="B87" s="7"/>
    </row>
    <row r="88" spans="1:2" x14ac:dyDescent="0.25">
      <c r="A88" s="6" t="s">
        <v>45</v>
      </c>
      <c r="B88" s="7"/>
    </row>
    <row r="89" spans="1:2" x14ac:dyDescent="0.25">
      <c r="A89" s="6" t="s">
        <v>46</v>
      </c>
      <c r="B89" s="7"/>
    </row>
  </sheetData>
  <mergeCells count="2">
    <mergeCell ref="AD31:AE31"/>
    <mergeCell ref="AG31:AH31"/>
  </mergeCells>
  <dataValidations disablePrompts="1" count="2">
    <dataValidation type="list" allowBlank="1" sqref="B60 B29" xr:uid="{00000000-0002-0000-5E00-000000000000}">
      <formula1>"SELF,ALL,BAS,DEP,BASMEMBERS,MEMBERS,NOEXPAND,GDEP"</formula1>
    </dataValidation>
    <dataValidation type="list" allowBlank="1" sqref="B59 B28" xr:uid="{00000000-0002-0000-5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554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5543" r:id="rId7" name="FPMExcelClientSheetOptionstb1"/>
      </mc:Fallback>
    </mc:AlternateContent>
  </controls>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7">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554</v>
      </c>
      <c r="C2" s="1" t="s">
        <v>1847</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559</v>
      </c>
      <c r="C6" s="1" t="s">
        <v>1859</v>
      </c>
      <c r="E6" s="49" t="s">
        <v>559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1860</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1861</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1862</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1863</v>
      </c>
    </row>
    <row r="23" spans="1:40" hidden="1" outlineLevel="1" x14ac:dyDescent="0.25">
      <c r="A23" s="6" t="s">
        <v>47</v>
      </c>
      <c r="B23" s="16" t="s">
        <v>1864</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1865</v>
      </c>
    </row>
    <row r="28" spans="1:40" ht="15.75" x14ac:dyDescent="0.25">
      <c r="A28" s="6" t="s">
        <v>12</v>
      </c>
      <c r="B28" s="7" t="s">
        <v>22</v>
      </c>
      <c r="N28" s="71" t="s">
        <v>1005</v>
      </c>
    </row>
    <row r="29" spans="1:40" ht="15" customHeight="1" x14ac:dyDescent="0.25">
      <c r="A29" s="6" t="s">
        <v>13</v>
      </c>
      <c r="B29" s="16" t="s">
        <v>745</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2">
        <v>2023</v>
      </c>
      <c r="AL31" s="262">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2" t="s">
        <v>58</v>
      </c>
      <c r="AF32" s="261" t="s">
        <v>57</v>
      </c>
      <c r="AG32" s="261" t="s">
        <v>956</v>
      </c>
      <c r="AH32" s="262" t="s">
        <v>58</v>
      </c>
      <c r="AI32" s="261" t="s">
        <v>57</v>
      </c>
      <c r="AJ32" s="261" t="str">
        <f>Z32</f>
        <v>Actual</v>
      </c>
      <c r="AK32" s="262" t="str">
        <f>AD32</f>
        <v>Budget</v>
      </c>
      <c r="AL32" s="261" t="str">
        <f>AG32</f>
        <v>Actual</v>
      </c>
      <c r="AM32" s="233" t="s">
        <v>747</v>
      </c>
      <c r="AN32" s="233" t="s">
        <v>747</v>
      </c>
    </row>
    <row r="33" spans="1:40" x14ac:dyDescent="0.25">
      <c r="A33" s="6" t="s">
        <v>17</v>
      </c>
      <c r="B33" s="7"/>
      <c r="H33" s="210"/>
      <c r="K33" s="67"/>
      <c r="N33" s="66"/>
      <c r="O33" s="53"/>
      <c r="P33" s="54"/>
      <c r="Q33" s="54"/>
      <c r="R33" s="54"/>
      <c r="S33" s="54"/>
      <c r="T33" s="54"/>
      <c r="U33" s="54"/>
      <c r="V33" s="54"/>
      <c r="W33" s="54"/>
      <c r="X33" s="54"/>
      <c r="Y33" s="54"/>
      <c r="Z33" s="54"/>
      <c r="AA33" s="54"/>
      <c r="AB33" s="55"/>
      <c r="AD33" s="53"/>
      <c r="AE33" s="54"/>
      <c r="AF33" s="55"/>
      <c r="AG33" s="53"/>
      <c r="AH33" s="54"/>
      <c r="AI33" s="55"/>
    </row>
    <row r="34" spans="1:40" hidden="1" x14ac:dyDescent="0.25">
      <c r="H34" s="15" t="s">
        <v>667</v>
      </c>
      <c r="I34" s="161"/>
      <c r="J34" s="161"/>
      <c r="K34" s="68" t="str">
        <f>IF(AND(I34&gt;="T3"),"&gt;","")</f>
        <v/>
      </c>
      <c r="L34" s="162"/>
      <c r="M34" s="162"/>
      <c r="N34" s="162"/>
      <c r="O34" s="21"/>
      <c r="P34" s="21"/>
      <c r="Q34" s="21"/>
      <c r="R34" s="21"/>
      <c r="S34" s="21"/>
      <c r="T34" s="21"/>
      <c r="U34" s="21"/>
      <c r="V34" s="21"/>
      <c r="W34" s="21"/>
      <c r="X34" s="21"/>
      <c r="Y34" s="21"/>
      <c r="Z34" s="21"/>
      <c r="AA34" s="21">
        <f>IF($I34="B1","",SUM(O34:Z34))</f>
        <v>0</v>
      </c>
      <c r="AB34" s="17" t="str">
        <f>IF(AA34=0,"",IFERROR(AA34/AA$19,""))</f>
        <v/>
      </c>
      <c r="AD34" s="21"/>
      <c r="AE34" s="17" t="str">
        <f>IF(AD34=0,"",IFERROR(AD34/AD$19,""))</f>
        <v/>
      </c>
      <c r="AF34" s="50">
        <f>IF(AND($AA34="",AD34=""),"",$AA34-AD34)</f>
        <v>0</v>
      </c>
      <c r="AG34" s="21"/>
      <c r="AH34" s="17" t="str">
        <f>IF(AG34=0,"",IFERROR(AG34/AG$19,""))</f>
        <v/>
      </c>
      <c r="AI34" s="50">
        <f>IF(AND($AA34="",AG34=""),"",$AA34-AG34)</f>
        <v>0</v>
      </c>
      <c r="AJ34" s="399">
        <f>IFERROR(AA34/AA$20,0)</f>
        <v>0</v>
      </c>
      <c r="AK34" s="400">
        <f>IFERROR(AD34/AD$20,0)</f>
        <v>0</v>
      </c>
      <c r="AL34" s="401">
        <f>IFERROR(AG34/AG$20,0)</f>
        <v>0</v>
      </c>
      <c r="AM34" s="402">
        <f>+IFERROR(ROUND(($AB34-AE34)*100,2)&amp;" pts.",0)</f>
        <v>0</v>
      </c>
      <c r="AN34" s="403">
        <f>+IFERROR(ROUND(($AB34-AH34)*100,2)&amp;" pts.",0)</f>
        <v>0</v>
      </c>
    </row>
    <row r="35" spans="1:40" hidden="1" x14ac:dyDescent="0.25">
      <c r="A35" s="22" t="s">
        <v>92</v>
      </c>
      <c r="B35" s="23" t="s">
        <v>93</v>
      </c>
      <c r="C35" s="23" t="s">
        <v>94</v>
      </c>
      <c r="D35" s="23" t="s">
        <v>95</v>
      </c>
      <c r="E35" s="23" t="s">
        <v>96</v>
      </c>
      <c r="F35" s="24" t="s">
        <v>97</v>
      </c>
      <c r="H35" s="15"/>
      <c r="I35" s="161"/>
      <c r="J35" s="161"/>
      <c r="K35" s="68" t="str">
        <f>IF(AND(I35&gt;="T3"),"&gt;","")</f>
        <v/>
      </c>
      <c r="L35" s="162"/>
      <c r="M35" s="162"/>
      <c r="N35" s="162"/>
      <c r="O35" s="21"/>
      <c r="P35" s="21"/>
      <c r="Q35" s="21"/>
      <c r="R35" s="21"/>
      <c r="S35" s="21"/>
      <c r="T35" s="21"/>
      <c r="U35" s="21"/>
      <c r="V35" s="21"/>
      <c r="W35" s="21"/>
      <c r="X35" s="21"/>
      <c r="Y35" s="21"/>
      <c r="Z35" s="21"/>
      <c r="AA35" s="21">
        <f>IF($I35="B1","",SUM(O35:Z35))</f>
        <v>0</v>
      </c>
      <c r="AB35" s="17" t="str">
        <f>IF(AA35=0,"",IFERROR(AA35/AA$19,""))</f>
        <v/>
      </c>
      <c r="AD35" s="21"/>
      <c r="AE35" s="17" t="str">
        <f>IF(AD35=0,"",IFERROR(AD35/AD$19,""))</f>
        <v/>
      </c>
      <c r="AF35" s="50">
        <f>IF(AND($AA35="",AD35=""),"",$AA35-AD35)</f>
        <v>0</v>
      </c>
      <c r="AG35" s="21"/>
      <c r="AH35" s="17" t="str">
        <f>IF(AG35=0,"",IFERROR(AG35/AG$19,""))</f>
        <v/>
      </c>
      <c r="AI35" s="50">
        <f>IF(AND($AA35="",AG35=""),"",$AA35-AG35)</f>
        <v>0</v>
      </c>
      <c r="AJ35" s="399">
        <f>IFERROR(AA35/AA$20,0)</f>
        <v>0</v>
      </c>
      <c r="AK35" s="400">
        <f>IFERROR(AD35/AD$20,0)</f>
        <v>0</v>
      </c>
      <c r="AL35" s="401">
        <f>IFERROR(AG35/AG$20,0)</f>
        <v>0</v>
      </c>
      <c r="AM35" s="402">
        <f>+IFERROR(ROUND(($AB35-AE35)*100,2)&amp;" pts.",0)</f>
        <v>0</v>
      </c>
      <c r="AN35" s="403">
        <f>+IFERROR(ROUND(($AB35-AH35)*100,2)&amp;" pts.",0)</f>
        <v>0</v>
      </c>
    </row>
    <row r="36" spans="1:40" x14ac:dyDescent="0.25">
      <c r="H36" s="1" t="s">
        <v>73</v>
      </c>
      <c r="I36" s="11" t="s">
        <v>1011</v>
      </c>
      <c r="J36" s="11" t="s">
        <v>78</v>
      </c>
      <c r="N36" s="40" t="s">
        <v>1079</v>
      </c>
      <c r="O36" s="53"/>
      <c r="P36" s="54"/>
      <c r="Q36" s="54"/>
      <c r="R36" s="54"/>
      <c r="S36" s="54"/>
      <c r="T36" s="54"/>
      <c r="U36" s="54"/>
      <c r="V36" s="54"/>
      <c r="W36" s="54"/>
      <c r="X36" s="54"/>
      <c r="Y36" s="54"/>
      <c r="Z36" s="54"/>
      <c r="AA36" s="54"/>
      <c r="AB36" s="55"/>
      <c r="AD36" s="53"/>
      <c r="AE36" s="54"/>
      <c r="AF36" s="55"/>
      <c r="AG36" s="53"/>
      <c r="AH36" s="54"/>
      <c r="AI36" s="55"/>
    </row>
    <row r="37" spans="1:40" x14ac:dyDescent="0.25">
      <c r="A37" s="1" t="s">
        <v>108</v>
      </c>
      <c r="C37" s="26" t="s">
        <v>101</v>
      </c>
      <c r="D37" s="1" t="s">
        <v>106</v>
      </c>
      <c r="F37" s="1" t="s">
        <v>98</v>
      </c>
      <c r="H37" s="1" t="s">
        <v>74</v>
      </c>
      <c r="I37" s="11" t="s">
        <v>1011</v>
      </c>
      <c r="J37" s="11" t="s">
        <v>78</v>
      </c>
      <c r="N37" s="8" t="s">
        <v>1080</v>
      </c>
      <c r="O37" s="43"/>
      <c r="P37" s="46"/>
      <c r="Q37" s="46"/>
      <c r="R37" s="46"/>
      <c r="S37" s="46"/>
      <c r="T37" s="46"/>
      <c r="U37" s="46"/>
      <c r="V37" s="46"/>
      <c r="W37" s="46"/>
      <c r="X37" s="46"/>
      <c r="Y37" s="46"/>
      <c r="Z37" s="46"/>
      <c r="AA37" s="46"/>
      <c r="AB37" s="44"/>
      <c r="AD37" s="43"/>
      <c r="AE37" s="46"/>
      <c r="AF37" s="44"/>
      <c r="AG37" s="43"/>
      <c r="AH37" s="46"/>
      <c r="AI37" s="44"/>
    </row>
    <row r="38" spans="1:40" hidden="1" x14ac:dyDescent="0.25">
      <c r="A38" s="1" t="s">
        <v>100</v>
      </c>
      <c r="C38" s="8" t="s">
        <v>101</v>
      </c>
      <c r="D38" s="1" t="s">
        <v>106</v>
      </c>
      <c r="F38" s="1" t="s">
        <v>98</v>
      </c>
      <c r="H38" s="15" t="s">
        <v>667</v>
      </c>
      <c r="I38" s="161"/>
      <c r="J38" s="161"/>
      <c r="K38" s="68" t="str">
        <f>IF(AND(I38&gt;="T3"),"&gt;","")</f>
        <v/>
      </c>
      <c r="L38" s="162"/>
      <c r="M38" s="162"/>
      <c r="N38" s="162"/>
      <c r="O38" s="47"/>
      <c r="P38" s="47"/>
      <c r="Q38" s="47"/>
      <c r="R38" s="47"/>
      <c r="S38" s="47"/>
      <c r="T38" s="47"/>
      <c r="U38" s="47"/>
      <c r="V38" s="47"/>
      <c r="W38" s="47"/>
      <c r="X38" s="47"/>
      <c r="Y38" s="47"/>
      <c r="Z38" s="47"/>
      <c r="AA38" s="47">
        <f>IF($I38="B1","",SUM(O38:Z38))</f>
        <v>0</v>
      </c>
      <c r="AB38" s="48" t="str">
        <f>IF(AA38=0,"",IFERROR(AA38/AA$19,""))</f>
        <v/>
      </c>
      <c r="AD38" s="30"/>
      <c r="AE38" s="31" t="str">
        <f>IF(AD38=0,"",IFERROR(AD38/AD$19,""))</f>
        <v/>
      </c>
      <c r="AF38" s="51">
        <f>IF(AND($AA38="",AD38=""),"",$AA38-AD38)</f>
        <v>0</v>
      </c>
      <c r="AG38" s="30"/>
      <c r="AH38" s="31" t="str">
        <f>IF(AG38=0,"",IFERROR(AG38/AG$19,""))</f>
        <v/>
      </c>
      <c r="AI38" s="51">
        <f>IF(AND($AA38="",AG38=""),"",$AA38-AG38)</f>
        <v>0</v>
      </c>
      <c r="AJ38" s="399">
        <f>IFERROR(AA38/AA$20,0)</f>
        <v>0</v>
      </c>
      <c r="AK38" s="400">
        <f>IFERROR(AD38/AD$20,0)</f>
        <v>0</v>
      </c>
      <c r="AL38" s="401">
        <f>IFERROR(AG38/AG$20,0)</f>
        <v>0</v>
      </c>
      <c r="AM38" s="402">
        <f>+IFERROR(ROUND(($AB38-AE38)*100,2)&amp;" pts.",0)</f>
        <v>0</v>
      </c>
      <c r="AN38" s="403">
        <f>+IFERROR(ROUND(($AB38-AH38)*100,2)&amp;" pts.",0)</f>
        <v>0</v>
      </c>
    </row>
    <row r="39" spans="1:40" hidden="1" x14ac:dyDescent="0.25">
      <c r="A39" s="1" t="s">
        <v>109</v>
      </c>
      <c r="C39" s="25" t="s">
        <v>101</v>
      </c>
      <c r="D39" s="1" t="s">
        <v>106</v>
      </c>
      <c r="F39" s="1" t="s">
        <v>98</v>
      </c>
      <c r="H39" s="15"/>
      <c r="I39" s="161"/>
      <c r="J39" s="161"/>
      <c r="K39" s="68" t="str">
        <f>IF(AND(I39&gt;="T3"),"&gt;","")</f>
        <v/>
      </c>
      <c r="L39" s="162"/>
      <c r="M39" s="162"/>
      <c r="N39" s="162"/>
      <c r="O39" s="47"/>
      <c r="P39" s="47"/>
      <c r="Q39" s="47"/>
      <c r="R39" s="47"/>
      <c r="S39" s="47"/>
      <c r="T39" s="47"/>
      <c r="U39" s="47"/>
      <c r="V39" s="47"/>
      <c r="W39" s="47"/>
      <c r="X39" s="47"/>
      <c r="Y39" s="47"/>
      <c r="Z39" s="47"/>
      <c r="AA39" s="47">
        <f>IF($I39="B1","",SUM(O39:Z39))</f>
        <v>0</v>
      </c>
      <c r="AB39" s="48" t="str">
        <f>IF(AA39=0,"",IFERROR(AA39/AA$19,""))</f>
        <v/>
      </c>
      <c r="AD39" s="30"/>
      <c r="AE39" s="31" t="str">
        <f>IF(AD39=0,"",IFERROR(AD39/AD$19,""))</f>
        <v/>
      </c>
      <c r="AF39" s="51">
        <f>IF(AND($AA39="",AD39=""),"",$AA39-AD39)</f>
        <v>0</v>
      </c>
      <c r="AG39" s="30"/>
      <c r="AH39" s="31" t="str">
        <f>IF(AG39=0,"",IFERROR(AG39/AG$19,""))</f>
        <v/>
      </c>
      <c r="AI39" s="51">
        <f>IF(AND($AA39="",AG39=""),"",$AA39-AG39)</f>
        <v>0</v>
      </c>
      <c r="AJ39" s="399">
        <f>IFERROR(AA39/AA$20,0)</f>
        <v>0</v>
      </c>
      <c r="AK39" s="400">
        <f>IFERROR(AD39/AD$20,0)</f>
        <v>0</v>
      </c>
      <c r="AL39" s="401">
        <f>IFERROR(AG39/AG$20,0)</f>
        <v>0</v>
      </c>
      <c r="AM39" s="402">
        <f>+IFERROR(ROUND(($AB39-AE39)*100,2)&amp;" pts.",0)</f>
        <v>0</v>
      </c>
      <c r="AN39" s="403">
        <f>+IFERROR(ROUND(($AB39-AH39)*100,2)&amp;" pts.",0)</f>
        <v>0</v>
      </c>
    </row>
    <row r="40" spans="1:40" hidden="1" x14ac:dyDescent="0.25">
      <c r="A40" s="1" t="s">
        <v>109</v>
      </c>
      <c r="C40" s="151" t="s">
        <v>101</v>
      </c>
      <c r="D40" s="1" t="s">
        <v>107</v>
      </c>
      <c r="F40" s="1" t="s">
        <v>99</v>
      </c>
      <c r="H40" s="15" t="s">
        <v>667</v>
      </c>
      <c r="I40" s="161"/>
      <c r="J40" s="161"/>
      <c r="K40" s="68" t="str">
        <f>IF(AND(I40&gt;="T3"),"&gt;","")</f>
        <v/>
      </c>
      <c r="L40" s="162"/>
      <c r="M40" s="162"/>
      <c r="N40" s="162"/>
      <c r="O40" s="30"/>
      <c r="P40" s="30"/>
      <c r="Q40" s="30"/>
      <c r="R40" s="30"/>
      <c r="S40" s="30"/>
      <c r="T40" s="30"/>
      <c r="U40" s="30"/>
      <c r="V40" s="30"/>
      <c r="W40" s="30"/>
      <c r="X40" s="30"/>
      <c r="Y40" s="30"/>
      <c r="Z40" s="30"/>
      <c r="AA40" s="30">
        <f>IF($I40="B1","",SUM(O40:Z40))</f>
        <v>0</v>
      </c>
      <c r="AB40" s="31" t="str">
        <f>IF(AA40=0,"",IFERROR(AA40/AA$19,""))</f>
        <v/>
      </c>
      <c r="AD40" s="30"/>
      <c r="AE40" s="31" t="str">
        <f>IF(AD40=0,"",IFERROR(AD40/AD$19,""))</f>
        <v/>
      </c>
      <c r="AF40" s="51">
        <f>IF(AND($AA40="",AD40=""),"",$AA40-AD40)</f>
        <v>0</v>
      </c>
      <c r="AG40" s="30"/>
      <c r="AH40" s="31" t="str">
        <f>IF(AG40=0,"",IFERROR(AG40/AG$19,""))</f>
        <v/>
      </c>
      <c r="AI40" s="51">
        <f>IF(AND($AA40="",AG40=""),"",$AA40-AG40)</f>
        <v>0</v>
      </c>
      <c r="AJ40" s="409">
        <f>IFERROR(AA40/AA$20,0)</f>
        <v>0</v>
      </c>
      <c r="AK40" s="410">
        <f>IFERROR(AD40/AD$20,0)</f>
        <v>0</v>
      </c>
      <c r="AL40" s="411">
        <f>IFERROR(AG40/AG$20,0)</f>
        <v>0</v>
      </c>
      <c r="AM40" s="412">
        <f>+IFERROR(ROUND(($AB40-AE40)*100,2)&amp;" pts.",0)</f>
        <v>0</v>
      </c>
      <c r="AN40" s="413">
        <f>+IFERROR(ROUND(($AB40-AH40)*100,2)&amp;" pts.",0)</f>
        <v>0</v>
      </c>
    </row>
    <row r="41" spans="1:40" hidden="1" x14ac:dyDescent="0.25">
      <c r="A41" s="1" t="s">
        <v>110</v>
      </c>
      <c r="C41" s="25" t="s">
        <v>101</v>
      </c>
      <c r="D41" s="1" t="s">
        <v>106</v>
      </c>
      <c r="F41" s="1" t="s">
        <v>98</v>
      </c>
      <c r="H41" s="15"/>
      <c r="I41" s="161"/>
      <c r="J41" s="161"/>
      <c r="K41" s="68" t="str">
        <f>IF(AND(I41&gt;="T3"),"&gt;","")</f>
        <v/>
      </c>
      <c r="L41" s="162"/>
      <c r="M41" s="162"/>
      <c r="N41" s="162"/>
      <c r="O41" s="30"/>
      <c r="P41" s="30"/>
      <c r="Q41" s="30"/>
      <c r="R41" s="30"/>
      <c r="S41" s="30"/>
      <c r="T41" s="30"/>
      <c r="U41" s="30"/>
      <c r="V41" s="30"/>
      <c r="W41" s="30"/>
      <c r="X41" s="30"/>
      <c r="Y41" s="30"/>
      <c r="Z41" s="30"/>
      <c r="AA41" s="30">
        <f>IF($I41="B1","",SUM(O41:Z41))</f>
        <v>0</v>
      </c>
      <c r="AB41" s="31" t="str">
        <f>IF(AA41=0,"",IFERROR(AA41/AA$19,""))</f>
        <v/>
      </c>
      <c r="AD41" s="30"/>
      <c r="AE41" s="31" t="str">
        <f>IF(AD41=0,"",IFERROR(AD41/AD$19,""))</f>
        <v/>
      </c>
      <c r="AF41" s="51">
        <f>IF(AND($AA41="",AD41=""),"",$AA41-AD41)</f>
        <v>0</v>
      </c>
      <c r="AG41" s="30"/>
      <c r="AH41" s="31" t="str">
        <f>IF(AG41=0,"",IFERROR(AG41/AG$19,""))</f>
        <v/>
      </c>
      <c r="AI41" s="51">
        <f>IF(AND($AA41="",AG41=""),"",$AA41-AG41)</f>
        <v>0</v>
      </c>
      <c r="AJ41" s="409">
        <f>IFERROR(AA41/AA$20,0)</f>
        <v>0</v>
      </c>
      <c r="AK41" s="410">
        <f>IFERROR(AD41/AD$20,0)</f>
        <v>0</v>
      </c>
      <c r="AL41" s="411">
        <f>IFERROR(AG41/AG$20,0)</f>
        <v>0</v>
      </c>
      <c r="AM41" s="412">
        <f>+IFERROR(ROUND(($AB41-AE41)*100,2)&amp;" pts.",0)</f>
        <v>0</v>
      </c>
      <c r="AN41" s="413">
        <f>+IFERROR(ROUND(($AB41-AH41)*100,2)&amp;" pts.",0)</f>
        <v>0</v>
      </c>
    </row>
    <row r="42" spans="1:40" x14ac:dyDescent="0.25">
      <c r="A42" s="1" t="s">
        <v>110</v>
      </c>
      <c r="C42" s="29" t="s">
        <v>101</v>
      </c>
      <c r="D42" s="1" t="s">
        <v>107</v>
      </c>
      <c r="F42" s="1" t="s">
        <v>99</v>
      </c>
      <c r="H42" s="25"/>
      <c r="I42" s="25"/>
      <c r="J42" s="25"/>
      <c r="K42" s="25"/>
      <c r="L42" s="25"/>
      <c r="M42" s="25"/>
      <c r="N42" s="25"/>
      <c r="O42" s="41"/>
      <c r="P42" s="45"/>
      <c r="Q42" s="45"/>
      <c r="R42" s="45"/>
      <c r="S42" s="45"/>
      <c r="T42" s="45"/>
      <c r="U42" s="45"/>
      <c r="V42" s="45"/>
      <c r="W42" s="45"/>
      <c r="X42" s="45"/>
      <c r="Y42" s="45"/>
      <c r="Z42" s="45"/>
      <c r="AA42" s="45"/>
      <c r="AB42" s="42"/>
      <c r="AD42" s="41"/>
      <c r="AE42" s="45"/>
      <c r="AF42" s="42"/>
      <c r="AG42" s="41"/>
      <c r="AH42" s="45"/>
      <c r="AI42" s="42"/>
    </row>
    <row r="43" spans="1:40" x14ac:dyDescent="0.25">
      <c r="C43" s="32"/>
      <c r="H43" s="1" t="s">
        <v>82</v>
      </c>
      <c r="I43" s="11" t="s">
        <v>1011</v>
      </c>
      <c r="J43" s="11" t="s">
        <v>78</v>
      </c>
      <c r="L43" s="1"/>
      <c r="M43" s="1"/>
      <c r="N43" s="40" t="s">
        <v>1092</v>
      </c>
      <c r="O43" s="43"/>
      <c r="P43" s="46"/>
      <c r="Q43" s="46"/>
      <c r="R43" s="46"/>
      <c r="S43" s="46"/>
      <c r="T43" s="46"/>
      <c r="U43" s="46"/>
      <c r="V43" s="46"/>
      <c r="W43" s="46"/>
      <c r="X43" s="46"/>
      <c r="Y43" s="46"/>
      <c r="Z43" s="46"/>
      <c r="AA43" s="46"/>
      <c r="AB43" s="44"/>
      <c r="AD43" s="43"/>
      <c r="AE43" s="46"/>
      <c r="AF43" s="44"/>
      <c r="AG43" s="43"/>
      <c r="AH43" s="46"/>
      <c r="AI43" s="44"/>
    </row>
    <row r="44" spans="1:40" hidden="1" x14ac:dyDescent="0.25">
      <c r="C44" s="32"/>
      <c r="H44" s="15" t="s">
        <v>667</v>
      </c>
      <c r="I44" s="161"/>
      <c r="J44" s="161"/>
      <c r="K44" s="68" t="str">
        <f>IF(AND(I44&gt;="T3"),"&gt;","")</f>
        <v/>
      </c>
      <c r="L44" s="162"/>
      <c r="M44" s="162"/>
      <c r="N44" s="162"/>
      <c r="O44" s="21"/>
      <c r="P44" s="21"/>
      <c r="Q44" s="21"/>
      <c r="R44" s="21"/>
      <c r="S44" s="21"/>
      <c r="T44" s="21"/>
      <c r="U44" s="21"/>
      <c r="V44" s="21"/>
      <c r="W44" s="21"/>
      <c r="X44" s="21"/>
      <c r="Y44" s="21"/>
      <c r="Z44" s="21"/>
      <c r="AA44" s="21">
        <f>IF($I44="B1","",SUM(O44:Z44))</f>
        <v>0</v>
      </c>
      <c r="AB44" s="17" t="str">
        <f>IF(AA44=0,"",IFERROR(AA44/AA$19,""))</f>
        <v/>
      </c>
      <c r="AD44" s="21"/>
      <c r="AE44" s="17" t="str">
        <f>IF(AD44=0,"",IFERROR(AD44/AD$19,""))</f>
        <v/>
      </c>
      <c r="AF44" s="50">
        <f>IF(AND($AA44="",AD44=""),"",$AA44-AD44)</f>
        <v>0</v>
      </c>
      <c r="AG44" s="21"/>
      <c r="AH44" s="17" t="str">
        <f>IF(AG44=0,"",IFERROR(AG44/AG$19,""))</f>
        <v/>
      </c>
      <c r="AI44" s="50">
        <f>IF(AND($AA44="",AG44=""),"",$AA44-AG44)</f>
        <v>0</v>
      </c>
      <c r="AJ44" s="399">
        <f>IFERROR(AA44/AA$20,0)</f>
        <v>0</v>
      </c>
      <c r="AK44" s="400">
        <f>IFERROR(AD44/AD$20,0)</f>
        <v>0</v>
      </c>
      <c r="AL44" s="401">
        <f>IFERROR(AG44/AG$20,0)</f>
        <v>0</v>
      </c>
      <c r="AM44" s="402">
        <f>+IFERROR(ROUND(($AB44-AE44)*100,2)&amp;" pts.",0)</f>
        <v>0</v>
      </c>
      <c r="AN44" s="403">
        <f>+IFERROR(ROUND(($AB44-AH44)*100,2)&amp;" pts.",0)</f>
        <v>0</v>
      </c>
    </row>
    <row r="45" spans="1:40" hidden="1" x14ac:dyDescent="0.25">
      <c r="A45" s="4" t="s">
        <v>988</v>
      </c>
      <c r="C45" s="32"/>
      <c r="H45" s="15"/>
      <c r="I45" s="161"/>
      <c r="J45" s="161"/>
      <c r="K45" s="68" t="str">
        <f>IF(AND(I45&gt;="T3"),"&gt;","")</f>
        <v/>
      </c>
      <c r="L45" s="162"/>
      <c r="M45" s="162"/>
      <c r="N45" s="162"/>
      <c r="O45" s="21"/>
      <c r="P45" s="21"/>
      <c r="Q45" s="21"/>
      <c r="R45" s="21"/>
      <c r="S45" s="21"/>
      <c r="T45" s="21"/>
      <c r="U45" s="21"/>
      <c r="V45" s="21"/>
      <c r="W45" s="21"/>
      <c r="X45" s="21"/>
      <c r="Y45" s="21"/>
      <c r="Z45" s="21"/>
      <c r="AA45" s="21">
        <f>IF($I45="B1","",SUM(O45:Z45))</f>
        <v>0</v>
      </c>
      <c r="AB45" s="17" t="str">
        <f>IF(AA45=0,"",IFERROR(AA45/AA$19,""))</f>
        <v/>
      </c>
      <c r="AD45" s="21"/>
      <c r="AE45" s="17" t="str">
        <f>IF(AD45=0,"",IFERROR(AD45/AD$19,""))</f>
        <v/>
      </c>
      <c r="AF45" s="50">
        <f>IF(AND($AA45="",AD45=""),"",$AA45-AD45)</f>
        <v>0</v>
      </c>
      <c r="AG45" s="21"/>
      <c r="AH45" s="17" t="str">
        <f>IF(AG45=0,"",IFERROR(AG45/AG$19,""))</f>
        <v/>
      </c>
      <c r="AI45" s="50">
        <f>IF(AND($AA45="",AG45=""),"",$AA45-AG45)</f>
        <v>0</v>
      </c>
      <c r="AJ45" s="399">
        <f>IFERROR(AA45/AA$20,0)</f>
        <v>0</v>
      </c>
      <c r="AK45" s="400">
        <f>IFERROR(AD45/AD$20,0)</f>
        <v>0</v>
      </c>
      <c r="AL45" s="401">
        <f>IFERROR(AG45/AG$20,0)</f>
        <v>0</v>
      </c>
      <c r="AM45" s="402">
        <f>+IFERROR(ROUND(($AB45-AE45)*100,2)&amp;" pts.",0)</f>
        <v>0</v>
      </c>
      <c r="AN45" s="403">
        <f>+IFERROR(ROUND(($AB45-AH45)*100,2)&amp;" pts.",0)</f>
        <v>0</v>
      </c>
    </row>
    <row r="46" spans="1:40" x14ac:dyDescent="0.25">
      <c r="C46" s="32"/>
      <c r="H46" s="15" t="s">
        <v>79</v>
      </c>
      <c r="I46" s="27" t="s">
        <v>1012</v>
      </c>
      <c r="J46" s="27" t="s">
        <v>78</v>
      </c>
      <c r="K46" s="26"/>
      <c r="N46" s="25" t="s">
        <v>1116</v>
      </c>
      <c r="O46" s="33">
        <f t="shared" ref="O46:Z46" si="0">SUM(O44:O45)</f>
        <v>0</v>
      </c>
      <c r="P46" s="33">
        <f t="shared" si="0"/>
        <v>0</v>
      </c>
      <c r="Q46" s="33">
        <f t="shared" si="0"/>
        <v>0</v>
      </c>
      <c r="R46" s="33">
        <f t="shared" si="0"/>
        <v>0</v>
      </c>
      <c r="S46" s="33">
        <f t="shared" si="0"/>
        <v>0</v>
      </c>
      <c r="T46" s="33">
        <f t="shared" si="0"/>
        <v>0</v>
      </c>
      <c r="U46" s="33">
        <f t="shared" si="0"/>
        <v>0</v>
      </c>
      <c r="V46" s="33">
        <f t="shared" si="0"/>
        <v>0</v>
      </c>
      <c r="W46" s="33">
        <f t="shared" si="0"/>
        <v>0</v>
      </c>
      <c r="X46" s="33">
        <f t="shared" si="0"/>
        <v>0</v>
      </c>
      <c r="Y46" s="33">
        <f t="shared" si="0"/>
        <v>0</v>
      </c>
      <c r="Z46" s="33">
        <f t="shared" si="0"/>
        <v>0</v>
      </c>
      <c r="AA46" s="33">
        <f>IF($I46="B1","",SUM(O46:Z46))</f>
        <v>0</v>
      </c>
      <c r="AB46" s="34" t="str">
        <f>IF(AA46=0,"",IFERROR(AA46/AA$19,""))</f>
        <v/>
      </c>
      <c r="AD46" s="33">
        <f>SUM(AD44:AD45)</f>
        <v>0</v>
      </c>
      <c r="AE46" s="34" t="str">
        <f>IF(AD46=0,"",IFERROR(AD46/AD$19,""))</f>
        <v/>
      </c>
      <c r="AF46" s="52">
        <f>IF(AND($AA46="",AD46=""),"",$AA46-AD46)</f>
        <v>0</v>
      </c>
      <c r="AG46" s="33">
        <f>SUM(AG44:AG45)</f>
        <v>0</v>
      </c>
      <c r="AH46" s="34" t="str">
        <f>IF(AG46=0,"",IFERROR(AG46/AG$19,""))</f>
        <v/>
      </c>
      <c r="AI46" s="52">
        <f>IF(AND($AA46="",AG46=""),"",$AA46-AG46)</f>
        <v>0</v>
      </c>
      <c r="AJ46" s="415">
        <f>IFERROR(AA46/AA$20,0)</f>
        <v>0</v>
      </c>
      <c r="AK46" s="416">
        <f>IFERROR(AD46/AD$20,0)</f>
        <v>0</v>
      </c>
      <c r="AL46" s="417">
        <f>IFERROR(AG46/AG$20,0)</f>
        <v>0</v>
      </c>
      <c r="AM46" s="418">
        <f>+IFERROR(ROUND(($AB46-AE46)*100,2)&amp;" pts.",0)</f>
        <v>0</v>
      </c>
      <c r="AN46" s="436">
        <f>+IFERROR(ROUND(($AB46-AH46)*100,2)&amp;" pts.",0)</f>
        <v>0</v>
      </c>
    </row>
    <row r="47" spans="1:40" x14ac:dyDescent="0.25">
      <c r="A47" s="3" t="s">
        <v>0</v>
      </c>
      <c r="B47" s="5" t="s">
        <v>1</v>
      </c>
      <c r="C47" s="32"/>
    </row>
    <row r="48" spans="1:40" x14ac:dyDescent="0.25">
      <c r="A48" s="6" t="s">
        <v>2</v>
      </c>
      <c r="B48" s="16" t="s">
        <v>1860</v>
      </c>
      <c r="C48" s="32"/>
      <c r="H48" s="15" t="s">
        <v>80</v>
      </c>
      <c r="I48" s="27" t="s">
        <v>1012</v>
      </c>
      <c r="J48" s="27" t="s">
        <v>78</v>
      </c>
      <c r="K48" s="25"/>
      <c r="N48" s="25" t="s">
        <v>1117</v>
      </c>
      <c r="O48" s="164">
        <f t="shared" ref="O48:Z48" si="1">SUMIF($H$34:$H$47,"561100",O$34:O$47)+SUMIF($H$34:$H$47,"600000",O$34:O$47)+SUMIF($H$34:$H$47,"700000",O$34:O$47)</f>
        <v>0</v>
      </c>
      <c r="P48" s="164">
        <f t="shared" si="1"/>
        <v>0</v>
      </c>
      <c r="Q48" s="164">
        <f t="shared" si="1"/>
        <v>0</v>
      </c>
      <c r="R48" s="164">
        <f t="shared" si="1"/>
        <v>0</v>
      </c>
      <c r="S48" s="164">
        <f t="shared" si="1"/>
        <v>0</v>
      </c>
      <c r="T48" s="164">
        <f t="shared" si="1"/>
        <v>0</v>
      </c>
      <c r="U48" s="164">
        <f t="shared" si="1"/>
        <v>0</v>
      </c>
      <c r="V48" s="164">
        <f t="shared" si="1"/>
        <v>0</v>
      </c>
      <c r="W48" s="164">
        <f t="shared" si="1"/>
        <v>0</v>
      </c>
      <c r="X48" s="164">
        <f t="shared" si="1"/>
        <v>0</v>
      </c>
      <c r="Y48" s="164">
        <f t="shared" si="1"/>
        <v>0</v>
      </c>
      <c r="Z48" s="164">
        <f t="shared" si="1"/>
        <v>0</v>
      </c>
      <c r="AA48" s="164">
        <f>IF($I48="B1","",SUM(O48:Z48))</f>
        <v>0</v>
      </c>
      <c r="AB48" s="175" t="str">
        <f>IF(AA48=0,"",IFERROR(AA48/AA$19,""))</f>
        <v/>
      </c>
      <c r="AD48" s="164">
        <f>SUMIF($H$34:$H$47,"561100",AD$34:AD$47)+SUMIF($H$34:$H$47,"600000",AD$34:AD$47)+SUMIF($H$34:$H$47,"700000",AD$34:AD$47)</f>
        <v>0</v>
      </c>
      <c r="AE48" s="175" t="str">
        <f>IF(AD48=0,"",IFERROR(AD48/AD$19,""))</f>
        <v/>
      </c>
      <c r="AF48" s="165">
        <f>IF(AND($AA48="",AD48=""),"",$AA48-AD48)</f>
        <v>0</v>
      </c>
      <c r="AG48" s="164">
        <f>SUMIF($H$34:$H$47,"561100",AG$34:AG$47)+SUMIF($H$34:$H$47,"600000",AG$34:AG$47)+SUMIF($H$34:$H$47,"700000",AG$34:AG$47)</f>
        <v>0</v>
      </c>
      <c r="AH48" s="175" t="str">
        <f>IF(AG48=0,"",IFERROR(AG48/AG$19,""))</f>
        <v/>
      </c>
      <c r="AI48" s="165">
        <f>IF(AND($AA48="",AG48=""),"",$AA48-AG48)</f>
        <v>0</v>
      </c>
      <c r="AJ48" s="392">
        <f>IFERROR(AA48/AA$20,0)</f>
        <v>0</v>
      </c>
      <c r="AK48" s="393">
        <f>IFERROR(AD48/AD$20,0)</f>
        <v>0</v>
      </c>
      <c r="AL48" s="394">
        <f>IFERROR(AG48/AG$20,0)</f>
        <v>0</v>
      </c>
      <c r="AM48" s="395">
        <f>+IFERROR(ROUND(($AB48-AE48)*100,2)&amp;" pts.",0)</f>
        <v>0</v>
      </c>
      <c r="AN48" s="437">
        <f>+IFERROR(ROUND(($AB48-AH48)*100,2)&amp;" pts.",0)</f>
        <v>0</v>
      </c>
    </row>
    <row r="49" spans="1:40" x14ac:dyDescent="0.25">
      <c r="A49" s="6" t="s">
        <v>3</v>
      </c>
      <c r="B49" s="16" t="s">
        <v>1861</v>
      </c>
      <c r="C49" s="32"/>
      <c r="N49" s="25"/>
    </row>
    <row r="50" spans="1:40" x14ac:dyDescent="0.25">
      <c r="A50" s="6" t="s">
        <v>4</v>
      </c>
      <c r="B50" s="16" t="s">
        <v>1866</v>
      </c>
      <c r="C50" s="32"/>
      <c r="H50" s="15" t="s">
        <v>280</v>
      </c>
      <c r="I50" s="161" t="s">
        <v>1012</v>
      </c>
      <c r="J50" s="161" t="s">
        <v>78</v>
      </c>
      <c r="K50" s="68" t="str">
        <f>IF(AND(I50&gt;="T3"),"&gt;","")</f>
        <v>&gt;</v>
      </c>
      <c r="L50" s="162">
        <v>400000</v>
      </c>
      <c r="M50" s="162"/>
      <c r="N50" s="170" t="s">
        <v>1003</v>
      </c>
      <c r="O50" s="164">
        <v>0</v>
      </c>
      <c r="P50" s="164">
        <v>0</v>
      </c>
      <c r="Q50" s="164">
        <v>0</v>
      </c>
      <c r="R50" s="164">
        <v>0</v>
      </c>
      <c r="S50" s="164">
        <v>0</v>
      </c>
      <c r="T50" s="164">
        <v>0</v>
      </c>
      <c r="U50" s="164">
        <v>0</v>
      </c>
      <c r="V50" s="164">
        <v>0</v>
      </c>
      <c r="W50" s="164">
        <v>0</v>
      </c>
      <c r="X50" s="164">
        <v>0</v>
      </c>
      <c r="Y50" s="164">
        <v>0</v>
      </c>
      <c r="Z50" s="164">
        <v>0</v>
      </c>
      <c r="AA50" s="164">
        <f>IF($I50="B1","",SUM(O50:Z50))</f>
        <v>0</v>
      </c>
      <c r="AB50" s="175" t="str">
        <f>IF(AA50=0,"",IFERROR(AA50/AA$19,""))</f>
        <v/>
      </c>
      <c r="AD50" s="164">
        <v>0</v>
      </c>
      <c r="AE50" s="175" t="str">
        <f>IF(AD50=0,"",IFERROR(AD50/AD$19,""))</f>
        <v/>
      </c>
      <c r="AF50" s="165">
        <f>IF(AND($AA50="",AD50=""),"",$AA50-AD50)</f>
        <v>0</v>
      </c>
      <c r="AG50" s="164">
        <v>0</v>
      </c>
      <c r="AH50" s="175" t="str">
        <f>IF(AG50=0,"",IFERROR(AG50/AG$19,""))</f>
        <v/>
      </c>
      <c r="AI50" s="165">
        <f>IF(AND($AA50="",AG50=""),"",$AA50-AG50)</f>
        <v>0</v>
      </c>
      <c r="AJ50" s="392">
        <f>IFERROR(AA50/AA$20,0)</f>
        <v>0</v>
      </c>
      <c r="AK50" s="393">
        <f>IFERROR(AD50/AD$20,0)</f>
        <v>0</v>
      </c>
      <c r="AL50" s="394">
        <f>IFERROR(AG50/AG$20,0)</f>
        <v>0</v>
      </c>
      <c r="AM50" s="395">
        <f>+IFERROR(ROUND(($AB50-AE50)*100,2)&amp;" pts.",0)</f>
        <v>0</v>
      </c>
      <c r="AN50" s="437">
        <f>+IFERROR(ROUND(($AB50-AH50)*100,2)&amp;" pts.",0)</f>
        <v>0</v>
      </c>
    </row>
    <row r="51" spans="1:40" x14ac:dyDescent="0.25">
      <c r="A51" s="6" t="s">
        <v>5</v>
      </c>
      <c r="B51" s="7"/>
      <c r="C51" s="32"/>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row>
    <row r="52" spans="1:40" ht="15.75" thickBot="1" x14ac:dyDescent="0.3">
      <c r="A52" s="6" t="s">
        <v>6</v>
      </c>
      <c r="B52" s="7"/>
      <c r="C52" s="32"/>
      <c r="N52" s="25" t="s">
        <v>665</v>
      </c>
      <c r="O52" s="62">
        <f t="shared" ref="O52:Z52" si="2">O48-O50</f>
        <v>0</v>
      </c>
      <c r="P52" s="62">
        <f t="shared" si="2"/>
        <v>0</v>
      </c>
      <c r="Q52" s="62">
        <f t="shared" si="2"/>
        <v>0</v>
      </c>
      <c r="R52" s="62">
        <f t="shared" si="2"/>
        <v>0</v>
      </c>
      <c r="S52" s="62">
        <f t="shared" si="2"/>
        <v>0</v>
      </c>
      <c r="T52" s="62">
        <f t="shared" si="2"/>
        <v>0</v>
      </c>
      <c r="U52" s="62">
        <f t="shared" si="2"/>
        <v>0</v>
      </c>
      <c r="V52" s="62">
        <f t="shared" si="2"/>
        <v>0</v>
      </c>
      <c r="W52" s="62">
        <f t="shared" si="2"/>
        <v>0</v>
      </c>
      <c r="X52" s="62">
        <f t="shared" si="2"/>
        <v>0</v>
      </c>
      <c r="Y52" s="62">
        <f t="shared" si="2"/>
        <v>0</v>
      </c>
      <c r="Z52" s="62">
        <f t="shared" si="2"/>
        <v>0</v>
      </c>
      <c r="AA52" s="62">
        <f>IF($I52="B1","",SUM(O52:Z52))</f>
        <v>0</v>
      </c>
      <c r="AB52" s="63" t="str">
        <f>IF(AA52=0,"",IFERROR(AA52/AA$19,""))</f>
        <v/>
      </c>
      <c r="AD52" s="62">
        <f>AD48-AD50</f>
        <v>0</v>
      </c>
      <c r="AE52" s="63" t="str">
        <f>IF(AD52=0,"",IFERROR(AD52/AD$19,""))</f>
        <v/>
      </c>
      <c r="AF52" s="64">
        <f>IF(AND($AA52="",AD52=""),"",$AA52-AD52)</f>
        <v>0</v>
      </c>
      <c r="AG52" s="62">
        <f>AG48-AG50</f>
        <v>0</v>
      </c>
      <c r="AH52" s="63" t="str">
        <f>IF(AG52=0,"",IFERROR(AG52/AG$19,""))</f>
        <v/>
      </c>
      <c r="AI52" s="64">
        <f>IF(AND($AA52="",AG52=""),"",$AA52-AG52)</f>
        <v>0</v>
      </c>
      <c r="AJ52" s="430">
        <f>IFERROR(AA52/AA$20,0)</f>
        <v>0</v>
      </c>
      <c r="AK52" s="431">
        <f>IFERROR(AD52/AD$20,0)</f>
        <v>0</v>
      </c>
      <c r="AL52" s="432">
        <f>IFERROR(AG52/AG$20,0)</f>
        <v>0</v>
      </c>
      <c r="AM52" s="433">
        <f>+IFERROR(ROUND(($AB52-AE52)*100,2)&amp;" pts.",0)</f>
        <v>0</v>
      </c>
      <c r="AN52" s="438">
        <f>+IFERROR(ROUND(($AB52-AH52)*100,2)&amp;" pts.",0)</f>
        <v>0</v>
      </c>
    </row>
    <row r="53" spans="1:40" ht="15.75" thickTop="1" x14ac:dyDescent="0.25">
      <c r="A53" s="6" t="s">
        <v>7</v>
      </c>
      <c r="B53" s="7"/>
      <c r="C53" s="32"/>
    </row>
    <row r="54" spans="1:40" x14ac:dyDescent="0.25">
      <c r="A54" s="6" t="s">
        <v>47</v>
      </c>
      <c r="B54" s="16" t="s">
        <v>1864</v>
      </c>
      <c r="C54" s="32"/>
      <c r="N54" s="40" t="s">
        <v>595</v>
      </c>
    </row>
    <row r="55" spans="1:40" hidden="1" x14ac:dyDescent="0.25">
      <c r="A55" s="6" t="s">
        <v>8</v>
      </c>
      <c r="B55" s="7"/>
      <c r="C55" s="32"/>
      <c r="H55" s="149" t="s">
        <v>667</v>
      </c>
      <c r="I55" s="161"/>
      <c r="J55" s="161"/>
      <c r="K55" s="162"/>
      <c r="L55" s="162"/>
      <c r="M55" s="162"/>
      <c r="N55" s="162"/>
      <c r="O55" s="21"/>
      <c r="P55" s="21"/>
      <c r="Q55" s="21"/>
      <c r="R55" s="21"/>
      <c r="S55" s="21"/>
      <c r="T55" s="21"/>
      <c r="U55" s="21"/>
      <c r="V55" s="21"/>
      <c r="W55" s="21"/>
      <c r="X55" s="21"/>
      <c r="Y55" s="21"/>
      <c r="Z55" s="21"/>
      <c r="AA55" s="21">
        <f>IF($I55="B1","",SUM(O55:Z55))</f>
        <v>0</v>
      </c>
      <c r="AB55" s="17" t="str">
        <f>IF(AA55=0,"",IFERROR(AA55/AA$19,""))</f>
        <v/>
      </c>
      <c r="AD55" s="21"/>
      <c r="AE55" s="17" t="str">
        <f>IF(AD55=0,"",IFERROR(AD55/AD$19,""))</f>
        <v/>
      </c>
      <c r="AF55" s="50">
        <f>IF(AND($AA55="",AD55=""),"",$AA55-AD55)</f>
        <v>0</v>
      </c>
      <c r="AG55" s="21"/>
      <c r="AH55" s="17" t="str">
        <f>IF(AG55=0,"",IFERROR(AG55/AG$19,""))</f>
        <v/>
      </c>
      <c r="AI55" s="50">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C56" s="32"/>
      <c r="H56" s="149"/>
      <c r="I56" s="161"/>
      <c r="J56" s="161"/>
      <c r="K56" s="162"/>
      <c r="L56" s="162"/>
      <c r="M56" s="162"/>
      <c r="N56" s="162"/>
      <c r="O56" s="21"/>
      <c r="P56" s="21"/>
      <c r="Q56" s="21"/>
      <c r="R56" s="21"/>
      <c r="S56" s="21"/>
      <c r="T56" s="21"/>
      <c r="U56" s="21"/>
      <c r="V56" s="21"/>
      <c r="W56" s="21"/>
      <c r="X56" s="21"/>
      <c r="Y56" s="21"/>
      <c r="Z56" s="21"/>
      <c r="AA56" s="21">
        <f>IF($I56="B1","",SUM(O56:Z56))</f>
        <v>0</v>
      </c>
      <c r="AB56" s="17" t="str">
        <f>IF(AA56=0,"",IFERROR(AA56/AA$19,""))</f>
        <v/>
      </c>
      <c r="AD56" s="21"/>
      <c r="AE56" s="17" t="str">
        <f>IF(AD56=0,"",IFERROR(AD56/AD$19,""))</f>
        <v/>
      </c>
      <c r="AF56" s="50">
        <f>IF(AND($AA56="",AD56=""),"",$AA56-AD56)</f>
        <v>0</v>
      </c>
      <c r="AG56" s="21"/>
      <c r="AH56" s="17" t="str">
        <f>IF(AG56=0,"",IFERROR(AG56/AG$19,""))</f>
        <v/>
      </c>
      <c r="AI56" s="50">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3" t="s">
        <v>9</v>
      </c>
      <c r="B57" s="5" t="s">
        <v>10</v>
      </c>
      <c r="C57" s="32"/>
      <c r="H57" s="11"/>
      <c r="J57" s="1"/>
      <c r="N57" s="25" t="s">
        <v>555</v>
      </c>
      <c r="O57" s="33">
        <f t="shared" ref="O57:Z57" si="3">SUM(O55:O56)</f>
        <v>0</v>
      </c>
      <c r="P57" s="33">
        <f t="shared" si="3"/>
        <v>0</v>
      </c>
      <c r="Q57" s="33">
        <f t="shared" si="3"/>
        <v>0</v>
      </c>
      <c r="R57" s="33">
        <f t="shared" si="3"/>
        <v>0</v>
      </c>
      <c r="S57" s="33">
        <f t="shared" si="3"/>
        <v>0</v>
      </c>
      <c r="T57" s="33">
        <f t="shared" si="3"/>
        <v>0</v>
      </c>
      <c r="U57" s="33">
        <f t="shared" si="3"/>
        <v>0</v>
      </c>
      <c r="V57" s="33">
        <f t="shared" si="3"/>
        <v>0</v>
      </c>
      <c r="W57" s="33">
        <f t="shared" si="3"/>
        <v>0</v>
      </c>
      <c r="X57" s="33">
        <f t="shared" si="3"/>
        <v>0</v>
      </c>
      <c r="Y57" s="33">
        <f t="shared" si="3"/>
        <v>0</v>
      </c>
      <c r="Z57" s="33">
        <f t="shared" si="3"/>
        <v>0</v>
      </c>
      <c r="AA57" s="33">
        <f>IF($I57="B1","",SUM(O57:Z57))</f>
        <v>0</v>
      </c>
      <c r="AB57" s="34" t="str">
        <f>IF(AA57=0,"",IFERROR(AA57/AA$19,""))</f>
        <v/>
      </c>
      <c r="AD57" s="33">
        <f>SUM(AD55:AD56)</f>
        <v>0</v>
      </c>
      <c r="AE57" s="34" t="str">
        <f>IF(AD57=0,"",IFERROR(AD57/AD$19,""))</f>
        <v/>
      </c>
      <c r="AF57" s="52">
        <f>IF(AND($AA57="",AD57=""),"",$AA57-AD57)</f>
        <v>0</v>
      </c>
      <c r="AG57" s="33">
        <f>SUM(AG55:AG56)</f>
        <v>0</v>
      </c>
      <c r="AH57" s="34" t="str">
        <f>IF(AG57=0,"",IFERROR(AG57/AG$19,""))</f>
        <v/>
      </c>
      <c r="AI57" s="52">
        <f>IF(AND($AA57="",AG57=""),"",$AA57-AG57)</f>
        <v>0</v>
      </c>
      <c r="AJ57" s="415">
        <f>IFERROR(AA57/AA$20,0)</f>
        <v>0</v>
      </c>
      <c r="AK57" s="416">
        <f>IFERROR(AD57/AD$20,0)</f>
        <v>0</v>
      </c>
      <c r="AL57" s="417">
        <f>IFERROR(AG57/AG$20,0)</f>
        <v>0</v>
      </c>
      <c r="AM57" s="418">
        <f>+IFERROR(ROUND(($AB57-AE57)*100,2)&amp;" pts.",0)</f>
        <v>0</v>
      </c>
      <c r="AN57" s="436">
        <f>+IFERROR(ROUND(($AB57-AH57)*100,2)&amp;" pts.",0)</f>
        <v>0</v>
      </c>
    </row>
    <row r="58" spans="1:40" x14ac:dyDescent="0.25">
      <c r="A58" s="6" t="s">
        <v>11</v>
      </c>
      <c r="B58" s="7" t="s">
        <v>21</v>
      </c>
      <c r="C58" s="32"/>
      <c r="H58" s="11"/>
      <c r="J58" s="1"/>
    </row>
    <row r="59" spans="1:40" ht="15.75" thickBot="1" x14ac:dyDescent="0.3">
      <c r="A59" s="6" t="s">
        <v>12</v>
      </c>
      <c r="B59" s="7" t="s">
        <v>22</v>
      </c>
      <c r="H59" s="11"/>
      <c r="J59" s="1"/>
      <c r="N59" s="25" t="s">
        <v>558</v>
      </c>
      <c r="O59" s="62">
        <f t="shared" ref="O59:Z59" si="4">O52+O57</f>
        <v>0</v>
      </c>
      <c r="P59" s="62">
        <f t="shared" si="4"/>
        <v>0</v>
      </c>
      <c r="Q59" s="62">
        <f t="shared" si="4"/>
        <v>0</v>
      </c>
      <c r="R59" s="62">
        <f t="shared" si="4"/>
        <v>0</v>
      </c>
      <c r="S59" s="62">
        <f t="shared" si="4"/>
        <v>0</v>
      </c>
      <c r="T59" s="62">
        <f t="shared" si="4"/>
        <v>0</v>
      </c>
      <c r="U59" s="62">
        <f t="shared" si="4"/>
        <v>0</v>
      </c>
      <c r="V59" s="62">
        <f t="shared" si="4"/>
        <v>0</v>
      </c>
      <c r="W59" s="62">
        <f t="shared" si="4"/>
        <v>0</v>
      </c>
      <c r="X59" s="62">
        <f t="shared" si="4"/>
        <v>0</v>
      </c>
      <c r="Y59" s="62">
        <f t="shared" si="4"/>
        <v>0</v>
      </c>
      <c r="Z59" s="62">
        <f t="shared" si="4"/>
        <v>0</v>
      </c>
      <c r="AA59" s="62">
        <f>IF($I59="B1","",SUM(O59:Z59))</f>
        <v>0</v>
      </c>
      <c r="AB59" s="63" t="str">
        <f>IF(AA59=0,"",IFERROR(AA59/AA$19,""))</f>
        <v/>
      </c>
      <c r="AD59" s="62">
        <f>AD52+AD57</f>
        <v>0</v>
      </c>
      <c r="AE59" s="63" t="str">
        <f>IF(AD59=0,"",IFERROR(AD59/AD$19,""))</f>
        <v/>
      </c>
      <c r="AF59" s="64">
        <f>IF(AND($AA59="",AD59=""),"",$AA59-AD59)</f>
        <v>0</v>
      </c>
      <c r="AG59" s="62">
        <f>AG52+AG57</f>
        <v>0</v>
      </c>
      <c r="AH59" s="63" t="str">
        <f>IF(AG59=0,"",IFERROR(AG59/AG$19,""))</f>
        <v/>
      </c>
      <c r="AI59" s="64">
        <f>IF(AND($AA59="",AG59=""),"",$AA59-AG59)</f>
        <v>0</v>
      </c>
    </row>
    <row r="60" spans="1:40" ht="15.75" thickTop="1" x14ac:dyDescent="0.25">
      <c r="A60" s="6" t="s">
        <v>13</v>
      </c>
      <c r="B60" s="7" t="s">
        <v>594</v>
      </c>
      <c r="H60" s="11"/>
      <c r="J60" s="1"/>
    </row>
    <row r="61" spans="1:40" x14ac:dyDescent="0.25">
      <c r="A61" s="6" t="s">
        <v>14</v>
      </c>
      <c r="B61" s="16"/>
      <c r="H61" s="11"/>
      <c r="J61" s="1"/>
    </row>
    <row r="62" spans="1:40" x14ac:dyDescent="0.25">
      <c r="A62" s="6" t="s">
        <v>15</v>
      </c>
      <c r="B62" s="7"/>
      <c r="H62" s="15" t="s">
        <v>56</v>
      </c>
      <c r="I62" s="27" t="s">
        <v>1010</v>
      </c>
      <c r="J62" s="27" t="s">
        <v>78</v>
      </c>
      <c r="K62" s="25"/>
      <c r="N62" s="25" t="s">
        <v>666</v>
      </c>
      <c r="O62" s="139">
        <v>0</v>
      </c>
      <c r="P62" s="139">
        <v>0</v>
      </c>
      <c r="Q62" s="139">
        <v>0</v>
      </c>
      <c r="R62" s="139">
        <v>0</v>
      </c>
      <c r="S62" s="139">
        <v>0</v>
      </c>
      <c r="T62" s="139">
        <v>0</v>
      </c>
      <c r="U62" s="139">
        <v>0</v>
      </c>
      <c r="V62" s="139">
        <v>0</v>
      </c>
      <c r="W62" s="139">
        <v>0</v>
      </c>
      <c r="X62" s="139">
        <v>0</v>
      </c>
      <c r="Y62" s="139">
        <v>0</v>
      </c>
      <c r="Z62" s="139">
        <v>0</v>
      </c>
      <c r="AA62" s="21">
        <f>IF($I62="B1","",SUM(O62:Z62))</f>
        <v>0</v>
      </c>
      <c r="AB62" s="139"/>
      <c r="AD62" s="139">
        <v>0</v>
      </c>
      <c r="AE62" s="139"/>
      <c r="AF62" s="139"/>
      <c r="AG62" s="139">
        <v>0</v>
      </c>
      <c r="AH62" s="139"/>
      <c r="AI62" s="139"/>
    </row>
    <row r="63" spans="1:40" x14ac:dyDescent="0.25">
      <c r="A63" s="6" t="s">
        <v>16</v>
      </c>
      <c r="B63" s="7" t="s">
        <v>78</v>
      </c>
      <c r="H63" s="11"/>
      <c r="J63" s="1"/>
    </row>
    <row r="64" spans="1:40" x14ac:dyDescent="0.25">
      <c r="A64" s="6" t="s">
        <v>17</v>
      </c>
      <c r="B64" s="7"/>
      <c r="H64" s="11"/>
      <c r="J64" s="1"/>
    </row>
    <row r="65" spans="1:10" x14ac:dyDescent="0.25">
      <c r="H65" s="11"/>
      <c r="J65" s="1"/>
    </row>
    <row r="66" spans="1:10" x14ac:dyDescent="0.25">
      <c r="H66" s="11"/>
      <c r="J66" s="1"/>
    </row>
    <row r="67" spans="1:10" x14ac:dyDescent="0.25">
      <c r="A67" s="3" t="s">
        <v>23</v>
      </c>
      <c r="B67" s="5" t="s">
        <v>24</v>
      </c>
      <c r="H67" s="11"/>
      <c r="J67" s="1"/>
    </row>
    <row r="68" spans="1:10" x14ac:dyDescent="0.25">
      <c r="A68" s="6" t="s">
        <v>25</v>
      </c>
      <c r="B68" s="7"/>
    </row>
    <row r="69" spans="1:10" x14ac:dyDescent="0.25">
      <c r="A69" s="6" t="s">
        <v>26</v>
      </c>
      <c r="B69" s="7"/>
    </row>
    <row r="70" spans="1:10" x14ac:dyDescent="0.25">
      <c r="A70" s="6" t="s">
        <v>27</v>
      </c>
      <c r="B70" s="7"/>
    </row>
    <row r="71" spans="1:10" x14ac:dyDescent="0.25">
      <c r="A71" s="6" t="s">
        <v>28</v>
      </c>
      <c r="B71" s="7"/>
    </row>
    <row r="72" spans="1:10" x14ac:dyDescent="0.25">
      <c r="A72" s="6" t="s">
        <v>29</v>
      </c>
      <c r="B72" s="7"/>
    </row>
    <row r="73" spans="1:10" x14ac:dyDescent="0.25">
      <c r="A73" s="6" t="s">
        <v>30</v>
      </c>
      <c r="B73" s="7" t="s">
        <v>78</v>
      </c>
    </row>
    <row r="74" spans="1:10" x14ac:dyDescent="0.25">
      <c r="A74" s="6" t="s">
        <v>31</v>
      </c>
      <c r="B74" s="7" t="s">
        <v>78</v>
      </c>
    </row>
    <row r="75" spans="1:10" x14ac:dyDescent="0.25">
      <c r="A75" s="6" t="s">
        <v>32</v>
      </c>
      <c r="B75" s="7"/>
    </row>
    <row r="76" spans="1:10" x14ac:dyDescent="0.25">
      <c r="A76" s="6" t="s">
        <v>33</v>
      </c>
      <c r="B76" s="7"/>
    </row>
    <row r="77" spans="1:10" x14ac:dyDescent="0.25">
      <c r="A77" s="6" t="s">
        <v>34</v>
      </c>
      <c r="B77" s="7"/>
    </row>
    <row r="78" spans="1:10" x14ac:dyDescent="0.25">
      <c r="A78" s="6" t="s">
        <v>35</v>
      </c>
      <c r="B78" s="7"/>
    </row>
    <row r="79" spans="1:10" x14ac:dyDescent="0.25">
      <c r="A79" s="6" t="s">
        <v>36</v>
      </c>
      <c r="B79" s="7"/>
      <c r="C79" s="32"/>
    </row>
    <row r="80" spans="1:10" x14ac:dyDescent="0.25">
      <c r="A80" s="6" t="s">
        <v>37</v>
      </c>
      <c r="B80" s="7"/>
    </row>
    <row r="81" spans="1:2" x14ac:dyDescent="0.25">
      <c r="A81" s="6" t="s">
        <v>38</v>
      </c>
      <c r="B81" s="7"/>
    </row>
    <row r="82" spans="1:2" x14ac:dyDescent="0.25">
      <c r="A82" s="6" t="s">
        <v>39</v>
      </c>
      <c r="B82" s="7"/>
    </row>
    <row r="83" spans="1:2" x14ac:dyDescent="0.25">
      <c r="A83" s="6" t="s">
        <v>40</v>
      </c>
      <c r="B83" s="7"/>
    </row>
    <row r="84" spans="1:2" x14ac:dyDescent="0.25">
      <c r="A84" s="6" t="s">
        <v>41</v>
      </c>
      <c r="B84" s="7"/>
    </row>
    <row r="85" spans="1:2" x14ac:dyDescent="0.25">
      <c r="A85" s="6" t="s">
        <v>42</v>
      </c>
      <c r="B85" s="7"/>
    </row>
    <row r="86" spans="1:2" x14ac:dyDescent="0.25">
      <c r="A86" s="6" t="s">
        <v>43</v>
      </c>
      <c r="B86" s="7"/>
    </row>
    <row r="87" spans="1:2" x14ac:dyDescent="0.25">
      <c r="A87" s="6" t="s">
        <v>44</v>
      </c>
      <c r="B87" s="7"/>
    </row>
    <row r="88" spans="1:2" x14ac:dyDescent="0.25">
      <c r="A88" s="6" t="s">
        <v>45</v>
      </c>
      <c r="B88" s="7"/>
    </row>
    <row r="89" spans="1:2" x14ac:dyDescent="0.25">
      <c r="A89" s="6" t="s">
        <v>46</v>
      </c>
      <c r="B89" s="7"/>
    </row>
  </sheetData>
  <mergeCells count="2">
    <mergeCell ref="AD31:AE31"/>
    <mergeCell ref="AG31:AH31"/>
  </mergeCells>
  <dataValidations count="2">
    <dataValidation type="list" allowBlank="1" sqref="B59 B28" xr:uid="{00000000-0002-0000-5F00-000000000000}">
      <formula1>"ACCOUNT,BUSINESSUNIT,CATEGORY,DATASRC,DEPARTMENT,INTCO,MEASURES,RPTCURRENCY,TIME"</formula1>
    </dataValidation>
    <dataValidation type="list" allowBlank="1" sqref="B60 B29" xr:uid="{00000000-0002-0000-5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8885"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8885" r:id="rId5" name="FPMExcelClientSheetOptionstb1"/>
      </mc:Fallback>
    </mc:AlternateContent>
  </controls>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32">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'LDXz8fdsAE2Ug4AWCUzTAA=='!$D$6</f>
        <v>#NAME?</v>
      </c>
      <c r="C4" s="1" t="e">
        <f ca="1">_xll.EVDES(B4,$B$1)</f>
        <v>#NAME?</v>
      </c>
      <c r="E4" s="49" t="e">
        <f ca="1">_xll.EVPRO($B$1,$B$4,"STARTMTH")</f>
        <v>#NAME?</v>
      </c>
      <c r="F4" s="49" t="e">
        <f ca="1">IF('LDXz8fdsAE2Ug4AWCUzTAA=='!$D$8="FCST",_xll.EVPRO($B$1,"CURRENT","STARTMTH"),IF('LDXz8fdsAE2Ug4AWCUzTAA=='!$D$8="BUD",_xll.EVPRO($B$1,"BUDGET","STARTMTH")))</f>
        <v>#NAME?</v>
      </c>
    </row>
    <row r="5" spans="1:35" hidden="1" outlineLevel="1" x14ac:dyDescent="0.25">
      <c r="A5" s="8" t="s">
        <v>51</v>
      </c>
      <c r="B5" s="12" t="s">
        <v>59</v>
      </c>
      <c r="C5" s="1" t="e">
        <f ca="1">_xll.EVDES(B5,$B$1)</f>
        <v>#NAME?</v>
      </c>
    </row>
    <row r="6" spans="1:35" hidden="1" outlineLevel="1" x14ac:dyDescent="0.25">
      <c r="A6" s="8" t="s">
        <v>52</v>
      </c>
      <c r="B6" s="12" t="s">
        <v>499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'LDXz8fdsAE2Ug4AWCUzTAA=='!$D$10</f>
        <v>#NAME?</v>
      </c>
      <c r="C9" s="1" t="e">
        <f ca="1">_xll.EVDES(B9,$B$1)</f>
        <v>#NAME?</v>
      </c>
    </row>
    <row r="10" spans="1:35" hidden="1" outlineLevel="1" x14ac:dyDescent="0.25">
      <c r="A10" s="8" t="s">
        <v>18</v>
      </c>
      <c r="B10" s="9" t="e">
        <f ca="1">'LDXz8fdsAE2Ug4AWCUzTAA=='!$D$7</f>
        <v>#NAME?</v>
      </c>
      <c r="C10" s="1" t="e">
        <f ca="1">_xll.EVDES(B10,$B$1)</f>
        <v>#NAME?</v>
      </c>
      <c r="D10" s="234" t="e">
        <f ca="1">_xll.EVPRO($B$1,$B$10,"Group")</f>
        <v>#NAME?</v>
      </c>
    </row>
    <row r="11" spans="1:35" hidden="1" outlineLevel="1" x14ac:dyDescent="0.25">
      <c r="B11" s="8"/>
      <c r="M11" s="49" t="e">
        <f ca="1">IF(LEFT('LDXz8fdsAE2Ug4AWCUzTAA=='!$D$6,3)="ALT","Y","N")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IF('LDXz8fdsAE2Ug4AWCUzTAA=='!$O$1=TRUE,_xll.EVTIM($B$1,P16,-1),IF($D$10="FY",LEFT($B$10,6)&amp;"."&amp;O15,$B$12&amp;"."&amp;O14))</f>
        <v>#NAME?</v>
      </c>
      <c r="P16" s="13" t="e">
        <f ca="1">IF('LDXz8fdsAE2Ug4AWCUzTAA=='!$O$1=TRUE,_xll.EVTIM($B$1,Q16,-1),IF($D$10="FY",LEFT($B$10,6)&amp;"."&amp;P15,$B$12&amp;"."&amp;P14))</f>
        <v>#NAME?</v>
      </c>
      <c r="Q16" s="13" t="e">
        <f ca="1">IF('LDXz8fdsAE2Ug4AWCUzTAA=='!$O$1=TRUE,_xll.EVTIM($B$1,R16,-1),IF($D$10="FY",LEFT($B$10,6)&amp;"."&amp;Q15,$B$12&amp;"."&amp;Q14))</f>
        <v>#NAME?</v>
      </c>
      <c r="R16" s="13" t="e">
        <f ca="1">IF('LDXz8fdsAE2Ug4AWCUzTAA=='!$O$1=TRUE,_xll.EVTIM($B$1,S16,-1),IF($D$10="FY",LEFT($B$10,6)&amp;"."&amp;R15,$B$12&amp;"."&amp;R14))</f>
        <v>#NAME?</v>
      </c>
      <c r="S16" s="13" t="e">
        <f ca="1">IF('LDXz8fdsAE2Ug4AWCUzTAA=='!$O$1=TRUE,_xll.EVTIM($B$1,T16,-1),IF($D$10="FY",LEFT($B$10,6)&amp;"."&amp;S15,$B$12&amp;"."&amp;S14))</f>
        <v>#NAME?</v>
      </c>
      <c r="T16" s="13" t="e">
        <f ca="1">IF('LDXz8fdsAE2Ug4AWCUzTAA=='!$O$1=TRUE,_xll.EVTIM($B$1,U16,-1),IF($D$10="FY",LEFT($B$10,6)&amp;"."&amp;T15,$B$12&amp;"."&amp;T14))</f>
        <v>#NAME?</v>
      </c>
      <c r="U16" s="13" t="e">
        <f ca="1">IF('LDXz8fdsAE2Ug4AWCUzTAA=='!$O$1=TRUE,_xll.EVTIM($B$1,V16,-1),IF($D$10="FY",LEFT($B$10,6)&amp;"."&amp;U15,$B$12&amp;"."&amp;U14))</f>
        <v>#NAME?</v>
      </c>
      <c r="V16" s="13" t="e">
        <f ca="1">IF('LDXz8fdsAE2Ug4AWCUzTAA=='!$O$1=TRUE,_xll.EVTIM($B$1,W16,-1),IF($D$10="FY",LEFT($B$10,6)&amp;"."&amp;V15,$B$12&amp;"."&amp;V14))</f>
        <v>#NAME?</v>
      </c>
      <c r="W16" s="13" t="e">
        <f ca="1">IF('LDXz8fdsAE2Ug4AWCUzTAA=='!$O$1=TRUE,_xll.EVTIM($B$1,X16,-1),IF($D$10="FY",LEFT($B$10,6)&amp;"."&amp;W15,$B$12&amp;"."&amp;W14))</f>
        <v>#NAME?</v>
      </c>
      <c r="X16" s="13" t="e">
        <f ca="1">IF('LDXz8fdsAE2Ug4AWCUzTAA=='!$O$1=TRUE,_xll.EVTIM($B$1,Y16,-1),IF($D$10="FY",LEFT($B$10,6)&amp;"."&amp;X15,$B$12&amp;"."&amp;X14))</f>
        <v>#NAME?</v>
      </c>
      <c r="Y16" s="13" t="e">
        <f ca="1">IF('LDXz8fdsAE2Ug4AWCUzTAA=='!$O$1=TRUE,_xll.EVTIM($B$1,Z16,-1),IF($D$10="FY",LEFT($B$10,6)&amp;"."&amp;Y15,$B$12&amp;"."&amp;Y14))</f>
        <v>#NAME?</v>
      </c>
      <c r="Z16" s="13" t="e">
        <f ca="1">IF('LDXz8fdsAE2Ug4AWCUzTAA=='!$O$1=TRUE,'LDXz8fdsAE2Ug4AWCUzTAA=='!$Q$6,IF($D$10="FY",LEFT($B$10,6)&amp;"."&amp;Z15,$B$12&amp;"."&amp;Z14))</f>
        <v>#NAME?</v>
      </c>
      <c r="AA16" s="13" t="e">
        <f ca="1">IF($D$10="FY",LEFT($B$10,6)&amp;"."&amp;AA15,$B$12&amp;"."&amp;AA14)</f>
        <v>#NAME?</v>
      </c>
      <c r="AB16" s="10"/>
      <c r="AC16" s="10"/>
      <c r="AD16" s="13" t="e">
        <f ca="1">IF('LDXz8fdsAE2Ug4AWCUzTAA=='!$O$1=TRUE,'LDXz8fdsAE2Ug4AWCUzTAA=='!$Q$6,'LDXz8fdsAE2Ug4AWCUzTAA=='!$G$7)</f>
        <v>#NAME?</v>
      </c>
      <c r="AE16" s="10"/>
      <c r="AF16" s="10"/>
      <c r="AG16" s="13" t="e">
        <f ca="1">IF('LDXz8fdsAE2Ug4AWCUzTAA=='!$O$1=TRUE,_xll.EVTIM($B$1,AD16,-1,"YEAR"),'LDXz8fdsAE2Ug4AWCUzTAA=='!$J$7)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'LDXz8fdsAE2Ug4AWCUzTAA=='!$G$6</f>
        <v>#NAME?</v>
      </c>
      <c r="AE17" s="10"/>
      <c r="AF17" s="10"/>
      <c r="AG17" s="13" t="e">
        <f ca="1">'LDXz8fdsAE2Ug4AWCUzTAA=='!$J$6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IF('LDXz8fdsAE2Ug4AWCUzTAA=='!$O$1=TRUE,"TRAILING12",IF(AD17="CURRENT","ROLLINGFORECAST","PERIODIC"))</f>
        <v>#NAME?</v>
      </c>
      <c r="AE18" s="10"/>
      <c r="AF18" s="10"/>
      <c r="AG18" s="13" t="e">
        <f ca="1">IF('LDXz8fdsAE2Ug4AWCUzTAA=='!$O$1=TRUE,"TRAILING12",IF(AG17="CURRENT","ROLLINGFORECAST","PERIODIC"))</f>
        <v>#NAME?</v>
      </c>
      <c r="AH18" s="10"/>
      <c r="AI18" s="10"/>
    </row>
    <row r="19" spans="1:40" hidden="1" outlineLevel="1" x14ac:dyDescent="0.25">
      <c r="A19" s="6" t="s">
        <v>4</v>
      </c>
      <c r="B19" s="7" t="e">
        <f ca="1">_xll.EVRNG(H35:H40,H43:H49,H52:H61,H63:H64)</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_xll.EVRNG(A36:F40)</f>
        <v>#NAME?</v>
      </c>
    </row>
    <row r="23" spans="1:40" hidden="1" outlineLevel="1" x14ac:dyDescent="0.25">
      <c r="A23" s="6" t="s">
        <v>47</v>
      </c>
      <c r="B23" s="7" t="e">
        <f ca="1">_xll.EVRNG($A$44:$B$65)</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741</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530" t="e">
        <f ca="1">IF(_xll.EVDES(AD16,$B$1)="#NODATA","",_xll.EVDES(AD16,$B$1))</f>
        <v>#NAME?</v>
      </c>
      <c r="AE31" s="531"/>
      <c r="AF31" s="233" t="s">
        <v>631</v>
      </c>
      <c r="AG31" s="530" t="e">
        <f ca="1">IF(_xll.EVDES(AG16,$B$1)="#NODATA","",_xll.EVDES(AG16,$B$1))</f>
        <v>#NAME?</v>
      </c>
      <c r="AH31" s="531"/>
      <c r="AI31" s="233" t="s">
        <v>631</v>
      </c>
      <c r="AJ31" s="233" t="e">
        <f ca="1">_xll.EVPRO($B$1,AA$16,"YEAR")</f>
        <v>#NAME?</v>
      </c>
      <c r="AK31" s="261" t="e">
        <f ca="1">_xll.EVPRO($B$1,AD$16,"YEAR")</f>
        <v>#NAME?</v>
      </c>
      <c r="AL31" s="261"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1" t="s">
        <v>58</v>
      </c>
      <c r="AF32" s="261" t="s">
        <v>57</v>
      </c>
      <c r="AG32" s="261" t="e">
        <f ca="1">IF(_xll.EVDES(AG17,$B$1)="#NODATA","",_xll.EVDES(AG17,$B$1))</f>
        <v>#NAME?</v>
      </c>
      <c r="AH32" s="261" t="s">
        <v>58</v>
      </c>
      <c r="AI32" s="261" t="s">
        <v>57</v>
      </c>
      <c r="AJ32" s="261" t="e">
        <f ca="1">Z32</f>
        <v>#NAME?</v>
      </c>
      <c r="AK32" s="261" t="e">
        <f ca="1">AD32</f>
        <v>#NAME?</v>
      </c>
      <c r="AL32" s="261" t="e">
        <f ca="1">AG32</f>
        <v>#NAME?</v>
      </c>
      <c r="AM32" s="233" t="s">
        <v>747</v>
      </c>
      <c r="AN32" s="233" t="s">
        <v>747</v>
      </c>
    </row>
    <row r="33" spans="1:40" x14ac:dyDescent="0.25">
      <c r="A33" s="6" t="s">
        <v>17</v>
      </c>
      <c r="B33" s="7"/>
      <c r="H33" s="1" t="s">
        <v>553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N34" s="8" t="s">
        <v>561</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925</v>
      </c>
      <c r="I35" s="161" t="e">
        <f ca="1">_xll.EVPRO($B$1,$H35,"STYLE")</f>
        <v>#NAME?</v>
      </c>
      <c r="J35" s="161" t="e">
        <f ca="1">_xll.EVPRO($B$1,$H35,"CALC")</f>
        <v>#NAME?</v>
      </c>
      <c r="K35" s="68" t="e">
        <f ca="1">IF(AND(I35&gt;="T4"),"&gt;","")</f>
        <v>#NAME?</v>
      </c>
      <c r="L35" s="162" t="e">
        <f ca="1">_xll.EVPRO($B$1,H35,"JDEID")</f>
        <v>#NAME?</v>
      </c>
      <c r="M35" s="162" t="e">
        <f ca="1">IF(AND(I35="N",J35="N"),_xll.EVPRO($B$1,H35,"PSFTID"),"")</f>
        <v>#NAME?</v>
      </c>
      <c r="N35" s="162" t="e">
        <f ca="1">IF(_xll.EVDES(H35,$B$1)="#NODATA","",_xll.EVDES(H35,$B$1))</f>
        <v>#NAME?</v>
      </c>
      <c r="O35" s="21">
        <v>2612.4699999999998</v>
      </c>
      <c r="P35" s="21">
        <v>3778.98</v>
      </c>
      <c r="Q35" s="21">
        <v>3120.07</v>
      </c>
      <c r="R35" s="21">
        <v>2863.68</v>
      </c>
      <c r="S35" s="21">
        <v>2800.64</v>
      </c>
      <c r="T35" s="21">
        <v>2620.33</v>
      </c>
      <c r="U35" s="21">
        <v>2377.73</v>
      </c>
      <c r="V35" s="21">
        <v>2423.2800000000002</v>
      </c>
      <c r="W35" s="21">
        <v>2398.0100000000002</v>
      </c>
      <c r="X35" s="21">
        <v>2271.14</v>
      </c>
      <c r="Y35" s="21">
        <v>2307.73</v>
      </c>
      <c r="Z35" s="21">
        <v>2720.89</v>
      </c>
      <c r="AA35" s="38" t="e">
        <f t="shared" ref="AA35:AA40" ca="1" si="0">IF($I35="B1","",SUM(O35:Z35))</f>
        <v>#NAME?</v>
      </c>
      <c r="AB35" s="17" t="e">
        <f t="shared" ref="AB35:AB40" ca="1" si="1">IF(AA35=0,"",IFERROR(AA35/AA$19,""))</f>
        <v>#NAME?</v>
      </c>
      <c r="AD35" s="21">
        <v>46172.578529312203</v>
      </c>
      <c r="AE35" s="17" t="str">
        <f t="shared" ref="AE35:AE40" ca="1" si="2">IF(AD35=0,"",IFERROR(AD35/AD$19,""))</f>
        <v/>
      </c>
      <c r="AF35" s="50" t="e">
        <f t="shared" ref="AF35:AF40" ca="1" si="3">IF(AND($AA35="",AD35=""),"",$AA35-AD35)</f>
        <v>#NAME?</v>
      </c>
      <c r="AG35" s="21">
        <v>32519.599999999999</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926</v>
      </c>
      <c r="I36" s="161" t="e">
        <f ca="1">_xll.EVPRO($B$1,$H36,"STYLE")</f>
        <v>#NAME?</v>
      </c>
      <c r="J36" s="161" t="e">
        <f ca="1">_xll.EVPRO($B$1,$H36,"CALC")</f>
        <v>#NAME?</v>
      </c>
      <c r="K36" s="68" t="e">
        <f t="shared" ref="K36:K40" ca="1" si="4">IF(AND(I36&gt;="T4"),"&gt;","")</f>
        <v>#NAME?</v>
      </c>
      <c r="L36" s="162" t="e">
        <f ca="1">_xll.EVPRO($B$1,H36,"JDEID")</f>
        <v>#NAME?</v>
      </c>
      <c r="M36" s="162" t="e">
        <f ca="1">IF(AND(I36="N",J36="N"),_xll.EVPRO($B$1,H36,"PSFTID"),"")</f>
        <v>#NAME?</v>
      </c>
      <c r="N36" s="162" t="e">
        <f ca="1">IF(_xll.EVDES(H36,$B$1)="#NODATA","",_xll.EVDES(H36,$B$1))</f>
        <v>#NAME?</v>
      </c>
      <c r="O36" s="21">
        <v>11324.19</v>
      </c>
      <c r="P36" s="21">
        <v>12359.58</v>
      </c>
      <c r="Q36" s="21">
        <v>13142.39</v>
      </c>
      <c r="R36" s="21">
        <v>12341.51</v>
      </c>
      <c r="S36" s="21">
        <v>9929.56</v>
      </c>
      <c r="T36" s="21">
        <v>10926.03</v>
      </c>
      <c r="U36" s="21">
        <v>9945.09</v>
      </c>
      <c r="V36" s="21">
        <v>10139.91</v>
      </c>
      <c r="W36" s="21">
        <v>9592.5</v>
      </c>
      <c r="X36" s="21">
        <v>9702.2999999999993</v>
      </c>
      <c r="Y36" s="21">
        <v>9120.81</v>
      </c>
      <c r="Z36" s="21">
        <v>11168.18</v>
      </c>
      <c r="AA36" s="38" t="e">
        <f t="shared" ca="1" si="0"/>
        <v>#NAME?</v>
      </c>
      <c r="AB36" s="17" t="e">
        <f t="shared" ca="1" si="1"/>
        <v>#NAME?</v>
      </c>
      <c r="AD36" s="21">
        <v>125283.610841043</v>
      </c>
      <c r="AE36" s="17" t="str">
        <f t="shared" ca="1" si="2"/>
        <v/>
      </c>
      <c r="AF36" s="50" t="e">
        <f t="shared" ca="1" si="3"/>
        <v>#NAME?</v>
      </c>
      <c r="AG36" s="21">
        <v>141398.96</v>
      </c>
      <c r="AH36" s="17" t="str">
        <f t="shared" ref="AH36:AH40" ca="1" si="5">IF(AG36=0,"",IFERROR(AG36/AG$19,""))</f>
        <v/>
      </c>
      <c r="AI36" s="50" t="e">
        <f t="shared" ref="AI36:AI40" ca="1" si="6">IF(AND($AA36="",AG36=""),"",$AA36-AG36)</f>
        <v>#NAME?</v>
      </c>
      <c r="AJ36" s="399">
        <f t="shared" ref="AJ36:AJ40" ca="1" si="7">IFERROR(AA36/AA$20,0)</f>
        <v>0</v>
      </c>
      <c r="AK36" s="400">
        <f t="shared" ref="AK36:AK40" ca="1" si="8">IFERROR(AD36/AD$20,0)</f>
        <v>0</v>
      </c>
      <c r="AL36" s="401">
        <f t="shared" ref="AL36:AL40" ca="1" si="9">IFERROR(AG36/AG$20,0)</f>
        <v>0</v>
      </c>
      <c r="AM36" s="402">
        <f t="shared" ref="AM36:AM40" ca="1" si="10">+IFERROR(ROUND(($AB36-AE36)*100,2)&amp;" pts.",0)</f>
        <v>0</v>
      </c>
      <c r="AN36" s="403">
        <f t="shared" ref="AN36:AN40" ca="1" si="11">+IFERROR(ROUND(($AB36-AH36)*100,2)&amp;" pts.",0)</f>
        <v>0</v>
      </c>
    </row>
    <row r="37" spans="1:40" x14ac:dyDescent="0.25">
      <c r="A37" s="1" t="s">
        <v>105</v>
      </c>
      <c r="C37" s="26" t="s">
        <v>101</v>
      </c>
      <c r="D37" s="1" t="s">
        <v>106</v>
      </c>
      <c r="F37" s="1" t="s">
        <v>98</v>
      </c>
      <c r="H37" s="15" t="s">
        <v>927</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v>710.04</v>
      </c>
      <c r="P37" s="21">
        <v>288.83999999999997</v>
      </c>
      <c r="Q37" s="21">
        <v>101.64</v>
      </c>
      <c r="R37" s="21">
        <v>47.44</v>
      </c>
      <c r="S37" s="21">
        <v>71.5</v>
      </c>
      <c r="T37" s="21">
        <v>25.46</v>
      </c>
      <c r="U37" s="21">
        <v>4.54</v>
      </c>
      <c r="V37" s="21">
        <v>-143.65</v>
      </c>
      <c r="W37" s="21">
        <v>-141.44</v>
      </c>
      <c r="X37" s="21">
        <v>-38.130000000000003</v>
      </c>
      <c r="Y37" s="21">
        <v>-59.6</v>
      </c>
      <c r="Z37" s="21">
        <v>470.45</v>
      </c>
      <c r="AA37" s="38" t="e">
        <f t="shared" ca="1" si="0"/>
        <v>#NAME?</v>
      </c>
      <c r="AB37" s="17" t="e">
        <f t="shared" ca="1" si="1"/>
        <v>#NAME?</v>
      </c>
      <c r="AD37" s="21">
        <v>23248.968880304801</v>
      </c>
      <c r="AE37" s="17" t="str">
        <f t="shared" ca="1" si="2"/>
        <v/>
      </c>
      <c r="AF37" s="50" t="e">
        <f t="shared" ca="1" si="3"/>
        <v>#NAME?</v>
      </c>
      <c r="AG37" s="21">
        <v>1825.85</v>
      </c>
      <c r="AH37" s="17" t="str">
        <f t="shared" ca="1"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102</v>
      </c>
      <c r="C38" s="26" t="s">
        <v>101</v>
      </c>
      <c r="D38" s="1" t="s">
        <v>106</v>
      </c>
      <c r="F38" s="1" t="s">
        <v>98</v>
      </c>
      <c r="H38" s="15" t="s">
        <v>928</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256.91000000000003</v>
      </c>
      <c r="P38" s="21">
        <v>48.01</v>
      </c>
      <c r="Q38" s="21">
        <v>16.95</v>
      </c>
      <c r="R38" s="21">
        <v>7.91</v>
      </c>
      <c r="S38" s="21">
        <v>11.92</v>
      </c>
      <c r="T38" s="21">
        <v>21.11</v>
      </c>
      <c r="U38" s="21">
        <v>0.76</v>
      </c>
      <c r="V38" s="21">
        <v>2.38</v>
      </c>
      <c r="W38" s="21">
        <v>9.57</v>
      </c>
      <c r="X38" s="21">
        <v>8.02</v>
      </c>
      <c r="Y38" s="21">
        <v>4.43</v>
      </c>
      <c r="Z38" s="21">
        <v>143.47999999999999</v>
      </c>
      <c r="AA38" s="38" t="e">
        <f t="shared" ca="1" si="0"/>
        <v>#NAME?</v>
      </c>
      <c r="AB38" s="17" t="e">
        <f t="shared" ca="1" si="1"/>
        <v>#NAME?</v>
      </c>
      <c r="AD38" s="21">
        <v>24093.638494975901</v>
      </c>
      <c r="AE38" s="17" t="str">
        <f t="shared" ca="1" si="2"/>
        <v/>
      </c>
      <c r="AF38" s="50" t="e">
        <f t="shared" ca="1" si="3"/>
        <v>#NAME?</v>
      </c>
      <c r="AG38" s="21">
        <v>1458.12</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929</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0"/>
      <c r="P39" s="30"/>
      <c r="Q39" s="30"/>
      <c r="R39" s="30"/>
      <c r="S39" s="30"/>
      <c r="T39" s="30"/>
      <c r="U39" s="30"/>
      <c r="V39" s="30"/>
      <c r="W39" s="30"/>
      <c r="X39" s="30"/>
      <c r="Y39" s="30"/>
      <c r="Z39" s="30">
        <v>34.24</v>
      </c>
      <c r="AA39" s="47" t="e">
        <f t="shared" ca="1" si="0"/>
        <v>#NAME?</v>
      </c>
      <c r="AB39" s="31" t="e">
        <f t="shared" ca="1" si="1"/>
        <v>#NAME?</v>
      </c>
      <c r="AD39" s="30"/>
      <c r="AE39" s="31" t="str">
        <f t="shared" si="2"/>
        <v/>
      </c>
      <c r="AF39" s="51" t="e">
        <f t="shared" ca="1" si="3"/>
        <v>#NAME?</v>
      </c>
      <c r="AG39" s="30"/>
      <c r="AH39" s="31" t="str">
        <f t="shared" si="5"/>
        <v/>
      </c>
      <c r="AI39" s="51" t="e">
        <f t="shared" ca="1" si="6"/>
        <v>#NAME?</v>
      </c>
      <c r="AJ39" s="409">
        <f t="shared" ca="1" si="7"/>
        <v>0</v>
      </c>
      <c r="AK39" s="410">
        <f t="shared" ca="1" si="8"/>
        <v>0</v>
      </c>
      <c r="AL39" s="411">
        <f t="shared" ca="1" si="9"/>
        <v>0</v>
      </c>
      <c r="AM39" s="412">
        <f t="shared" ca="1" si="10"/>
        <v>0</v>
      </c>
      <c r="AN39" s="413">
        <f t="shared" ca="1" si="11"/>
        <v>0</v>
      </c>
    </row>
    <row r="40" spans="1:40" x14ac:dyDescent="0.25">
      <c r="A40" s="1" t="s">
        <v>108</v>
      </c>
      <c r="C40" s="29" t="s">
        <v>101</v>
      </c>
      <c r="D40" s="1" t="s">
        <v>107</v>
      </c>
      <c r="F40" s="1" t="s">
        <v>99</v>
      </c>
      <c r="H40" s="15" t="s">
        <v>851</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33">
        <v>14903.61</v>
      </c>
      <c r="P40" s="33">
        <v>16475.41</v>
      </c>
      <c r="Q40" s="33">
        <v>16381.05</v>
      </c>
      <c r="R40" s="33">
        <v>15260.54</v>
      </c>
      <c r="S40" s="33">
        <v>12813.62</v>
      </c>
      <c r="T40" s="33">
        <v>13592.93</v>
      </c>
      <c r="U40" s="33">
        <v>12328.12</v>
      </c>
      <c r="V40" s="33">
        <v>12421.92</v>
      </c>
      <c r="W40" s="33">
        <v>11858.64</v>
      </c>
      <c r="X40" s="33">
        <v>11943.33</v>
      </c>
      <c r="Y40" s="33">
        <v>11373.37</v>
      </c>
      <c r="Z40" s="33">
        <v>14537.24</v>
      </c>
      <c r="AA40" s="33" t="e">
        <f t="shared" ca="1" si="0"/>
        <v>#NAME?</v>
      </c>
      <c r="AB40" s="34" t="e">
        <f t="shared" ca="1" si="1"/>
        <v>#NAME?</v>
      </c>
      <c r="AC40" s="35"/>
      <c r="AD40" s="33">
        <v>218798.79674563499</v>
      </c>
      <c r="AE40" s="34" t="str">
        <f t="shared" ca="1" si="2"/>
        <v/>
      </c>
      <c r="AF40" s="52" t="e">
        <f t="shared" ca="1" si="3"/>
        <v>#NAME?</v>
      </c>
      <c r="AG40" s="33">
        <v>177202.53</v>
      </c>
      <c r="AH40" s="34" t="str">
        <f t="shared" ca="1" si="5"/>
        <v/>
      </c>
      <c r="AI40" s="52" t="e">
        <f t="shared" ca="1" si="6"/>
        <v>#NAME?</v>
      </c>
      <c r="AJ40" s="364">
        <f t="shared" ca="1" si="7"/>
        <v>0</v>
      </c>
      <c r="AK40" s="365">
        <f t="shared" ca="1" si="8"/>
        <v>0</v>
      </c>
      <c r="AL40" s="367">
        <f t="shared" ca="1" si="9"/>
        <v>0</v>
      </c>
      <c r="AM40" s="414">
        <f t="shared" ca="1" si="10"/>
        <v>0</v>
      </c>
      <c r="AN40" s="435">
        <f t="shared" ca="1" si="11"/>
        <v>0</v>
      </c>
    </row>
    <row r="41" spans="1:40" x14ac:dyDescent="0.25">
      <c r="I41" s="1"/>
      <c r="J41" s="1"/>
      <c r="L41" s="162"/>
      <c r="M41" s="162"/>
      <c r="N41" s="162"/>
      <c r="O41" s="41"/>
      <c r="P41" s="45"/>
      <c r="Q41" s="45"/>
      <c r="R41" s="45"/>
      <c r="S41" s="45"/>
      <c r="T41" s="45"/>
      <c r="U41" s="45"/>
      <c r="V41" s="45"/>
      <c r="W41" s="45"/>
      <c r="X41" s="45"/>
      <c r="Y41" s="45"/>
      <c r="Z41" s="45"/>
      <c r="AA41" s="45"/>
      <c r="AB41" s="42"/>
      <c r="AD41" s="41"/>
      <c r="AE41" s="45"/>
      <c r="AF41" s="42"/>
      <c r="AG41" s="41"/>
      <c r="AH41" s="45"/>
      <c r="AI41" s="42"/>
    </row>
    <row r="42" spans="1:40" x14ac:dyDescent="0.25">
      <c r="N42" s="8" t="s">
        <v>560</v>
      </c>
      <c r="O42" s="43"/>
      <c r="P42" s="46"/>
      <c r="Q42" s="46"/>
      <c r="R42" s="46"/>
      <c r="S42" s="46"/>
      <c r="T42" s="46"/>
      <c r="U42" s="46"/>
      <c r="V42" s="46"/>
      <c r="W42" s="46"/>
      <c r="X42" s="46"/>
      <c r="Y42" s="46"/>
      <c r="Z42" s="46"/>
      <c r="AA42" s="46"/>
      <c r="AB42" s="44"/>
      <c r="AD42" s="43"/>
      <c r="AE42" s="46"/>
      <c r="AF42" s="44"/>
      <c r="AG42" s="43"/>
      <c r="AH42" s="46"/>
      <c r="AI42" s="44"/>
    </row>
    <row r="43" spans="1:40" x14ac:dyDescent="0.25">
      <c r="A43" s="3" t="s">
        <v>23</v>
      </c>
      <c r="B43" s="5" t="s">
        <v>24</v>
      </c>
      <c r="H43" s="15" t="s">
        <v>919</v>
      </c>
      <c r="I43" s="161" t="e">
        <f ca="1">_xll.EVPRO($B$1,$H43,"STYLE")</f>
        <v>#NAME?</v>
      </c>
      <c r="J43" s="161" t="e">
        <f ca="1">_xll.EVPRO($B$1,$H43,"CALC")</f>
        <v>#NAME?</v>
      </c>
      <c r="K43" s="68" t="e">
        <f ca="1">IF(AND(I43&gt;="T4"),"&gt;","")</f>
        <v>#NAME?</v>
      </c>
      <c r="L43" s="162" t="e">
        <f ca="1">_xll.EVPRO($B$1,H43,"JDEID")</f>
        <v>#NAME?</v>
      </c>
      <c r="M43" s="162" t="e">
        <f ca="1">IF(AND(I43="N",J43="N"),_xll.EVPRO($B$1,H43,"PSFTID"),"")</f>
        <v>#NAME?</v>
      </c>
      <c r="N43" s="162" t="e">
        <f ca="1">IF(_xll.EVDES(H43,$B$1)="#NODATA","",_xll.EVDES(H43,$B$1))</f>
        <v>#NAME?</v>
      </c>
      <c r="O43" s="21"/>
      <c r="P43" s="21">
        <v>136</v>
      </c>
      <c r="Q43" s="21"/>
      <c r="R43" s="21"/>
      <c r="S43" s="21"/>
      <c r="T43" s="21"/>
      <c r="U43" s="21"/>
      <c r="V43" s="21"/>
      <c r="W43" s="21"/>
      <c r="X43" s="21"/>
      <c r="Y43" s="21">
        <v>673.08</v>
      </c>
      <c r="Z43" s="21"/>
      <c r="AA43" s="21" t="e">
        <f t="shared" ref="AA43:AA49" ca="1" si="12">IF($I43="B1","",SUM(O43:Z43))</f>
        <v>#NAME?</v>
      </c>
      <c r="AB43" s="17" t="e">
        <f t="shared" ref="AB43:AB49" ca="1" si="13">IF(AA43=0,"",IFERROR(AA43/AA$19,""))</f>
        <v>#NAME?</v>
      </c>
      <c r="AD43" s="21"/>
      <c r="AE43" s="17" t="str">
        <f t="shared" ref="AE43:AE49" si="14">IF(AD43=0,"",IFERROR(AD43/AD$19,""))</f>
        <v/>
      </c>
      <c r="AF43" s="50" t="e">
        <f t="shared" ref="AF43:AF49" ca="1" si="15">IF(AND($AA43="",AD43=""),"",$AA43-AD43)</f>
        <v>#NAME?</v>
      </c>
      <c r="AG43" s="21">
        <v>500</v>
      </c>
      <c r="AH43" s="17" t="str">
        <f ca="1">IF(AG43=0,"",IFERROR(AG43/AG$19,""))</f>
        <v/>
      </c>
      <c r="AI43" s="50" t="e">
        <f ca="1">IF(AND($AA43="",AG43=""),"",$AA43-AG43)</f>
        <v>#NAME?</v>
      </c>
      <c r="AJ43" s="399">
        <f ca="1">IFERROR(AA43/AA$20,0)</f>
        <v>0</v>
      </c>
      <c r="AK43" s="400">
        <f ca="1">IFERROR(AD43/AD$20,0)</f>
        <v>0</v>
      </c>
      <c r="AL43" s="401">
        <f ca="1">IFERROR(AG43/AG$20,0)</f>
        <v>0</v>
      </c>
      <c r="AM43" s="402">
        <f ca="1">+IFERROR(ROUND(($AB43-AE43)*100,2)&amp;" pts.",0)</f>
        <v>0</v>
      </c>
      <c r="AN43" s="403">
        <f ca="1">+IFERROR(ROUND(($AB43-AH43)*100,2)&amp;" pts.",0)</f>
        <v>0</v>
      </c>
    </row>
    <row r="44" spans="1:40" x14ac:dyDescent="0.25">
      <c r="A44" s="6" t="s">
        <v>25</v>
      </c>
      <c r="B44" s="7"/>
      <c r="H44" s="15" t="s">
        <v>920</v>
      </c>
      <c r="I44" s="161" t="e">
        <f ca="1">_xll.EVPRO($B$1,$H44,"STYLE")</f>
        <v>#NAME?</v>
      </c>
      <c r="J44" s="161" t="e">
        <f ca="1">_xll.EVPRO($B$1,$H44,"CALC")</f>
        <v>#NAME?</v>
      </c>
      <c r="K44" s="68" t="e">
        <f t="shared" ref="K44:K49" ca="1" si="16">IF(AND(I44&gt;="T4"),"&gt;","")</f>
        <v>#NAME?</v>
      </c>
      <c r="L44" s="162" t="e">
        <f ca="1">_xll.EVPRO($B$1,H44,"JDEID")</f>
        <v>#NAME?</v>
      </c>
      <c r="M44" s="162" t="e">
        <f ca="1">IF(AND(I44="N",J44="N"),_xll.EVPRO($B$1,H44,"PSFTID"),"")</f>
        <v>#NAME?</v>
      </c>
      <c r="N44" s="162" t="e">
        <f ca="1">IF(_xll.EVDES(H44,$B$1)="#NODATA","",_xll.EVDES(H44,$B$1))</f>
        <v>#NAME?</v>
      </c>
      <c r="O44" s="21"/>
      <c r="P44" s="21"/>
      <c r="Q44" s="21"/>
      <c r="R44" s="21">
        <v>329.6</v>
      </c>
      <c r="S44" s="21">
        <v>1021.14</v>
      </c>
      <c r="T44" s="21">
        <v>192.31</v>
      </c>
      <c r="U44" s="21"/>
      <c r="V44" s="21">
        <v>408</v>
      </c>
      <c r="W44" s="21">
        <v>2275.23</v>
      </c>
      <c r="X44" s="21"/>
      <c r="Y44" s="21"/>
      <c r="Z44" s="21"/>
      <c r="AA44" s="21" t="e">
        <f t="shared" ca="1" si="12"/>
        <v>#NAME?</v>
      </c>
      <c r="AB44" s="17" t="e">
        <f t="shared" ca="1" si="13"/>
        <v>#NAME?</v>
      </c>
      <c r="AD44" s="21"/>
      <c r="AE44" s="17" t="str">
        <f t="shared" si="14"/>
        <v/>
      </c>
      <c r="AF44" s="50" t="e">
        <f t="shared" ca="1" si="15"/>
        <v>#NAME?</v>
      </c>
      <c r="AG44" s="21">
        <v>513.38</v>
      </c>
      <c r="AH44" s="17" t="str">
        <f t="shared" ref="AH44:AH49" ca="1" si="17">IF(AG44=0,"",IFERROR(AG44/AG$19,""))</f>
        <v/>
      </c>
      <c r="AI44" s="50" t="e">
        <f t="shared" ref="AI44:AI49" ca="1" si="18">IF(AND($AA44="",AG44=""),"",$AA44-AG44)</f>
        <v>#NAME?</v>
      </c>
      <c r="AJ44" s="399">
        <f t="shared" ref="AJ44:AJ49" ca="1" si="19">IFERROR(AA44/AA$20,0)</f>
        <v>0</v>
      </c>
      <c r="AK44" s="400">
        <f t="shared" ref="AK44:AK49" ca="1" si="20">IFERROR(AD44/AD$20,0)</f>
        <v>0</v>
      </c>
      <c r="AL44" s="401">
        <f t="shared" ref="AL44:AL49" ca="1" si="21">IFERROR(AG44/AG$20,0)</f>
        <v>0</v>
      </c>
      <c r="AM44" s="402">
        <f t="shared" ref="AM44:AM49" ca="1" si="22">+IFERROR(ROUND(($AB44-AE44)*100,2)&amp;" pts.",0)</f>
        <v>0</v>
      </c>
      <c r="AN44" s="403">
        <f t="shared" ref="AN44:AN49" ca="1" si="23">+IFERROR(ROUND(($AB44-AH44)*100,2)&amp;" pts.",0)</f>
        <v>0</v>
      </c>
    </row>
    <row r="45" spans="1:40" x14ac:dyDescent="0.25">
      <c r="A45" s="6" t="s">
        <v>26</v>
      </c>
      <c r="B45" s="7"/>
      <c r="H45" s="15" t="s">
        <v>921</v>
      </c>
      <c r="I45" s="161" t="e">
        <f ca="1">_xll.EVPRO($B$1,$H45,"STYLE")</f>
        <v>#NAME?</v>
      </c>
      <c r="J45" s="161" t="e">
        <f ca="1">_xll.EVPRO($B$1,$H45,"CALC")</f>
        <v>#NAME?</v>
      </c>
      <c r="K45" s="68" t="e">
        <f t="shared" ca="1" si="16"/>
        <v>#NAME?</v>
      </c>
      <c r="L45" s="162" t="e">
        <f ca="1">_xll.EVPRO($B$1,H45,"JDEID")</f>
        <v>#NAME?</v>
      </c>
      <c r="M45" s="162" t="e">
        <f ca="1">IF(AND(I45="N",J45="N"),_xll.EVPRO($B$1,H45,"PSFTID"),"")</f>
        <v>#NAME?</v>
      </c>
      <c r="N45" s="162" t="e">
        <f ca="1">IF(_xll.EVDES(H45,$B$1)="#NODATA","",_xll.EVDES(H45,$B$1))</f>
        <v>#NAME?</v>
      </c>
      <c r="O45" s="21">
        <v>961.6</v>
      </c>
      <c r="P45" s="21"/>
      <c r="Q45" s="21"/>
      <c r="R45" s="21"/>
      <c r="S45" s="21"/>
      <c r="T45" s="21"/>
      <c r="U45" s="21"/>
      <c r="V45" s="21"/>
      <c r="W45" s="21"/>
      <c r="X45" s="21"/>
      <c r="Y45" s="21"/>
      <c r="Z45" s="21"/>
      <c r="AA45" s="21" t="e">
        <f t="shared" ca="1" si="12"/>
        <v>#NAME?</v>
      </c>
      <c r="AB45" s="17" t="e">
        <f t="shared" ca="1" si="13"/>
        <v>#NAME?</v>
      </c>
      <c r="AD45" s="21"/>
      <c r="AE45" s="17" t="str">
        <f t="shared" si="14"/>
        <v/>
      </c>
      <c r="AF45" s="50" t="e">
        <f t="shared" ca="1" si="15"/>
        <v>#NAME?</v>
      </c>
      <c r="AG45" s="21"/>
      <c r="AH45" s="17" t="str">
        <f t="shared" si="17"/>
        <v/>
      </c>
      <c r="AI45" s="50" t="e">
        <f t="shared" ca="1" si="18"/>
        <v>#NAME?</v>
      </c>
      <c r="AJ45" s="399">
        <f t="shared" ca="1" si="19"/>
        <v>0</v>
      </c>
      <c r="AK45" s="400">
        <f t="shared" ca="1" si="20"/>
        <v>0</v>
      </c>
      <c r="AL45" s="401">
        <f t="shared" ca="1" si="21"/>
        <v>0</v>
      </c>
      <c r="AM45" s="402">
        <f t="shared" ca="1" si="22"/>
        <v>0</v>
      </c>
      <c r="AN45" s="403">
        <f t="shared" ca="1" si="23"/>
        <v>0</v>
      </c>
    </row>
    <row r="46" spans="1:40" x14ac:dyDescent="0.25">
      <c r="A46" s="6" t="s">
        <v>27</v>
      </c>
      <c r="B46" s="7"/>
      <c r="H46" s="15" t="s">
        <v>922</v>
      </c>
      <c r="I46" s="161" t="e">
        <f ca="1">_xll.EVPRO($B$1,$H46,"STYLE")</f>
        <v>#NAME?</v>
      </c>
      <c r="J46" s="161" t="e">
        <f ca="1">_xll.EVPRO($B$1,$H46,"CALC")</f>
        <v>#NAME?</v>
      </c>
      <c r="K46" s="68" t="e">
        <f t="shared" ca="1" si="16"/>
        <v>#NAME?</v>
      </c>
      <c r="L46" s="162" t="e">
        <f ca="1">_xll.EVPRO($B$1,H46,"JDEID")</f>
        <v>#NAME?</v>
      </c>
      <c r="M46" s="162" t="e">
        <f ca="1">IF(AND(I46="N",J46="N"),_xll.EVPRO($B$1,H46,"PSFTID"),"")</f>
        <v>#NAME?</v>
      </c>
      <c r="N46" s="162" t="e">
        <f ca="1">IF(_xll.EVDES(H46,$B$1)="#NODATA","",_xll.EVDES(H46,$B$1))</f>
        <v>#NAME?</v>
      </c>
      <c r="O46" s="21">
        <v>3876.19</v>
      </c>
      <c r="P46" s="21">
        <v>2188.59</v>
      </c>
      <c r="Q46" s="21">
        <v>3527.46</v>
      </c>
      <c r="R46" s="21">
        <v>3204.23</v>
      </c>
      <c r="S46" s="21">
        <v>3833.83</v>
      </c>
      <c r="T46" s="21">
        <v>2756.07</v>
      </c>
      <c r="U46" s="21">
        <v>3536.64</v>
      </c>
      <c r="V46" s="21">
        <v>1741.14</v>
      </c>
      <c r="W46" s="21">
        <v>-688.33</v>
      </c>
      <c r="X46" s="21">
        <v>4807.75</v>
      </c>
      <c r="Y46" s="21">
        <v>2713.49</v>
      </c>
      <c r="Z46" s="21">
        <v>-2262.94</v>
      </c>
      <c r="AA46" s="21" t="e">
        <f t="shared" ca="1" si="12"/>
        <v>#NAME?</v>
      </c>
      <c r="AB46" s="17" t="e">
        <f t="shared" ca="1" si="13"/>
        <v>#NAME?</v>
      </c>
      <c r="AD46" s="21">
        <v>47630.6012238158</v>
      </c>
      <c r="AE46" s="17" t="str">
        <f t="shared" ca="1" si="14"/>
        <v/>
      </c>
      <c r="AF46" s="50" t="e">
        <f t="shared" ca="1" si="15"/>
        <v>#NAME?</v>
      </c>
      <c r="AG46" s="21">
        <v>21624.68</v>
      </c>
      <c r="AH46" s="17" t="str">
        <f t="shared" ca="1" si="17"/>
        <v/>
      </c>
      <c r="AI46" s="50" t="e">
        <f t="shared" ca="1" si="18"/>
        <v>#NAME?</v>
      </c>
      <c r="AJ46" s="399">
        <f t="shared" ca="1" si="19"/>
        <v>0</v>
      </c>
      <c r="AK46" s="400">
        <f t="shared" ca="1" si="20"/>
        <v>0</v>
      </c>
      <c r="AL46" s="401">
        <f t="shared" ca="1" si="21"/>
        <v>0</v>
      </c>
      <c r="AM46" s="402">
        <f t="shared" ca="1" si="22"/>
        <v>0</v>
      </c>
      <c r="AN46" s="403">
        <f t="shared" ca="1" si="23"/>
        <v>0</v>
      </c>
    </row>
    <row r="47" spans="1:40" x14ac:dyDescent="0.25">
      <c r="A47" s="6" t="s">
        <v>28</v>
      </c>
      <c r="B47" s="7"/>
      <c r="H47" s="15" t="s">
        <v>923</v>
      </c>
      <c r="I47" s="161" t="e">
        <f ca="1">_xll.EVPRO($B$1,$H47,"STYLE")</f>
        <v>#NAME?</v>
      </c>
      <c r="J47" s="161" t="e">
        <f ca="1">_xll.EVPRO($B$1,$H47,"CALC")</f>
        <v>#NAME?</v>
      </c>
      <c r="K47" s="68" t="e">
        <f t="shared" ca="1" si="16"/>
        <v>#NAME?</v>
      </c>
      <c r="L47" s="162" t="e">
        <f ca="1">_xll.EVPRO($B$1,H47,"JDEID")</f>
        <v>#NAME?</v>
      </c>
      <c r="M47" s="162" t="e">
        <f ca="1">IF(AND(I47="N",J47="N"),_xll.EVPRO($B$1,H47,"PSFTID"),"")</f>
        <v>#NAME?</v>
      </c>
      <c r="N47" s="162" t="e">
        <f ca="1">IF(_xll.EVDES(H47,$B$1)="#NODATA","",_xll.EVDES(H47,$B$1))</f>
        <v>#NAME?</v>
      </c>
      <c r="O47" s="21">
        <v>12668.7</v>
      </c>
      <c r="P47" s="21">
        <v>923.89</v>
      </c>
      <c r="Q47" s="21">
        <v>612.38</v>
      </c>
      <c r="R47" s="21">
        <v>241.76</v>
      </c>
      <c r="S47" s="21">
        <v>6433.93</v>
      </c>
      <c r="T47" s="21">
        <v>1120.08</v>
      </c>
      <c r="U47" s="21">
        <v>7073.33</v>
      </c>
      <c r="V47" s="21">
        <v>1297.3900000000001</v>
      </c>
      <c r="W47" s="21">
        <v>7685.8</v>
      </c>
      <c r="X47" s="21">
        <v>168</v>
      </c>
      <c r="Y47" s="21">
        <v>6615.09</v>
      </c>
      <c r="Z47" s="21">
        <v>6879.61</v>
      </c>
      <c r="AA47" s="21" t="e">
        <f t="shared" ca="1" si="12"/>
        <v>#NAME?</v>
      </c>
      <c r="AB47" s="17" t="e">
        <f t="shared" ca="1" si="13"/>
        <v>#NAME?</v>
      </c>
      <c r="AD47" s="21">
        <v>59540.528186107898</v>
      </c>
      <c r="AE47" s="17" t="str">
        <f t="shared" ca="1" si="14"/>
        <v/>
      </c>
      <c r="AF47" s="50" t="e">
        <f t="shared" ca="1" si="15"/>
        <v>#NAME?</v>
      </c>
      <c r="AG47" s="21">
        <v>44290.22</v>
      </c>
      <c r="AH47" s="17" t="str">
        <f t="shared" ca="1" si="17"/>
        <v/>
      </c>
      <c r="AI47" s="50" t="e">
        <f t="shared" ca="1" si="18"/>
        <v>#NAME?</v>
      </c>
      <c r="AJ47" s="399">
        <f t="shared" ca="1" si="19"/>
        <v>0</v>
      </c>
      <c r="AK47" s="400">
        <f t="shared" ca="1" si="20"/>
        <v>0</v>
      </c>
      <c r="AL47" s="401">
        <f t="shared" ca="1" si="21"/>
        <v>0</v>
      </c>
      <c r="AM47" s="402">
        <f t="shared" ca="1" si="22"/>
        <v>0</v>
      </c>
      <c r="AN47" s="403">
        <f t="shared" ca="1" si="23"/>
        <v>0</v>
      </c>
    </row>
    <row r="48" spans="1:40" x14ac:dyDescent="0.25">
      <c r="A48" s="6" t="s">
        <v>29</v>
      </c>
      <c r="B48" s="7"/>
      <c r="H48" s="15" t="s">
        <v>924</v>
      </c>
      <c r="I48" s="161" t="e">
        <f ca="1">_xll.EVPRO($B$1,$H48,"STYLE")</f>
        <v>#NAME?</v>
      </c>
      <c r="J48" s="161" t="e">
        <f ca="1">_xll.EVPRO($B$1,$H48,"CALC")</f>
        <v>#NAME?</v>
      </c>
      <c r="K48" s="68" t="e">
        <f t="shared" ca="1" si="16"/>
        <v>#NAME?</v>
      </c>
      <c r="L48" s="162" t="e">
        <f ca="1">_xll.EVPRO($B$1,H48,"JDEID")</f>
        <v>#NAME?</v>
      </c>
      <c r="M48" s="162" t="e">
        <f ca="1">IF(AND(I48="N",J48="N"),_xll.EVPRO($B$1,H48,"PSFTID"),"")</f>
        <v>#NAME?</v>
      </c>
      <c r="N48" s="162" t="e">
        <f ca="1">IF(_xll.EVDES(H48,$B$1)="#NODATA","",_xll.EVDES(H48,$B$1))</f>
        <v>#NAME?</v>
      </c>
      <c r="O48" s="30">
        <v>2326.66</v>
      </c>
      <c r="P48" s="30">
        <v>12456.77</v>
      </c>
      <c r="Q48" s="30">
        <v>12516.1</v>
      </c>
      <c r="R48" s="30">
        <v>8765.3799999999992</v>
      </c>
      <c r="S48" s="30">
        <v>17036.060000000001</v>
      </c>
      <c r="T48" s="30">
        <v>8437.6200000000008</v>
      </c>
      <c r="U48" s="30">
        <v>8167.21</v>
      </c>
      <c r="V48" s="30">
        <v>7709.41</v>
      </c>
      <c r="W48" s="30">
        <v>2748.25</v>
      </c>
      <c r="X48" s="30">
        <v>14237.81</v>
      </c>
      <c r="Y48" s="30">
        <v>7509.18</v>
      </c>
      <c r="Z48" s="30">
        <v>6981.51</v>
      </c>
      <c r="AA48" s="30" t="e">
        <f t="shared" ca="1" si="12"/>
        <v>#NAME?</v>
      </c>
      <c r="AB48" s="31" t="e">
        <f t="shared" ca="1" si="13"/>
        <v>#NAME?</v>
      </c>
      <c r="AD48" s="30">
        <v>96504.642970000205</v>
      </c>
      <c r="AE48" s="31" t="str">
        <f t="shared" ca="1" si="14"/>
        <v/>
      </c>
      <c r="AF48" s="51" t="e">
        <f t="shared" ca="1" si="15"/>
        <v>#NAME?</v>
      </c>
      <c r="AG48" s="30">
        <v>83221.37</v>
      </c>
      <c r="AH48" s="31" t="str">
        <f t="shared" ca="1" si="17"/>
        <v/>
      </c>
      <c r="AI48" s="51" t="e">
        <f t="shared" ca="1" si="18"/>
        <v>#NAME?</v>
      </c>
      <c r="AJ48" s="409">
        <f t="shared" ca="1" si="19"/>
        <v>0</v>
      </c>
      <c r="AK48" s="410">
        <f t="shared" ca="1" si="20"/>
        <v>0</v>
      </c>
      <c r="AL48" s="411">
        <f t="shared" ca="1" si="21"/>
        <v>0</v>
      </c>
      <c r="AM48" s="412">
        <f t="shared" ca="1" si="22"/>
        <v>0</v>
      </c>
      <c r="AN48" s="413">
        <f t="shared" ca="1" si="23"/>
        <v>0</v>
      </c>
    </row>
    <row r="49" spans="1:40" x14ac:dyDescent="0.25">
      <c r="A49" s="6" t="s">
        <v>30</v>
      </c>
      <c r="B49" s="7" t="s">
        <v>78</v>
      </c>
      <c r="H49" s="15" t="s">
        <v>852</v>
      </c>
      <c r="I49" s="479" t="e">
        <f ca="1">_xll.EVPRO($B$1,$H49,"STYLE")</f>
        <v>#NAME?</v>
      </c>
      <c r="J49" s="479" t="e">
        <f ca="1">_xll.EVPRO($B$1,$H49,"CALC")</f>
        <v>#NAME?</v>
      </c>
      <c r="K49" s="480" t="e">
        <f t="shared" ca="1" si="16"/>
        <v>#NAME?</v>
      </c>
      <c r="L49" s="170" t="e">
        <f ca="1">_xll.EVPRO($B$1,H49,"JDEID")</f>
        <v>#NAME?</v>
      </c>
      <c r="M49" s="170" t="e">
        <f ca="1">IF(AND(I49="N",J49="N"),_xll.EVPRO($B$1,H49,"PSFTID"),"")</f>
        <v>#NAME?</v>
      </c>
      <c r="N49" s="170" t="e">
        <f ca="1">IF(_xll.EVDES(H49,$B$1)="#NODATA","",_xll.EVDES(H49,$B$1))</f>
        <v>#NAME?</v>
      </c>
      <c r="O49" s="33">
        <v>19833.150000000001</v>
      </c>
      <c r="P49" s="33">
        <v>15705.25</v>
      </c>
      <c r="Q49" s="33">
        <v>16655.939999999999</v>
      </c>
      <c r="R49" s="33">
        <v>12540.97</v>
      </c>
      <c r="S49" s="33">
        <v>28324.959999999999</v>
      </c>
      <c r="T49" s="33">
        <v>12506.08</v>
      </c>
      <c r="U49" s="33">
        <v>18777.18</v>
      </c>
      <c r="V49" s="33">
        <v>11155.94</v>
      </c>
      <c r="W49" s="33">
        <v>12020.95</v>
      </c>
      <c r="X49" s="33">
        <v>19213.560000000001</v>
      </c>
      <c r="Y49" s="33">
        <v>17510.84</v>
      </c>
      <c r="Z49" s="33">
        <v>11598.18</v>
      </c>
      <c r="AA49" s="33" t="e">
        <f t="shared" ca="1" si="12"/>
        <v>#NAME?</v>
      </c>
      <c r="AB49" s="34" t="e">
        <f t="shared" ca="1" si="13"/>
        <v>#NAME?</v>
      </c>
      <c r="AC49" s="35"/>
      <c r="AD49" s="33">
        <v>203675.77237992399</v>
      </c>
      <c r="AE49" s="34" t="str">
        <f t="shared" ca="1" si="14"/>
        <v/>
      </c>
      <c r="AF49" s="52" t="e">
        <f t="shared" ca="1" si="15"/>
        <v>#NAME?</v>
      </c>
      <c r="AG49" s="33">
        <v>150149.65</v>
      </c>
      <c r="AH49" s="34" t="str">
        <f t="shared" ca="1" si="17"/>
        <v/>
      </c>
      <c r="AI49" s="52" t="e">
        <f t="shared" ca="1" si="18"/>
        <v>#NAME?</v>
      </c>
      <c r="AJ49" s="364">
        <f t="shared" ca="1" si="19"/>
        <v>0</v>
      </c>
      <c r="AK49" s="365">
        <f t="shared" ca="1" si="20"/>
        <v>0</v>
      </c>
      <c r="AL49" s="367">
        <f t="shared" ca="1" si="21"/>
        <v>0</v>
      </c>
      <c r="AM49" s="414">
        <f t="shared" ca="1" si="22"/>
        <v>0</v>
      </c>
      <c r="AN49" s="435">
        <f t="shared" ca="1" si="23"/>
        <v>0</v>
      </c>
    </row>
    <row r="50" spans="1:40" x14ac:dyDescent="0.25">
      <c r="A50" s="6" t="s">
        <v>31</v>
      </c>
      <c r="B50" s="7" t="s">
        <v>78</v>
      </c>
      <c r="I50" s="1"/>
      <c r="J50" s="1"/>
      <c r="L50" s="1"/>
      <c r="M50" s="1"/>
      <c r="N50" s="162"/>
      <c r="O50" s="41"/>
      <c r="P50" s="45"/>
      <c r="Q50" s="45"/>
      <c r="R50" s="45"/>
      <c r="S50" s="45"/>
      <c r="T50" s="45"/>
      <c r="U50" s="45"/>
      <c r="V50" s="45"/>
      <c r="W50" s="45"/>
      <c r="X50" s="45"/>
      <c r="Y50" s="45"/>
      <c r="Z50" s="45"/>
      <c r="AA50" s="45"/>
      <c r="AB50" s="42"/>
      <c r="AD50" s="41"/>
      <c r="AE50" s="45"/>
      <c r="AF50" s="42"/>
      <c r="AG50" s="41"/>
      <c r="AH50" s="45"/>
      <c r="AI50" s="42"/>
    </row>
    <row r="51" spans="1:40" x14ac:dyDescent="0.25">
      <c r="A51" s="6" t="s">
        <v>32</v>
      </c>
      <c r="B51" s="7"/>
      <c r="N51" s="8" t="s">
        <v>562</v>
      </c>
      <c r="O51" s="43"/>
      <c r="P51" s="46"/>
      <c r="Q51" s="46"/>
      <c r="R51" s="46"/>
      <c r="S51" s="46"/>
      <c r="T51" s="46"/>
      <c r="U51" s="46"/>
      <c r="V51" s="46"/>
      <c r="W51" s="46"/>
      <c r="X51" s="46"/>
      <c r="Y51" s="46"/>
      <c r="Z51" s="46"/>
      <c r="AA51" s="46"/>
      <c r="AB51" s="44"/>
      <c r="AD51" s="43"/>
      <c r="AE51" s="46"/>
      <c r="AF51" s="44"/>
      <c r="AG51" s="43"/>
      <c r="AH51" s="46"/>
      <c r="AI51" s="44"/>
    </row>
    <row r="52" spans="1:40" x14ac:dyDescent="0.25">
      <c r="A52" s="6" t="s">
        <v>33</v>
      </c>
      <c r="B52" s="7"/>
      <c r="H52" s="15" t="s">
        <v>910</v>
      </c>
      <c r="I52" s="161" t="e">
        <f ca="1">_xll.EVPRO($B$1,$H52,"STYLE")</f>
        <v>#NAME?</v>
      </c>
      <c r="J52" s="161" t="e">
        <f ca="1">_xll.EVPRO($B$1,$H52,"CALC")</f>
        <v>#NAME?</v>
      </c>
      <c r="K52" s="68" t="e">
        <f ca="1">IF(AND(I52&gt;="T4"),"&gt;","")</f>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c r="Y52" s="21"/>
      <c r="Z52" s="21">
        <v>20.46</v>
      </c>
      <c r="AA52" s="21" t="e">
        <f t="shared" ref="AA52:AA61" ca="1" si="24">IF($I52="B1","",SUM(O52:Z52))</f>
        <v>#NAME?</v>
      </c>
      <c r="AB52" s="17" t="e">
        <f t="shared" ref="AB52:AB61" ca="1" si="25">IF(AA52=0,"",IFERROR(AA52/AA$19,""))</f>
        <v>#NAME?</v>
      </c>
      <c r="AD52" s="21"/>
      <c r="AE52" s="17" t="str">
        <f t="shared" ref="AE52:AE61" si="26">IF(AD52=0,"",IFERROR(AD52/AD$19,""))</f>
        <v/>
      </c>
      <c r="AF52" s="50" t="e">
        <f t="shared" ref="AF52:AF61" ca="1" si="27">IF(AND($AA52="",AD52=""),"",$AA52-AD52)</f>
        <v>#NAME?</v>
      </c>
      <c r="AG52" s="21"/>
      <c r="AH52" s="17" t="str">
        <f>IF(AG52=0,"",IFERROR(AG52/AG$19,""))</f>
        <v/>
      </c>
      <c r="AI52" s="50" t="e">
        <f ca="1">IF(AND($AA52="",AG52=""),"",$AA52-AG52)</f>
        <v>#NAME?</v>
      </c>
      <c r="AJ52" s="399">
        <f ca="1">IFERROR(AA52/AA$20,0)</f>
        <v>0</v>
      </c>
      <c r="AK52" s="400">
        <f ca="1">IFERROR(AD52/AD$20,0)</f>
        <v>0</v>
      </c>
      <c r="AL52" s="401">
        <f ca="1">IFERROR(AG52/AG$20,0)</f>
        <v>0</v>
      </c>
      <c r="AM52" s="402">
        <f ca="1">+IFERROR(ROUND(($AB52-AE52)*100,2)&amp;" pts.",0)</f>
        <v>0</v>
      </c>
      <c r="AN52" s="403">
        <f ca="1">+IFERROR(ROUND(($AB52-AH52)*100,2)&amp;" pts.",0)</f>
        <v>0</v>
      </c>
    </row>
    <row r="53" spans="1:40" x14ac:dyDescent="0.25">
      <c r="A53" s="6" t="s">
        <v>34</v>
      </c>
      <c r="B53" s="7"/>
      <c r="H53" s="15" t="s">
        <v>911</v>
      </c>
      <c r="I53" s="161" t="e">
        <f ca="1">_xll.EVPRO($B$1,$H53,"STYLE")</f>
        <v>#NAME?</v>
      </c>
      <c r="J53" s="161" t="e">
        <f ca="1">_xll.EVPRO($B$1,$H53,"CALC")</f>
        <v>#NAME?</v>
      </c>
      <c r="K53" s="68" t="e">
        <f t="shared" ref="K53:K61" ca="1" si="28">IF(AND(I53&gt;="T4"),"&gt;","")</f>
        <v>#NAME?</v>
      </c>
      <c r="L53" s="162" t="e">
        <f ca="1">_xll.EVPRO($B$1,H53,"JDEID")</f>
        <v>#NAME?</v>
      </c>
      <c r="M53" s="162" t="e">
        <f ca="1">IF(AND(I53="N",J53="N"),_xll.EVPRO($B$1,H53,"PSFTID"),"")</f>
        <v>#NAME?</v>
      </c>
      <c r="N53" s="162" t="e">
        <f ca="1">IF(_xll.EVDES(H53,$B$1)="#NODATA","",_xll.EVDES(H53,$B$1))</f>
        <v>#NAME?</v>
      </c>
      <c r="O53" s="21">
        <v>3721.99</v>
      </c>
      <c r="P53" s="21">
        <v>3981.47</v>
      </c>
      <c r="Q53" s="21">
        <v>5334.01</v>
      </c>
      <c r="R53" s="21">
        <v>5201.9799999999996</v>
      </c>
      <c r="S53" s="21">
        <v>5882.94</v>
      </c>
      <c r="T53" s="21">
        <v>6764.05</v>
      </c>
      <c r="U53" s="21">
        <v>6421.68</v>
      </c>
      <c r="V53" s="21">
        <v>6906.73</v>
      </c>
      <c r="W53" s="21">
        <v>6842.84</v>
      </c>
      <c r="X53" s="21">
        <v>6452.97</v>
      </c>
      <c r="Y53" s="21">
        <v>6175.06</v>
      </c>
      <c r="Z53" s="21">
        <v>6604.87</v>
      </c>
      <c r="AA53" s="21" t="e">
        <f t="shared" ca="1" si="24"/>
        <v>#NAME?</v>
      </c>
      <c r="AB53" s="17" t="e">
        <f t="shared" ca="1" si="25"/>
        <v>#NAME?</v>
      </c>
      <c r="AD53" s="21">
        <v>25443.3950750166</v>
      </c>
      <c r="AE53" s="17" t="str">
        <f t="shared" ca="1" si="26"/>
        <v/>
      </c>
      <c r="AF53" s="50" t="e">
        <f t="shared" ca="1" si="27"/>
        <v>#NAME?</v>
      </c>
      <c r="AG53" s="21">
        <v>25125.19</v>
      </c>
      <c r="AH53" s="17" t="str">
        <f t="shared" ref="AH53:AH61" ca="1" si="29">IF(AG53=0,"",IFERROR(AG53/AG$19,""))</f>
        <v/>
      </c>
      <c r="AI53" s="50" t="e">
        <f t="shared" ref="AI53:AI61" ca="1" si="30">IF(AND($AA53="",AG53=""),"",$AA53-AG53)</f>
        <v>#NAME?</v>
      </c>
      <c r="AJ53" s="399">
        <f t="shared" ref="AJ53:AJ61" ca="1" si="31">IFERROR(AA53/AA$20,0)</f>
        <v>0</v>
      </c>
      <c r="AK53" s="400">
        <f t="shared" ref="AK53:AK61" ca="1" si="32">IFERROR(AD53/AD$20,0)</f>
        <v>0</v>
      </c>
      <c r="AL53" s="401">
        <f t="shared" ref="AL53:AL61" ca="1" si="33">IFERROR(AG53/AG$20,0)</f>
        <v>0</v>
      </c>
      <c r="AM53" s="402">
        <f t="shared" ref="AM53:AM61" ca="1" si="34">+IFERROR(ROUND(($AB53-AE53)*100,2)&amp;" pts.",0)</f>
        <v>0</v>
      </c>
      <c r="AN53" s="403">
        <f t="shared" ref="AN53:AN61" ca="1" si="35">+IFERROR(ROUND(($AB53-AH53)*100,2)&amp;" pts.",0)</f>
        <v>0</v>
      </c>
    </row>
    <row r="54" spans="1:40" x14ac:dyDescent="0.25">
      <c r="A54" s="6" t="s">
        <v>35</v>
      </c>
      <c r="B54" s="7"/>
      <c r="H54" s="15" t="s">
        <v>912</v>
      </c>
      <c r="I54" s="161" t="e">
        <f ca="1">_xll.EVPRO($B$1,$H54,"STYLE")</f>
        <v>#NAME?</v>
      </c>
      <c r="J54" s="161" t="e">
        <f ca="1">_xll.EVPRO($B$1,$H54,"CALC")</f>
        <v>#NAME?</v>
      </c>
      <c r="K54" s="68" t="e">
        <f t="shared" ca="1" si="28"/>
        <v>#NAME?</v>
      </c>
      <c r="L54" s="162" t="e">
        <f ca="1">_xll.EVPRO($B$1,H54,"JDEID")</f>
        <v>#NAME?</v>
      </c>
      <c r="M54" s="162" t="e">
        <f ca="1">IF(AND(I54="N",J54="N"),_xll.EVPRO($B$1,H54,"PSFTID"),"")</f>
        <v>#NAME?</v>
      </c>
      <c r="N54" s="162" t="e">
        <f ca="1">IF(_xll.EVDES(H54,$B$1)="#NODATA","",_xll.EVDES(H54,$B$1))</f>
        <v>#NAME?</v>
      </c>
      <c r="O54" s="21">
        <v>592.77</v>
      </c>
      <c r="P54" s="21">
        <v>605.83000000000004</v>
      </c>
      <c r="Q54" s="21">
        <v>593.41</v>
      </c>
      <c r="R54" s="21">
        <v>602.62</v>
      </c>
      <c r="S54" s="21">
        <v>538.64</v>
      </c>
      <c r="T54" s="21">
        <v>534.14</v>
      </c>
      <c r="U54" s="21">
        <v>597.71</v>
      </c>
      <c r="V54" s="21">
        <v>615.76</v>
      </c>
      <c r="W54" s="21">
        <v>653.54</v>
      </c>
      <c r="X54" s="21">
        <v>718.2</v>
      </c>
      <c r="Y54" s="21">
        <v>718.91</v>
      </c>
      <c r="Z54" s="21">
        <v>647.05999999999995</v>
      </c>
      <c r="AA54" s="21" t="e">
        <f t="shared" ca="1" si="24"/>
        <v>#NAME?</v>
      </c>
      <c r="AB54" s="17" t="e">
        <f t="shared" ca="1" si="25"/>
        <v>#NAME?</v>
      </c>
      <c r="AD54" s="21">
        <v>11463.24</v>
      </c>
      <c r="AE54" s="17" t="str">
        <f t="shared" ca="1" si="26"/>
        <v/>
      </c>
      <c r="AF54" s="50" t="e">
        <f t="shared" ca="1" si="27"/>
        <v>#NAME?</v>
      </c>
      <c r="AG54" s="21">
        <v>5203.3999999999996</v>
      </c>
      <c r="AH54" s="17" t="str">
        <f t="shared" ca="1" si="29"/>
        <v/>
      </c>
      <c r="AI54" s="50" t="e">
        <f t="shared" ca="1" si="30"/>
        <v>#NAME?</v>
      </c>
      <c r="AJ54" s="399">
        <f t="shared" ca="1" si="31"/>
        <v>0</v>
      </c>
      <c r="AK54" s="400">
        <f t="shared" ca="1" si="32"/>
        <v>0</v>
      </c>
      <c r="AL54" s="401">
        <f t="shared" ca="1" si="33"/>
        <v>0</v>
      </c>
      <c r="AM54" s="402">
        <f t="shared" ca="1" si="34"/>
        <v>0</v>
      </c>
      <c r="AN54" s="403">
        <f t="shared" ca="1" si="35"/>
        <v>0</v>
      </c>
    </row>
    <row r="55" spans="1:40" x14ac:dyDescent="0.25">
      <c r="A55" s="6" t="s">
        <v>36</v>
      </c>
      <c r="B55" s="7"/>
      <c r="H55" s="15" t="s">
        <v>913</v>
      </c>
      <c r="I55" s="161" t="e">
        <f ca="1">_xll.EVPRO($B$1,$H55,"STYLE")</f>
        <v>#NAME?</v>
      </c>
      <c r="J55" s="161" t="e">
        <f ca="1">_xll.EVPRO($B$1,$H55,"CALC")</f>
        <v>#NAME?</v>
      </c>
      <c r="K55" s="68" t="e">
        <f t="shared" ca="1" si="28"/>
        <v>#NAME?</v>
      </c>
      <c r="L55" s="162" t="e">
        <f ca="1">_xll.EVPRO($B$1,H55,"JDEID")</f>
        <v>#NAME?</v>
      </c>
      <c r="M55" s="162" t="e">
        <f ca="1">IF(AND(I55="N",J55="N"),_xll.EVPRO($B$1,H55,"PSFTID"),"")</f>
        <v>#NAME?</v>
      </c>
      <c r="N55" s="162" t="e">
        <f ca="1">IF(_xll.EVDES(H55,$B$1)="#NODATA","",_xll.EVDES(H55,$B$1))</f>
        <v>#NAME?</v>
      </c>
      <c r="O55" s="21">
        <v>161.25</v>
      </c>
      <c r="P55" s="21">
        <v>398.77</v>
      </c>
      <c r="Q55" s="21">
        <v>902.65</v>
      </c>
      <c r="R55" s="21">
        <v>724.18</v>
      </c>
      <c r="S55" s="21">
        <v>731.89</v>
      </c>
      <c r="T55" s="21">
        <v>706.61</v>
      </c>
      <c r="U55" s="21">
        <v>706.03</v>
      </c>
      <c r="V55" s="21">
        <v>694.05</v>
      </c>
      <c r="W55" s="21">
        <v>660.81</v>
      </c>
      <c r="X55" s="21">
        <v>642.54999999999995</v>
      </c>
      <c r="Y55" s="21">
        <v>652.04999999999995</v>
      </c>
      <c r="Z55" s="21">
        <v>594.32000000000005</v>
      </c>
      <c r="AA55" s="21" t="e">
        <f t="shared" ca="1" si="24"/>
        <v>#NAME?</v>
      </c>
      <c r="AB55" s="17" t="e">
        <f t="shared" ca="1" si="25"/>
        <v>#NAME?</v>
      </c>
      <c r="AD55" s="21">
        <v>-752.4</v>
      </c>
      <c r="AE55" s="17" t="str">
        <f t="shared" ca="1" si="26"/>
        <v/>
      </c>
      <c r="AF55" s="50" t="e">
        <f t="shared" ca="1" si="27"/>
        <v>#NAME?</v>
      </c>
      <c r="AG55" s="21">
        <v>48.64</v>
      </c>
      <c r="AH55" s="17" t="str">
        <f t="shared" ca="1" si="29"/>
        <v/>
      </c>
      <c r="AI55" s="50" t="e">
        <f t="shared" ca="1" si="30"/>
        <v>#NAME?</v>
      </c>
      <c r="AJ55" s="399">
        <f t="shared" ca="1" si="31"/>
        <v>0</v>
      </c>
      <c r="AK55" s="400">
        <f t="shared" ca="1" si="32"/>
        <v>0</v>
      </c>
      <c r="AL55" s="401">
        <f t="shared" ca="1" si="33"/>
        <v>0</v>
      </c>
      <c r="AM55" s="402">
        <f t="shared" ca="1" si="34"/>
        <v>0</v>
      </c>
      <c r="AN55" s="403">
        <f t="shared" ca="1" si="35"/>
        <v>0</v>
      </c>
    </row>
    <row r="56" spans="1:40" x14ac:dyDescent="0.25">
      <c r="A56" s="6" t="s">
        <v>37</v>
      </c>
      <c r="B56" s="7"/>
      <c r="H56" s="15" t="s">
        <v>914</v>
      </c>
      <c r="I56" s="161" t="e">
        <f ca="1">_xll.EVPRO($B$1,$H56,"STYLE")</f>
        <v>#NAME?</v>
      </c>
      <c r="J56" s="161" t="e">
        <f ca="1">_xll.EVPRO($B$1,$H56,"CALC")</f>
        <v>#NAME?</v>
      </c>
      <c r="K56" s="68" t="e">
        <f t="shared" ca="1" si="28"/>
        <v>#NAME?</v>
      </c>
      <c r="L56" s="162" t="e">
        <f ca="1">_xll.EVPRO($B$1,H56,"JDEID")</f>
        <v>#NAME?</v>
      </c>
      <c r="M56" s="162" t="e">
        <f ca="1">IF(AND(I56="N",J56="N"),_xll.EVPRO($B$1,H56,"PSFTID"),"")</f>
        <v>#NAME?</v>
      </c>
      <c r="N56" s="162" t="e">
        <f ca="1">IF(_xll.EVDES(H56,$B$1)="#NODATA","",_xll.EVDES(H56,$B$1))</f>
        <v>#NAME?</v>
      </c>
      <c r="O56" s="21">
        <v>337.75</v>
      </c>
      <c r="P56" s="21">
        <v>337.75</v>
      </c>
      <c r="Q56" s="21">
        <v>343.72</v>
      </c>
      <c r="R56" s="21">
        <v>334.66</v>
      </c>
      <c r="S56" s="21">
        <v>299.42</v>
      </c>
      <c r="T56" s="21">
        <v>287.72000000000003</v>
      </c>
      <c r="U56" s="21">
        <v>284.95999999999998</v>
      </c>
      <c r="V56" s="21">
        <v>284.95999999999998</v>
      </c>
      <c r="W56" s="21">
        <v>284.82</v>
      </c>
      <c r="X56" s="21">
        <v>293.76</v>
      </c>
      <c r="Y56" s="21">
        <v>293.76</v>
      </c>
      <c r="Z56" s="21">
        <v>291.33999999999997</v>
      </c>
      <c r="AA56" s="21" t="e">
        <f t="shared" ca="1" si="24"/>
        <v>#NAME?</v>
      </c>
      <c r="AB56" s="17" t="e">
        <f t="shared" ca="1" si="25"/>
        <v>#NAME?</v>
      </c>
      <c r="AD56" s="21">
        <v>1337.76</v>
      </c>
      <c r="AE56" s="17" t="str">
        <f t="shared" ca="1" si="26"/>
        <v/>
      </c>
      <c r="AF56" s="50" t="e">
        <f t="shared" ca="1" si="27"/>
        <v>#NAME?</v>
      </c>
      <c r="AG56" s="21">
        <v>707.99</v>
      </c>
      <c r="AH56" s="17" t="str">
        <f t="shared" ca="1" si="29"/>
        <v/>
      </c>
      <c r="AI56" s="50" t="e">
        <f t="shared" ca="1" si="30"/>
        <v>#NAME?</v>
      </c>
      <c r="AJ56" s="399">
        <f t="shared" ca="1" si="31"/>
        <v>0</v>
      </c>
      <c r="AK56" s="400">
        <f t="shared" ca="1" si="32"/>
        <v>0</v>
      </c>
      <c r="AL56" s="401">
        <f t="shared" ca="1" si="33"/>
        <v>0</v>
      </c>
      <c r="AM56" s="402">
        <f t="shared" ca="1" si="34"/>
        <v>0</v>
      </c>
      <c r="AN56" s="403">
        <f t="shared" ca="1" si="35"/>
        <v>0</v>
      </c>
    </row>
    <row r="57" spans="1:40" x14ac:dyDescent="0.25">
      <c r="A57" s="6" t="s">
        <v>38</v>
      </c>
      <c r="B57" s="7"/>
      <c r="H57" s="15" t="s">
        <v>915</v>
      </c>
      <c r="I57" s="161" t="e">
        <f ca="1">_xll.EVPRO($B$1,$H57,"STYLE")</f>
        <v>#NAME?</v>
      </c>
      <c r="J57" s="161" t="e">
        <f ca="1">_xll.EVPRO($B$1,$H57,"CALC")</f>
        <v>#NAME?</v>
      </c>
      <c r="K57" s="68" t="e">
        <f t="shared" ca="1" si="28"/>
        <v>#NAME?</v>
      </c>
      <c r="L57" s="162" t="e">
        <f ca="1">_xll.EVPRO($B$1,H57,"JDEID")</f>
        <v>#NAME?</v>
      </c>
      <c r="M57" s="162" t="e">
        <f ca="1">IF(AND(I57="N",J57="N"),_xll.EVPRO($B$1,H57,"PSFTID"),"")</f>
        <v>#NAME?</v>
      </c>
      <c r="N57" s="162" t="e">
        <f ca="1">IF(_xll.EVDES(H57,$B$1)="#NODATA","",_xll.EVDES(H57,$B$1))</f>
        <v>#NAME?</v>
      </c>
      <c r="O57" s="21">
        <v>23472.6</v>
      </c>
      <c r="P57" s="21">
        <v>22187.65</v>
      </c>
      <c r="Q57" s="21">
        <v>19097.330000000002</v>
      </c>
      <c r="R57" s="21">
        <v>20652.689999999999</v>
      </c>
      <c r="S57" s="21">
        <v>20991.11</v>
      </c>
      <c r="T57" s="21">
        <v>17811.66</v>
      </c>
      <c r="U57" s="21">
        <v>18898.38</v>
      </c>
      <c r="V57" s="21">
        <v>19574.73</v>
      </c>
      <c r="W57" s="21">
        <v>13087.62</v>
      </c>
      <c r="X57" s="21">
        <v>15436.87</v>
      </c>
      <c r="Y57" s="21">
        <v>14385.31</v>
      </c>
      <c r="Z57" s="21">
        <v>14095.88</v>
      </c>
      <c r="AA57" s="21" t="e">
        <f t="shared" ca="1" si="24"/>
        <v>#NAME?</v>
      </c>
      <c r="AB57" s="17" t="e">
        <f t="shared" ca="1" si="25"/>
        <v>#NAME?</v>
      </c>
      <c r="AD57" s="21">
        <v>187252.2</v>
      </c>
      <c r="AE57" s="17" t="str">
        <f t="shared" ca="1" si="26"/>
        <v/>
      </c>
      <c r="AF57" s="50" t="e">
        <f t="shared" ca="1" si="27"/>
        <v>#NAME?</v>
      </c>
      <c r="AG57" s="21">
        <v>164220.87</v>
      </c>
      <c r="AH57" s="17" t="str">
        <f t="shared" ca="1" si="29"/>
        <v/>
      </c>
      <c r="AI57" s="50" t="e">
        <f t="shared" ca="1" si="30"/>
        <v>#NAME?</v>
      </c>
      <c r="AJ57" s="399">
        <f t="shared" ca="1" si="31"/>
        <v>0</v>
      </c>
      <c r="AK57" s="400">
        <f t="shared" ca="1" si="32"/>
        <v>0</v>
      </c>
      <c r="AL57" s="401">
        <f t="shared" ca="1" si="33"/>
        <v>0</v>
      </c>
      <c r="AM57" s="402">
        <f t="shared" ca="1" si="34"/>
        <v>0</v>
      </c>
      <c r="AN57" s="403">
        <f t="shared" ca="1" si="35"/>
        <v>0</v>
      </c>
    </row>
    <row r="58" spans="1:40" x14ac:dyDescent="0.25">
      <c r="A58" s="6" t="s">
        <v>39</v>
      </c>
      <c r="B58" s="7"/>
      <c r="H58" s="15" t="s">
        <v>916</v>
      </c>
      <c r="I58" s="161" t="e">
        <f ca="1">_xll.EVPRO($B$1,$H58,"STYLE")</f>
        <v>#NAME?</v>
      </c>
      <c r="J58" s="161" t="e">
        <f ca="1">_xll.EVPRO($B$1,$H58,"CALC")</f>
        <v>#NAME?</v>
      </c>
      <c r="K58" s="68" t="e">
        <f t="shared" ca="1" si="28"/>
        <v>#NAME?</v>
      </c>
      <c r="L58" s="162" t="e">
        <f ca="1">_xll.EVPRO($B$1,H58,"JDEID")</f>
        <v>#NAME?</v>
      </c>
      <c r="M58" s="162" t="e">
        <f ca="1">IF(AND(I58="N",J58="N"),_xll.EVPRO($B$1,H58,"PSFTID"),"")</f>
        <v>#NAME?</v>
      </c>
      <c r="N58" s="162" t="e">
        <f ca="1">IF(_xll.EVDES(H58,$B$1)="#NODATA","",_xll.EVDES(H58,$B$1))</f>
        <v>#NAME?</v>
      </c>
      <c r="O58" s="21">
        <v>4340</v>
      </c>
      <c r="P58" s="21">
        <v>3920</v>
      </c>
      <c r="Q58" s="21">
        <v>4340</v>
      </c>
      <c r="R58" s="21">
        <v>4200</v>
      </c>
      <c r="S58" s="21">
        <v>4340</v>
      </c>
      <c r="T58" s="21">
        <v>4200</v>
      </c>
      <c r="U58" s="21">
        <v>4340</v>
      </c>
      <c r="V58" s="21">
        <v>5121.2</v>
      </c>
      <c r="W58" s="21">
        <v>4956</v>
      </c>
      <c r="X58" s="21">
        <v>4755.3999999999996</v>
      </c>
      <c r="Y58" s="21">
        <v>4956</v>
      </c>
      <c r="Z58" s="21"/>
      <c r="AA58" s="21" t="e">
        <f t="shared" ca="1" si="24"/>
        <v>#NAME?</v>
      </c>
      <c r="AB58" s="17" t="e">
        <f t="shared" ca="1" si="25"/>
        <v>#NAME?</v>
      </c>
      <c r="AD58" s="21">
        <v>45560.718818576803</v>
      </c>
      <c r="AE58" s="17" t="str">
        <f t="shared" ca="1" si="26"/>
        <v/>
      </c>
      <c r="AF58" s="50" t="e">
        <f t="shared" ca="1" si="27"/>
        <v>#NAME?</v>
      </c>
      <c r="AG58" s="21">
        <v>46885</v>
      </c>
      <c r="AH58" s="17" t="str">
        <f t="shared" ca="1" si="29"/>
        <v/>
      </c>
      <c r="AI58" s="50" t="e">
        <f t="shared" ca="1" si="30"/>
        <v>#NAME?</v>
      </c>
      <c r="AJ58" s="399">
        <f t="shared" ca="1" si="31"/>
        <v>0</v>
      </c>
      <c r="AK58" s="400">
        <f t="shared" ca="1" si="32"/>
        <v>0</v>
      </c>
      <c r="AL58" s="401">
        <f t="shared" ca="1" si="33"/>
        <v>0</v>
      </c>
      <c r="AM58" s="402">
        <f t="shared" ca="1" si="34"/>
        <v>0</v>
      </c>
      <c r="AN58" s="403">
        <f t="shared" ca="1" si="35"/>
        <v>0</v>
      </c>
    </row>
    <row r="59" spans="1:40" x14ac:dyDescent="0.25">
      <c r="A59" s="6" t="s">
        <v>40</v>
      </c>
      <c r="B59" s="7"/>
      <c r="H59" s="15" t="s">
        <v>917</v>
      </c>
      <c r="I59" s="161" t="e">
        <f ca="1">_xll.EVPRO($B$1,$H59,"STYLE")</f>
        <v>#NAME?</v>
      </c>
      <c r="J59" s="161" t="e">
        <f ca="1">_xll.EVPRO($B$1,$H59,"CALC")</f>
        <v>#NAME?</v>
      </c>
      <c r="K59" s="68" t="e">
        <f t="shared" ca="1" si="28"/>
        <v>#NAME?</v>
      </c>
      <c r="L59" s="162" t="e">
        <f ca="1">_xll.EVPRO($B$1,H59,"JDEID")</f>
        <v>#NAME?</v>
      </c>
      <c r="M59" s="162" t="e">
        <f ca="1">IF(AND(I59="N",J59="N"),_xll.EVPRO($B$1,H59,"PSFTID"),"")</f>
        <v>#NAME?</v>
      </c>
      <c r="N59" s="162" t="e">
        <f ca="1">IF(_xll.EVDES(H59,$B$1)="#NODATA","",_xll.EVDES(H59,$B$1))</f>
        <v>#NAME?</v>
      </c>
      <c r="O59" s="21">
        <v>547.25</v>
      </c>
      <c r="P59" s="21">
        <v>569.08000000000004</v>
      </c>
      <c r="Q59" s="21">
        <v>20.420000000000002</v>
      </c>
      <c r="R59" s="21">
        <v>-100.96</v>
      </c>
      <c r="S59" s="21">
        <v>-85.26</v>
      </c>
      <c r="T59" s="21">
        <v>-86.65</v>
      </c>
      <c r="U59" s="21">
        <v>1897.75</v>
      </c>
      <c r="V59" s="21">
        <v>-121.15</v>
      </c>
      <c r="W59" s="21">
        <v>-132.01</v>
      </c>
      <c r="X59" s="21">
        <v>-137.63999999999999</v>
      </c>
      <c r="Y59" s="21">
        <v>-134.33000000000001</v>
      </c>
      <c r="Z59" s="21">
        <v>-157.02000000000001</v>
      </c>
      <c r="AA59" s="21" t="e">
        <f t="shared" ca="1" si="24"/>
        <v>#NAME?</v>
      </c>
      <c r="AB59" s="17" t="e">
        <f t="shared" ca="1" si="25"/>
        <v>#NAME?</v>
      </c>
      <c r="AD59" s="21">
        <v>-46368</v>
      </c>
      <c r="AE59" s="17" t="str">
        <f t="shared" ca="1" si="26"/>
        <v/>
      </c>
      <c r="AF59" s="50" t="e">
        <f t="shared" ca="1" si="27"/>
        <v>#NAME?</v>
      </c>
      <c r="AG59" s="21">
        <v>-59288.58</v>
      </c>
      <c r="AH59" s="17" t="str">
        <f t="shared" ca="1" si="29"/>
        <v/>
      </c>
      <c r="AI59" s="50" t="e">
        <f t="shared" ca="1" si="30"/>
        <v>#NAME?</v>
      </c>
      <c r="AJ59" s="399">
        <f t="shared" ca="1" si="31"/>
        <v>0</v>
      </c>
      <c r="AK59" s="400">
        <f t="shared" ca="1" si="32"/>
        <v>0</v>
      </c>
      <c r="AL59" s="401">
        <f t="shared" ca="1" si="33"/>
        <v>0</v>
      </c>
      <c r="AM59" s="402">
        <f t="shared" ca="1" si="34"/>
        <v>0</v>
      </c>
      <c r="AN59" s="403">
        <f t="shared" ca="1" si="35"/>
        <v>0</v>
      </c>
    </row>
    <row r="60" spans="1:40" x14ac:dyDescent="0.25">
      <c r="A60" s="6" t="s">
        <v>41</v>
      </c>
      <c r="B60" s="7"/>
      <c r="H60" s="15" t="s">
        <v>918</v>
      </c>
      <c r="I60" s="161" t="e">
        <f ca="1">_xll.EVPRO($B$1,$H60,"STYLE")</f>
        <v>#NAME?</v>
      </c>
      <c r="J60" s="161" t="e">
        <f ca="1">_xll.EVPRO($B$1,$H60,"CALC")</f>
        <v>#NAME?</v>
      </c>
      <c r="K60" s="68" t="e">
        <f t="shared" ca="1" si="28"/>
        <v>#NAME?</v>
      </c>
      <c r="L60" s="162" t="e">
        <f ca="1">_xll.EVPRO($B$1,H60,"JDEID")</f>
        <v>#NAME?</v>
      </c>
      <c r="M60" s="162" t="e">
        <f ca="1">IF(AND(I60="N",J60="N"),_xll.EVPRO($B$1,H60,"PSFTID"),"")</f>
        <v>#NAME?</v>
      </c>
      <c r="N60" s="162" t="e">
        <f ca="1">IF(_xll.EVDES(H60,$B$1)="#NODATA","",_xll.EVDES(H60,$B$1))</f>
        <v>#NAME?</v>
      </c>
      <c r="O60" s="30">
        <v>3119.79</v>
      </c>
      <c r="P60" s="30">
        <v>2477.8000000000002</v>
      </c>
      <c r="Q60" s="30">
        <v>2477.8000000000002</v>
      </c>
      <c r="R60" s="30">
        <v>4088.28</v>
      </c>
      <c r="S60" s="30">
        <v>9553.18</v>
      </c>
      <c r="T60" s="30">
        <v>3283.04</v>
      </c>
      <c r="U60" s="30">
        <v>3283.04</v>
      </c>
      <c r="V60" s="30">
        <v>5269.91</v>
      </c>
      <c r="W60" s="30">
        <v>3945.33</v>
      </c>
      <c r="X60" s="30">
        <v>5174.0200000000004</v>
      </c>
      <c r="Y60" s="30">
        <v>3396.46</v>
      </c>
      <c r="Z60" s="30">
        <v>3945.33</v>
      </c>
      <c r="AA60" s="30" t="e">
        <f t="shared" ca="1" si="24"/>
        <v>#NAME?</v>
      </c>
      <c r="AB60" s="31" t="e">
        <f t="shared" ca="1" si="25"/>
        <v>#NAME?</v>
      </c>
      <c r="AD60" s="30">
        <v>34768.788532892897</v>
      </c>
      <c r="AE60" s="31" t="str">
        <f t="shared" ca="1" si="26"/>
        <v/>
      </c>
      <c r="AF60" s="51" t="e">
        <f t="shared" ca="1" si="27"/>
        <v>#NAME?</v>
      </c>
      <c r="AG60" s="30">
        <v>27675.38</v>
      </c>
      <c r="AH60" s="31" t="str">
        <f t="shared" ca="1" si="29"/>
        <v/>
      </c>
      <c r="AI60" s="51" t="e">
        <f t="shared" ca="1" si="30"/>
        <v>#NAME?</v>
      </c>
      <c r="AJ60" s="409">
        <f t="shared" ca="1" si="31"/>
        <v>0</v>
      </c>
      <c r="AK60" s="410">
        <f t="shared" ca="1" si="32"/>
        <v>0</v>
      </c>
      <c r="AL60" s="411">
        <f t="shared" ca="1" si="33"/>
        <v>0</v>
      </c>
      <c r="AM60" s="412">
        <f t="shared" ca="1" si="34"/>
        <v>0</v>
      </c>
      <c r="AN60" s="413">
        <f t="shared" ca="1" si="35"/>
        <v>0</v>
      </c>
    </row>
    <row r="61" spans="1:40" x14ac:dyDescent="0.25">
      <c r="A61" s="6" t="s">
        <v>42</v>
      </c>
      <c r="B61" s="7"/>
      <c r="H61" s="15" t="s">
        <v>853</v>
      </c>
      <c r="I61" s="479" t="e">
        <f ca="1">_xll.EVPRO($B$1,$H61,"STYLE")</f>
        <v>#NAME?</v>
      </c>
      <c r="J61" s="479" t="e">
        <f ca="1">_xll.EVPRO($B$1,$H61,"CALC")</f>
        <v>#NAME?</v>
      </c>
      <c r="K61" s="480" t="e">
        <f t="shared" ca="1" si="28"/>
        <v>#NAME?</v>
      </c>
      <c r="L61" s="170" t="e">
        <f ca="1">_xll.EVPRO($B$1,H61,"JDEID")</f>
        <v>#NAME?</v>
      </c>
      <c r="M61" s="170" t="e">
        <f ca="1">IF(AND(I61="N",J61="N"),_xll.EVPRO($B$1,H61,"PSFTID"),"")</f>
        <v>#NAME?</v>
      </c>
      <c r="N61" s="170" t="e">
        <f ca="1">IF(_xll.EVDES(H61,$B$1)="#NODATA","",_xll.EVDES(H61,$B$1))</f>
        <v>#NAME?</v>
      </c>
      <c r="O61" s="33">
        <v>36293.4</v>
      </c>
      <c r="P61" s="33">
        <v>34478.35</v>
      </c>
      <c r="Q61" s="33">
        <v>33109.339999999997</v>
      </c>
      <c r="R61" s="33">
        <v>35703.449999999997</v>
      </c>
      <c r="S61" s="33">
        <v>42251.92</v>
      </c>
      <c r="T61" s="33">
        <v>33500.57</v>
      </c>
      <c r="U61" s="33">
        <v>36429.550000000003</v>
      </c>
      <c r="V61" s="33">
        <v>38346.19</v>
      </c>
      <c r="W61" s="33">
        <v>30298.95</v>
      </c>
      <c r="X61" s="33">
        <v>33336.129999999997</v>
      </c>
      <c r="Y61" s="33">
        <v>30443.22</v>
      </c>
      <c r="Z61" s="33">
        <v>26042.240000000002</v>
      </c>
      <c r="AA61" s="33" t="e">
        <f t="shared" ca="1" si="24"/>
        <v>#NAME?</v>
      </c>
      <c r="AB61" s="34" t="e">
        <f t="shared" ca="1" si="25"/>
        <v>#NAME?</v>
      </c>
      <c r="AC61" s="35"/>
      <c r="AD61" s="33">
        <v>258705.70242648601</v>
      </c>
      <c r="AE61" s="34" t="str">
        <f t="shared" ca="1" si="26"/>
        <v/>
      </c>
      <c r="AF61" s="52" t="e">
        <f t="shared" ca="1" si="27"/>
        <v>#NAME?</v>
      </c>
      <c r="AG61" s="33">
        <v>210577.89</v>
      </c>
      <c r="AH61" s="34" t="str">
        <f t="shared" ca="1" si="29"/>
        <v/>
      </c>
      <c r="AI61" s="52" t="e">
        <f t="shared" ca="1" si="30"/>
        <v>#NAME?</v>
      </c>
      <c r="AJ61" s="364">
        <f t="shared" ca="1" si="31"/>
        <v>0</v>
      </c>
      <c r="AK61" s="365">
        <f t="shared" ca="1" si="32"/>
        <v>0</v>
      </c>
      <c r="AL61" s="367">
        <f t="shared" ca="1" si="33"/>
        <v>0</v>
      </c>
      <c r="AM61" s="414">
        <f t="shared" ca="1" si="34"/>
        <v>0</v>
      </c>
      <c r="AN61" s="435">
        <f t="shared" ca="1" si="35"/>
        <v>0</v>
      </c>
    </row>
    <row r="62" spans="1:40" x14ac:dyDescent="0.25">
      <c r="A62" s="6" t="s">
        <v>43</v>
      </c>
      <c r="B62" s="7"/>
      <c r="H62" s="25"/>
      <c r="I62" s="25"/>
      <c r="J62" s="25"/>
      <c r="K62" s="25"/>
      <c r="L62" s="25"/>
      <c r="M62" s="25"/>
      <c r="N62" s="25"/>
      <c r="O62" s="53"/>
      <c r="P62" s="54"/>
      <c r="Q62" s="54"/>
      <c r="R62" s="54"/>
      <c r="S62" s="54"/>
      <c r="T62" s="54"/>
      <c r="U62" s="54"/>
      <c r="V62" s="54"/>
      <c r="W62" s="54"/>
      <c r="X62" s="54"/>
      <c r="Y62" s="54"/>
      <c r="Z62" s="54"/>
      <c r="AA62" s="54"/>
      <c r="AB62" s="55"/>
      <c r="AD62" s="53"/>
      <c r="AE62" s="54"/>
      <c r="AF62" s="55"/>
      <c r="AG62" s="53"/>
      <c r="AH62" s="54"/>
      <c r="AI62" s="55"/>
    </row>
    <row r="63" spans="1:40" ht="15.75" thickBot="1" x14ac:dyDescent="0.3">
      <c r="A63" s="6" t="s">
        <v>44</v>
      </c>
      <c r="B63" s="7"/>
      <c r="H63" s="15" t="s">
        <v>854</v>
      </c>
      <c r="I63" s="27" t="e">
        <f ca="1">_xll.EVPRO($B$1,$H63,"STYLE")</f>
        <v>#NAME?</v>
      </c>
      <c r="J63" s="27" t="e">
        <f ca="1">_xll.EVPRO($B$1,$H63,"CALC")</f>
        <v>#NAME?</v>
      </c>
      <c r="K63" s="25"/>
      <c r="N63" s="25" t="e">
        <f ca="1">IF(_xll.EVDES(H63,$B$1)="#NODATA","",_xll.EVDES(H63,$B$1))</f>
        <v>#NAME?</v>
      </c>
      <c r="O63" s="62">
        <v>71030.16</v>
      </c>
      <c r="P63" s="62">
        <v>66659.009999999995</v>
      </c>
      <c r="Q63" s="62">
        <v>66146.33</v>
      </c>
      <c r="R63" s="62">
        <v>63504.959999999999</v>
      </c>
      <c r="S63" s="62">
        <v>83390.5</v>
      </c>
      <c r="T63" s="62">
        <v>59599.58</v>
      </c>
      <c r="U63" s="62">
        <v>67534.850000000006</v>
      </c>
      <c r="V63" s="62">
        <v>61924.05</v>
      </c>
      <c r="W63" s="62">
        <v>54178.54</v>
      </c>
      <c r="X63" s="62">
        <v>64493.02</v>
      </c>
      <c r="Y63" s="62">
        <v>59327.43</v>
      </c>
      <c r="Z63" s="62">
        <v>52177.66</v>
      </c>
      <c r="AA63" s="62" t="e">
        <f ca="1">IF($I63="B1","",SUM(O63:Z63))</f>
        <v>#NAME?</v>
      </c>
      <c r="AB63" s="63" t="e">
        <f ca="1">IF(AA63=0,"",IFERROR(AA63/AA$19,""))</f>
        <v>#NAME?</v>
      </c>
      <c r="AD63" s="62">
        <v>681180.27155204595</v>
      </c>
      <c r="AE63" s="63" t="str">
        <f ca="1">IF(AD63=0,"",IFERROR(AD63/AD$19,""))</f>
        <v/>
      </c>
      <c r="AF63" s="64" t="e">
        <f ca="1">IF(AND($AA63="",AD63=""),"",$AA63-AD63)</f>
        <v>#NAME?</v>
      </c>
      <c r="AG63" s="62">
        <v>537930.06999999995</v>
      </c>
      <c r="AH63" s="63" t="str">
        <f ca="1">IF(AG63=0,"",IFERROR(AG63/AG$19,""))</f>
        <v/>
      </c>
      <c r="AI63" s="64" t="e">
        <f ca="1">IF(AND($AA63="",AG63=""),"",$AA63-AG63)</f>
        <v>#NAME?</v>
      </c>
      <c r="AJ63" s="430">
        <f ca="1">IFERROR(AA63/AA$20,0)</f>
        <v>0</v>
      </c>
      <c r="AK63" s="431">
        <f ca="1">IFERROR(AD63/AD$20,0)</f>
        <v>0</v>
      </c>
      <c r="AL63" s="432">
        <f ca="1">IFERROR(AG63/AG$20,0)</f>
        <v>0</v>
      </c>
      <c r="AM63" s="433">
        <f ca="1">+IFERROR(ROUND(($AB63-AE63)*100,2)&amp;" pts.",0)</f>
        <v>0</v>
      </c>
      <c r="AN63" s="438">
        <f ca="1">+IFERROR(ROUND(($AB63-AH63)*100,2)&amp;" pts.",0)</f>
        <v>0</v>
      </c>
    </row>
    <row r="64" spans="1:40" ht="16.5" hidden="1" thickTop="1" thickBot="1" x14ac:dyDescent="0.3">
      <c r="A64" s="6" t="s">
        <v>45</v>
      </c>
      <c r="B64" s="7"/>
      <c r="H64" s="15"/>
      <c r="I64" s="27" t="e">
        <f ca="1">_xll.EVPRO($B$1,$H64,"STYLE")</f>
        <v>#NAME?</v>
      </c>
      <c r="J64" s="27" t="e">
        <f ca="1">_xll.EVPRO($B$1,$H64,"CALC")</f>
        <v>#NAME?</v>
      </c>
      <c r="K64" s="25"/>
      <c r="N64" s="25" t="e">
        <f ca="1">IF(_xll.EVDES(H64,$B$1)="#NODATA","",_xll.EVDES(H64,$B$1))</f>
        <v>#NAME?</v>
      </c>
      <c r="O64" s="62"/>
      <c r="P64" s="62"/>
      <c r="Q64" s="62"/>
      <c r="R64" s="62"/>
      <c r="S64" s="62"/>
      <c r="T64" s="62"/>
      <c r="U64" s="62"/>
      <c r="V64" s="62"/>
      <c r="W64" s="62"/>
      <c r="X64" s="62"/>
      <c r="Y64" s="62"/>
      <c r="Z64" s="62"/>
      <c r="AA64" s="62" t="e">
        <f ca="1">IF($I64="B1","",SUM(O64:Z64))</f>
        <v>#NAME?</v>
      </c>
      <c r="AB64" s="63" t="e">
        <f ca="1">IF(AA64=0,"",IFERROR(AA64/AA$19,""))</f>
        <v>#NAME?</v>
      </c>
      <c r="AD64" s="62"/>
      <c r="AE64" s="63" t="str">
        <f>IF(AD64=0,"",IFERROR(AD64/AD$19,""))</f>
        <v/>
      </c>
      <c r="AF64" s="64" t="e">
        <f ca="1">IF(AND($AA64="",AD64=""),"",$AA64-AD64)</f>
        <v>#NAME?</v>
      </c>
      <c r="AG64" s="62"/>
      <c r="AH64" s="63" t="str">
        <f>IF(AG64=0,"",IFERROR(AG64/AG$19,""))</f>
        <v/>
      </c>
      <c r="AI64" s="64" t="e">
        <f ca="1">IF(AND($AA64="",AG64=""),"",$AA64-AG64)</f>
        <v>#NAME?</v>
      </c>
      <c r="AJ64" s="430">
        <f ca="1">IFERROR(AA64/AA$20,0)</f>
        <v>0</v>
      </c>
      <c r="AK64" s="431">
        <f ca="1">IFERROR(AD64/AD$20,0)</f>
        <v>0</v>
      </c>
      <c r="AL64" s="432">
        <f ca="1">IFERROR(AG64/AG$20,0)</f>
        <v>0</v>
      </c>
      <c r="AM64" s="433">
        <f ca="1">+IFERROR(ROUND(($AB64-AE64)*100,2)&amp;" pts.",0)</f>
        <v>0</v>
      </c>
      <c r="AN64" s="438">
        <f ca="1">+IFERROR(ROUND(($AB64-AH64)*100,2)&amp;" pts.",0)</f>
        <v>0</v>
      </c>
    </row>
    <row r="65" spans="1:35" ht="15.75" thickTop="1" x14ac:dyDescent="0.25">
      <c r="A65" s="6" t="s">
        <v>46</v>
      </c>
      <c r="B65" s="7"/>
      <c r="I65" s="1"/>
      <c r="J65" s="1"/>
      <c r="L65" s="1"/>
      <c r="M65" s="1"/>
    </row>
    <row r="66" spans="1:35" x14ac:dyDescent="0.25">
      <c r="N66" s="26" t="e">
        <f ca="1">N63&amp;" - Check"</f>
        <v>#NAME?</v>
      </c>
      <c r="O66" s="139">
        <f t="shared" ref="O66:AA66" si="36">SUMIF($H$35:$H$63,"PAY_TAXES",O$35:O$63)+SUMIF($H$35:$H$63,"SUP_PAY",O$35:O$63)+SUMIF($H$35:$H$63,"EMP_BEN",O$35:O$63)-SUMIF($H$35:$H$63,"PAY_RELATED",O$35:O$63)</f>
        <v>0</v>
      </c>
      <c r="P66" s="139">
        <f t="shared" si="36"/>
        <v>0</v>
      </c>
      <c r="Q66" s="139">
        <f t="shared" si="36"/>
        <v>0</v>
      </c>
      <c r="R66" s="139">
        <f t="shared" si="36"/>
        <v>0</v>
      </c>
      <c r="S66" s="139">
        <f t="shared" si="36"/>
        <v>0</v>
      </c>
      <c r="T66" s="139">
        <f t="shared" si="36"/>
        <v>0</v>
      </c>
      <c r="U66" s="139">
        <f t="shared" si="36"/>
        <v>0</v>
      </c>
      <c r="V66" s="139">
        <f t="shared" si="36"/>
        <v>0</v>
      </c>
      <c r="W66" s="139">
        <f t="shared" si="36"/>
        <v>0</v>
      </c>
      <c r="X66" s="139">
        <f t="shared" si="36"/>
        <v>0</v>
      </c>
      <c r="Y66" s="139">
        <f t="shared" si="36"/>
        <v>0</v>
      </c>
      <c r="Z66" s="139">
        <f t="shared" si="36"/>
        <v>0</v>
      </c>
      <c r="AA66" s="139" t="e">
        <f t="shared" ca="1" si="36"/>
        <v>#NAME?</v>
      </c>
      <c r="AB66" s="17"/>
      <c r="AD66" s="139">
        <f>SUMIF($H$35:$H$63,"PAY_TAXES",AD$35:AD$63)+SUMIF($H$35:$H$63,"SUP_PAY",AD$35:AD$63)+SUMIF($H$35:$H$63,"EMP_BEN",AD$35:AD$63)-SUMIF($H$35:$H$63,"PAY_RELATED",AD$35:AD$63)</f>
        <v>-1.0477378964424133E-9</v>
      </c>
      <c r="AE66" s="17"/>
      <c r="AF66" s="21"/>
      <c r="AG66" s="139">
        <f>SUMIF($H$35:$H$63,"PAY_TAXES",AG$35:AG$63)+SUMIF($H$35:$H$63,"SUP_PAY",AG$35:AG$63)+SUMIF($H$35:$H$63,"EMP_BEN",AG$35:AG$63)-SUMIF($H$35:$H$63,"PAY_RELATED",AG$35:AG$63)</f>
        <v>0</v>
      </c>
      <c r="AH66" s="17"/>
      <c r="AI66" s="21"/>
    </row>
    <row r="67" spans="1:35" x14ac:dyDescent="0.25">
      <c r="I67" s="1"/>
      <c r="J67" s="1"/>
      <c r="L67" s="1"/>
      <c r="M67" s="1"/>
    </row>
    <row r="74" spans="1:35" x14ac:dyDescent="0.25">
      <c r="H74" s="11"/>
      <c r="J74" s="1"/>
    </row>
    <row r="75" spans="1:35" x14ac:dyDescent="0.25">
      <c r="H75" s="11"/>
      <c r="J75" s="1"/>
    </row>
    <row r="76" spans="1:35" x14ac:dyDescent="0.25">
      <c r="H76" s="11"/>
      <c r="J76" s="1"/>
    </row>
    <row r="77" spans="1:35" x14ac:dyDescent="0.25">
      <c r="H77" s="11"/>
      <c r="J77" s="1"/>
    </row>
    <row r="78" spans="1:35" x14ac:dyDescent="0.25">
      <c r="H78" s="11"/>
      <c r="J78" s="1"/>
    </row>
    <row r="79" spans="1:35" x14ac:dyDescent="0.25">
      <c r="H79" s="11"/>
      <c r="J79" s="1"/>
    </row>
    <row r="80" spans="1:35"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sheetData>
  <mergeCells count="2">
    <mergeCell ref="AD31:AE31"/>
    <mergeCell ref="AG31:AH31"/>
  </mergeCells>
  <dataValidations disablePrompts="1" count="2">
    <dataValidation type="list" allowBlank="1" sqref="B29" xr:uid="{00000000-0002-0000-6000-000000000000}">
      <formula1>"SELF,ALL,BAS,DEP,BASMEMBERS,MEMBERS,NOEXPAND,GDEP"</formula1>
    </dataValidation>
    <dataValidation type="list" allowBlank="1" sqref="B28" xr:uid="{00000000-0002-0000-6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758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7587" r:id="rId7" name="FPMExcelClientSheetOptionstb1"/>
      </mc:Fallback>
    </mc:AlternateContent>
  </controls>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20240100</v>
      </c>
      <c r="F4" s="49">
        <v>20240100</v>
      </c>
    </row>
    <row r="5" spans="1:35" hidden="1" outlineLevel="1" x14ac:dyDescent="0.25">
      <c r="A5" s="8" t="s">
        <v>51</v>
      </c>
      <c r="B5" s="12" t="s">
        <v>59</v>
      </c>
      <c r="C5" s="1" t="s">
        <v>59</v>
      </c>
    </row>
    <row r="6" spans="1:35" hidden="1" outlineLevel="1" x14ac:dyDescent="0.25">
      <c r="A6" s="8" t="s">
        <v>52</v>
      </c>
      <c r="B6" s="12" t="s">
        <v>499</v>
      </c>
      <c r="C6" s="1" t="s">
        <v>982</v>
      </c>
      <c r="E6" s="49"/>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2023.TOTAL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682</v>
      </c>
    </row>
    <row r="12" spans="1:35" hidden="1" outlineLevel="1" x14ac:dyDescent="0.25">
      <c r="A12" s="1" t="s">
        <v>115</v>
      </c>
      <c r="B12" s="49">
        <v>2023</v>
      </c>
      <c r="N12" s="1" t="s">
        <v>597</v>
      </c>
      <c r="O12" s="235" t="s">
        <v>78</v>
      </c>
      <c r="P12" s="235" t="s">
        <v>78</v>
      </c>
      <c r="Q12" s="235" t="s">
        <v>78</v>
      </c>
      <c r="R12" s="235" t="s">
        <v>78</v>
      </c>
      <c r="S12" s="235" t="s">
        <v>78</v>
      </c>
      <c r="T12" s="235" t="s">
        <v>78</v>
      </c>
      <c r="U12" s="235" t="s">
        <v>78</v>
      </c>
      <c r="V12" s="235" t="s">
        <v>78</v>
      </c>
      <c r="W12" s="235" t="s">
        <v>78</v>
      </c>
      <c r="X12" s="235" t="s">
        <v>78</v>
      </c>
      <c r="Y12" s="235" t="s">
        <v>78</v>
      </c>
      <c r="Z12" s="235" t="s">
        <v>78</v>
      </c>
      <c r="AA12" s="235"/>
      <c r="AD12" s="235"/>
      <c r="AG12" s="235"/>
    </row>
    <row r="13" spans="1:35" hidden="1" outlineLevel="1" x14ac:dyDescent="0.25">
      <c r="A13" s="1" t="s">
        <v>602</v>
      </c>
      <c r="B13" s="49">
        <v>2023</v>
      </c>
      <c r="N13" s="1" t="s">
        <v>598</v>
      </c>
      <c r="O13" s="236">
        <v>20230100</v>
      </c>
      <c r="P13" s="236">
        <v>20230200</v>
      </c>
      <c r="Q13" s="236">
        <v>20230300</v>
      </c>
      <c r="R13" s="236">
        <v>20230400</v>
      </c>
      <c r="S13" s="236">
        <v>20230500</v>
      </c>
      <c r="T13" s="236">
        <v>20230600</v>
      </c>
      <c r="U13" s="236">
        <v>20230700</v>
      </c>
      <c r="V13" s="236">
        <v>20230800</v>
      </c>
      <c r="W13" s="236">
        <v>20230900</v>
      </c>
      <c r="X13" s="236">
        <v>20231000</v>
      </c>
      <c r="Y13" s="236">
        <v>20231100</v>
      </c>
      <c r="Z13" s="236">
        <v>20231200</v>
      </c>
      <c r="AA13" s="236">
        <v>10000182</v>
      </c>
      <c r="AD13" s="236">
        <v>10000182</v>
      </c>
      <c r="AG13" s="236">
        <v>10000177</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2023.DEC</v>
      </c>
      <c r="AA16" s="13" t="str">
        <f>IF($D$10="FY",LEFT($B$10,6)&amp;"."&amp;AA15,$B$12&amp;"."&amp;AA14)</f>
        <v>2023.TOTAL</v>
      </c>
      <c r="AB16" s="10"/>
      <c r="AC16" s="10"/>
      <c r="AD16" s="13" t="str">
        <f>IF(SetUp!$O$1=TRUE,SetUp!$Q$6,SetUp!$G$7)</f>
        <v>2023.TOTAL</v>
      </c>
      <c r="AE16" s="10"/>
      <c r="AF16" s="10"/>
      <c r="AG16" s="13" t="s">
        <v>954</v>
      </c>
      <c r="AH16" s="10"/>
      <c r="AI16" s="10"/>
    </row>
    <row r="17" spans="1:40" hidden="1" outlineLevel="1" x14ac:dyDescent="0.25">
      <c r="A17" s="6" t="s">
        <v>2</v>
      </c>
      <c r="B17" s="16" t="s">
        <v>1867</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682</v>
      </c>
      <c r="AA17" s="13"/>
      <c r="AB17" s="10"/>
      <c r="AC17" s="10"/>
      <c r="AD17" s="13" t="str">
        <f>SetUp!$G$6</f>
        <v>BUDGET</v>
      </c>
      <c r="AE17" s="10"/>
      <c r="AF17" s="10"/>
      <c r="AG17" s="13" t="str">
        <f>SetUp!$J$6</f>
        <v>ACTUAL_CON</v>
      </c>
      <c r="AH17" s="10"/>
      <c r="AI17" s="10"/>
    </row>
    <row r="18" spans="1:40" hidden="1" outlineLevel="1" x14ac:dyDescent="0.25">
      <c r="A18" s="6" t="s">
        <v>3</v>
      </c>
      <c r="B18" s="16" t="s">
        <v>1868</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1869</v>
      </c>
      <c r="G19" s="18" t="s">
        <v>499</v>
      </c>
      <c r="H19" s="18">
        <v>400000</v>
      </c>
      <c r="I19" s="19"/>
      <c r="J19" s="19"/>
      <c r="K19" s="18"/>
      <c r="L19" s="19"/>
      <c r="M19" s="19"/>
      <c r="N19" s="18" t="s">
        <v>1003</v>
      </c>
      <c r="O19" s="20">
        <v>1462163.77</v>
      </c>
      <c r="P19" s="20">
        <v>1536607.44</v>
      </c>
      <c r="Q19" s="20">
        <v>1534404.07</v>
      </c>
      <c r="R19" s="20">
        <v>1170305.3999999999</v>
      </c>
      <c r="S19" s="20">
        <v>1083534.47</v>
      </c>
      <c r="T19" s="20">
        <v>874742.07</v>
      </c>
      <c r="U19" s="20">
        <v>843943.44</v>
      </c>
      <c r="V19" s="20">
        <v>720102.67</v>
      </c>
      <c r="W19" s="20">
        <v>617829.5</v>
      </c>
      <c r="X19" s="20">
        <v>778731.4</v>
      </c>
      <c r="Y19" s="20">
        <v>879556.18</v>
      </c>
      <c r="Z19" s="20">
        <v>1438286.75</v>
      </c>
      <c r="AA19" s="20">
        <f>SUM(O19:Z19)</f>
        <v>12940207.16</v>
      </c>
      <c r="AB19" s="18"/>
      <c r="AC19" s="18"/>
      <c r="AD19" s="20">
        <v>16593001.4542</v>
      </c>
      <c r="AE19" s="18"/>
      <c r="AF19" s="18"/>
      <c r="AG19" s="20">
        <v>14732739.210000001</v>
      </c>
      <c r="AH19" s="18"/>
      <c r="AI19" s="18"/>
    </row>
    <row r="20" spans="1:40" hidden="1" outlineLevel="1" x14ac:dyDescent="0.25">
      <c r="A20" s="6" t="s">
        <v>5</v>
      </c>
      <c r="B20" s="7"/>
      <c r="G20" s="18" t="s">
        <v>749</v>
      </c>
      <c r="H20" s="18">
        <v>904100</v>
      </c>
      <c r="I20" s="19"/>
      <c r="J20" s="19"/>
      <c r="K20" s="18"/>
      <c r="L20" s="19"/>
      <c r="M20" s="19"/>
      <c r="N20" s="18" t="s">
        <v>1014</v>
      </c>
      <c r="O20" s="20">
        <v>4092</v>
      </c>
      <c r="P20" s="20">
        <v>3696</v>
      </c>
      <c r="Q20" s="20">
        <v>4092</v>
      </c>
      <c r="R20" s="20">
        <v>3960</v>
      </c>
      <c r="S20" s="20">
        <v>4092</v>
      </c>
      <c r="T20" s="20">
        <v>3960</v>
      </c>
      <c r="U20" s="20">
        <v>4092</v>
      </c>
      <c r="V20" s="20">
        <v>4092</v>
      </c>
      <c r="W20" s="20">
        <v>3960</v>
      </c>
      <c r="X20" s="20">
        <v>4092</v>
      </c>
      <c r="Y20" s="20">
        <v>3960</v>
      </c>
      <c r="Z20" s="20">
        <v>4092</v>
      </c>
      <c r="AA20" s="20">
        <f>SUM(O20:Z20)</f>
        <v>48180</v>
      </c>
      <c r="AB20" s="18"/>
      <c r="AC20" s="18"/>
      <c r="AD20" s="20">
        <v>48180</v>
      </c>
      <c r="AE20" s="18"/>
      <c r="AF20" s="18"/>
      <c r="AG20" s="20">
        <v>48180</v>
      </c>
      <c r="AH20" s="18"/>
      <c r="AI20" s="18"/>
    </row>
    <row r="21" spans="1:40" hidden="1" outlineLevel="1" x14ac:dyDescent="0.25">
      <c r="A21" s="6" t="s">
        <v>6</v>
      </c>
      <c r="B21" s="7"/>
    </row>
    <row r="22" spans="1:40" hidden="1" outlineLevel="1" x14ac:dyDescent="0.25">
      <c r="A22" s="6" t="s">
        <v>7</v>
      </c>
      <c r="B22" s="16" t="s">
        <v>1870</v>
      </c>
    </row>
    <row r="23" spans="1:40" hidden="1" outlineLevel="1" x14ac:dyDescent="0.25">
      <c r="A23" s="6" t="s">
        <v>47</v>
      </c>
      <c r="B23" s="16" t="s">
        <v>1871</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982</v>
      </c>
    </row>
    <row r="28" spans="1:40" ht="15.75" x14ac:dyDescent="0.25">
      <c r="A28" s="6" t="s">
        <v>12</v>
      </c>
      <c r="B28" s="7" t="s">
        <v>22</v>
      </c>
      <c r="N28" s="71" t="s">
        <v>1005</v>
      </c>
    </row>
    <row r="29" spans="1:40" ht="15" customHeight="1" x14ac:dyDescent="0.25">
      <c r="A29" s="6" t="s">
        <v>13</v>
      </c>
      <c r="B29" s="7" t="s">
        <v>741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530" t="s">
        <v>986</v>
      </c>
      <c r="AE31" s="531"/>
      <c r="AF31" s="233" t="s">
        <v>631</v>
      </c>
      <c r="AG31" s="530" t="s">
        <v>1006</v>
      </c>
      <c r="AH31" s="531"/>
      <c r="AI31" s="233" t="s">
        <v>631</v>
      </c>
      <c r="AJ31" s="233">
        <v>2023</v>
      </c>
      <c r="AK31" s="261">
        <v>2023</v>
      </c>
      <c r="AL31" s="261">
        <v>2022</v>
      </c>
      <c r="AM31" s="233" t="str">
        <f>"vs "&amp;AK31</f>
        <v>vs 2023</v>
      </c>
      <c r="AN31" s="233" t="str">
        <f>"vs "&amp;AL31</f>
        <v>vs 2022</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956</v>
      </c>
      <c r="AA32" s="262"/>
      <c r="AB32" s="262" t="s">
        <v>58</v>
      </c>
      <c r="AD32" s="261" t="s">
        <v>958</v>
      </c>
      <c r="AE32" s="261" t="s">
        <v>58</v>
      </c>
      <c r="AF32" s="261" t="s">
        <v>57</v>
      </c>
      <c r="AG32" s="261" t="s">
        <v>956</v>
      </c>
      <c r="AH32" s="261" t="s">
        <v>58</v>
      </c>
      <c r="AI32" s="261" t="s">
        <v>57</v>
      </c>
      <c r="AJ32" s="261" t="str">
        <f>Z32</f>
        <v>Actual</v>
      </c>
      <c r="AK32" s="261" t="str">
        <f>AD32</f>
        <v>Budget</v>
      </c>
      <c r="AL32" s="261" t="str">
        <f>AG32</f>
        <v>Actual</v>
      </c>
      <c r="AM32" s="233" t="s">
        <v>747</v>
      </c>
      <c r="AN32" s="233" t="s">
        <v>747</v>
      </c>
    </row>
    <row r="33" spans="1:40" x14ac:dyDescent="0.25">
      <c r="A33" s="6" t="s">
        <v>17</v>
      </c>
      <c r="B33" s="7"/>
      <c r="H33" s="1" t="s">
        <v>553</v>
      </c>
      <c r="I33" s="11" t="s">
        <v>1011</v>
      </c>
      <c r="J33" s="11" t="s">
        <v>78</v>
      </c>
      <c r="N33" s="40" t="s">
        <v>1872</v>
      </c>
      <c r="O33" s="53"/>
      <c r="P33" s="54"/>
      <c r="Q33" s="54"/>
      <c r="R33" s="54"/>
      <c r="S33" s="54"/>
      <c r="T33" s="54"/>
      <c r="U33" s="54"/>
      <c r="V33" s="54"/>
      <c r="W33" s="54"/>
      <c r="X33" s="54"/>
      <c r="Y33" s="54"/>
      <c r="Z33" s="54"/>
      <c r="AA33" s="54"/>
      <c r="AB33" s="55"/>
      <c r="AD33" s="53"/>
      <c r="AE33" s="54"/>
      <c r="AF33" s="55"/>
      <c r="AG33" s="53"/>
      <c r="AH33" s="54"/>
      <c r="AI33" s="55"/>
    </row>
    <row r="34" spans="1:40" x14ac:dyDescent="0.25">
      <c r="N34" s="8" t="s">
        <v>561</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925</v>
      </c>
      <c r="I35" s="161" t="s">
        <v>1064</v>
      </c>
      <c r="J35" s="161" t="s">
        <v>78</v>
      </c>
      <c r="K35" s="68" t="str">
        <f t="shared" ref="K35:K40" si="0">IF(AND(I35&gt;="T4"),"&gt;","")</f>
        <v>&gt;</v>
      </c>
      <c r="L35" s="162"/>
      <c r="M35" s="162"/>
      <c r="N35" s="162" t="s">
        <v>1873</v>
      </c>
      <c r="O35" s="21">
        <v>2612.4699999999998</v>
      </c>
      <c r="P35" s="21">
        <v>3778.98</v>
      </c>
      <c r="Q35" s="21">
        <v>3120.07</v>
      </c>
      <c r="R35" s="21">
        <v>2863.68</v>
      </c>
      <c r="S35" s="21">
        <v>2800.64</v>
      </c>
      <c r="T35" s="21">
        <v>2620.33</v>
      </c>
      <c r="U35" s="21">
        <v>2377.73</v>
      </c>
      <c r="V35" s="21">
        <v>2423.2800000000002</v>
      </c>
      <c r="W35" s="21">
        <v>2398.0100000000002</v>
      </c>
      <c r="X35" s="21">
        <v>2271.14</v>
      </c>
      <c r="Y35" s="21">
        <v>2307.73</v>
      </c>
      <c r="Z35" s="21">
        <v>2720.89</v>
      </c>
      <c r="AA35" s="38">
        <f t="shared" ref="AA35:AA40" si="1">IF($I35="B1","",SUM(O35:Z35))</f>
        <v>32294.949999999993</v>
      </c>
      <c r="AB35" s="17">
        <f t="shared" ref="AB35:AB40" si="2">IF(AA35=0,"",IFERROR(AA35/AA$19,""))</f>
        <v>2.4957057951767747E-3</v>
      </c>
      <c r="AD35" s="21">
        <v>46172.578529312203</v>
      </c>
      <c r="AE35" s="17">
        <f t="shared" ref="AE35:AE40" si="3">IF(AD35=0,"",IFERROR(AD35/AD$19,""))</f>
        <v>2.7826537987571294E-3</v>
      </c>
      <c r="AF35" s="50">
        <f t="shared" ref="AF35:AF40" si="4">IF(AND($AA35="",AD35=""),"",$AA35-AD35)</f>
        <v>-13877.628529312209</v>
      </c>
      <c r="AG35" s="21">
        <v>32519.599999999999</v>
      </c>
      <c r="AH35" s="17">
        <f t="shared" ref="AH35:AH40" si="5">IF(AG35=0,"",IFERROR(AG35/AG$19,""))</f>
        <v>2.2073016793731732E-3</v>
      </c>
      <c r="AI35" s="50">
        <f t="shared" ref="AI35:AI40" si="6">IF(AND($AA35="",AG35=""),"",$AA35-AG35)</f>
        <v>-224.65000000000509</v>
      </c>
      <c r="AJ35" s="399">
        <f t="shared" ref="AJ35:AJ40" si="7">IFERROR(AA35/AA$20,0)</f>
        <v>0.67029784142797832</v>
      </c>
      <c r="AK35" s="400">
        <f t="shared" ref="AK35:AK40" si="8">IFERROR(AD35/AD$20,0)</f>
        <v>0.9583349632484891</v>
      </c>
      <c r="AL35" s="401">
        <f t="shared" ref="AL35:AL40" si="9">IFERROR(AG35/AG$20,0)</f>
        <v>0.67496056454960562</v>
      </c>
      <c r="AM35" s="402" t="str">
        <f t="shared" ref="AM35:AM40" si="10">+IFERROR(ROUND(($AB35-AE35)*100,2)&amp;" pts.",0)</f>
        <v>-0.03 pts.</v>
      </c>
      <c r="AN35" s="403" t="str">
        <f t="shared" ref="AN35:AN40" si="11">+IFERROR(ROUND(($AB35-AH35)*100,2)&amp;" pts.",0)</f>
        <v>0.03 pts.</v>
      </c>
    </row>
    <row r="36" spans="1:40" x14ac:dyDescent="0.25">
      <c r="H36" s="15" t="s">
        <v>926</v>
      </c>
      <c r="I36" s="161" t="s">
        <v>1064</v>
      </c>
      <c r="J36" s="161" t="s">
        <v>78</v>
      </c>
      <c r="K36" s="68" t="str">
        <f t="shared" si="0"/>
        <v>&gt;</v>
      </c>
      <c r="L36" s="162"/>
      <c r="M36" s="162"/>
      <c r="N36" s="162" t="s">
        <v>1874</v>
      </c>
      <c r="O36" s="21">
        <v>11324.19</v>
      </c>
      <c r="P36" s="21">
        <v>12359.58</v>
      </c>
      <c r="Q36" s="21">
        <v>13142.39</v>
      </c>
      <c r="R36" s="21">
        <v>12341.51</v>
      </c>
      <c r="S36" s="21">
        <v>9929.56</v>
      </c>
      <c r="T36" s="21">
        <v>10926.03</v>
      </c>
      <c r="U36" s="21">
        <v>9945.09</v>
      </c>
      <c r="V36" s="21">
        <v>10139.91</v>
      </c>
      <c r="W36" s="21">
        <v>9592.5</v>
      </c>
      <c r="X36" s="21">
        <v>9702.2999999999993</v>
      </c>
      <c r="Y36" s="21">
        <v>9120.81</v>
      </c>
      <c r="Z36" s="21">
        <v>11168.18</v>
      </c>
      <c r="AA36" s="38">
        <f t="shared" si="1"/>
        <v>129692.05000000002</v>
      </c>
      <c r="AB36" s="17">
        <f t="shared" si="2"/>
        <v>1.0022409100288315E-2</v>
      </c>
      <c r="AD36" s="21">
        <v>125283.610841043</v>
      </c>
      <c r="AE36" s="17">
        <f t="shared" si="3"/>
        <v>7.5503887097732626E-3</v>
      </c>
      <c r="AF36" s="50">
        <f t="shared" si="4"/>
        <v>4408.439158957015</v>
      </c>
      <c r="AG36" s="21">
        <v>141398.96</v>
      </c>
      <c r="AH36" s="17">
        <f t="shared" si="5"/>
        <v>9.5976015040043581E-3</v>
      </c>
      <c r="AI36" s="50">
        <f t="shared" si="6"/>
        <v>-11706.909999999974</v>
      </c>
      <c r="AJ36" s="399">
        <f t="shared" si="7"/>
        <v>2.6918233706932342</v>
      </c>
      <c r="AK36" s="400">
        <f t="shared" si="8"/>
        <v>2.600324010814508</v>
      </c>
      <c r="AL36" s="401">
        <f t="shared" si="9"/>
        <v>2.9348061436280615</v>
      </c>
      <c r="AM36" s="402" t="str">
        <f t="shared" si="10"/>
        <v>0.25 pts.</v>
      </c>
      <c r="AN36" s="403" t="str">
        <f t="shared" si="11"/>
        <v>0.04 pts.</v>
      </c>
    </row>
    <row r="37" spans="1:40" x14ac:dyDescent="0.25">
      <c r="A37" s="1" t="s">
        <v>105</v>
      </c>
      <c r="C37" s="26" t="s">
        <v>101</v>
      </c>
      <c r="D37" s="1" t="s">
        <v>106</v>
      </c>
      <c r="F37" s="1" t="s">
        <v>98</v>
      </c>
      <c r="H37" s="15" t="s">
        <v>927</v>
      </c>
      <c r="I37" s="161" t="s">
        <v>1064</v>
      </c>
      <c r="J37" s="161" t="s">
        <v>78</v>
      </c>
      <c r="K37" s="68" t="str">
        <f t="shared" si="0"/>
        <v>&gt;</v>
      </c>
      <c r="L37" s="162"/>
      <c r="M37" s="162"/>
      <c r="N37" s="162" t="s">
        <v>1875</v>
      </c>
      <c r="O37" s="21">
        <v>710.04</v>
      </c>
      <c r="P37" s="21">
        <v>288.83999999999997</v>
      </c>
      <c r="Q37" s="21">
        <v>101.64</v>
      </c>
      <c r="R37" s="21">
        <v>47.44</v>
      </c>
      <c r="S37" s="21">
        <v>71.5</v>
      </c>
      <c r="T37" s="21">
        <v>25.46</v>
      </c>
      <c r="U37" s="21">
        <v>4.54</v>
      </c>
      <c r="V37" s="21">
        <v>-143.65</v>
      </c>
      <c r="W37" s="21">
        <v>-141.44</v>
      </c>
      <c r="X37" s="21">
        <v>-38.130000000000003</v>
      </c>
      <c r="Y37" s="21">
        <v>-59.6</v>
      </c>
      <c r="Z37" s="21">
        <v>470.45</v>
      </c>
      <c r="AA37" s="38">
        <f t="shared" si="1"/>
        <v>1337.09</v>
      </c>
      <c r="AB37" s="17">
        <f t="shared" si="2"/>
        <v>1.0332833033254159E-4</v>
      </c>
      <c r="AD37" s="21">
        <v>23248.968880304801</v>
      </c>
      <c r="AE37" s="17">
        <f t="shared" si="3"/>
        <v>1.4011310096293671E-3</v>
      </c>
      <c r="AF37" s="50">
        <f t="shared" si="4"/>
        <v>-21911.878880304801</v>
      </c>
      <c r="AG37" s="21">
        <v>1825.85</v>
      </c>
      <c r="AH37" s="17">
        <f t="shared" si="5"/>
        <v>1.2393146813870738E-4</v>
      </c>
      <c r="AI37" s="50">
        <f t="shared" si="6"/>
        <v>-488.76</v>
      </c>
      <c r="AJ37" s="399">
        <f t="shared" si="7"/>
        <v>2.7751971772519715E-2</v>
      </c>
      <c r="AK37" s="400">
        <f t="shared" si="8"/>
        <v>0.48254397842060609</v>
      </c>
      <c r="AL37" s="401">
        <f t="shared" si="9"/>
        <v>3.78964300539643E-2</v>
      </c>
      <c r="AM37" s="402" t="str">
        <f t="shared" si="10"/>
        <v>-0.13 pts.</v>
      </c>
      <c r="AN37" s="403" t="str">
        <f t="shared" si="11"/>
        <v>0 pts.</v>
      </c>
    </row>
    <row r="38" spans="1:40" x14ac:dyDescent="0.25">
      <c r="A38" s="1" t="s">
        <v>102</v>
      </c>
      <c r="C38" s="26" t="s">
        <v>101</v>
      </c>
      <c r="D38" s="1" t="s">
        <v>106</v>
      </c>
      <c r="F38" s="1" t="s">
        <v>98</v>
      </c>
      <c r="H38" s="15" t="s">
        <v>928</v>
      </c>
      <c r="I38" s="161" t="s">
        <v>1064</v>
      </c>
      <c r="J38" s="161" t="s">
        <v>78</v>
      </c>
      <c r="K38" s="68" t="str">
        <f t="shared" si="0"/>
        <v>&gt;</v>
      </c>
      <c r="L38" s="162"/>
      <c r="M38" s="162"/>
      <c r="N38" s="162" t="s">
        <v>1876</v>
      </c>
      <c r="O38" s="21">
        <v>256.91000000000003</v>
      </c>
      <c r="P38" s="21">
        <v>48.01</v>
      </c>
      <c r="Q38" s="21">
        <v>16.95</v>
      </c>
      <c r="R38" s="21">
        <v>7.91</v>
      </c>
      <c r="S38" s="21">
        <v>11.92</v>
      </c>
      <c r="T38" s="21">
        <v>21.11</v>
      </c>
      <c r="U38" s="21">
        <v>0.76</v>
      </c>
      <c r="V38" s="21">
        <v>2.38</v>
      </c>
      <c r="W38" s="21">
        <v>9.57</v>
      </c>
      <c r="X38" s="21">
        <v>8.02</v>
      </c>
      <c r="Y38" s="21">
        <v>4.43</v>
      </c>
      <c r="Z38" s="21">
        <v>143.47999999999999</v>
      </c>
      <c r="AA38" s="38">
        <f t="shared" si="1"/>
        <v>531.45000000000005</v>
      </c>
      <c r="AB38" s="17">
        <f t="shared" si="2"/>
        <v>4.106966707942565E-5</v>
      </c>
      <c r="AD38" s="21">
        <v>24093.638494975901</v>
      </c>
      <c r="AE38" s="17">
        <f t="shared" si="3"/>
        <v>1.4520361829340616E-3</v>
      </c>
      <c r="AF38" s="50">
        <f t="shared" si="4"/>
        <v>-23562.188494975901</v>
      </c>
      <c r="AG38" s="21">
        <v>1458.12</v>
      </c>
      <c r="AH38" s="17">
        <f t="shared" si="5"/>
        <v>9.8971411847858251E-5</v>
      </c>
      <c r="AI38" s="50">
        <f t="shared" si="6"/>
        <v>-926.66999999999985</v>
      </c>
      <c r="AJ38" s="399">
        <f t="shared" si="7"/>
        <v>1.1030510585305107E-2</v>
      </c>
      <c r="AK38" s="400">
        <f t="shared" si="8"/>
        <v>0.50007551878322754</v>
      </c>
      <c r="AL38" s="401">
        <f t="shared" si="9"/>
        <v>3.0264009962640098E-2</v>
      </c>
      <c r="AM38" s="402" t="str">
        <f t="shared" si="10"/>
        <v>-0.14 pts.</v>
      </c>
      <c r="AN38" s="403" t="str">
        <f t="shared" si="11"/>
        <v>-0.01 pts.</v>
      </c>
    </row>
    <row r="39" spans="1:40" x14ac:dyDescent="0.25">
      <c r="A39" s="1" t="s">
        <v>108</v>
      </c>
      <c r="C39" s="25" t="s">
        <v>101</v>
      </c>
      <c r="D39" s="1" t="s">
        <v>106</v>
      </c>
      <c r="F39" s="1" t="s">
        <v>98</v>
      </c>
      <c r="H39" s="15" t="s">
        <v>929</v>
      </c>
      <c r="I39" s="161" t="s">
        <v>1064</v>
      </c>
      <c r="J39" s="161" t="s">
        <v>78</v>
      </c>
      <c r="K39" s="68" t="str">
        <f t="shared" si="0"/>
        <v>&gt;</v>
      </c>
      <c r="L39" s="162"/>
      <c r="M39" s="162"/>
      <c r="N39" s="162" t="s">
        <v>1877</v>
      </c>
      <c r="O39" s="30"/>
      <c r="P39" s="30"/>
      <c r="Q39" s="30"/>
      <c r="R39" s="30"/>
      <c r="S39" s="30"/>
      <c r="T39" s="30"/>
      <c r="U39" s="30"/>
      <c r="V39" s="30"/>
      <c r="W39" s="30"/>
      <c r="X39" s="30"/>
      <c r="Y39" s="30"/>
      <c r="Z39" s="30">
        <v>34.24</v>
      </c>
      <c r="AA39" s="47">
        <f t="shared" si="1"/>
        <v>34.24</v>
      </c>
      <c r="AB39" s="31">
        <f t="shared" si="2"/>
        <v>2.6460163718120877E-6</v>
      </c>
      <c r="AD39" s="30"/>
      <c r="AE39" s="31" t="str">
        <f t="shared" si="3"/>
        <v/>
      </c>
      <c r="AF39" s="51">
        <f t="shared" si="4"/>
        <v>34.24</v>
      </c>
      <c r="AG39" s="30"/>
      <c r="AH39" s="31" t="str">
        <f t="shared" si="5"/>
        <v/>
      </c>
      <c r="AI39" s="51">
        <f t="shared" si="6"/>
        <v>34.24</v>
      </c>
      <c r="AJ39" s="409">
        <f t="shared" si="7"/>
        <v>7.1066832710668334E-4</v>
      </c>
      <c r="AK39" s="410">
        <f t="shared" si="8"/>
        <v>0</v>
      </c>
      <c r="AL39" s="411">
        <f t="shared" si="9"/>
        <v>0</v>
      </c>
      <c r="AM39" s="412">
        <f t="shared" si="10"/>
        <v>0</v>
      </c>
      <c r="AN39" s="413">
        <f t="shared" si="11"/>
        <v>0</v>
      </c>
    </row>
    <row r="40" spans="1:40" x14ac:dyDescent="0.25">
      <c r="A40" s="1" t="s">
        <v>108</v>
      </c>
      <c r="C40" s="29" t="s">
        <v>101</v>
      </c>
      <c r="D40" s="1" t="s">
        <v>107</v>
      </c>
      <c r="F40" s="1" t="s">
        <v>99</v>
      </c>
      <c r="H40" s="15" t="s">
        <v>851</v>
      </c>
      <c r="I40" s="479" t="s">
        <v>1012</v>
      </c>
      <c r="J40" s="479" t="s">
        <v>78</v>
      </c>
      <c r="K40" s="480" t="str">
        <f t="shared" si="0"/>
        <v/>
      </c>
      <c r="L40" s="170"/>
      <c r="M40" s="170"/>
      <c r="N40" s="170" t="s">
        <v>561</v>
      </c>
      <c r="O40" s="33">
        <v>14903.61</v>
      </c>
      <c r="P40" s="33">
        <v>16475.41</v>
      </c>
      <c r="Q40" s="33">
        <v>16381.05</v>
      </c>
      <c r="R40" s="33">
        <v>15260.54</v>
      </c>
      <c r="S40" s="33">
        <v>12813.62</v>
      </c>
      <c r="T40" s="33">
        <v>13592.93</v>
      </c>
      <c r="U40" s="33">
        <v>12328.12</v>
      </c>
      <c r="V40" s="33">
        <v>12421.92</v>
      </c>
      <c r="W40" s="33">
        <v>11858.64</v>
      </c>
      <c r="X40" s="33">
        <v>11943.33</v>
      </c>
      <c r="Y40" s="33">
        <v>11373.37</v>
      </c>
      <c r="Z40" s="33">
        <v>14537.24</v>
      </c>
      <c r="AA40" s="33">
        <f t="shared" si="1"/>
        <v>163889.77999999997</v>
      </c>
      <c r="AB40" s="34">
        <f t="shared" si="2"/>
        <v>1.2665158909248866E-2</v>
      </c>
      <c r="AC40" s="35"/>
      <c r="AD40" s="33">
        <v>218798.79674563499</v>
      </c>
      <c r="AE40" s="34">
        <f t="shared" si="3"/>
        <v>1.3186209701093765E-2</v>
      </c>
      <c r="AF40" s="52">
        <f t="shared" si="4"/>
        <v>-54909.016745635017</v>
      </c>
      <c r="AG40" s="33">
        <v>177202.53</v>
      </c>
      <c r="AH40" s="34">
        <f t="shared" si="5"/>
        <v>1.2027806063364097E-2</v>
      </c>
      <c r="AI40" s="52">
        <f t="shared" si="6"/>
        <v>-13312.750000000029</v>
      </c>
      <c r="AJ40" s="364">
        <f t="shared" si="7"/>
        <v>3.4016143628061428</v>
      </c>
      <c r="AK40" s="365">
        <f t="shared" si="8"/>
        <v>4.5412784712668115</v>
      </c>
      <c r="AL40" s="367">
        <f t="shared" si="9"/>
        <v>3.6779271481942715</v>
      </c>
      <c r="AM40" s="414" t="str">
        <f t="shared" si="10"/>
        <v>-0.05 pts.</v>
      </c>
      <c r="AN40" s="435" t="str">
        <f t="shared" si="11"/>
        <v>0.06 pts.</v>
      </c>
    </row>
    <row r="41" spans="1:40" x14ac:dyDescent="0.25">
      <c r="I41" s="1"/>
      <c r="J41" s="1"/>
      <c r="L41" s="162"/>
      <c r="M41" s="162"/>
      <c r="N41" s="162"/>
      <c r="O41" s="41"/>
      <c r="P41" s="45"/>
      <c r="Q41" s="45"/>
      <c r="R41" s="45"/>
      <c r="S41" s="45"/>
      <c r="T41" s="45"/>
      <c r="U41" s="45"/>
      <c r="V41" s="45"/>
      <c r="W41" s="45"/>
      <c r="X41" s="45"/>
      <c r="Y41" s="45"/>
      <c r="Z41" s="45"/>
      <c r="AA41" s="45"/>
      <c r="AB41" s="42"/>
      <c r="AD41" s="41"/>
      <c r="AE41" s="45"/>
      <c r="AF41" s="42"/>
      <c r="AG41" s="41"/>
      <c r="AH41" s="45"/>
      <c r="AI41" s="42"/>
    </row>
    <row r="42" spans="1:40" x14ac:dyDescent="0.25">
      <c r="N42" s="8" t="s">
        <v>560</v>
      </c>
      <c r="O42" s="43"/>
      <c r="P42" s="46"/>
      <c r="Q42" s="46"/>
      <c r="R42" s="46"/>
      <c r="S42" s="46"/>
      <c r="T42" s="46"/>
      <c r="U42" s="46"/>
      <c r="V42" s="46"/>
      <c r="W42" s="46"/>
      <c r="X42" s="46"/>
      <c r="Y42" s="46"/>
      <c r="Z42" s="46"/>
      <c r="AA42" s="46"/>
      <c r="AB42" s="44"/>
      <c r="AD42" s="43"/>
      <c r="AE42" s="46"/>
      <c r="AF42" s="44"/>
      <c r="AG42" s="43"/>
      <c r="AH42" s="46"/>
      <c r="AI42" s="44"/>
    </row>
    <row r="43" spans="1:40" x14ac:dyDescent="0.25">
      <c r="A43" s="3" t="s">
        <v>23</v>
      </c>
      <c r="B43" s="5" t="s">
        <v>24</v>
      </c>
      <c r="H43" s="15" t="s">
        <v>919</v>
      </c>
      <c r="I43" s="161" t="s">
        <v>1009</v>
      </c>
      <c r="J43" s="161" t="s">
        <v>1009</v>
      </c>
      <c r="K43" s="68" t="str">
        <f t="shared" ref="K43:K49" si="12">IF(AND(I43&gt;="T4"),"&gt;","")</f>
        <v/>
      </c>
      <c r="L43" s="162">
        <v>692100</v>
      </c>
      <c r="M43" s="162">
        <v>490400</v>
      </c>
      <c r="N43" s="162" t="s">
        <v>1878</v>
      </c>
      <c r="O43" s="21"/>
      <c r="P43" s="21">
        <v>136</v>
      </c>
      <c r="Q43" s="21"/>
      <c r="R43" s="21"/>
      <c r="S43" s="21"/>
      <c r="T43" s="21"/>
      <c r="U43" s="21"/>
      <c r="V43" s="21"/>
      <c r="W43" s="21"/>
      <c r="X43" s="21"/>
      <c r="Y43" s="21">
        <v>673.08</v>
      </c>
      <c r="Z43" s="21"/>
      <c r="AA43" s="21">
        <f t="shared" ref="AA43:AA49" si="13">IF($I43="B1","",SUM(O43:Z43))</f>
        <v>809.08</v>
      </c>
      <c r="AB43" s="17">
        <f t="shared" ref="AB43:AB49" si="14">IF(AA43=0,"",IFERROR(AA43/AA$19,""))</f>
        <v>6.2524501346545685E-5</v>
      </c>
      <c r="AD43" s="21"/>
      <c r="AE43" s="17" t="str">
        <f t="shared" ref="AE43:AE49" si="15">IF(AD43=0,"",IFERROR(AD43/AD$19,""))</f>
        <v/>
      </c>
      <c r="AF43" s="50">
        <f t="shared" ref="AF43:AF49" si="16">IF(AND($AA43="",AD43=""),"",$AA43-AD43)</f>
        <v>809.08</v>
      </c>
      <c r="AG43" s="21">
        <v>500</v>
      </c>
      <c r="AH43" s="17">
        <f t="shared" ref="AH43:AH49" si="17">IF(AG43=0,"",IFERROR(AG43/AG$19,""))</f>
        <v>3.393802013821162E-5</v>
      </c>
      <c r="AI43" s="50">
        <f t="shared" ref="AI43:AI49" si="18">IF(AND($AA43="",AG43=""),"",$AA43-AG43)</f>
        <v>309.08000000000004</v>
      </c>
      <c r="AJ43" s="399">
        <f t="shared" ref="AJ43:AJ49" si="19">IFERROR(AA43/AA$20,0)</f>
        <v>1.6792860107928603E-2</v>
      </c>
      <c r="AK43" s="400">
        <f t="shared" ref="AK43:AK49" si="20">IFERROR(AD43/AD$20,0)</f>
        <v>0</v>
      </c>
      <c r="AL43" s="401">
        <f t="shared" ref="AL43:AL49" si="21">IFERROR(AG43/AG$20,0)</f>
        <v>1.03777501037775E-2</v>
      </c>
      <c r="AM43" s="402">
        <f t="shared" ref="AM43:AM49" si="22">+IFERROR(ROUND(($AB43-AE43)*100,2)&amp;" pts.",0)</f>
        <v>0</v>
      </c>
      <c r="AN43" s="403" t="str">
        <f t="shared" ref="AN43:AN49" si="23">+IFERROR(ROUND(($AB43-AH43)*100,2)&amp;" pts.",0)</f>
        <v>0 pts.</v>
      </c>
    </row>
    <row r="44" spans="1:40" x14ac:dyDescent="0.25">
      <c r="A44" s="6" t="s">
        <v>25</v>
      </c>
      <c r="B44" s="7"/>
      <c r="H44" s="15" t="s">
        <v>920</v>
      </c>
      <c r="I44" s="161" t="s">
        <v>1009</v>
      </c>
      <c r="J44" s="161" t="s">
        <v>1009</v>
      </c>
      <c r="K44" s="68" t="str">
        <f t="shared" si="12"/>
        <v/>
      </c>
      <c r="L44" s="162">
        <v>692200</v>
      </c>
      <c r="M44" s="162">
        <v>490116</v>
      </c>
      <c r="N44" s="162" t="s">
        <v>1879</v>
      </c>
      <c r="O44" s="21"/>
      <c r="P44" s="21"/>
      <c r="Q44" s="21"/>
      <c r="R44" s="21">
        <v>329.6</v>
      </c>
      <c r="S44" s="21">
        <v>1021.14</v>
      </c>
      <c r="T44" s="21">
        <v>192.31</v>
      </c>
      <c r="U44" s="21"/>
      <c r="V44" s="21">
        <v>408</v>
      </c>
      <c r="W44" s="21">
        <v>2275.23</v>
      </c>
      <c r="X44" s="21"/>
      <c r="Y44" s="21"/>
      <c r="Z44" s="21"/>
      <c r="AA44" s="21">
        <f t="shared" si="13"/>
        <v>4226.28</v>
      </c>
      <c r="AB44" s="17">
        <f t="shared" si="14"/>
        <v>3.2660064462213754E-4</v>
      </c>
      <c r="AD44" s="21"/>
      <c r="AE44" s="17" t="str">
        <f t="shared" si="15"/>
        <v/>
      </c>
      <c r="AF44" s="50">
        <f t="shared" si="16"/>
        <v>4226.28</v>
      </c>
      <c r="AG44" s="21">
        <v>513.38</v>
      </c>
      <c r="AH44" s="17">
        <f t="shared" si="17"/>
        <v>3.4846201557110166E-5</v>
      </c>
      <c r="AI44" s="50">
        <f t="shared" si="18"/>
        <v>3712.8999999999996</v>
      </c>
      <c r="AJ44" s="399">
        <f t="shared" si="19"/>
        <v>8.7718555417185554E-2</v>
      </c>
      <c r="AK44" s="400">
        <f t="shared" si="20"/>
        <v>0</v>
      </c>
      <c r="AL44" s="401">
        <f t="shared" si="21"/>
        <v>1.0655458696554586E-2</v>
      </c>
      <c r="AM44" s="402">
        <f t="shared" si="22"/>
        <v>0</v>
      </c>
      <c r="AN44" s="403" t="str">
        <f t="shared" si="23"/>
        <v>0.03 pts.</v>
      </c>
    </row>
    <row r="45" spans="1:40" x14ac:dyDescent="0.25">
      <c r="A45" s="6" t="s">
        <v>26</v>
      </c>
      <c r="B45" s="7"/>
      <c r="H45" s="15" t="s">
        <v>921</v>
      </c>
      <c r="I45" s="161" t="s">
        <v>1009</v>
      </c>
      <c r="J45" s="161" t="s">
        <v>1009</v>
      </c>
      <c r="K45" s="68" t="str">
        <f t="shared" si="12"/>
        <v/>
      </c>
      <c r="L45" s="162">
        <v>692300</v>
      </c>
      <c r="M45" s="162">
        <v>490111</v>
      </c>
      <c r="N45" s="162" t="s">
        <v>1880</v>
      </c>
      <c r="O45" s="21">
        <v>961.6</v>
      </c>
      <c r="P45" s="21"/>
      <c r="Q45" s="21"/>
      <c r="R45" s="21"/>
      <c r="S45" s="21"/>
      <c r="T45" s="21"/>
      <c r="U45" s="21"/>
      <c r="V45" s="21"/>
      <c r="W45" s="21"/>
      <c r="X45" s="21"/>
      <c r="Y45" s="21"/>
      <c r="Z45" s="21"/>
      <c r="AA45" s="21">
        <f t="shared" si="13"/>
        <v>961.6</v>
      </c>
      <c r="AB45" s="17">
        <f t="shared" si="14"/>
        <v>7.4311020535470311E-5</v>
      </c>
      <c r="AD45" s="21"/>
      <c r="AE45" s="17" t="str">
        <f t="shared" si="15"/>
        <v/>
      </c>
      <c r="AF45" s="50">
        <f t="shared" si="16"/>
        <v>961.6</v>
      </c>
      <c r="AG45" s="21"/>
      <c r="AH45" s="17" t="str">
        <f t="shared" si="17"/>
        <v/>
      </c>
      <c r="AI45" s="50">
        <f t="shared" si="18"/>
        <v>961.6</v>
      </c>
      <c r="AJ45" s="399">
        <f t="shared" si="19"/>
        <v>1.995848899958489E-2</v>
      </c>
      <c r="AK45" s="400">
        <f t="shared" si="20"/>
        <v>0</v>
      </c>
      <c r="AL45" s="401">
        <f t="shared" si="21"/>
        <v>0</v>
      </c>
      <c r="AM45" s="402">
        <f t="shared" si="22"/>
        <v>0</v>
      </c>
      <c r="AN45" s="403">
        <f t="shared" si="23"/>
        <v>0</v>
      </c>
    </row>
    <row r="46" spans="1:40" x14ac:dyDescent="0.25">
      <c r="A46" s="6" t="s">
        <v>27</v>
      </c>
      <c r="B46" s="7"/>
      <c r="H46" s="15" t="s">
        <v>922</v>
      </c>
      <c r="I46" s="161" t="s">
        <v>1064</v>
      </c>
      <c r="J46" s="161" t="s">
        <v>78</v>
      </c>
      <c r="K46" s="68" t="str">
        <f t="shared" si="12"/>
        <v>&gt;</v>
      </c>
      <c r="L46" s="162"/>
      <c r="M46" s="162"/>
      <c r="N46" s="162" t="s">
        <v>1881</v>
      </c>
      <c r="O46" s="21">
        <v>3876.19</v>
      </c>
      <c r="P46" s="21">
        <v>2188.59</v>
      </c>
      <c r="Q46" s="21">
        <v>3527.46</v>
      </c>
      <c r="R46" s="21">
        <v>3204.23</v>
      </c>
      <c r="S46" s="21">
        <v>3833.83</v>
      </c>
      <c r="T46" s="21">
        <v>2756.07</v>
      </c>
      <c r="U46" s="21">
        <v>3536.64</v>
      </c>
      <c r="V46" s="21">
        <v>1741.14</v>
      </c>
      <c r="W46" s="21">
        <v>-688.33</v>
      </c>
      <c r="X46" s="21">
        <v>4807.75</v>
      </c>
      <c r="Y46" s="21">
        <v>2713.49</v>
      </c>
      <c r="Z46" s="21">
        <v>-2262.94</v>
      </c>
      <c r="AA46" s="21">
        <f t="shared" si="13"/>
        <v>29234.12</v>
      </c>
      <c r="AB46" s="17">
        <f t="shared" si="14"/>
        <v>2.2591693964812845E-3</v>
      </c>
      <c r="AD46" s="21">
        <v>47630.6012238158</v>
      </c>
      <c r="AE46" s="17">
        <f t="shared" si="15"/>
        <v>2.8705235370035842E-3</v>
      </c>
      <c r="AF46" s="50">
        <f t="shared" si="16"/>
        <v>-18396.481223815801</v>
      </c>
      <c r="AG46" s="21">
        <v>21624.68</v>
      </c>
      <c r="AH46" s="17">
        <f t="shared" si="17"/>
        <v>1.4677976506447643E-3</v>
      </c>
      <c r="AI46" s="50">
        <f t="shared" si="18"/>
        <v>7609.4399999999987</v>
      </c>
      <c r="AJ46" s="399">
        <f t="shared" si="19"/>
        <v>0.60676878372768783</v>
      </c>
      <c r="AK46" s="400">
        <f t="shared" si="20"/>
        <v>0.98859695358687838</v>
      </c>
      <c r="AL46" s="401">
        <f t="shared" si="21"/>
        <v>0.44883105022831049</v>
      </c>
      <c r="AM46" s="402" t="str">
        <f t="shared" si="22"/>
        <v>-0.06 pts.</v>
      </c>
      <c r="AN46" s="403" t="str">
        <f t="shared" si="23"/>
        <v>0.08 pts.</v>
      </c>
    </row>
    <row r="47" spans="1:40" x14ac:dyDescent="0.25">
      <c r="A47" s="6" t="s">
        <v>28</v>
      </c>
      <c r="B47" s="7"/>
      <c r="H47" s="15" t="s">
        <v>923</v>
      </c>
      <c r="I47" s="161" t="s">
        <v>1009</v>
      </c>
      <c r="J47" s="161" t="s">
        <v>1009</v>
      </c>
      <c r="K47" s="68" t="str">
        <f t="shared" si="12"/>
        <v/>
      </c>
      <c r="L47" s="162">
        <v>692500</v>
      </c>
      <c r="M47" s="162">
        <v>490500</v>
      </c>
      <c r="N47" s="162" t="s">
        <v>1882</v>
      </c>
      <c r="O47" s="21">
        <v>12668.7</v>
      </c>
      <c r="P47" s="21">
        <v>923.89</v>
      </c>
      <c r="Q47" s="21">
        <v>612.38</v>
      </c>
      <c r="R47" s="21">
        <v>241.76</v>
      </c>
      <c r="S47" s="21">
        <v>6433.93</v>
      </c>
      <c r="T47" s="21">
        <v>1120.08</v>
      </c>
      <c r="U47" s="21">
        <v>7073.33</v>
      </c>
      <c r="V47" s="21">
        <v>1297.3900000000001</v>
      </c>
      <c r="W47" s="21">
        <v>7685.8</v>
      </c>
      <c r="X47" s="21">
        <v>168</v>
      </c>
      <c r="Y47" s="21">
        <v>6615.09</v>
      </c>
      <c r="Z47" s="21">
        <v>6879.61</v>
      </c>
      <c r="AA47" s="21">
        <f t="shared" si="13"/>
        <v>51719.960000000006</v>
      </c>
      <c r="AB47" s="17">
        <f t="shared" si="14"/>
        <v>3.9968417321689931E-3</v>
      </c>
      <c r="AD47" s="21">
        <v>59540.528186107898</v>
      </c>
      <c r="AE47" s="17">
        <f t="shared" si="15"/>
        <v>3.5882916270725137E-3</v>
      </c>
      <c r="AF47" s="50">
        <f t="shared" si="16"/>
        <v>-7820.568186107892</v>
      </c>
      <c r="AG47" s="21">
        <v>44290.22</v>
      </c>
      <c r="AH47" s="17">
        <f t="shared" si="17"/>
        <v>3.0062447565716464E-3</v>
      </c>
      <c r="AI47" s="50">
        <f t="shared" si="18"/>
        <v>7429.7400000000052</v>
      </c>
      <c r="AJ47" s="399">
        <f t="shared" si="19"/>
        <v>1.0734736405147365</v>
      </c>
      <c r="AK47" s="400">
        <f t="shared" si="20"/>
        <v>1.235793445124697</v>
      </c>
      <c r="AL47" s="401">
        <f t="shared" si="21"/>
        <v>0.91926567040265672</v>
      </c>
      <c r="AM47" s="402" t="str">
        <f t="shared" si="22"/>
        <v>0.04 pts.</v>
      </c>
      <c r="AN47" s="403" t="str">
        <f t="shared" si="23"/>
        <v>0.1 pts.</v>
      </c>
    </row>
    <row r="48" spans="1:40" x14ac:dyDescent="0.25">
      <c r="A48" s="6" t="s">
        <v>29</v>
      </c>
      <c r="B48" s="7"/>
      <c r="H48" s="15" t="s">
        <v>924</v>
      </c>
      <c r="I48" s="161" t="s">
        <v>1064</v>
      </c>
      <c r="J48" s="161" t="s">
        <v>78</v>
      </c>
      <c r="K48" s="68" t="str">
        <f t="shared" si="12"/>
        <v>&gt;</v>
      </c>
      <c r="L48" s="162"/>
      <c r="M48" s="162"/>
      <c r="N48" s="162" t="s">
        <v>1883</v>
      </c>
      <c r="O48" s="30">
        <v>2326.66</v>
      </c>
      <c r="P48" s="30">
        <v>12456.77</v>
      </c>
      <c r="Q48" s="30">
        <v>12516.1</v>
      </c>
      <c r="R48" s="30">
        <v>8765.3799999999992</v>
      </c>
      <c r="S48" s="30">
        <v>17036.060000000001</v>
      </c>
      <c r="T48" s="30">
        <v>8437.6200000000008</v>
      </c>
      <c r="U48" s="30">
        <v>8167.21</v>
      </c>
      <c r="V48" s="30">
        <v>7709.41</v>
      </c>
      <c r="W48" s="30">
        <v>2748.25</v>
      </c>
      <c r="X48" s="30">
        <v>14237.81</v>
      </c>
      <c r="Y48" s="30">
        <v>7509.18</v>
      </c>
      <c r="Z48" s="30">
        <v>6981.51</v>
      </c>
      <c r="AA48" s="30">
        <f t="shared" si="13"/>
        <v>108891.96</v>
      </c>
      <c r="AB48" s="31">
        <f t="shared" si="14"/>
        <v>8.4150090221584983E-3</v>
      </c>
      <c r="AD48" s="30">
        <v>96504.642970000205</v>
      </c>
      <c r="AE48" s="31">
        <f t="shared" si="15"/>
        <v>5.8159847232203471E-3</v>
      </c>
      <c r="AF48" s="51">
        <f t="shared" si="16"/>
        <v>12387.317029999802</v>
      </c>
      <c r="AG48" s="30">
        <v>83221.37</v>
      </c>
      <c r="AH48" s="31">
        <f t="shared" si="17"/>
        <v>5.6487370619791206E-3</v>
      </c>
      <c r="AI48" s="51">
        <f t="shared" si="18"/>
        <v>25670.590000000011</v>
      </c>
      <c r="AJ48" s="409">
        <f t="shared" si="19"/>
        <v>2.2601070983810709</v>
      </c>
      <c r="AK48" s="410">
        <f t="shared" si="20"/>
        <v>2.0030021371938607</v>
      </c>
      <c r="AL48" s="411">
        <f t="shared" si="21"/>
        <v>1.7273011623080115</v>
      </c>
      <c r="AM48" s="412" t="str">
        <f t="shared" si="22"/>
        <v>0.26 pts.</v>
      </c>
      <c r="AN48" s="413" t="str">
        <f t="shared" si="23"/>
        <v>0.28 pts.</v>
      </c>
    </row>
    <row r="49" spans="1:40" x14ac:dyDescent="0.25">
      <c r="A49" s="6" t="s">
        <v>30</v>
      </c>
      <c r="B49" s="7" t="s">
        <v>78</v>
      </c>
      <c r="H49" s="15" t="s">
        <v>852</v>
      </c>
      <c r="I49" s="479" t="s">
        <v>1012</v>
      </c>
      <c r="J49" s="479" t="s">
        <v>78</v>
      </c>
      <c r="K49" s="480" t="str">
        <f t="shared" si="12"/>
        <v/>
      </c>
      <c r="L49" s="170"/>
      <c r="M49" s="170"/>
      <c r="N49" s="170" t="s">
        <v>560</v>
      </c>
      <c r="O49" s="33">
        <v>19833.150000000001</v>
      </c>
      <c r="P49" s="33">
        <v>15705.25</v>
      </c>
      <c r="Q49" s="33">
        <v>16655.939999999999</v>
      </c>
      <c r="R49" s="33">
        <v>12540.97</v>
      </c>
      <c r="S49" s="33">
        <v>28324.959999999999</v>
      </c>
      <c r="T49" s="33">
        <v>12506.08</v>
      </c>
      <c r="U49" s="33">
        <v>18777.18</v>
      </c>
      <c r="V49" s="33">
        <v>11155.94</v>
      </c>
      <c r="W49" s="33">
        <v>12020.95</v>
      </c>
      <c r="X49" s="33">
        <v>19213.560000000001</v>
      </c>
      <c r="Y49" s="33">
        <v>17510.84</v>
      </c>
      <c r="Z49" s="33">
        <v>11598.18</v>
      </c>
      <c r="AA49" s="33">
        <f t="shared" si="13"/>
        <v>195843</v>
      </c>
      <c r="AB49" s="34">
        <f t="shared" si="14"/>
        <v>1.5134456317312929E-2</v>
      </c>
      <c r="AC49" s="35"/>
      <c r="AD49" s="33">
        <v>203675.77237992399</v>
      </c>
      <c r="AE49" s="34">
        <f t="shared" si="15"/>
        <v>1.2274799887296451E-2</v>
      </c>
      <c r="AF49" s="52">
        <f t="shared" si="16"/>
        <v>-7832.7723799239902</v>
      </c>
      <c r="AG49" s="33">
        <v>150149.65</v>
      </c>
      <c r="AH49" s="34">
        <f t="shared" si="17"/>
        <v>1.0191563690890852E-2</v>
      </c>
      <c r="AI49" s="52">
        <f t="shared" si="18"/>
        <v>45693.350000000006</v>
      </c>
      <c r="AJ49" s="364">
        <f t="shared" si="19"/>
        <v>4.0648194271481941</v>
      </c>
      <c r="AK49" s="365">
        <f t="shared" si="20"/>
        <v>4.2273925359054374</v>
      </c>
      <c r="AL49" s="367">
        <f t="shared" si="21"/>
        <v>3.1164310917393108</v>
      </c>
      <c r="AM49" s="414" t="str">
        <f t="shared" si="22"/>
        <v>0.29 pts.</v>
      </c>
      <c r="AN49" s="435" t="str">
        <f t="shared" si="23"/>
        <v>0.49 pts.</v>
      </c>
    </row>
    <row r="50" spans="1:40" x14ac:dyDescent="0.25">
      <c r="A50" s="6" t="s">
        <v>31</v>
      </c>
      <c r="B50" s="7" t="s">
        <v>78</v>
      </c>
      <c r="I50" s="1"/>
      <c r="J50" s="1"/>
      <c r="L50" s="1"/>
      <c r="M50" s="1"/>
      <c r="N50" s="162"/>
      <c r="O50" s="41"/>
      <c r="P50" s="45"/>
      <c r="Q50" s="45"/>
      <c r="R50" s="45"/>
      <c r="S50" s="45"/>
      <c r="T50" s="45"/>
      <c r="U50" s="45"/>
      <c r="V50" s="45"/>
      <c r="W50" s="45"/>
      <c r="X50" s="45"/>
      <c r="Y50" s="45"/>
      <c r="Z50" s="45"/>
      <c r="AA50" s="45"/>
      <c r="AB50" s="42"/>
      <c r="AD50" s="41"/>
      <c r="AE50" s="45"/>
      <c r="AF50" s="42"/>
      <c r="AG50" s="41"/>
      <c r="AH50" s="45"/>
      <c r="AI50" s="42"/>
    </row>
    <row r="51" spans="1:40" x14ac:dyDescent="0.25">
      <c r="A51" s="6" t="s">
        <v>32</v>
      </c>
      <c r="B51" s="7"/>
      <c r="N51" s="8" t="s">
        <v>562</v>
      </c>
      <c r="O51" s="43"/>
      <c r="P51" s="46"/>
      <c r="Q51" s="46"/>
      <c r="R51" s="46"/>
      <c r="S51" s="46"/>
      <c r="T51" s="46"/>
      <c r="U51" s="46"/>
      <c r="V51" s="46"/>
      <c r="W51" s="46"/>
      <c r="X51" s="46"/>
      <c r="Y51" s="46"/>
      <c r="Z51" s="46"/>
      <c r="AA51" s="46"/>
      <c r="AB51" s="44"/>
      <c r="AD51" s="43"/>
      <c r="AE51" s="46"/>
      <c r="AF51" s="44"/>
      <c r="AG51" s="43"/>
      <c r="AH51" s="46"/>
      <c r="AI51" s="44"/>
    </row>
    <row r="52" spans="1:40" x14ac:dyDescent="0.25">
      <c r="A52" s="6" t="s">
        <v>33</v>
      </c>
      <c r="B52" s="7"/>
      <c r="H52" s="15" t="s">
        <v>910</v>
      </c>
      <c r="I52" s="161" t="s">
        <v>1009</v>
      </c>
      <c r="J52" s="161" t="s">
        <v>1009</v>
      </c>
      <c r="K52" s="68" t="str">
        <f t="shared" ref="K52:K61" si="24">IF(AND(I52&gt;="T4"),"&gt;","")</f>
        <v/>
      </c>
      <c r="L52" s="162">
        <v>693040</v>
      </c>
      <c r="M52" s="162">
        <v>490120</v>
      </c>
      <c r="N52" s="162" t="s">
        <v>1884</v>
      </c>
      <c r="O52" s="21"/>
      <c r="P52" s="21"/>
      <c r="Q52" s="21"/>
      <c r="R52" s="21"/>
      <c r="S52" s="21"/>
      <c r="T52" s="21"/>
      <c r="U52" s="21"/>
      <c r="V52" s="21"/>
      <c r="W52" s="21"/>
      <c r="X52" s="21"/>
      <c r="Y52" s="21"/>
      <c r="Z52" s="21">
        <v>20.46</v>
      </c>
      <c r="AA52" s="21">
        <f t="shared" ref="AA52:AA61" si="25">IF($I52="B1","",SUM(O52:Z52))</f>
        <v>20.46</v>
      </c>
      <c r="AB52" s="17">
        <f t="shared" ref="AB52:AB61" si="26">IF(AA52=0,"",IFERROR(AA52/AA$19,""))</f>
        <v>1.5811184277825736E-6</v>
      </c>
      <c r="AD52" s="21"/>
      <c r="AE52" s="17" t="str">
        <f t="shared" ref="AE52:AE61" si="27">IF(AD52=0,"",IFERROR(AD52/AD$19,""))</f>
        <v/>
      </c>
      <c r="AF52" s="50">
        <f t="shared" ref="AF52:AF61" si="28">IF(AND($AA52="",AD52=""),"",$AA52-AD52)</f>
        <v>20.46</v>
      </c>
      <c r="AG52" s="21"/>
      <c r="AH52" s="17" t="str">
        <f t="shared" ref="AH52:AH61" si="29">IF(AG52=0,"",IFERROR(AG52/AG$19,""))</f>
        <v/>
      </c>
      <c r="AI52" s="50">
        <f t="shared" ref="AI52:AI61" si="30">IF(AND($AA52="",AG52=""),"",$AA52-AG52)</f>
        <v>20.46</v>
      </c>
      <c r="AJ52" s="399">
        <f t="shared" ref="AJ52:AJ61" si="31">IFERROR(AA52/AA$20,0)</f>
        <v>4.2465753424657536E-4</v>
      </c>
      <c r="AK52" s="400">
        <f t="shared" ref="AK52:AK61" si="32">IFERROR(AD52/AD$20,0)</f>
        <v>0</v>
      </c>
      <c r="AL52" s="401">
        <f t="shared" ref="AL52:AL61" si="33">IFERROR(AG52/AG$20,0)</f>
        <v>0</v>
      </c>
      <c r="AM52" s="402">
        <f t="shared" ref="AM52:AM61" si="34">+IFERROR(ROUND(($AB52-AE52)*100,2)&amp;" pts.",0)</f>
        <v>0</v>
      </c>
      <c r="AN52" s="403">
        <f t="shared" ref="AN52:AN61" si="35">+IFERROR(ROUND(($AB52-AH52)*100,2)&amp;" pts.",0)</f>
        <v>0</v>
      </c>
    </row>
    <row r="53" spans="1:40" x14ac:dyDescent="0.25">
      <c r="A53" s="6" t="s">
        <v>34</v>
      </c>
      <c r="B53" s="7"/>
      <c r="H53" s="15" t="s">
        <v>911</v>
      </c>
      <c r="I53" s="161" t="s">
        <v>1064</v>
      </c>
      <c r="J53" s="161" t="s">
        <v>78</v>
      </c>
      <c r="K53" s="68" t="str">
        <f t="shared" si="24"/>
        <v>&gt;</v>
      </c>
      <c r="L53" s="162"/>
      <c r="M53" s="162"/>
      <c r="N53" s="162" t="s">
        <v>1885</v>
      </c>
      <c r="O53" s="21">
        <v>3721.99</v>
      </c>
      <c r="P53" s="21">
        <v>3981.47</v>
      </c>
      <c r="Q53" s="21">
        <v>5334.01</v>
      </c>
      <c r="R53" s="21">
        <v>5201.9799999999996</v>
      </c>
      <c r="S53" s="21">
        <v>5882.94</v>
      </c>
      <c r="T53" s="21">
        <v>6764.05</v>
      </c>
      <c r="U53" s="21">
        <v>6421.68</v>
      </c>
      <c r="V53" s="21">
        <v>6906.73</v>
      </c>
      <c r="W53" s="21">
        <v>6842.84</v>
      </c>
      <c r="X53" s="21">
        <v>6452.97</v>
      </c>
      <c r="Y53" s="21">
        <v>6175.06</v>
      </c>
      <c r="Z53" s="21">
        <v>6604.87</v>
      </c>
      <c r="AA53" s="21">
        <f t="shared" si="25"/>
        <v>70290.589999999982</v>
      </c>
      <c r="AB53" s="17">
        <f t="shared" si="26"/>
        <v>5.4319524510610681E-3</v>
      </c>
      <c r="AD53" s="21">
        <v>25443.3950750166</v>
      </c>
      <c r="AE53" s="17">
        <f t="shared" si="27"/>
        <v>1.5333811152397868E-3</v>
      </c>
      <c r="AF53" s="50">
        <f t="shared" si="28"/>
        <v>44847.194924983385</v>
      </c>
      <c r="AG53" s="21">
        <v>25125.19</v>
      </c>
      <c r="AH53" s="17">
        <f t="shared" si="29"/>
        <v>1.7053984083927865E-3</v>
      </c>
      <c r="AI53" s="50">
        <f t="shared" si="30"/>
        <v>45165.39999999998</v>
      </c>
      <c r="AJ53" s="399">
        <f t="shared" si="31"/>
        <v>1.4589163553341631</v>
      </c>
      <c r="AK53" s="400">
        <f t="shared" si="32"/>
        <v>0.52809039176041095</v>
      </c>
      <c r="AL53" s="401">
        <f t="shared" si="33"/>
        <v>0.52148588625985881</v>
      </c>
      <c r="AM53" s="402" t="str">
        <f t="shared" si="34"/>
        <v>0.39 pts.</v>
      </c>
      <c r="AN53" s="403" t="str">
        <f t="shared" si="35"/>
        <v>0.37 pts.</v>
      </c>
    </row>
    <row r="54" spans="1:40" x14ac:dyDescent="0.25">
      <c r="A54" s="6" t="s">
        <v>35</v>
      </c>
      <c r="B54" s="7"/>
      <c r="H54" s="15" t="s">
        <v>912</v>
      </c>
      <c r="I54" s="161" t="s">
        <v>1009</v>
      </c>
      <c r="J54" s="161" t="s">
        <v>1009</v>
      </c>
      <c r="K54" s="68" t="str">
        <f t="shared" si="24"/>
        <v/>
      </c>
      <c r="L54" s="162">
        <v>693160</v>
      </c>
      <c r="M54" s="162">
        <v>490700</v>
      </c>
      <c r="N54" s="162" t="s">
        <v>1886</v>
      </c>
      <c r="O54" s="21">
        <v>592.77</v>
      </c>
      <c r="P54" s="21">
        <v>605.83000000000004</v>
      </c>
      <c r="Q54" s="21">
        <v>593.41</v>
      </c>
      <c r="R54" s="21">
        <v>602.62</v>
      </c>
      <c r="S54" s="21">
        <v>538.64</v>
      </c>
      <c r="T54" s="21">
        <v>534.14</v>
      </c>
      <c r="U54" s="21">
        <v>597.71</v>
      </c>
      <c r="V54" s="21">
        <v>615.76</v>
      </c>
      <c r="W54" s="21">
        <v>653.54</v>
      </c>
      <c r="X54" s="21">
        <v>718.2</v>
      </c>
      <c r="Y54" s="21">
        <v>718.91</v>
      </c>
      <c r="Z54" s="21">
        <v>647.05999999999995</v>
      </c>
      <c r="AA54" s="21">
        <f t="shared" si="25"/>
        <v>7418.5899999999983</v>
      </c>
      <c r="AB54" s="17">
        <f t="shared" si="26"/>
        <v>5.7329762253976145E-4</v>
      </c>
      <c r="AD54" s="21">
        <v>11463.24</v>
      </c>
      <c r="AE54" s="17">
        <f t="shared" si="27"/>
        <v>6.9084788738437905E-4</v>
      </c>
      <c r="AF54" s="50">
        <f t="shared" si="28"/>
        <v>-4044.6500000000015</v>
      </c>
      <c r="AG54" s="21">
        <v>5203.3999999999996</v>
      </c>
      <c r="AH54" s="17">
        <f t="shared" si="29"/>
        <v>3.531861879743407E-4</v>
      </c>
      <c r="AI54" s="50">
        <f t="shared" si="30"/>
        <v>2215.1899999999987</v>
      </c>
      <c r="AJ54" s="399">
        <f t="shared" si="31"/>
        <v>0.15397654628476543</v>
      </c>
      <c r="AK54" s="400">
        <f t="shared" si="32"/>
        <v>0.2379252801992528</v>
      </c>
      <c r="AL54" s="401">
        <f t="shared" si="33"/>
        <v>0.10799916977999169</v>
      </c>
      <c r="AM54" s="402" t="str">
        <f t="shared" si="34"/>
        <v>-0.01 pts.</v>
      </c>
      <c r="AN54" s="403" t="str">
        <f t="shared" si="35"/>
        <v>0.02 pts.</v>
      </c>
    </row>
    <row r="55" spans="1:40" x14ac:dyDescent="0.25">
      <c r="A55" s="6" t="s">
        <v>36</v>
      </c>
      <c r="B55" s="7"/>
      <c r="H55" s="15" t="s">
        <v>913</v>
      </c>
      <c r="I55" s="161" t="s">
        <v>1009</v>
      </c>
      <c r="J55" s="161" t="s">
        <v>1009</v>
      </c>
      <c r="K55" s="68" t="str">
        <f t="shared" si="24"/>
        <v/>
      </c>
      <c r="L55" s="162">
        <v>693200</v>
      </c>
      <c r="M55" s="162">
        <v>490046</v>
      </c>
      <c r="N55" s="162" t="s">
        <v>1887</v>
      </c>
      <c r="O55" s="21">
        <v>161.25</v>
      </c>
      <c r="P55" s="21">
        <v>398.77</v>
      </c>
      <c r="Q55" s="21">
        <v>902.65</v>
      </c>
      <c r="R55" s="21">
        <v>724.18</v>
      </c>
      <c r="S55" s="21">
        <v>731.89</v>
      </c>
      <c r="T55" s="21">
        <v>706.61</v>
      </c>
      <c r="U55" s="21">
        <v>706.03</v>
      </c>
      <c r="V55" s="21">
        <v>694.05</v>
      </c>
      <c r="W55" s="21">
        <v>660.81</v>
      </c>
      <c r="X55" s="21">
        <v>642.54999999999995</v>
      </c>
      <c r="Y55" s="21">
        <v>652.04999999999995</v>
      </c>
      <c r="Z55" s="21">
        <v>594.32000000000005</v>
      </c>
      <c r="AA55" s="21">
        <f t="shared" si="25"/>
        <v>7575.16</v>
      </c>
      <c r="AB55" s="17">
        <f t="shared" si="26"/>
        <v>5.8539711971659035E-4</v>
      </c>
      <c r="AD55" s="21">
        <v>-752.4</v>
      </c>
      <c r="AE55" s="17">
        <f t="shared" si="27"/>
        <v>-4.5344418372816661E-5</v>
      </c>
      <c r="AF55" s="50">
        <f t="shared" si="28"/>
        <v>8327.56</v>
      </c>
      <c r="AG55" s="21">
        <v>48.64</v>
      </c>
      <c r="AH55" s="17">
        <f t="shared" si="29"/>
        <v>3.3014905990452264E-6</v>
      </c>
      <c r="AI55" s="50">
        <f t="shared" si="30"/>
        <v>7526.5199999999995</v>
      </c>
      <c r="AJ55" s="399">
        <f t="shared" si="31"/>
        <v>0.15722623495226234</v>
      </c>
      <c r="AK55" s="400">
        <f t="shared" si="32"/>
        <v>-1.5616438356164383E-2</v>
      </c>
      <c r="AL55" s="401">
        <f t="shared" si="33"/>
        <v>1.0095475300954753E-3</v>
      </c>
      <c r="AM55" s="402" t="str">
        <f t="shared" si="34"/>
        <v>0.06 pts.</v>
      </c>
      <c r="AN55" s="403" t="str">
        <f t="shared" si="35"/>
        <v>0.06 pts.</v>
      </c>
    </row>
    <row r="56" spans="1:40" x14ac:dyDescent="0.25">
      <c r="A56" s="6" t="s">
        <v>37</v>
      </c>
      <c r="B56" s="7"/>
      <c r="H56" s="15" t="s">
        <v>914</v>
      </c>
      <c r="I56" s="161" t="s">
        <v>1009</v>
      </c>
      <c r="J56" s="161" t="s">
        <v>1009</v>
      </c>
      <c r="K56" s="68" t="str">
        <f t="shared" si="24"/>
        <v/>
      </c>
      <c r="L56" s="162">
        <v>693280</v>
      </c>
      <c r="M56" s="162">
        <v>490043</v>
      </c>
      <c r="N56" s="162" t="s">
        <v>1888</v>
      </c>
      <c r="O56" s="21">
        <v>337.75</v>
      </c>
      <c r="P56" s="21">
        <v>337.75</v>
      </c>
      <c r="Q56" s="21">
        <v>343.72</v>
      </c>
      <c r="R56" s="21">
        <v>334.66</v>
      </c>
      <c r="S56" s="21">
        <v>299.42</v>
      </c>
      <c r="T56" s="21">
        <v>287.72000000000003</v>
      </c>
      <c r="U56" s="21">
        <v>284.95999999999998</v>
      </c>
      <c r="V56" s="21">
        <v>284.95999999999998</v>
      </c>
      <c r="W56" s="21">
        <v>284.82</v>
      </c>
      <c r="X56" s="21">
        <v>293.76</v>
      </c>
      <c r="Y56" s="21">
        <v>293.76</v>
      </c>
      <c r="Z56" s="21">
        <v>291.33999999999997</v>
      </c>
      <c r="AA56" s="21">
        <f t="shared" si="25"/>
        <v>3674.6200000000008</v>
      </c>
      <c r="AB56" s="17">
        <f t="shared" si="26"/>
        <v>2.8396917874381236E-4</v>
      </c>
      <c r="AD56" s="21">
        <v>1337.76</v>
      </c>
      <c r="AE56" s="17">
        <f t="shared" si="27"/>
        <v>8.062194194898886E-5</v>
      </c>
      <c r="AF56" s="50">
        <f t="shared" si="28"/>
        <v>2336.8600000000006</v>
      </c>
      <c r="AG56" s="21">
        <v>707.99</v>
      </c>
      <c r="AH56" s="17">
        <f t="shared" si="29"/>
        <v>4.8055557755304893E-5</v>
      </c>
      <c r="AI56" s="50">
        <f t="shared" si="30"/>
        <v>2966.630000000001</v>
      </c>
      <c r="AJ56" s="399">
        <f t="shared" si="31"/>
        <v>7.6268576172685773E-2</v>
      </c>
      <c r="AK56" s="400">
        <f t="shared" si="32"/>
        <v>2.776587795765878E-2</v>
      </c>
      <c r="AL56" s="401">
        <f t="shared" si="33"/>
        <v>1.4694686591946867E-2</v>
      </c>
      <c r="AM56" s="402" t="str">
        <f t="shared" si="34"/>
        <v>0.02 pts.</v>
      </c>
      <c r="AN56" s="403" t="str">
        <f t="shared" si="35"/>
        <v>0.02 pts.</v>
      </c>
    </row>
    <row r="57" spans="1:40" x14ac:dyDescent="0.25">
      <c r="A57" s="6" t="s">
        <v>38</v>
      </c>
      <c r="B57" s="7"/>
      <c r="H57" s="15" t="s">
        <v>915</v>
      </c>
      <c r="I57" s="161" t="s">
        <v>1064</v>
      </c>
      <c r="J57" s="161" t="s">
        <v>78</v>
      </c>
      <c r="K57" s="68" t="str">
        <f t="shared" si="24"/>
        <v>&gt;</v>
      </c>
      <c r="L57" s="162"/>
      <c r="M57" s="162"/>
      <c r="N57" s="162" t="s">
        <v>1889</v>
      </c>
      <c r="O57" s="21">
        <v>23472.6</v>
      </c>
      <c r="P57" s="21">
        <v>22187.65</v>
      </c>
      <c r="Q57" s="21">
        <v>19097.330000000002</v>
      </c>
      <c r="R57" s="21">
        <v>20652.689999999999</v>
      </c>
      <c r="S57" s="21">
        <v>20991.11</v>
      </c>
      <c r="T57" s="21">
        <v>17811.66</v>
      </c>
      <c r="U57" s="21">
        <v>18898.38</v>
      </c>
      <c r="V57" s="21">
        <v>19574.73</v>
      </c>
      <c r="W57" s="21">
        <v>13087.62</v>
      </c>
      <c r="X57" s="21">
        <v>15436.87</v>
      </c>
      <c r="Y57" s="21">
        <v>14385.31</v>
      </c>
      <c r="Z57" s="21">
        <v>14095.88</v>
      </c>
      <c r="AA57" s="21">
        <f t="shared" si="25"/>
        <v>219691.83000000002</v>
      </c>
      <c r="AB57" s="17">
        <f t="shared" si="26"/>
        <v>1.6977458496885457E-2</v>
      </c>
      <c r="AD57" s="21">
        <v>187252.2</v>
      </c>
      <c r="AE57" s="17">
        <f t="shared" si="27"/>
        <v>1.1285010762932403E-2</v>
      </c>
      <c r="AF57" s="50">
        <f t="shared" si="28"/>
        <v>32439.630000000005</v>
      </c>
      <c r="AG57" s="21">
        <v>164220.87</v>
      </c>
      <c r="AH57" s="17">
        <f t="shared" si="29"/>
        <v>1.1146662386349265E-2</v>
      </c>
      <c r="AI57" s="50">
        <f t="shared" si="30"/>
        <v>55470.960000000021</v>
      </c>
      <c r="AJ57" s="399">
        <f t="shared" si="31"/>
        <v>4.5598138231631387</v>
      </c>
      <c r="AK57" s="400">
        <f t="shared" si="32"/>
        <v>3.886513075965131</v>
      </c>
      <c r="AL57" s="401">
        <f t="shared" si="33"/>
        <v>3.4084863013698627</v>
      </c>
      <c r="AM57" s="402" t="str">
        <f t="shared" si="34"/>
        <v>0.57 pts.</v>
      </c>
      <c r="AN57" s="403" t="str">
        <f t="shared" si="35"/>
        <v>0.58 pts.</v>
      </c>
    </row>
    <row r="58" spans="1:40" x14ac:dyDescent="0.25">
      <c r="A58" s="6" t="s">
        <v>39</v>
      </c>
      <c r="B58" s="7"/>
      <c r="H58" s="15" t="s">
        <v>916</v>
      </c>
      <c r="I58" s="161" t="s">
        <v>1064</v>
      </c>
      <c r="J58" s="161" t="s">
        <v>78</v>
      </c>
      <c r="K58" s="68" t="str">
        <f t="shared" si="24"/>
        <v>&gt;</v>
      </c>
      <c r="L58" s="162"/>
      <c r="M58" s="162"/>
      <c r="N58" s="162" t="s">
        <v>1890</v>
      </c>
      <c r="O58" s="21">
        <v>4340</v>
      </c>
      <c r="P58" s="21">
        <v>3920</v>
      </c>
      <c r="Q58" s="21">
        <v>4340</v>
      </c>
      <c r="R58" s="21">
        <v>4200</v>
      </c>
      <c r="S58" s="21">
        <v>4340</v>
      </c>
      <c r="T58" s="21">
        <v>4200</v>
      </c>
      <c r="U58" s="21">
        <v>4340</v>
      </c>
      <c r="V58" s="21">
        <v>5121.2</v>
      </c>
      <c r="W58" s="21">
        <v>4956</v>
      </c>
      <c r="X58" s="21">
        <v>4755.3999999999996</v>
      </c>
      <c r="Y58" s="21">
        <v>4956</v>
      </c>
      <c r="Z58" s="21"/>
      <c r="AA58" s="21">
        <f t="shared" si="25"/>
        <v>49468.6</v>
      </c>
      <c r="AB58" s="17">
        <f t="shared" si="26"/>
        <v>3.8228599734411051E-3</v>
      </c>
      <c r="AD58" s="21">
        <v>45560.718818576803</v>
      </c>
      <c r="AE58" s="17">
        <f t="shared" si="27"/>
        <v>2.7457792337530671E-3</v>
      </c>
      <c r="AF58" s="50">
        <f t="shared" si="28"/>
        <v>3907.8811814231958</v>
      </c>
      <c r="AG58" s="21">
        <v>46885</v>
      </c>
      <c r="AH58" s="17">
        <f t="shared" si="29"/>
        <v>3.1823681483601038E-3</v>
      </c>
      <c r="AI58" s="50">
        <f t="shared" si="30"/>
        <v>2583.5999999999985</v>
      </c>
      <c r="AJ58" s="399">
        <f t="shared" si="31"/>
        <v>1.0267455375674552</v>
      </c>
      <c r="AK58" s="400">
        <f t="shared" si="32"/>
        <v>0.94563550889532588</v>
      </c>
      <c r="AL58" s="401">
        <f t="shared" si="33"/>
        <v>0.97312162723121631</v>
      </c>
      <c r="AM58" s="402" t="str">
        <f t="shared" si="34"/>
        <v>0.11 pts.</v>
      </c>
      <c r="AN58" s="403" t="str">
        <f t="shared" si="35"/>
        <v>0.06 pts.</v>
      </c>
    </row>
    <row r="59" spans="1:40" x14ac:dyDescent="0.25">
      <c r="A59" s="6" t="s">
        <v>40</v>
      </c>
      <c r="B59" s="7"/>
      <c r="H59" s="15" t="s">
        <v>917</v>
      </c>
      <c r="I59" s="161" t="s">
        <v>1009</v>
      </c>
      <c r="J59" s="161" t="s">
        <v>1009</v>
      </c>
      <c r="K59" s="68" t="str">
        <f t="shared" si="24"/>
        <v/>
      </c>
      <c r="L59" s="162">
        <v>693480</v>
      </c>
      <c r="M59" s="162">
        <v>490750</v>
      </c>
      <c r="N59" s="162" t="s">
        <v>1891</v>
      </c>
      <c r="O59" s="21">
        <v>547.25</v>
      </c>
      <c r="P59" s="21">
        <v>569.08000000000004</v>
      </c>
      <c r="Q59" s="21">
        <v>20.420000000000002</v>
      </c>
      <c r="R59" s="21">
        <v>-100.96</v>
      </c>
      <c r="S59" s="21">
        <v>-85.26</v>
      </c>
      <c r="T59" s="21">
        <v>-86.65</v>
      </c>
      <c r="U59" s="21">
        <v>1897.75</v>
      </c>
      <c r="V59" s="21">
        <v>-121.15</v>
      </c>
      <c r="W59" s="21">
        <v>-132.01</v>
      </c>
      <c r="X59" s="21">
        <v>-137.63999999999999</v>
      </c>
      <c r="Y59" s="21">
        <v>-134.33000000000001</v>
      </c>
      <c r="Z59" s="21">
        <v>-157.02000000000001</v>
      </c>
      <c r="AA59" s="21">
        <f t="shared" si="25"/>
        <v>2079.4800000000005</v>
      </c>
      <c r="AB59" s="17">
        <f t="shared" si="26"/>
        <v>1.6069912747826524E-4</v>
      </c>
      <c r="AD59" s="21">
        <v>-46368</v>
      </c>
      <c r="AE59" s="17">
        <f t="shared" si="27"/>
        <v>-2.7944311418271702E-3</v>
      </c>
      <c r="AF59" s="50">
        <f t="shared" si="28"/>
        <v>48447.48</v>
      </c>
      <c r="AG59" s="21">
        <v>-59288.58</v>
      </c>
      <c r="AH59" s="17">
        <f t="shared" si="29"/>
        <v>-4.0242740440119412E-3</v>
      </c>
      <c r="AI59" s="50">
        <f t="shared" si="30"/>
        <v>61368.060000000005</v>
      </c>
      <c r="AJ59" s="399">
        <f t="shared" si="31"/>
        <v>4.3160647571606488E-2</v>
      </c>
      <c r="AK59" s="400">
        <f t="shared" si="32"/>
        <v>-0.96239103362391032</v>
      </c>
      <c r="AL59" s="401">
        <f t="shared" si="33"/>
        <v>-1.2305641344956413</v>
      </c>
      <c r="AM59" s="402" t="str">
        <f t="shared" si="34"/>
        <v>0.3 pts.</v>
      </c>
      <c r="AN59" s="403" t="str">
        <f t="shared" si="35"/>
        <v>0.42 pts.</v>
      </c>
    </row>
    <row r="60" spans="1:40" x14ac:dyDescent="0.25">
      <c r="A60" s="6" t="s">
        <v>41</v>
      </c>
      <c r="B60" s="7"/>
      <c r="H60" s="15" t="s">
        <v>918</v>
      </c>
      <c r="I60" s="161" t="s">
        <v>1064</v>
      </c>
      <c r="J60" s="161" t="s">
        <v>78</v>
      </c>
      <c r="K60" s="68" t="str">
        <f t="shared" si="24"/>
        <v>&gt;</v>
      </c>
      <c r="L60" s="162"/>
      <c r="M60" s="162"/>
      <c r="N60" s="162" t="s">
        <v>1892</v>
      </c>
      <c r="O60" s="30">
        <v>3119.79</v>
      </c>
      <c r="P60" s="30">
        <v>2477.8000000000002</v>
      </c>
      <c r="Q60" s="30">
        <v>2477.8000000000002</v>
      </c>
      <c r="R60" s="30">
        <v>4088.28</v>
      </c>
      <c r="S60" s="30">
        <v>9553.18</v>
      </c>
      <c r="T60" s="30">
        <v>3283.04</v>
      </c>
      <c r="U60" s="30">
        <v>3283.04</v>
      </c>
      <c r="V60" s="30">
        <v>5269.91</v>
      </c>
      <c r="W60" s="30">
        <v>3945.33</v>
      </c>
      <c r="X60" s="30">
        <v>5174.0200000000004</v>
      </c>
      <c r="Y60" s="30">
        <v>3396.46</v>
      </c>
      <c r="Z60" s="30">
        <v>3945.33</v>
      </c>
      <c r="AA60" s="30">
        <f t="shared" si="25"/>
        <v>50013.98</v>
      </c>
      <c r="AB60" s="31">
        <f t="shared" si="26"/>
        <v>3.8650061302418904E-3</v>
      </c>
      <c r="AD60" s="30">
        <v>34768.788532892897</v>
      </c>
      <c r="AE60" s="31">
        <f t="shared" si="27"/>
        <v>2.0953887474102683E-3</v>
      </c>
      <c r="AF60" s="51">
        <f t="shared" si="28"/>
        <v>15245.191467107106</v>
      </c>
      <c r="AG60" s="30">
        <v>27675.38</v>
      </c>
      <c r="AH60" s="31">
        <f t="shared" si="29"/>
        <v>1.8784952075453184E-3</v>
      </c>
      <c r="AI60" s="51">
        <f t="shared" si="30"/>
        <v>22338.600000000002</v>
      </c>
      <c r="AJ60" s="409">
        <f t="shared" si="31"/>
        <v>1.0380651722706518</v>
      </c>
      <c r="AK60" s="410">
        <f t="shared" si="32"/>
        <v>0.72164359761089447</v>
      </c>
      <c r="AL60" s="411">
        <f t="shared" si="33"/>
        <v>0.57441635533416358</v>
      </c>
      <c r="AM60" s="412" t="str">
        <f t="shared" si="34"/>
        <v>0.18 pts.</v>
      </c>
      <c r="AN60" s="413" t="str">
        <f t="shared" si="35"/>
        <v>0.2 pts.</v>
      </c>
    </row>
    <row r="61" spans="1:40" x14ac:dyDescent="0.25">
      <c r="A61" s="6" t="s">
        <v>42</v>
      </c>
      <c r="B61" s="7"/>
      <c r="H61" s="15" t="s">
        <v>853</v>
      </c>
      <c r="I61" s="479" t="s">
        <v>1012</v>
      </c>
      <c r="J61" s="479" t="s">
        <v>78</v>
      </c>
      <c r="K61" s="480" t="str">
        <f t="shared" si="24"/>
        <v/>
      </c>
      <c r="L61" s="170"/>
      <c r="M61" s="170"/>
      <c r="N61" s="170" t="s">
        <v>562</v>
      </c>
      <c r="O61" s="33">
        <v>36293.4</v>
      </c>
      <c r="P61" s="33">
        <v>34478.35</v>
      </c>
      <c r="Q61" s="33">
        <v>33109.339999999997</v>
      </c>
      <c r="R61" s="33">
        <v>35703.449999999997</v>
      </c>
      <c r="S61" s="33">
        <v>42251.92</v>
      </c>
      <c r="T61" s="33">
        <v>33500.57</v>
      </c>
      <c r="U61" s="33">
        <v>36429.550000000003</v>
      </c>
      <c r="V61" s="33">
        <v>38346.19</v>
      </c>
      <c r="W61" s="33">
        <v>30298.95</v>
      </c>
      <c r="X61" s="33">
        <v>33336.129999999997</v>
      </c>
      <c r="Y61" s="33">
        <v>30443.22</v>
      </c>
      <c r="Z61" s="33">
        <v>26042.240000000002</v>
      </c>
      <c r="AA61" s="33">
        <f t="shared" si="25"/>
        <v>410233.30999999994</v>
      </c>
      <c r="AB61" s="34">
        <f t="shared" si="26"/>
        <v>3.1702221218535727E-2</v>
      </c>
      <c r="AC61" s="35"/>
      <c r="AD61" s="33">
        <v>258705.70242648601</v>
      </c>
      <c r="AE61" s="34">
        <f t="shared" si="27"/>
        <v>1.5591254128468889E-2</v>
      </c>
      <c r="AF61" s="52">
        <f t="shared" si="28"/>
        <v>151527.60757351393</v>
      </c>
      <c r="AG61" s="33">
        <v>210577.89</v>
      </c>
      <c r="AH61" s="34">
        <f t="shared" si="29"/>
        <v>1.4293193342964224E-2</v>
      </c>
      <c r="AI61" s="52">
        <f t="shared" si="30"/>
        <v>199655.41999999993</v>
      </c>
      <c r="AJ61" s="364">
        <f t="shared" si="31"/>
        <v>8.5145975508509739</v>
      </c>
      <c r="AK61" s="365">
        <f t="shared" si="32"/>
        <v>5.3695662604085932</v>
      </c>
      <c r="AL61" s="367">
        <f t="shared" si="33"/>
        <v>4.370649439601495</v>
      </c>
      <c r="AM61" s="414" t="str">
        <f t="shared" si="34"/>
        <v>1.61 pts.</v>
      </c>
      <c r="AN61" s="435" t="str">
        <f t="shared" si="35"/>
        <v>1.74 pts.</v>
      </c>
    </row>
    <row r="62" spans="1:40" x14ac:dyDescent="0.25">
      <c r="A62" s="6" t="s">
        <v>43</v>
      </c>
      <c r="B62" s="7"/>
      <c r="H62" s="25"/>
      <c r="I62" s="25"/>
      <c r="J62" s="25"/>
      <c r="K62" s="25"/>
      <c r="L62" s="25"/>
      <c r="M62" s="25"/>
      <c r="N62" s="25"/>
      <c r="O62" s="53"/>
      <c r="P62" s="54"/>
      <c r="Q62" s="54"/>
      <c r="R62" s="54"/>
      <c r="S62" s="54"/>
      <c r="T62" s="54"/>
      <c r="U62" s="54"/>
      <c r="V62" s="54"/>
      <c r="W62" s="54"/>
      <c r="X62" s="54"/>
      <c r="Y62" s="54"/>
      <c r="Z62" s="54"/>
      <c r="AA62" s="54"/>
      <c r="AB62" s="55"/>
      <c r="AD62" s="53"/>
      <c r="AE62" s="54"/>
      <c r="AF62" s="55"/>
      <c r="AG62" s="53"/>
      <c r="AH62" s="54"/>
      <c r="AI62" s="55"/>
    </row>
    <row r="63" spans="1:40" ht="15.75" thickBot="1" x14ac:dyDescent="0.3">
      <c r="A63" s="6" t="s">
        <v>44</v>
      </c>
      <c r="B63" s="7"/>
      <c r="H63" s="15" t="s">
        <v>854</v>
      </c>
      <c r="I63" s="27" t="s">
        <v>1010</v>
      </c>
      <c r="J63" s="27" t="s">
        <v>78</v>
      </c>
      <c r="K63" s="25"/>
      <c r="N63" s="25" t="s">
        <v>1089</v>
      </c>
      <c r="O63" s="62">
        <v>71030.16</v>
      </c>
      <c r="P63" s="62">
        <v>66659.009999999995</v>
      </c>
      <c r="Q63" s="62">
        <v>66146.33</v>
      </c>
      <c r="R63" s="62">
        <v>63504.959999999999</v>
      </c>
      <c r="S63" s="62">
        <v>83390.5</v>
      </c>
      <c r="T63" s="62">
        <v>59599.58</v>
      </c>
      <c r="U63" s="62">
        <v>67534.850000000006</v>
      </c>
      <c r="V63" s="62">
        <v>61924.05</v>
      </c>
      <c r="W63" s="62">
        <v>54178.54</v>
      </c>
      <c r="X63" s="62">
        <v>64493.02</v>
      </c>
      <c r="Y63" s="62">
        <v>59327.43</v>
      </c>
      <c r="Z63" s="62">
        <v>52177.66</v>
      </c>
      <c r="AA63" s="62">
        <f>IF($I63="B1","",SUM(O63:Z63))</f>
        <v>769966.0900000002</v>
      </c>
      <c r="AB63" s="63">
        <f>IF(AA63=0,"",IFERROR(AA63/AA$19,""))</f>
        <v>5.9501836445097545E-2</v>
      </c>
      <c r="AD63" s="62">
        <v>681180.27155204595</v>
      </c>
      <c r="AE63" s="63">
        <f>IF(AD63=0,"",IFERROR(AD63/AD$19,""))</f>
        <v>4.1052263716859161E-2</v>
      </c>
      <c r="AF63" s="64">
        <f>IF(AND($AA63="",AD63=""),"",$AA63-AD63)</f>
        <v>88785.818447954254</v>
      </c>
      <c r="AG63" s="62">
        <v>537930.06999999995</v>
      </c>
      <c r="AH63" s="63">
        <f>IF(AG63=0,"",IFERROR(AG63/AG$19,""))</f>
        <v>3.6512563097219168E-2</v>
      </c>
      <c r="AI63" s="64">
        <f>IF(AND($AA63="",AG63=""),"",$AA63-AG63)</f>
        <v>232036.02000000025</v>
      </c>
      <c r="AJ63" s="430">
        <f>IFERROR(AA63/AA$20,0)</f>
        <v>15.981031340805318</v>
      </c>
      <c r="AK63" s="431">
        <f>IFERROR(AD63/AD$20,0)</f>
        <v>14.138237267580863</v>
      </c>
      <c r="AL63" s="432">
        <f>IFERROR(AG63/AG$20,0)</f>
        <v>11.165007679535076</v>
      </c>
      <c r="AM63" s="433" t="str">
        <f>+IFERROR(ROUND(($AB63-AE63)*100,2)&amp;" pts.",0)</f>
        <v>1.84 pts.</v>
      </c>
      <c r="AN63" s="438" t="str">
        <f>+IFERROR(ROUND(($AB63-AH63)*100,2)&amp;" pts.",0)</f>
        <v>2.3 pts.</v>
      </c>
    </row>
    <row r="64" spans="1:40" ht="16.5" hidden="1" thickTop="1" thickBot="1" x14ac:dyDescent="0.3">
      <c r="A64" s="6" t="s">
        <v>45</v>
      </c>
      <c r="B64" s="7"/>
      <c r="H64" s="15"/>
      <c r="I64" s="27"/>
      <c r="J64" s="27"/>
      <c r="K64" s="25"/>
      <c r="N64" s="25"/>
      <c r="O64" s="62"/>
      <c r="P64" s="62"/>
      <c r="Q64" s="62"/>
      <c r="R64" s="62"/>
      <c r="S64" s="62"/>
      <c r="T64" s="62"/>
      <c r="U64" s="62"/>
      <c r="V64" s="62"/>
      <c r="W64" s="62"/>
      <c r="X64" s="62"/>
      <c r="Y64" s="62"/>
      <c r="Z64" s="62"/>
      <c r="AA64" s="62">
        <f>IF($I64="B1","",SUM(O64:Z64))</f>
        <v>0</v>
      </c>
      <c r="AB64" s="63" t="str">
        <f>IF(AA64=0,"",IFERROR(AA64/AA$19,""))</f>
        <v/>
      </c>
      <c r="AD64" s="62"/>
      <c r="AE64" s="63" t="str">
        <f>IF(AD64=0,"",IFERROR(AD64/AD$19,""))</f>
        <v/>
      </c>
      <c r="AF64" s="64">
        <f>IF(AND($AA64="",AD64=""),"",$AA64-AD64)</f>
        <v>0</v>
      </c>
      <c r="AG64" s="62"/>
      <c r="AH64" s="63" t="str">
        <f>IF(AG64=0,"",IFERROR(AG64/AG$19,""))</f>
        <v/>
      </c>
      <c r="AI64" s="64">
        <f>IF(AND($AA64="",AG64=""),"",$AA64-AG64)</f>
        <v>0</v>
      </c>
      <c r="AJ64" s="430">
        <f>IFERROR(AA64/AA$20,0)</f>
        <v>0</v>
      </c>
      <c r="AK64" s="431">
        <f>IFERROR(AD64/AD$20,0)</f>
        <v>0</v>
      </c>
      <c r="AL64" s="432">
        <f>IFERROR(AG64/AG$20,0)</f>
        <v>0</v>
      </c>
      <c r="AM64" s="433">
        <f>+IFERROR(ROUND(($AB64-AE64)*100,2)&amp;" pts.",0)</f>
        <v>0</v>
      </c>
      <c r="AN64" s="438">
        <f>+IFERROR(ROUND(($AB64-AH64)*100,2)&amp;" pts.",0)</f>
        <v>0</v>
      </c>
    </row>
    <row r="65" spans="1:35" ht="15.75" thickTop="1" x14ac:dyDescent="0.25">
      <c r="A65" s="6" t="s">
        <v>46</v>
      </c>
      <c r="B65" s="7"/>
      <c r="I65" s="1"/>
      <c r="J65" s="1"/>
      <c r="L65" s="1"/>
      <c r="M65" s="1"/>
    </row>
    <row r="66" spans="1:35" x14ac:dyDescent="0.25">
      <c r="N66" s="26" t="str">
        <f>N63&amp;" - Check"</f>
        <v>Total Payroll Related - Check</v>
      </c>
      <c r="O66" s="139">
        <f t="shared" ref="O66:AA66" si="36">SUMIF($H$35:$H$63,"PAY_TAXES",O$35:O$63)+SUMIF($H$35:$H$63,"SUP_PAY",O$35:O$63)+SUMIF($H$35:$H$63,"EMP_BEN",O$35:O$63)-SUMIF($H$35:$H$63,"PAY_RELATED",O$35:O$63)</f>
        <v>0</v>
      </c>
      <c r="P66" s="139">
        <f t="shared" si="36"/>
        <v>0</v>
      </c>
      <c r="Q66" s="139">
        <f t="shared" si="36"/>
        <v>0</v>
      </c>
      <c r="R66" s="139">
        <f t="shared" si="36"/>
        <v>0</v>
      </c>
      <c r="S66" s="139">
        <f t="shared" si="36"/>
        <v>0</v>
      </c>
      <c r="T66" s="139">
        <f t="shared" si="36"/>
        <v>0</v>
      </c>
      <c r="U66" s="139">
        <f t="shared" si="36"/>
        <v>0</v>
      </c>
      <c r="V66" s="139">
        <f t="shared" si="36"/>
        <v>0</v>
      </c>
      <c r="W66" s="139">
        <f t="shared" si="36"/>
        <v>0</v>
      </c>
      <c r="X66" s="139">
        <f t="shared" si="36"/>
        <v>0</v>
      </c>
      <c r="Y66" s="139">
        <f t="shared" si="36"/>
        <v>0</v>
      </c>
      <c r="Z66" s="139">
        <f t="shared" si="36"/>
        <v>0</v>
      </c>
      <c r="AA66" s="139">
        <f t="shared" si="36"/>
        <v>0</v>
      </c>
      <c r="AB66" s="17"/>
      <c r="AD66" s="139">
        <f>SUMIF($H$35:$H$63,"PAY_TAXES",AD$35:AD$63)+SUMIF($H$35:$H$63,"SUP_PAY",AD$35:AD$63)+SUMIF($H$35:$H$63,"EMP_BEN",AD$35:AD$63)-SUMIF($H$35:$H$63,"PAY_RELATED",AD$35:AD$63)</f>
        <v>-1.0477378964424133E-9</v>
      </c>
      <c r="AE66" s="17"/>
      <c r="AF66" s="21"/>
      <c r="AG66" s="139">
        <f>SUMIF($H$35:$H$63,"PAY_TAXES",AG$35:AG$63)+SUMIF($H$35:$H$63,"SUP_PAY",AG$35:AG$63)+SUMIF($H$35:$H$63,"EMP_BEN",AG$35:AG$63)-SUMIF($H$35:$H$63,"PAY_RELATED",AG$35:AG$63)</f>
        <v>0</v>
      </c>
      <c r="AH66" s="17"/>
      <c r="AI66" s="21"/>
    </row>
    <row r="67" spans="1:35" x14ac:dyDescent="0.25">
      <c r="I67" s="1"/>
      <c r="J67" s="1"/>
      <c r="L67" s="1"/>
      <c r="M67" s="1"/>
    </row>
    <row r="74" spans="1:35" x14ac:dyDescent="0.25">
      <c r="H74" s="11"/>
      <c r="J74" s="1"/>
    </row>
    <row r="75" spans="1:35" x14ac:dyDescent="0.25">
      <c r="H75" s="11"/>
      <c r="J75" s="1"/>
    </row>
    <row r="76" spans="1:35" x14ac:dyDescent="0.25">
      <c r="H76" s="11"/>
      <c r="J76" s="1"/>
    </row>
    <row r="77" spans="1:35" x14ac:dyDescent="0.25">
      <c r="H77" s="11"/>
      <c r="J77" s="1"/>
    </row>
    <row r="78" spans="1:35" x14ac:dyDescent="0.25">
      <c r="H78" s="11"/>
      <c r="J78" s="1"/>
    </row>
    <row r="79" spans="1:35" x14ac:dyDescent="0.25">
      <c r="H79" s="11"/>
      <c r="J79" s="1"/>
    </row>
    <row r="80" spans="1:35"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sheetData>
  <mergeCells count="2">
    <mergeCell ref="AD31:AE31"/>
    <mergeCell ref="AG31:AH31"/>
  </mergeCells>
  <dataValidations count="2">
    <dataValidation type="list" allowBlank="1" sqref="B28" xr:uid="{00000000-0002-0000-6100-000000000000}">
      <formula1>"ACCOUNT,BUSINESSUNIT,CATEGORY,DATASRC,DEPARTMENT,INTCO,MEASURES,RPTCURRENCY,TIME"</formula1>
    </dataValidation>
    <dataValidation type="list" allowBlank="1" sqref="B29" xr:uid="{00000000-0002-0000-6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9908" r:id="rId5" name="FPMExcelClientSheetOptionstb1">
          <controlPr defaultSize="0" autoLine="0" r:id="rId6">
            <anchor moveWithCells="1" sizeWithCells="1">
              <from>
                <xdr:col>0</xdr:col>
                <xdr:colOff>0</xdr:colOff>
                <xdr:row>0</xdr:row>
                <xdr:rowOff>0</xdr:rowOff>
              </from>
              <to>
                <xdr:col>13</xdr:col>
                <xdr:colOff>666750</xdr:colOff>
                <xdr:row>0</xdr:row>
                <xdr:rowOff>0</xdr:rowOff>
              </to>
            </anchor>
          </controlPr>
        </control>
      </mc:Choice>
      <mc:Fallback>
        <control shapeId="379908" r:id="rId5"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2099B2AEBB7A41BBC656D90C1AA9A5" ma:contentTypeVersion="14" ma:contentTypeDescription="Create a new document." ma:contentTypeScope="" ma:versionID="bff7f7282f75d9f2f83ab841d579a098">
  <xsd:schema xmlns:xsd="http://www.w3.org/2001/XMLSchema" xmlns:xs="http://www.w3.org/2001/XMLSchema" xmlns:p="http://schemas.microsoft.com/office/2006/metadata/properties" xmlns:ns2="26295a75-7a26-4dde-a0be-9ad761cc2267" xmlns:ns3="7718487c-e776-454d-a639-eb9aead2126b" targetNamespace="http://schemas.microsoft.com/office/2006/metadata/properties" ma:root="true" ma:fieldsID="a66ef1001b57f2b683ac4cef3805a486" ns2:_="" ns3:_="">
    <xsd:import namespace="26295a75-7a26-4dde-a0be-9ad761cc2267"/>
    <xsd:import namespace="7718487c-e776-454d-a639-eb9aead2126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Loca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295a75-7a26-4dde-a0be-9ad761cc22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Location" ma:index="12" nillable="true" ma:displayName="Location" ma:description="" ma:indexed="true"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316342d7-b869-4e4f-a795-37ec82058f6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18487c-e776-454d-a639-eb9aead2126b"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b609af9-6321-4330-965e-059433c62eca}" ma:internalName="TaxCatchAll" ma:showField="CatchAllData" ma:web="7718487c-e776-454d-a639-eb9aead2126b">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6295a75-7a26-4dde-a0be-9ad761cc2267">
      <Terms xmlns="http://schemas.microsoft.com/office/infopath/2007/PartnerControls"/>
    </lcf76f155ced4ddcb4097134ff3c332f>
    <TaxCatchAll xmlns="7718487c-e776-454d-a639-eb9aead2126b" xsi:nil="true"/>
  </documentManagement>
</p:properties>
</file>

<file path=customXml/itemProps1.xml><?xml version="1.0" encoding="utf-8"?>
<ds:datastoreItem xmlns:ds="http://schemas.openxmlformats.org/officeDocument/2006/customXml" ds:itemID="{02481304-7C91-4C84-AFD4-5320888494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295a75-7a26-4dde-a0be-9ad761cc2267"/>
    <ds:schemaRef ds:uri="7718487c-e776-454d-a639-eb9aead212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B90394-ACF3-4B31-96C6-C0055A35B499}">
  <ds:schemaRefs>
    <ds:schemaRef ds:uri="http://schemas.microsoft.com/sharepoint/v3/contenttype/forms"/>
  </ds:schemaRefs>
</ds:datastoreItem>
</file>

<file path=customXml/itemProps3.xml><?xml version="1.0" encoding="utf-8"?>
<ds:datastoreItem xmlns:ds="http://schemas.openxmlformats.org/officeDocument/2006/customXml" ds:itemID="{46FEED13-AB7C-4539-B17A-148B0A9EF550}">
  <ds:schemaRefs>
    <ds:schemaRef ds:uri="http://schemas.microsoft.com/office/2006/metadata/properties"/>
    <ds:schemaRef ds:uri="http://schemas.microsoft.com/office/infopath/2007/PartnerControls"/>
    <ds:schemaRef ds:uri="26295a75-7a26-4dde-a0be-9ad761cc2267"/>
    <ds:schemaRef ds:uri="7718487c-e776-454d-a639-eb9aead212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190</vt:i4>
      </vt:variant>
    </vt:vector>
  </HeadingPairs>
  <TitlesOfParts>
    <vt:vector size="239" baseType="lpstr">
      <vt:lpstr>SetUp</vt:lpstr>
      <vt:lpstr>Summary</vt:lpstr>
      <vt:lpstr>Rooms</vt:lpstr>
      <vt:lpstr>MMA</vt:lpstr>
      <vt:lpstr>Resv</vt:lpstr>
      <vt:lpstr>FB_Cons</vt:lpstr>
      <vt:lpstr>FB_KPI</vt:lpstr>
      <vt:lpstr>Venue1</vt:lpstr>
      <vt:lpstr>Venue1_KPI</vt:lpstr>
      <vt:lpstr>Venue2</vt:lpstr>
      <vt:lpstr>Venue2_KPI</vt:lpstr>
      <vt:lpstr>Venue3</vt:lpstr>
      <vt:lpstr>Venue3_KPI</vt:lpstr>
      <vt:lpstr>Venue4</vt:lpstr>
      <vt:lpstr>Venue4_KPI</vt:lpstr>
      <vt:lpstr>Venue5</vt:lpstr>
      <vt:lpstr>Venue5_KPI</vt:lpstr>
      <vt:lpstr>Venue6</vt:lpstr>
      <vt:lpstr>Venue6_KPI</vt:lpstr>
      <vt:lpstr>VenueBar</vt:lpstr>
      <vt:lpstr>VenueBar_KPI</vt:lpstr>
      <vt:lpstr>IRD</vt:lpstr>
      <vt:lpstr>IRD_KPI</vt:lpstr>
      <vt:lpstr>BCC_CONS</vt:lpstr>
      <vt:lpstr>BCC_CONS_KPI</vt:lpstr>
      <vt:lpstr>BCC_Group</vt:lpstr>
      <vt:lpstr>BCC_KPI_Group</vt:lpstr>
      <vt:lpstr>BCC_Local</vt:lpstr>
      <vt:lpstr>BCC_KPI_Local</vt:lpstr>
      <vt:lpstr>Mini_Bar</vt:lpstr>
      <vt:lpstr>OTH_OP</vt:lpstr>
      <vt:lpstr>Telcom_Legacy</vt:lpstr>
      <vt:lpstr>HC_SPA</vt:lpstr>
      <vt:lpstr>Parking</vt:lpstr>
      <vt:lpstr>Retail</vt:lpstr>
      <vt:lpstr>FB_Retail</vt:lpstr>
      <vt:lpstr>Minor_Op</vt:lpstr>
      <vt:lpstr>MISC_INC</vt:lpstr>
      <vt:lpstr>AG</vt:lpstr>
      <vt:lpstr>HR_Detail</vt:lpstr>
      <vt:lpstr>IT</vt:lpstr>
      <vt:lpstr>SM</vt:lpstr>
      <vt:lpstr>POM</vt:lpstr>
      <vt:lpstr>EC</vt:lpstr>
      <vt:lpstr>Mgt_Fees</vt:lpstr>
      <vt:lpstr>Non_Op</vt:lpstr>
      <vt:lpstr>Laundry</vt:lpstr>
      <vt:lpstr>Dining</vt:lpstr>
      <vt:lpstr>PR_Related</vt:lpstr>
      <vt:lpstr>'_PPZ4ye_GEGtgi8gkINWpw=='!Print_Area</vt:lpstr>
      <vt:lpstr>'+70DYMA4iE++p_Ewnlu4gQ=='!Print_Area</vt:lpstr>
      <vt:lpstr>'+dizOA3Sw0KBoxqLoMq_qQ=='!Print_Area</vt:lpstr>
      <vt:lpstr>'+HUbGMsjJ0aDnEGeAJqrrg=='!Print_Area</vt:lpstr>
      <vt:lpstr>'3Cd1WciUwUedrWOV02r1iQ=='!Print_Area</vt:lpstr>
      <vt:lpstr>'3wuSWMeHY0ScOgohsNW2oA=='!Print_Area</vt:lpstr>
      <vt:lpstr>'4KNhtOpAEUypgWAtMC7vgA=='!Print_Area</vt:lpstr>
      <vt:lpstr>'4O1sRaHPbU2XFIlkHDUfzA=='!Print_Area</vt:lpstr>
      <vt:lpstr>'5BEUb7L8eUmzgq3JSA6eRw=='!Print_Area</vt:lpstr>
      <vt:lpstr>'a+q8tK9WI0eMRZSUkMLVTQ=='!Print_Area</vt:lpstr>
      <vt:lpstr>AG!Print_Area</vt:lpstr>
      <vt:lpstr>'AoaAblQE00GhlY7N8v+qEg=='!Print_Area</vt:lpstr>
      <vt:lpstr>'aqaGhLEiDU+wymKUzPWuvQ=='!Print_Area</vt:lpstr>
      <vt:lpstr>'AtH6gwKgpES8vnmy9uNDbw=='!Print_Area</vt:lpstr>
      <vt:lpstr>BCC_CONS!Print_Area</vt:lpstr>
      <vt:lpstr>BCC_CONS_KPI!Print_Area</vt:lpstr>
      <vt:lpstr>BCC_Group!Print_Area</vt:lpstr>
      <vt:lpstr>BCC_KPI_Group!Print_Area</vt:lpstr>
      <vt:lpstr>BCC_KPI_Local!Print_Area</vt:lpstr>
      <vt:lpstr>BCC_Local!Print_Area</vt:lpstr>
      <vt:lpstr>'bt6PClBoWESBtl1xy7bBrw=='!Print_Area</vt:lpstr>
      <vt:lpstr>'C3CYt_UoBEqC0yvQdQ2EtA=='!Print_Area</vt:lpstr>
      <vt:lpstr>'cplIyU1GlUatGZ6NUmFKXQ=='!Print_Area</vt:lpstr>
      <vt:lpstr>'CZIX+apNZUGQ6OLbpMew3Q=='!Print_Area</vt:lpstr>
      <vt:lpstr>Dining!Print_Area</vt:lpstr>
      <vt:lpstr>EC!Print_Area</vt:lpstr>
      <vt:lpstr>'f_zLUiAjjUWjv52jXIyB4g=='!Print_Area</vt:lpstr>
      <vt:lpstr>'Fb_1MJyuEEeg54ipZ4Ia9w=='!Print_Area</vt:lpstr>
      <vt:lpstr>FB_Cons!Print_Area</vt:lpstr>
      <vt:lpstr>FB_KPI!Print_Area</vt:lpstr>
      <vt:lpstr>FB_Retail!Print_Area</vt:lpstr>
      <vt:lpstr>'g+9rvlKZZ0mqyaK54TM35Q=='!Print_Area</vt:lpstr>
      <vt:lpstr>'hBP4qoENkE6FjOiCOXli+g=='!Print_Area</vt:lpstr>
      <vt:lpstr>HC_SPA!Print_Area</vt:lpstr>
      <vt:lpstr>'HEtSVi0IeEeMBYoiN0+iUA=='!Print_Area</vt:lpstr>
      <vt:lpstr>HR_Detail!Print_Area</vt:lpstr>
      <vt:lpstr>IRD!Print_Area</vt:lpstr>
      <vt:lpstr>IRD_KPI!Print_Area</vt:lpstr>
      <vt:lpstr>IT!Print_Area</vt:lpstr>
      <vt:lpstr>'jhweJqrE+0iz7sclGhWO_g=='!Print_Area</vt:lpstr>
      <vt:lpstr>'JPnNwqMTXEyH_mmA380DEA=='!Print_Area</vt:lpstr>
      <vt:lpstr>'jRxs7R+H60+fLrZ6OuEQNQ=='!Print_Area</vt:lpstr>
      <vt:lpstr>'kBaoEHqqKkiQPdikogNI3Q=='!Print_Area</vt:lpstr>
      <vt:lpstr>'Kf0bn1dzE0+hVBbxZg5v1g=='!Print_Area</vt:lpstr>
      <vt:lpstr>Laundry!Print_Area</vt:lpstr>
      <vt:lpstr>Mgt_Fees!Print_Area</vt:lpstr>
      <vt:lpstr>Mini_Bar!Print_Area</vt:lpstr>
      <vt:lpstr>Minor_Op!Print_Area</vt:lpstr>
      <vt:lpstr>MISC_INC!Print_Area</vt:lpstr>
      <vt:lpstr>MMA!Print_Area</vt:lpstr>
      <vt:lpstr>Non_Op!Print_Area</vt:lpstr>
      <vt:lpstr>'nVYoVvGMSEqa5lkNmggkEw=='!Print_Area</vt:lpstr>
      <vt:lpstr>'o9Ownswb+0e_twQv_qepqQ=='!Print_Area</vt:lpstr>
      <vt:lpstr>'oalAD9bahUi2SFIiAutoIA=='!Print_Area</vt:lpstr>
      <vt:lpstr>'oaRiL1UCr0a5ZeGaGEWMJg=='!Print_Area</vt:lpstr>
      <vt:lpstr>'oB3_qp7Q1EWfxIflYQb7dw=='!Print_Area</vt:lpstr>
      <vt:lpstr>OTH_OP!Print_Area</vt:lpstr>
      <vt:lpstr>Parking!Print_Area</vt:lpstr>
      <vt:lpstr>POM!Print_Area</vt:lpstr>
      <vt:lpstr>PR_Related!Print_Area</vt:lpstr>
      <vt:lpstr>Resv!Print_Area</vt:lpstr>
      <vt:lpstr>Retail!Print_Area</vt:lpstr>
      <vt:lpstr>Rooms!Print_Area</vt:lpstr>
      <vt:lpstr>'S8A8meZvq0OzntGi4q71ww=='!Print_Area</vt:lpstr>
      <vt:lpstr>'SCQiqgj4rEqJsJ1npJmqlw=='!Print_Area</vt:lpstr>
      <vt:lpstr>SM!Print_Area</vt:lpstr>
      <vt:lpstr>Summary!Print_Area</vt:lpstr>
      <vt:lpstr>'Szg3J+icpU6JjBGixxqYxg=='!Print_Area</vt:lpstr>
      <vt:lpstr>Telcom_Legacy!Print_Area</vt:lpstr>
      <vt:lpstr>'TlUETfS3O0q_qMqyXc31kg=='!Print_Area</vt:lpstr>
      <vt:lpstr>'TpphQxJNZEmJduT7LzZLEw=='!Print_Area</vt:lpstr>
      <vt:lpstr>'tz0uD3ekO0CFLD1WvN5pAg=='!Print_Area</vt:lpstr>
      <vt:lpstr>'ueh+PghI5ECtfEC5O_dLlQ=='!Print_Area</vt:lpstr>
      <vt:lpstr>'Ur9cICEiX0+v1s7WCqhDjg=='!Print_Area</vt:lpstr>
      <vt:lpstr>'UzoMkdLmXkC6I2uj6uMUWA=='!Print_Area</vt:lpstr>
      <vt:lpstr>'vCBzv+YkaESObdTy7YiXoA=='!Print_Area</vt:lpstr>
      <vt:lpstr>Venue1!Print_Area</vt:lpstr>
      <vt:lpstr>Venue1_KPI!Print_Area</vt:lpstr>
      <vt:lpstr>Venue2!Print_Area</vt:lpstr>
      <vt:lpstr>Venue2_KPI!Print_Area</vt:lpstr>
      <vt:lpstr>Venue3!Print_Area</vt:lpstr>
      <vt:lpstr>Venue3_KPI!Print_Area</vt:lpstr>
      <vt:lpstr>Venue4!Print_Area</vt:lpstr>
      <vt:lpstr>Venue4_KPI!Print_Area</vt:lpstr>
      <vt:lpstr>Venue5!Print_Area</vt:lpstr>
      <vt:lpstr>Venue5_KPI!Print_Area</vt:lpstr>
      <vt:lpstr>Venue6!Print_Area</vt:lpstr>
      <vt:lpstr>Venue6_KPI!Print_Area</vt:lpstr>
      <vt:lpstr>VenueBar!Print_Area</vt:lpstr>
      <vt:lpstr>VenueBar_KPI!Print_Area</vt:lpstr>
      <vt:lpstr>'vTCkZLqCi06j3ZbWEk8hCQ=='!Print_Area</vt:lpstr>
      <vt:lpstr>'vXGDvSyazEWVpBlSxcaY1Q=='!Print_Area</vt:lpstr>
      <vt:lpstr>'WhM2P_lzeUa8sP3Hx+iKZw=='!Print_Area</vt:lpstr>
      <vt:lpstr>'ylSALY5JfkayboFK3T1SXA=='!Print_Area</vt:lpstr>
      <vt:lpstr>'Z7lKZxxBG0O8LPgoY1wOcA=='!Print_Area</vt:lpstr>
      <vt:lpstr>'ZSriImMDIEKQMZC+g31cpw=='!Print_Area</vt:lpstr>
      <vt:lpstr>'_PPZ4ye_GEGtgi8gkINWpw=='!Print_Titles</vt:lpstr>
      <vt:lpstr>'+70DYMA4iE++p_Ewnlu4gQ=='!Print_Titles</vt:lpstr>
      <vt:lpstr>'+dizOA3Sw0KBoxqLoMq_qQ=='!Print_Titles</vt:lpstr>
      <vt:lpstr>'+HUbGMsjJ0aDnEGeAJqrrg=='!Print_Titles</vt:lpstr>
      <vt:lpstr>'3wuSWMeHY0ScOgohsNW2oA=='!Print_Titles</vt:lpstr>
      <vt:lpstr>'4KNhtOpAEUypgWAtMC7vgA=='!Print_Titles</vt:lpstr>
      <vt:lpstr>'4O1sRaHPbU2XFIlkHDUfzA=='!Print_Titles</vt:lpstr>
      <vt:lpstr>'5BEUb7L8eUmzgq3JSA6eRw=='!Print_Titles</vt:lpstr>
      <vt:lpstr>'a+q8tK9WI0eMRZSUkMLVTQ=='!Print_Titles</vt:lpstr>
      <vt:lpstr>AG!Print_Titles</vt:lpstr>
      <vt:lpstr>'AoaAblQE00GhlY7N8v+qEg=='!Print_Titles</vt:lpstr>
      <vt:lpstr>'aqaGhLEiDU+wymKUzPWuvQ=='!Print_Titles</vt:lpstr>
      <vt:lpstr>'AtH6gwKgpES8vnmy9uNDbw=='!Print_Titles</vt:lpstr>
      <vt:lpstr>BCC_CONS_KPI!Print_Titles</vt:lpstr>
      <vt:lpstr>BCC_Group!Print_Titles</vt:lpstr>
      <vt:lpstr>BCC_KPI_Group!Print_Titles</vt:lpstr>
      <vt:lpstr>BCC_KPI_Local!Print_Titles</vt:lpstr>
      <vt:lpstr>BCC_Local!Print_Titles</vt:lpstr>
      <vt:lpstr>'bt6PClBoWESBtl1xy7bBrw=='!Print_Titles</vt:lpstr>
      <vt:lpstr>'C3CYt_UoBEqC0yvQdQ2EtA=='!Print_Titles</vt:lpstr>
      <vt:lpstr>'cplIyU1GlUatGZ6NUmFKXQ=='!Print_Titles</vt:lpstr>
      <vt:lpstr>'CZIX+apNZUGQ6OLbpMew3Q=='!Print_Titles</vt:lpstr>
      <vt:lpstr>Dining!Print_Titles</vt:lpstr>
      <vt:lpstr>EC!Print_Titles</vt:lpstr>
      <vt:lpstr>'f_zLUiAjjUWjv52jXIyB4g=='!Print_Titles</vt:lpstr>
      <vt:lpstr>'Fb_1MJyuEEeg54ipZ4Ia9w=='!Print_Titles</vt:lpstr>
      <vt:lpstr>FB_Cons!Print_Titles</vt:lpstr>
      <vt:lpstr>FB_KPI!Print_Titles</vt:lpstr>
      <vt:lpstr>FB_Retail!Print_Titles</vt:lpstr>
      <vt:lpstr>'g+9rvlKZZ0mqyaK54TM35Q=='!Print_Titles</vt:lpstr>
      <vt:lpstr>'hBP4qoENkE6FjOiCOXli+g=='!Print_Titles</vt:lpstr>
      <vt:lpstr>HC_SPA!Print_Titles</vt:lpstr>
      <vt:lpstr>'HEtSVi0IeEeMBYoiN0+iUA=='!Print_Titles</vt:lpstr>
      <vt:lpstr>HR_Detail!Print_Titles</vt:lpstr>
      <vt:lpstr>IRD!Print_Titles</vt:lpstr>
      <vt:lpstr>IRD_KPI!Print_Titles</vt:lpstr>
      <vt:lpstr>IT!Print_Titles</vt:lpstr>
      <vt:lpstr>'jhweJqrE+0iz7sclGhWO_g=='!Print_Titles</vt:lpstr>
      <vt:lpstr>'JPnNwqMTXEyH_mmA380DEA=='!Print_Titles</vt:lpstr>
      <vt:lpstr>'jRxs7R+H60+fLrZ6OuEQNQ=='!Print_Titles</vt:lpstr>
      <vt:lpstr>'kBaoEHqqKkiQPdikogNI3Q=='!Print_Titles</vt:lpstr>
      <vt:lpstr>'Kf0bn1dzE0+hVBbxZg5v1g=='!Print_Titles</vt:lpstr>
      <vt:lpstr>Laundry!Print_Titles</vt:lpstr>
      <vt:lpstr>Mgt_Fees!Print_Titles</vt:lpstr>
      <vt:lpstr>Mini_Bar!Print_Titles</vt:lpstr>
      <vt:lpstr>Minor_Op!Print_Titles</vt:lpstr>
      <vt:lpstr>MISC_INC!Print_Titles</vt:lpstr>
      <vt:lpstr>MMA!Print_Titles</vt:lpstr>
      <vt:lpstr>Non_Op!Print_Titles</vt:lpstr>
      <vt:lpstr>'nVYoVvGMSEqa5lkNmggkEw=='!Print_Titles</vt:lpstr>
      <vt:lpstr>'o9Ownswb+0e_twQv_qepqQ=='!Print_Titles</vt:lpstr>
      <vt:lpstr>'oalAD9bahUi2SFIiAutoIA=='!Print_Titles</vt:lpstr>
      <vt:lpstr>'oaRiL1UCr0a5ZeGaGEWMJg=='!Print_Titles</vt:lpstr>
      <vt:lpstr>'oB3_qp7Q1EWfxIflYQb7dw=='!Print_Titles</vt:lpstr>
      <vt:lpstr>OTH_OP!Print_Titles</vt:lpstr>
      <vt:lpstr>Parking!Print_Titles</vt:lpstr>
      <vt:lpstr>POM!Print_Titles</vt:lpstr>
      <vt:lpstr>PR_Related!Print_Titles</vt:lpstr>
      <vt:lpstr>Resv!Print_Titles</vt:lpstr>
      <vt:lpstr>Retail!Print_Titles</vt:lpstr>
      <vt:lpstr>Rooms!Print_Titles</vt:lpstr>
      <vt:lpstr>'S8A8meZvq0OzntGi4q71ww=='!Print_Titles</vt:lpstr>
      <vt:lpstr>'SCQiqgj4rEqJsJ1npJmqlw=='!Print_Titles</vt:lpstr>
      <vt:lpstr>SM!Print_Titles</vt:lpstr>
      <vt:lpstr>Summary!Print_Titles</vt:lpstr>
      <vt:lpstr>'Szg3J+icpU6JjBGixxqYxg=='!Print_Titles</vt:lpstr>
      <vt:lpstr>Telcom_Legacy!Print_Titles</vt:lpstr>
      <vt:lpstr>'TlUETfS3O0q_qMqyXc31kg=='!Print_Titles</vt:lpstr>
      <vt:lpstr>'TpphQxJNZEmJduT7LzZLEw=='!Print_Titles</vt:lpstr>
      <vt:lpstr>'tz0uD3ekO0CFLD1WvN5pAg=='!Print_Titles</vt:lpstr>
      <vt:lpstr>'ueh+PghI5ECtfEC5O_dLlQ=='!Print_Titles</vt:lpstr>
      <vt:lpstr>'Ur9cICEiX0+v1s7WCqhDjg=='!Print_Titles</vt:lpstr>
      <vt:lpstr>'UzoMkdLmXkC6I2uj6uMUWA=='!Print_Titles</vt:lpstr>
      <vt:lpstr>'vCBzv+YkaESObdTy7YiXoA=='!Print_Titles</vt:lpstr>
      <vt:lpstr>Venue1!Print_Titles</vt:lpstr>
      <vt:lpstr>Venue1_KPI!Print_Titles</vt:lpstr>
      <vt:lpstr>Venue2!Print_Titles</vt:lpstr>
      <vt:lpstr>Venue2_KPI!Print_Titles</vt:lpstr>
      <vt:lpstr>Venue3!Print_Titles</vt:lpstr>
      <vt:lpstr>Venue3_KPI!Print_Titles</vt:lpstr>
      <vt:lpstr>Venue4!Print_Titles</vt:lpstr>
      <vt:lpstr>Venue4_KPI!Print_Titles</vt:lpstr>
      <vt:lpstr>Venue5!Print_Titles</vt:lpstr>
      <vt:lpstr>Venue5_KPI!Print_Titles</vt:lpstr>
      <vt:lpstr>Venue6!Print_Titles</vt:lpstr>
      <vt:lpstr>Venue6_KPI!Print_Titles</vt:lpstr>
      <vt:lpstr>VenueBar!Print_Titles</vt:lpstr>
      <vt:lpstr>VenueBar_KPI!Print_Titles</vt:lpstr>
      <vt:lpstr>'vTCkZLqCi06j3ZbWEk8hCQ=='!Print_Titles</vt:lpstr>
      <vt:lpstr>'vXGDvSyazEWVpBlSxcaY1Q=='!Print_Titles</vt:lpstr>
      <vt:lpstr>'WhM2P_lzeUa8sP3Hx+iKZw=='!Print_Titles</vt:lpstr>
      <vt:lpstr>'ylSALY5JfkayboFK3T1SXA=='!Print_Titles</vt:lpstr>
      <vt:lpstr>'Z7lKZxxBG0O8LPgoY1wOcA=='!Print_Titles</vt:lpstr>
      <vt:lpstr>'ZSriImMDIEKQMZC+g31cpw=='!Print_Titles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Louis Petauton</cp:lastModifiedBy>
  <cp:lastPrinted>2020-07-07T15:00:22Z</cp:lastPrinted>
  <dcterms:created xsi:type="dcterms:W3CDTF">2014-09-26T18:28:08Z</dcterms:created>
  <dcterms:modified xsi:type="dcterms:W3CDTF">2024-10-15T19:32:46Z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0x010100D22099B2AEBB7A41BBC656D90C1AA9A5</vt:lpwstr>
  </property>
</Properties>
</file>